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omments6.xml" ContentType="application/vnd.openxmlformats-officedocument.spreadsheetml.comments+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omments7.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comments8.xml" ContentType="application/vnd.openxmlformats-officedocument.spreadsheetml.comments+xml"/>
  <Override PartName="/xl/drawings/drawing7.xml" ContentType="application/vnd.openxmlformats-officedocument.drawing+xml"/>
  <Override PartName="/xl/comments9.xml" ContentType="application/vnd.openxmlformats-officedocument.spreadsheetml.comments+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8.xml" ContentType="application/vnd.openxmlformats-officedocument.drawing+xml"/>
  <Override PartName="/xl/comments10.xml" ContentType="application/vnd.openxmlformats-officedocument.spreadsheetml.comments+xml"/>
  <Override PartName="/xl/charts/chart15.xml" ContentType="application/vnd.openxmlformats-officedocument.drawingml.chart+xml"/>
  <Override PartName="/xl/charts/style7.xml" ContentType="application/vnd.ms-office.chartstyle+xml"/>
  <Override PartName="/xl/charts/colors7.xml" ContentType="application/vnd.ms-office.chartcolorstyle+xml"/>
  <Override PartName="/xl/charts/chart16.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omments11.xml" ContentType="application/vnd.openxmlformats-officedocument.spreadsheetml.comments+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style9.xml" ContentType="application/vnd.ms-office.chartstyle+xml"/>
  <Override PartName="/xl/charts/colors9.xml" ContentType="application/vnd.ms-office.chartcolorstyle+xml"/>
  <Override PartName="/xl/charts/chart21.xml" ContentType="application/vnd.openxmlformats-officedocument.drawingml.chart+xml"/>
  <Override PartName="/xl/charts/style10.xml" ContentType="application/vnd.ms-office.chartstyle+xml"/>
  <Override PartName="/xl/charts/colors10.xml" ContentType="application/vnd.ms-office.chartcolorstyle+xml"/>
  <Override PartName="/xl/charts/chart22.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codeName="DieseArbeitsmappe" defaultThemeVersion="124226"/>
  <mc:AlternateContent xmlns:mc="http://schemas.openxmlformats.org/markup-compatibility/2006">
    <mc:Choice Requires="x15">
      <x15ac:absPath xmlns:x15ac="http://schemas.microsoft.com/office/spreadsheetml/2010/11/ac" url="C:\Users\gjerl\Desktop\FP\"/>
    </mc:Choice>
  </mc:AlternateContent>
  <xr:revisionPtr revIDLastSave="0" documentId="8_{1DA6FB64-97A5-46CB-9331-7A6ECA5C79B3}" xr6:coauthVersionLast="47" xr6:coauthVersionMax="47" xr10:uidLastSave="{00000000-0000-0000-0000-000000000000}"/>
  <bookViews>
    <workbookView xWindow="-108" yWindow="-108" windowWidth="23256" windowHeight="12456" tabRatio="911" xr2:uid="{00000000-000D-0000-FFFF-FFFF00000000}"/>
  </bookViews>
  <sheets>
    <sheet name="Deckblatt|Cover" sheetId="29" r:id="rId1"/>
    <sheet name="Vorwort|Preface" sheetId="12" r:id="rId2"/>
    <sheet name="0 Daten|Data" sheetId="13" r:id="rId3"/>
    <sheet name="1 Private Kosten|Costs" sheetId="43" r:id="rId4"/>
    <sheet name="2 Umsatz|Sales" sheetId="36" r:id="rId5"/>
    <sheet name="3  Betriebskosten|Operation Ex" sheetId="4" r:id="rId6"/>
    <sheet name="4 Invest" sheetId="31" r:id="rId7"/>
    <sheet name="5 Rendite|Profit" sheetId="32" r:id="rId8"/>
    <sheet name="6 GuV" sheetId="39" r:id="rId9"/>
    <sheet name="7 Liquiditaet|Liquidity" sheetId="17" r:id="rId10"/>
    <sheet name="8 Kapital|Capital" sheetId="33" r:id="rId11"/>
    <sheet name="9 Uebersicht|Summery" sheetId="27" r:id="rId12"/>
    <sheet name="Basisdaten" sheetId="28" state="veryHidden" r:id="rId13"/>
  </sheets>
  <definedNames>
    <definedName name="_ftn1" localSheetId="1">'Vorwort|Preface'!$CX$13</definedName>
    <definedName name="_ftnref1" localSheetId="1">'Vorwort|Preface'!$CX$9</definedName>
    <definedName name="_xlnm.Print_Area" localSheetId="2">'0 Daten|Data'!$B$1:$H$22</definedName>
    <definedName name="_xlnm.Print_Area" localSheetId="3">'1 Private Kosten|Costs'!$C$1:$Q$102</definedName>
    <definedName name="_xlnm.Print_Area" localSheetId="4">'2 Umsatz|Sales'!$C$2:$T$127</definedName>
    <definedName name="_xlnm.Print_Area" localSheetId="5">'3  Betriebskosten|Operation Ex'!$E$1:$S$234</definedName>
    <definedName name="_xlnm.Print_Area" localSheetId="6">'4 Invest'!$C$2:$AA$37</definedName>
    <definedName name="_xlnm.Print_Area" localSheetId="7">'5 Rendite|Profit'!$C$2:$P$52</definedName>
    <definedName name="_xlnm.Print_Area" localSheetId="8">'6 GuV'!$C$2:$H$17</definedName>
    <definedName name="_xlnm.Print_Area" localSheetId="9">'7 Liquiditaet|Liquidity'!$C$1:$Q$99</definedName>
    <definedName name="_xlnm.Print_Area" localSheetId="10">'8 Kapital|Capital'!$C$2:$S$58</definedName>
    <definedName name="_xlnm.Print_Area" localSheetId="11">'9 Uebersicht|Summery'!$B$1:$V$61</definedName>
    <definedName name="_xlnm.Print_Area" localSheetId="0">'Deckblatt|Cover'!$C$2:$M$27</definedName>
    <definedName name="_xlnm.Print_Area" localSheetId="1">'Vorwort|Preface'!$B$1:$Q$29</definedName>
    <definedName name="MwSt_0">Basisdaten!$O$40</definedName>
    <definedName name="MwSt_19">Basisdaten!$O$38</definedName>
    <definedName name="MwSt_7">Basisdaten!$O$39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2" i="36" l="1"/>
  <c r="I52" i="36"/>
  <c r="J52" i="36"/>
  <c r="K52" i="36"/>
  <c r="L52" i="36"/>
  <c r="M52" i="36"/>
  <c r="N52" i="36"/>
  <c r="O52" i="36"/>
  <c r="P52" i="36"/>
  <c r="Q52" i="36"/>
  <c r="R52" i="36"/>
  <c r="S52" i="36"/>
  <c r="F97" i="43"/>
  <c r="G97" i="43" s="1"/>
  <c r="H97" i="43" s="1"/>
  <c r="I97" i="43" s="1"/>
  <c r="F26" i="43" l="1"/>
  <c r="G26" i="43"/>
  <c r="H26" i="43"/>
  <c r="I26" i="43"/>
  <c r="J26" i="43"/>
  <c r="K26" i="43"/>
  <c r="L26" i="43"/>
  <c r="M26" i="43"/>
  <c r="N26" i="43"/>
  <c r="O26" i="43"/>
  <c r="P26" i="43"/>
  <c r="E26" i="43"/>
  <c r="E18" i="43"/>
  <c r="F18" i="43"/>
  <c r="G18" i="43"/>
  <c r="H18" i="43"/>
  <c r="I18" i="43"/>
  <c r="J18" i="43"/>
  <c r="K18" i="43"/>
  <c r="L18" i="43"/>
  <c r="M18" i="43"/>
  <c r="N18" i="43"/>
  <c r="O18" i="43"/>
  <c r="P18" i="43"/>
  <c r="H43" i="36"/>
  <c r="I43" i="36"/>
  <c r="J43" i="36"/>
  <c r="K43" i="36"/>
  <c r="L43" i="36"/>
  <c r="M43" i="36"/>
  <c r="N43" i="36"/>
  <c r="O43" i="36"/>
  <c r="P43" i="36"/>
  <c r="Q43" i="36"/>
  <c r="R43" i="36"/>
  <c r="S43" i="36"/>
  <c r="G18" i="36"/>
  <c r="G7" i="36"/>
  <c r="G41" i="36"/>
  <c r="H7" i="36"/>
  <c r="I49" i="36" l="1"/>
  <c r="J49" i="36"/>
  <c r="K49" i="36"/>
  <c r="L49" i="36"/>
  <c r="M49" i="36"/>
  <c r="N49" i="36"/>
  <c r="O49" i="36"/>
  <c r="P49" i="36"/>
  <c r="Q49" i="36"/>
  <c r="R49" i="36"/>
  <c r="S49" i="36"/>
  <c r="H49" i="36"/>
  <c r="I60" i="36"/>
  <c r="J60" i="36"/>
  <c r="K60" i="36"/>
  <c r="L60" i="36"/>
  <c r="M60" i="36"/>
  <c r="N60" i="36"/>
  <c r="O60" i="36"/>
  <c r="P60" i="36"/>
  <c r="Q60" i="36"/>
  <c r="R60" i="36"/>
  <c r="S60" i="36"/>
  <c r="H60" i="36"/>
  <c r="I15" i="36"/>
  <c r="J15" i="36"/>
  <c r="K15" i="36"/>
  <c r="L15" i="36"/>
  <c r="M15" i="36"/>
  <c r="N15" i="36"/>
  <c r="O15" i="36"/>
  <c r="P15" i="36"/>
  <c r="Q15" i="36"/>
  <c r="R15" i="36"/>
  <c r="S15" i="36"/>
  <c r="H15" i="36"/>
  <c r="I26" i="36"/>
  <c r="J26" i="36"/>
  <c r="K26" i="36"/>
  <c r="L26" i="36"/>
  <c r="M26" i="36"/>
  <c r="N26" i="36"/>
  <c r="O26" i="36"/>
  <c r="P26" i="36"/>
  <c r="Q26" i="36"/>
  <c r="R26" i="36"/>
  <c r="S26" i="36"/>
  <c r="H26" i="36"/>
  <c r="H12" i="39"/>
  <c r="G12" i="39"/>
  <c r="F12" i="39"/>
  <c r="E12" i="39"/>
  <c r="H11" i="39"/>
  <c r="G11" i="39"/>
  <c r="F11" i="39"/>
  <c r="E11" i="39"/>
  <c r="A8" i="28" l="1"/>
  <c r="CW223" i="36"/>
  <c r="E8" i="36"/>
  <c r="E17" i="36"/>
  <c r="E19" i="36"/>
  <c r="W304" i="31"/>
  <c r="W305" i="31"/>
  <c r="W306" i="31"/>
  <c r="S307" i="31"/>
  <c r="W307" i="31"/>
  <c r="R164" i="33"/>
  <c r="S164" i="33"/>
  <c r="T164" i="33"/>
  <c r="U164" i="33"/>
  <c r="V164" i="33"/>
  <c r="W164" i="33"/>
  <c r="X164" i="33"/>
  <c r="Y164" i="33"/>
  <c r="Z164" i="33"/>
  <c r="AA164" i="33"/>
  <c r="AB164" i="33"/>
  <c r="AC164" i="33"/>
  <c r="AD164" i="33"/>
  <c r="AE164" i="33"/>
  <c r="AF164" i="33"/>
  <c r="AG164" i="33"/>
  <c r="AH164" i="33"/>
  <c r="AI164" i="33"/>
  <c r="AJ164" i="33"/>
  <c r="AK164" i="33"/>
  <c r="AL164" i="33"/>
  <c r="AM164" i="33"/>
  <c r="AN164" i="33"/>
  <c r="AO164" i="33"/>
  <c r="AP164" i="33"/>
  <c r="AQ164" i="33"/>
  <c r="AR164" i="33"/>
  <c r="AS164" i="33"/>
  <c r="AT164" i="33"/>
  <c r="AU164" i="33"/>
  <c r="AV164" i="33"/>
  <c r="AW164" i="33"/>
  <c r="AX164" i="33"/>
  <c r="AY164" i="33"/>
  <c r="AZ164" i="33"/>
  <c r="BA164" i="33"/>
  <c r="BB164" i="33"/>
  <c r="BC164" i="33"/>
  <c r="BD164" i="33"/>
  <c r="BE164" i="33"/>
  <c r="BF164" i="33"/>
  <c r="BG164" i="33"/>
  <c r="BH164" i="33"/>
  <c r="BI164" i="33"/>
  <c r="BJ164" i="33"/>
  <c r="BK164" i="33"/>
  <c r="BL164" i="33"/>
  <c r="R165" i="33"/>
  <c r="S165" i="33"/>
  <c r="T165" i="33"/>
  <c r="U165" i="33"/>
  <c r="V165" i="33"/>
  <c r="W165" i="33"/>
  <c r="X165" i="33"/>
  <c r="Y165" i="33"/>
  <c r="Z165" i="33"/>
  <c r="AA165" i="33"/>
  <c r="AB165" i="33"/>
  <c r="AC165" i="33"/>
  <c r="AD165" i="33"/>
  <c r="AE165" i="33"/>
  <c r="AF165" i="33"/>
  <c r="AG165" i="33"/>
  <c r="AH165" i="33"/>
  <c r="AI165" i="33"/>
  <c r="AJ165" i="33"/>
  <c r="AK165" i="33"/>
  <c r="AL165" i="33"/>
  <c r="AM165" i="33"/>
  <c r="AN165" i="33"/>
  <c r="AO165" i="33"/>
  <c r="AP165" i="33"/>
  <c r="AQ165" i="33"/>
  <c r="AR165" i="33"/>
  <c r="AS165" i="33"/>
  <c r="AT165" i="33"/>
  <c r="AU165" i="33"/>
  <c r="AV165" i="33"/>
  <c r="AW165" i="33"/>
  <c r="AX165" i="33"/>
  <c r="AY165" i="33"/>
  <c r="AZ165" i="33"/>
  <c r="BA165" i="33"/>
  <c r="BB165" i="33"/>
  <c r="BC165" i="33"/>
  <c r="BD165" i="33"/>
  <c r="BE165" i="33"/>
  <c r="BF165" i="33"/>
  <c r="BG165" i="33"/>
  <c r="BH165" i="33"/>
  <c r="BI165" i="33"/>
  <c r="BJ165" i="33"/>
  <c r="BK165" i="33"/>
  <c r="BL165" i="33"/>
  <c r="R167" i="33"/>
  <c r="S167" i="33"/>
  <c r="T167" i="33"/>
  <c r="U167" i="33"/>
  <c r="V167" i="33"/>
  <c r="W167" i="33"/>
  <c r="X167" i="33"/>
  <c r="Y167" i="33"/>
  <c r="Z167" i="33"/>
  <c r="AA167" i="33"/>
  <c r="AB167" i="33"/>
  <c r="AC167" i="33"/>
  <c r="AD167" i="33"/>
  <c r="AE167" i="33"/>
  <c r="AF167" i="33"/>
  <c r="AG167" i="33"/>
  <c r="AH167" i="33"/>
  <c r="AI167" i="33"/>
  <c r="AJ167" i="33"/>
  <c r="AK167" i="33"/>
  <c r="AL167" i="33"/>
  <c r="AM167" i="33"/>
  <c r="AN167" i="33"/>
  <c r="AO167" i="33"/>
  <c r="AP167" i="33"/>
  <c r="AQ167" i="33"/>
  <c r="AR167" i="33"/>
  <c r="AS167" i="33"/>
  <c r="AT167" i="33"/>
  <c r="AU167" i="33"/>
  <c r="AV167" i="33"/>
  <c r="AW167" i="33"/>
  <c r="AX167" i="33"/>
  <c r="AY167" i="33"/>
  <c r="AZ167" i="33"/>
  <c r="BA167" i="33"/>
  <c r="BB167" i="33"/>
  <c r="BC167" i="33"/>
  <c r="BD167" i="33"/>
  <c r="BE167" i="33"/>
  <c r="BF167" i="33"/>
  <c r="BG167" i="33"/>
  <c r="BH167" i="33"/>
  <c r="BI167" i="33"/>
  <c r="BJ167" i="33"/>
  <c r="BK167" i="33"/>
  <c r="BL167" i="33"/>
  <c r="R169" i="33"/>
  <c r="S169" i="33"/>
  <c r="T169" i="33"/>
  <c r="U169" i="33"/>
  <c r="V169" i="33"/>
  <c r="W169" i="33"/>
  <c r="X169" i="33"/>
  <c r="Y169" i="33"/>
  <c r="Z169" i="33"/>
  <c r="AA169" i="33"/>
  <c r="AB169" i="33"/>
  <c r="AC169" i="33"/>
  <c r="AD169" i="33"/>
  <c r="AE169" i="33"/>
  <c r="AF169" i="33"/>
  <c r="AG169" i="33"/>
  <c r="AH169" i="33"/>
  <c r="AI169" i="33"/>
  <c r="AJ169" i="33"/>
  <c r="AK169" i="33"/>
  <c r="AL169" i="33"/>
  <c r="AM169" i="33"/>
  <c r="AN169" i="33"/>
  <c r="AO169" i="33"/>
  <c r="AP169" i="33"/>
  <c r="AQ169" i="33"/>
  <c r="AR169" i="33"/>
  <c r="AS169" i="33"/>
  <c r="AT169" i="33"/>
  <c r="AU169" i="33"/>
  <c r="AV169" i="33"/>
  <c r="AW169" i="33"/>
  <c r="AX169" i="33"/>
  <c r="AY169" i="33"/>
  <c r="AZ169" i="33"/>
  <c r="BA169" i="33"/>
  <c r="BB169" i="33"/>
  <c r="BC169" i="33"/>
  <c r="BD169" i="33"/>
  <c r="BE169" i="33"/>
  <c r="BF169" i="33"/>
  <c r="BG169" i="33"/>
  <c r="BH169" i="33"/>
  <c r="BI169" i="33"/>
  <c r="BJ169" i="33"/>
  <c r="BK169" i="33"/>
  <c r="BL169" i="33"/>
  <c r="R170" i="33"/>
  <c r="S170" i="33"/>
  <c r="T170" i="33"/>
  <c r="U170" i="33"/>
  <c r="V170" i="33"/>
  <c r="W170" i="33"/>
  <c r="X170" i="33"/>
  <c r="Y170" i="33"/>
  <c r="Z170" i="33"/>
  <c r="AA170" i="33"/>
  <c r="AB170" i="33"/>
  <c r="AC170" i="33"/>
  <c r="AD170" i="33"/>
  <c r="AE170" i="33"/>
  <c r="AF170" i="33"/>
  <c r="AG170" i="33"/>
  <c r="AH170" i="33"/>
  <c r="AI170" i="33"/>
  <c r="AJ170" i="33"/>
  <c r="AK170" i="33"/>
  <c r="AL170" i="33"/>
  <c r="AM170" i="33"/>
  <c r="AN170" i="33"/>
  <c r="AO170" i="33"/>
  <c r="AP170" i="33"/>
  <c r="AQ170" i="33"/>
  <c r="AR170" i="33"/>
  <c r="AS170" i="33"/>
  <c r="AT170" i="33"/>
  <c r="AU170" i="33"/>
  <c r="AV170" i="33"/>
  <c r="AW170" i="33"/>
  <c r="AX170" i="33"/>
  <c r="AY170" i="33"/>
  <c r="AZ170" i="33"/>
  <c r="BA170" i="33"/>
  <c r="BB170" i="33"/>
  <c r="BC170" i="33"/>
  <c r="BD170" i="33"/>
  <c r="BE170" i="33"/>
  <c r="BF170" i="33"/>
  <c r="BG170" i="33"/>
  <c r="BH170" i="33"/>
  <c r="BI170" i="33"/>
  <c r="BJ170" i="33"/>
  <c r="BK170" i="33"/>
  <c r="BL170" i="33"/>
  <c r="R172" i="33"/>
  <c r="S172" i="33"/>
  <c r="T172" i="33"/>
  <c r="U172" i="33"/>
  <c r="V172" i="33"/>
  <c r="W172" i="33"/>
  <c r="X172" i="33"/>
  <c r="Y172" i="33"/>
  <c r="Z172" i="33"/>
  <c r="AA172" i="33"/>
  <c r="AB172" i="33"/>
  <c r="AC172" i="33"/>
  <c r="AD172" i="33"/>
  <c r="AE172" i="33"/>
  <c r="AF172" i="33"/>
  <c r="AG172" i="33"/>
  <c r="AH172" i="33"/>
  <c r="AI172" i="33"/>
  <c r="AJ172" i="33"/>
  <c r="AK172" i="33"/>
  <c r="AL172" i="33"/>
  <c r="AM172" i="33"/>
  <c r="AN172" i="33"/>
  <c r="AO172" i="33"/>
  <c r="AP172" i="33"/>
  <c r="AQ172" i="33"/>
  <c r="AR172" i="33"/>
  <c r="AS172" i="33"/>
  <c r="AT172" i="33"/>
  <c r="AU172" i="33"/>
  <c r="AV172" i="33"/>
  <c r="AW172" i="33"/>
  <c r="AX172" i="33"/>
  <c r="AY172" i="33"/>
  <c r="AZ172" i="33"/>
  <c r="BA172" i="33"/>
  <c r="BB172" i="33"/>
  <c r="BC172" i="33"/>
  <c r="BD172" i="33"/>
  <c r="BE172" i="33"/>
  <c r="BF172" i="33"/>
  <c r="BG172" i="33"/>
  <c r="BH172" i="33"/>
  <c r="BI172" i="33"/>
  <c r="BJ172" i="33"/>
  <c r="BK172" i="33"/>
  <c r="BL172" i="33"/>
  <c r="Q170" i="33"/>
  <c r="Q165" i="33"/>
  <c r="AD212" i="33"/>
  <c r="S183" i="33"/>
  <c r="T183" i="33"/>
  <c r="U183" i="33"/>
  <c r="V183" i="33"/>
  <c r="W183" i="33"/>
  <c r="X183" i="33"/>
  <c r="Y183" i="33"/>
  <c r="Z183" i="33"/>
  <c r="AA183" i="33"/>
  <c r="AB183" i="33"/>
  <c r="AC183" i="33"/>
  <c r="AD183" i="33"/>
  <c r="AE183" i="33"/>
  <c r="AF183" i="33"/>
  <c r="AG183" i="33"/>
  <c r="AH183" i="33"/>
  <c r="AI183" i="33"/>
  <c r="AJ183" i="33"/>
  <c r="AK183" i="33"/>
  <c r="AL183" i="33"/>
  <c r="AM183" i="33"/>
  <c r="AN183" i="33"/>
  <c r="AO183" i="33"/>
  <c r="AP183" i="33"/>
  <c r="AQ183" i="33"/>
  <c r="AR183" i="33"/>
  <c r="AS183" i="33"/>
  <c r="AT183" i="33"/>
  <c r="AU183" i="33"/>
  <c r="AV183" i="33"/>
  <c r="AW183" i="33"/>
  <c r="AX183" i="33"/>
  <c r="AY183" i="33"/>
  <c r="AZ183" i="33"/>
  <c r="BA183" i="33"/>
  <c r="BB183" i="33"/>
  <c r="BC183" i="33"/>
  <c r="BD183" i="33"/>
  <c r="BE183" i="33"/>
  <c r="BF183" i="33"/>
  <c r="BG183" i="33"/>
  <c r="BH183" i="33"/>
  <c r="BI183" i="33"/>
  <c r="BJ183" i="33"/>
  <c r="BK183" i="33"/>
  <c r="BL183" i="33"/>
  <c r="R183" i="33"/>
  <c r="G154" i="33"/>
  <c r="H154" i="33"/>
  <c r="I154" i="33"/>
  <c r="J154" i="33"/>
  <c r="K154" i="33"/>
  <c r="L154" i="33"/>
  <c r="M154" i="33"/>
  <c r="N154" i="33"/>
  <c r="O154" i="33"/>
  <c r="P154" i="33"/>
  <c r="Q154" i="33"/>
  <c r="R154" i="33"/>
  <c r="S154" i="33"/>
  <c r="T154" i="33"/>
  <c r="U154" i="33"/>
  <c r="V154" i="33"/>
  <c r="W154" i="33"/>
  <c r="X154" i="33"/>
  <c r="Y154" i="33"/>
  <c r="Z154" i="33"/>
  <c r="AA154" i="33"/>
  <c r="AB154" i="33"/>
  <c r="AC154" i="33"/>
  <c r="AD154" i="33"/>
  <c r="AE154" i="33"/>
  <c r="AF154" i="33"/>
  <c r="AG154" i="33"/>
  <c r="AH154" i="33"/>
  <c r="AI154" i="33"/>
  <c r="AJ154" i="33"/>
  <c r="AK154" i="33"/>
  <c r="AL154" i="33"/>
  <c r="AM154" i="33"/>
  <c r="AN154" i="33"/>
  <c r="AO154" i="33"/>
  <c r="AP154" i="33"/>
  <c r="AQ154" i="33"/>
  <c r="AR154" i="33"/>
  <c r="AS154" i="33"/>
  <c r="AT154" i="33"/>
  <c r="AU154" i="33"/>
  <c r="AV154" i="33"/>
  <c r="AW154" i="33"/>
  <c r="AX154" i="33"/>
  <c r="AY154" i="33"/>
  <c r="AZ154" i="33"/>
  <c r="BA154" i="33"/>
  <c r="BB154" i="33"/>
  <c r="BC154" i="33"/>
  <c r="BD154" i="33"/>
  <c r="BE154" i="33"/>
  <c r="BF154" i="33"/>
  <c r="BG154" i="33"/>
  <c r="BH154" i="33"/>
  <c r="BI154" i="33"/>
  <c r="BJ154" i="33"/>
  <c r="BK154" i="33"/>
  <c r="BL154" i="33"/>
  <c r="F154" i="33"/>
  <c r="Q134" i="33"/>
  <c r="R134" i="33"/>
  <c r="S134" i="33"/>
  <c r="T134" i="33"/>
  <c r="U134" i="33"/>
  <c r="V134" i="33"/>
  <c r="W134" i="33"/>
  <c r="X134" i="33"/>
  <c r="Y134" i="33"/>
  <c r="Z134" i="33"/>
  <c r="AA134" i="33"/>
  <c r="AB134" i="33"/>
  <c r="AC134" i="33"/>
  <c r="AD134" i="33"/>
  <c r="AE134" i="33"/>
  <c r="AF134" i="33"/>
  <c r="AG134" i="33"/>
  <c r="AH134" i="33"/>
  <c r="AI134" i="33"/>
  <c r="AJ134" i="33"/>
  <c r="AK134" i="33"/>
  <c r="AL134" i="33"/>
  <c r="AM134" i="33"/>
  <c r="AN134" i="33"/>
  <c r="AO134" i="33"/>
  <c r="AP134" i="33"/>
  <c r="AQ134" i="33"/>
  <c r="AR134" i="33"/>
  <c r="AS134" i="33"/>
  <c r="AT134" i="33"/>
  <c r="AU134" i="33"/>
  <c r="AV134" i="33"/>
  <c r="AW134" i="33"/>
  <c r="AX134" i="33"/>
  <c r="AY134" i="33"/>
  <c r="AZ134" i="33"/>
  <c r="BA134" i="33"/>
  <c r="BB134" i="33"/>
  <c r="BC134" i="33"/>
  <c r="BD134" i="33"/>
  <c r="BE134" i="33"/>
  <c r="BF134" i="33"/>
  <c r="BG134" i="33"/>
  <c r="BH134" i="33"/>
  <c r="BI134" i="33"/>
  <c r="BJ134" i="33"/>
  <c r="BK134" i="33"/>
  <c r="BL134" i="33"/>
  <c r="G135" i="33"/>
  <c r="H135" i="33"/>
  <c r="I135" i="33"/>
  <c r="J135" i="33"/>
  <c r="K135" i="33"/>
  <c r="L135" i="33"/>
  <c r="M135" i="33"/>
  <c r="N135" i="33"/>
  <c r="O135" i="33"/>
  <c r="P135" i="33"/>
  <c r="Q135" i="33"/>
  <c r="R135" i="33"/>
  <c r="S135" i="33"/>
  <c r="T135" i="33"/>
  <c r="U135" i="33"/>
  <c r="V135" i="33"/>
  <c r="W135" i="33"/>
  <c r="X135" i="33"/>
  <c r="Y135" i="33"/>
  <c r="Z135" i="33"/>
  <c r="AA135" i="33"/>
  <c r="AB135" i="33"/>
  <c r="AC135" i="33"/>
  <c r="AD135" i="33"/>
  <c r="AE135" i="33"/>
  <c r="AF135" i="33"/>
  <c r="AG135" i="33"/>
  <c r="AH135" i="33"/>
  <c r="AI135" i="33"/>
  <c r="AJ135" i="33"/>
  <c r="AK135" i="33"/>
  <c r="AL135" i="33"/>
  <c r="AM135" i="33"/>
  <c r="AN135" i="33"/>
  <c r="AO135" i="33"/>
  <c r="AP135" i="33"/>
  <c r="AQ135" i="33"/>
  <c r="AR135" i="33"/>
  <c r="AS135" i="33"/>
  <c r="AT135" i="33"/>
  <c r="AU135" i="33"/>
  <c r="AV135" i="33"/>
  <c r="AW135" i="33"/>
  <c r="AX135" i="33"/>
  <c r="AY135" i="33"/>
  <c r="AZ135" i="33"/>
  <c r="BA135" i="33"/>
  <c r="BB135" i="33"/>
  <c r="BC135" i="33"/>
  <c r="BD135" i="33"/>
  <c r="BE135" i="33"/>
  <c r="BF135" i="33"/>
  <c r="BG135" i="33"/>
  <c r="BH135" i="33"/>
  <c r="BI135" i="33"/>
  <c r="BJ135" i="33"/>
  <c r="BK135" i="33"/>
  <c r="BL135" i="33"/>
  <c r="G136" i="33"/>
  <c r="G134" i="33" s="1"/>
  <c r="H136" i="33"/>
  <c r="P134" i="33" s="1"/>
  <c r="I136" i="33"/>
  <c r="J136" i="33"/>
  <c r="K136" i="33"/>
  <c r="L136" i="33"/>
  <c r="M136" i="33"/>
  <c r="N136" i="33"/>
  <c r="O136" i="33"/>
  <c r="P136" i="33"/>
  <c r="Q136" i="33"/>
  <c r="R136" i="33"/>
  <c r="S136" i="33"/>
  <c r="T136" i="33"/>
  <c r="U136" i="33"/>
  <c r="V136" i="33"/>
  <c r="W136" i="33"/>
  <c r="X136" i="33"/>
  <c r="Y136" i="33"/>
  <c r="Z136" i="33"/>
  <c r="AA136" i="33"/>
  <c r="AB136" i="33"/>
  <c r="AC136" i="33"/>
  <c r="AD136" i="33"/>
  <c r="AE136" i="33"/>
  <c r="AF136" i="33"/>
  <c r="AG136" i="33"/>
  <c r="AH136" i="33"/>
  <c r="AI136" i="33"/>
  <c r="AJ136" i="33"/>
  <c r="AK136" i="33"/>
  <c r="AL136" i="33"/>
  <c r="AM136" i="33"/>
  <c r="AN136" i="33"/>
  <c r="AO136" i="33"/>
  <c r="AP136" i="33"/>
  <c r="AQ136" i="33"/>
  <c r="AR136" i="33"/>
  <c r="AS136" i="33"/>
  <c r="AT136" i="33"/>
  <c r="AU136" i="33"/>
  <c r="AV136" i="33"/>
  <c r="AW136" i="33"/>
  <c r="AX136" i="33"/>
  <c r="AY136" i="33"/>
  <c r="AZ136" i="33"/>
  <c r="BA136" i="33"/>
  <c r="BB136" i="33"/>
  <c r="BC136" i="33"/>
  <c r="BD136" i="33"/>
  <c r="BE136" i="33"/>
  <c r="BF136" i="33"/>
  <c r="BG136" i="33"/>
  <c r="BH136" i="33"/>
  <c r="BI136" i="33"/>
  <c r="BJ136" i="33"/>
  <c r="BK136" i="33"/>
  <c r="BL136" i="33"/>
  <c r="G138" i="33"/>
  <c r="H138" i="33"/>
  <c r="I138" i="33"/>
  <c r="J138" i="33"/>
  <c r="K138" i="33"/>
  <c r="L138" i="33"/>
  <c r="M138" i="33"/>
  <c r="N138" i="33"/>
  <c r="O138" i="33"/>
  <c r="P138" i="33"/>
  <c r="Q138" i="33"/>
  <c r="R138" i="33"/>
  <c r="S138" i="33"/>
  <c r="T138" i="33"/>
  <c r="U138" i="33"/>
  <c r="V138" i="33"/>
  <c r="W138" i="33"/>
  <c r="X138" i="33"/>
  <c r="Y138" i="33"/>
  <c r="Z138" i="33"/>
  <c r="AA138" i="33"/>
  <c r="AB138" i="33"/>
  <c r="AC138" i="33"/>
  <c r="AD138" i="33"/>
  <c r="AE138" i="33"/>
  <c r="AF138" i="33"/>
  <c r="AG138" i="33"/>
  <c r="AH138" i="33"/>
  <c r="AI138" i="33"/>
  <c r="AJ138" i="33"/>
  <c r="AK138" i="33"/>
  <c r="AL138" i="33"/>
  <c r="AM138" i="33"/>
  <c r="AN138" i="33"/>
  <c r="AO138" i="33"/>
  <c r="AP138" i="33"/>
  <c r="AQ138" i="33"/>
  <c r="AR138" i="33"/>
  <c r="AS138" i="33"/>
  <c r="AT138" i="33"/>
  <c r="AU138" i="33"/>
  <c r="AV138" i="33"/>
  <c r="AW138" i="33"/>
  <c r="AX138" i="33"/>
  <c r="AY138" i="33"/>
  <c r="AZ138" i="33"/>
  <c r="BA138" i="33"/>
  <c r="BB138" i="33"/>
  <c r="BC138" i="33"/>
  <c r="BD138" i="33"/>
  <c r="BE138" i="33"/>
  <c r="BF138" i="33"/>
  <c r="BG138" i="33"/>
  <c r="BH138" i="33"/>
  <c r="BI138" i="33"/>
  <c r="BJ138" i="33"/>
  <c r="BK138" i="33"/>
  <c r="BL138" i="33"/>
  <c r="G140" i="33"/>
  <c r="H140" i="33"/>
  <c r="I140" i="33"/>
  <c r="J140" i="33"/>
  <c r="K140" i="33"/>
  <c r="L140" i="33"/>
  <c r="M140" i="33"/>
  <c r="N140" i="33"/>
  <c r="O140" i="33"/>
  <c r="P140" i="33"/>
  <c r="Q140" i="33"/>
  <c r="R140" i="33"/>
  <c r="S140" i="33"/>
  <c r="T140" i="33"/>
  <c r="U140" i="33"/>
  <c r="V140" i="33"/>
  <c r="W140" i="33"/>
  <c r="X140" i="33"/>
  <c r="Y140" i="33"/>
  <c r="Z140" i="33"/>
  <c r="AA140" i="33"/>
  <c r="AB140" i="33"/>
  <c r="AC140" i="33"/>
  <c r="AD140" i="33"/>
  <c r="AE140" i="33"/>
  <c r="AF140" i="33"/>
  <c r="AG140" i="33"/>
  <c r="AH140" i="33"/>
  <c r="AI140" i="33"/>
  <c r="AJ140" i="33"/>
  <c r="AK140" i="33"/>
  <c r="AL140" i="33"/>
  <c r="AM140" i="33"/>
  <c r="AN140" i="33"/>
  <c r="AO140" i="33"/>
  <c r="AP140" i="33"/>
  <c r="AQ140" i="33"/>
  <c r="AR140" i="33"/>
  <c r="AS140" i="33"/>
  <c r="AT140" i="33"/>
  <c r="AU140" i="33"/>
  <c r="AV140" i="33"/>
  <c r="AW140" i="33"/>
  <c r="AX140" i="33"/>
  <c r="AY140" i="33"/>
  <c r="AZ140" i="33"/>
  <c r="BA140" i="33"/>
  <c r="BB140" i="33"/>
  <c r="BC140" i="33"/>
  <c r="BD140" i="33"/>
  <c r="BE140" i="33"/>
  <c r="BF140" i="33"/>
  <c r="BG140" i="33"/>
  <c r="BH140" i="33"/>
  <c r="BI140" i="33"/>
  <c r="BJ140" i="33"/>
  <c r="BK140" i="33"/>
  <c r="BL140" i="33"/>
  <c r="G141" i="33"/>
  <c r="H141" i="33"/>
  <c r="I141" i="33"/>
  <c r="J141" i="33"/>
  <c r="K141" i="33"/>
  <c r="L141" i="33"/>
  <c r="M141" i="33"/>
  <c r="N141" i="33"/>
  <c r="O141" i="33"/>
  <c r="P141" i="33"/>
  <c r="Q141" i="33"/>
  <c r="R141" i="33"/>
  <c r="S141" i="33"/>
  <c r="T141" i="33"/>
  <c r="U141" i="33"/>
  <c r="V141" i="33"/>
  <c r="W141" i="33"/>
  <c r="X141" i="33"/>
  <c r="Y141" i="33"/>
  <c r="Z141" i="33"/>
  <c r="AA141" i="33"/>
  <c r="AB141" i="33"/>
  <c r="AC141" i="33"/>
  <c r="AD141" i="33"/>
  <c r="AE141" i="33"/>
  <c r="AF141" i="33"/>
  <c r="AG141" i="33"/>
  <c r="AH141" i="33"/>
  <c r="AI141" i="33"/>
  <c r="AJ141" i="33"/>
  <c r="AK141" i="33"/>
  <c r="AL141" i="33"/>
  <c r="AM141" i="33"/>
  <c r="AN141" i="33"/>
  <c r="AO141" i="33"/>
  <c r="AP141" i="33"/>
  <c r="AQ141" i="33"/>
  <c r="AR141" i="33"/>
  <c r="AS141" i="33"/>
  <c r="AT141" i="33"/>
  <c r="AU141" i="33"/>
  <c r="AV141" i="33"/>
  <c r="AW141" i="33"/>
  <c r="AX141" i="33"/>
  <c r="AY141" i="33"/>
  <c r="AZ141" i="33"/>
  <c r="BA141" i="33"/>
  <c r="BB141" i="33"/>
  <c r="BC141" i="33"/>
  <c r="BD141" i="33"/>
  <c r="BE141" i="33"/>
  <c r="BF141" i="33"/>
  <c r="BG141" i="33"/>
  <c r="BH141" i="33"/>
  <c r="BI141" i="33"/>
  <c r="BJ141" i="33"/>
  <c r="BK141" i="33"/>
  <c r="BL141" i="33"/>
  <c r="G143" i="33"/>
  <c r="H143" i="33"/>
  <c r="I143" i="33"/>
  <c r="J143" i="33"/>
  <c r="K143" i="33"/>
  <c r="L143" i="33"/>
  <c r="M143" i="33"/>
  <c r="N143" i="33"/>
  <c r="O143" i="33"/>
  <c r="P143" i="33"/>
  <c r="Q143" i="33"/>
  <c r="R143" i="33"/>
  <c r="S143" i="33"/>
  <c r="T143" i="33"/>
  <c r="U143" i="33"/>
  <c r="V143" i="33"/>
  <c r="W143" i="33"/>
  <c r="X143" i="33"/>
  <c r="Y143" i="33"/>
  <c r="Z143" i="33"/>
  <c r="AA143" i="33"/>
  <c r="AB143" i="33"/>
  <c r="AC143" i="33"/>
  <c r="AD143" i="33"/>
  <c r="AE143" i="33"/>
  <c r="AF143" i="33"/>
  <c r="AG143" i="33"/>
  <c r="AH143" i="33"/>
  <c r="AI143" i="33"/>
  <c r="AJ143" i="33"/>
  <c r="AK143" i="33"/>
  <c r="AL143" i="33"/>
  <c r="AM143" i="33"/>
  <c r="AN143" i="33"/>
  <c r="AO143" i="33"/>
  <c r="AP143" i="33"/>
  <c r="AQ143" i="33"/>
  <c r="AR143" i="33"/>
  <c r="AS143" i="33"/>
  <c r="AT143" i="33"/>
  <c r="AU143" i="33"/>
  <c r="AV143" i="33"/>
  <c r="AW143" i="33"/>
  <c r="AX143" i="33"/>
  <c r="AY143" i="33"/>
  <c r="AZ143" i="33"/>
  <c r="BA143" i="33"/>
  <c r="BB143" i="33"/>
  <c r="BC143" i="33"/>
  <c r="BD143" i="33"/>
  <c r="BE143" i="33"/>
  <c r="BF143" i="33"/>
  <c r="BG143" i="33"/>
  <c r="BH143" i="33"/>
  <c r="BI143" i="33"/>
  <c r="BJ143" i="33"/>
  <c r="BK143" i="33"/>
  <c r="BL143" i="33"/>
  <c r="G145" i="33"/>
  <c r="H145" i="33"/>
  <c r="I145" i="33"/>
  <c r="J145" i="33"/>
  <c r="K145" i="33"/>
  <c r="L145" i="33"/>
  <c r="M145" i="33"/>
  <c r="N145" i="33"/>
  <c r="O145" i="33"/>
  <c r="P145" i="33"/>
  <c r="Q145" i="33"/>
  <c r="R145" i="33"/>
  <c r="S145" i="33"/>
  <c r="T145" i="33"/>
  <c r="U145" i="33"/>
  <c r="V145" i="33"/>
  <c r="W145" i="33"/>
  <c r="X145" i="33"/>
  <c r="Y145" i="33"/>
  <c r="Z145" i="33"/>
  <c r="AA145" i="33"/>
  <c r="AB145" i="33"/>
  <c r="AC145" i="33"/>
  <c r="AD145" i="33"/>
  <c r="AE145" i="33"/>
  <c r="AF145" i="33"/>
  <c r="AG145" i="33"/>
  <c r="AH145" i="33"/>
  <c r="AI145" i="33"/>
  <c r="AJ145" i="33"/>
  <c r="AK145" i="33"/>
  <c r="AL145" i="33"/>
  <c r="AM145" i="33"/>
  <c r="AN145" i="33"/>
  <c r="AO145" i="33"/>
  <c r="AP145" i="33"/>
  <c r="AQ145" i="33"/>
  <c r="AR145" i="33"/>
  <c r="AS145" i="33"/>
  <c r="AT145" i="33"/>
  <c r="AU145" i="33"/>
  <c r="AV145" i="33"/>
  <c r="AW145" i="33"/>
  <c r="AX145" i="33"/>
  <c r="AY145" i="33"/>
  <c r="AZ145" i="33"/>
  <c r="BA145" i="33"/>
  <c r="BB145" i="33"/>
  <c r="BC145" i="33"/>
  <c r="BD145" i="33"/>
  <c r="BE145" i="33"/>
  <c r="BF145" i="33"/>
  <c r="BG145" i="33"/>
  <c r="BH145" i="33"/>
  <c r="BI145" i="33"/>
  <c r="BJ145" i="33"/>
  <c r="BK145" i="33"/>
  <c r="BL145" i="33"/>
  <c r="G146" i="33"/>
  <c r="H146" i="33"/>
  <c r="I146" i="33"/>
  <c r="J146" i="33"/>
  <c r="K146" i="33"/>
  <c r="L146" i="33"/>
  <c r="M146" i="33"/>
  <c r="N146" i="33"/>
  <c r="O146" i="33"/>
  <c r="P146" i="33"/>
  <c r="Q146" i="33"/>
  <c r="R146" i="33"/>
  <c r="S146" i="33"/>
  <c r="T146" i="33"/>
  <c r="U146" i="33"/>
  <c r="V146" i="33"/>
  <c r="W146" i="33"/>
  <c r="X146" i="33"/>
  <c r="Y146" i="33"/>
  <c r="Z146" i="33"/>
  <c r="AA146" i="33"/>
  <c r="AB146" i="33"/>
  <c r="AC146" i="33"/>
  <c r="AD146" i="33"/>
  <c r="AE146" i="33"/>
  <c r="AF146" i="33"/>
  <c r="AG146" i="33"/>
  <c r="AH146" i="33"/>
  <c r="AI146" i="33"/>
  <c r="AJ146" i="33"/>
  <c r="AK146" i="33"/>
  <c r="AL146" i="33"/>
  <c r="AM146" i="33"/>
  <c r="AN146" i="33"/>
  <c r="AO146" i="33"/>
  <c r="AP146" i="33"/>
  <c r="AQ146" i="33"/>
  <c r="AR146" i="33"/>
  <c r="AS146" i="33"/>
  <c r="AT146" i="33"/>
  <c r="AU146" i="33"/>
  <c r="AV146" i="33"/>
  <c r="AW146" i="33"/>
  <c r="AX146" i="33"/>
  <c r="AY146" i="33"/>
  <c r="AZ146" i="33"/>
  <c r="BA146" i="33"/>
  <c r="BB146" i="33"/>
  <c r="BC146" i="33"/>
  <c r="BD146" i="33"/>
  <c r="BE146" i="33"/>
  <c r="BF146" i="33"/>
  <c r="BG146" i="33"/>
  <c r="BH146" i="33"/>
  <c r="BI146" i="33"/>
  <c r="BJ146" i="33"/>
  <c r="BK146" i="33"/>
  <c r="BL146" i="33"/>
  <c r="G148" i="33"/>
  <c r="H148" i="33"/>
  <c r="I148" i="33"/>
  <c r="J148" i="33"/>
  <c r="K148" i="33"/>
  <c r="L148" i="33"/>
  <c r="M148" i="33"/>
  <c r="N148" i="33"/>
  <c r="O148" i="33"/>
  <c r="P148" i="33"/>
  <c r="Q148" i="33"/>
  <c r="R148" i="33"/>
  <c r="S148" i="33"/>
  <c r="T148" i="33"/>
  <c r="U148" i="33"/>
  <c r="V148" i="33"/>
  <c r="W148" i="33"/>
  <c r="X148" i="33"/>
  <c r="Y148" i="33"/>
  <c r="Z148" i="33"/>
  <c r="AA148" i="33"/>
  <c r="AB148" i="33"/>
  <c r="AC148" i="33"/>
  <c r="AD148" i="33"/>
  <c r="AE148" i="33"/>
  <c r="AF148" i="33"/>
  <c r="AG148" i="33"/>
  <c r="AH148" i="33"/>
  <c r="AI148" i="33"/>
  <c r="AJ148" i="33"/>
  <c r="AK148" i="33"/>
  <c r="AL148" i="33"/>
  <c r="AM148" i="33"/>
  <c r="AN148" i="33"/>
  <c r="AO148" i="33"/>
  <c r="AP148" i="33"/>
  <c r="AQ148" i="33"/>
  <c r="AR148" i="33"/>
  <c r="AS148" i="33"/>
  <c r="AT148" i="33"/>
  <c r="AU148" i="33"/>
  <c r="AV148" i="33"/>
  <c r="AW148" i="33"/>
  <c r="AX148" i="33"/>
  <c r="AY148" i="33"/>
  <c r="AZ148" i="33"/>
  <c r="BA148" i="33"/>
  <c r="BB148" i="33"/>
  <c r="BC148" i="33"/>
  <c r="BD148" i="33"/>
  <c r="BE148" i="33"/>
  <c r="BF148" i="33"/>
  <c r="BG148" i="33"/>
  <c r="BH148" i="33"/>
  <c r="BI148" i="33"/>
  <c r="BJ148" i="33"/>
  <c r="BK148" i="33"/>
  <c r="BL148" i="33"/>
  <c r="S174" i="33"/>
  <c r="T174" i="33"/>
  <c r="U174" i="33"/>
  <c r="V174" i="33"/>
  <c r="W174" i="33"/>
  <c r="X174" i="33"/>
  <c r="Y174" i="33"/>
  <c r="Z174" i="33"/>
  <c r="AA174" i="33"/>
  <c r="AB174" i="33"/>
  <c r="AC174" i="33"/>
  <c r="AD174" i="33"/>
  <c r="AE174" i="33"/>
  <c r="AF174" i="33"/>
  <c r="AG174" i="33"/>
  <c r="AH174" i="33"/>
  <c r="AI174" i="33"/>
  <c r="AJ174" i="33"/>
  <c r="AK174" i="33"/>
  <c r="AL174" i="33"/>
  <c r="AM174" i="33"/>
  <c r="AN174" i="33"/>
  <c r="AO174" i="33"/>
  <c r="AP174" i="33"/>
  <c r="AQ174" i="33"/>
  <c r="AR174" i="33"/>
  <c r="AS174" i="33"/>
  <c r="AT174" i="33"/>
  <c r="AU174" i="33"/>
  <c r="AV174" i="33"/>
  <c r="AW174" i="33"/>
  <c r="AX174" i="33"/>
  <c r="AY174" i="33"/>
  <c r="AZ174" i="33"/>
  <c r="BA174" i="33"/>
  <c r="BB174" i="33"/>
  <c r="BC174" i="33"/>
  <c r="BD174" i="33"/>
  <c r="BE174" i="33"/>
  <c r="BF174" i="33"/>
  <c r="BG174" i="33"/>
  <c r="BH174" i="33"/>
  <c r="BI174" i="33"/>
  <c r="BJ174" i="33"/>
  <c r="BK174" i="33"/>
  <c r="BL174" i="33"/>
  <c r="S175" i="33"/>
  <c r="T175" i="33"/>
  <c r="U175" i="33"/>
  <c r="V175" i="33"/>
  <c r="W175" i="33"/>
  <c r="X175" i="33"/>
  <c r="Y175" i="33"/>
  <c r="Z175" i="33"/>
  <c r="AA175" i="33"/>
  <c r="AB175" i="33"/>
  <c r="AC175" i="33"/>
  <c r="AD175" i="33"/>
  <c r="AE175" i="33"/>
  <c r="AF175" i="33"/>
  <c r="AG175" i="33"/>
  <c r="AH175" i="33"/>
  <c r="AI175" i="33"/>
  <c r="AJ175" i="33"/>
  <c r="AK175" i="33"/>
  <c r="AL175" i="33"/>
  <c r="AM175" i="33"/>
  <c r="AN175" i="33"/>
  <c r="AO175" i="33"/>
  <c r="AP175" i="33"/>
  <c r="AQ175" i="33"/>
  <c r="AR175" i="33"/>
  <c r="AS175" i="33"/>
  <c r="AT175" i="33"/>
  <c r="AU175" i="33"/>
  <c r="AV175" i="33"/>
  <c r="AW175" i="33"/>
  <c r="AX175" i="33"/>
  <c r="AY175" i="33"/>
  <c r="AZ175" i="33"/>
  <c r="BA175" i="33"/>
  <c r="BB175" i="33"/>
  <c r="BC175" i="33"/>
  <c r="BD175" i="33"/>
  <c r="BE175" i="33"/>
  <c r="BF175" i="33"/>
  <c r="BG175" i="33"/>
  <c r="BH175" i="33"/>
  <c r="BI175" i="33"/>
  <c r="BJ175" i="33"/>
  <c r="BK175" i="33"/>
  <c r="BL175" i="33"/>
  <c r="S177" i="33"/>
  <c r="T177" i="33"/>
  <c r="U177" i="33"/>
  <c r="V177" i="33"/>
  <c r="W177" i="33"/>
  <c r="X177" i="33"/>
  <c r="Y177" i="33"/>
  <c r="Z177" i="33"/>
  <c r="AA177" i="33"/>
  <c r="AB177" i="33"/>
  <c r="AC177" i="33"/>
  <c r="AD177" i="33"/>
  <c r="AE177" i="33"/>
  <c r="AF177" i="33"/>
  <c r="AG177" i="33"/>
  <c r="AH177" i="33"/>
  <c r="AI177" i="33"/>
  <c r="AJ177" i="33"/>
  <c r="AK177" i="33"/>
  <c r="AL177" i="33"/>
  <c r="AM177" i="33"/>
  <c r="AN177" i="33"/>
  <c r="AO177" i="33"/>
  <c r="AP177" i="33"/>
  <c r="AQ177" i="33"/>
  <c r="AR177" i="33"/>
  <c r="AS177" i="33"/>
  <c r="AT177" i="33"/>
  <c r="AU177" i="33"/>
  <c r="AV177" i="33"/>
  <c r="AW177" i="33"/>
  <c r="AX177" i="33"/>
  <c r="AY177" i="33"/>
  <c r="AZ177" i="33"/>
  <c r="BA177" i="33"/>
  <c r="BB177" i="33"/>
  <c r="BC177" i="33"/>
  <c r="BD177" i="33"/>
  <c r="BE177" i="33"/>
  <c r="BF177" i="33"/>
  <c r="BG177" i="33"/>
  <c r="BH177" i="33"/>
  <c r="BI177" i="33"/>
  <c r="BJ177" i="33"/>
  <c r="BK177" i="33"/>
  <c r="BL177" i="33"/>
  <c r="S179" i="33"/>
  <c r="T179" i="33"/>
  <c r="U179" i="33"/>
  <c r="V179" i="33"/>
  <c r="W179" i="33"/>
  <c r="X179" i="33"/>
  <c r="Y179" i="33"/>
  <c r="Z179" i="33"/>
  <c r="AA179" i="33"/>
  <c r="AB179" i="33"/>
  <c r="AC179" i="33"/>
  <c r="AD179" i="33"/>
  <c r="AE179" i="33"/>
  <c r="AF179" i="33"/>
  <c r="AG179" i="33"/>
  <c r="AH179" i="33"/>
  <c r="AI179" i="33"/>
  <c r="AJ179" i="33"/>
  <c r="AK179" i="33"/>
  <c r="AL179" i="33"/>
  <c r="AM179" i="33"/>
  <c r="AN179" i="33"/>
  <c r="AO179" i="33"/>
  <c r="AP179" i="33"/>
  <c r="AQ179" i="33"/>
  <c r="AR179" i="33"/>
  <c r="AS179" i="33"/>
  <c r="AT179" i="33"/>
  <c r="AU179" i="33"/>
  <c r="AV179" i="33"/>
  <c r="AW179" i="33"/>
  <c r="AX179" i="33"/>
  <c r="AY179" i="33"/>
  <c r="AZ179" i="33"/>
  <c r="BA179" i="33"/>
  <c r="BB179" i="33"/>
  <c r="BC179" i="33"/>
  <c r="BD179" i="33"/>
  <c r="BE179" i="33"/>
  <c r="BF179" i="33"/>
  <c r="BG179" i="33"/>
  <c r="BH179" i="33"/>
  <c r="BI179" i="33"/>
  <c r="BJ179" i="33"/>
  <c r="BK179" i="33"/>
  <c r="BL179" i="33"/>
  <c r="BK192" i="33"/>
  <c r="AE193" i="33"/>
  <c r="AF193" i="33"/>
  <c r="AG193" i="33"/>
  <c r="AH193" i="33"/>
  <c r="AI193" i="33"/>
  <c r="AJ193" i="33"/>
  <c r="AK193" i="33"/>
  <c r="AL193" i="33"/>
  <c r="AM193" i="33"/>
  <c r="AN193" i="33"/>
  <c r="AO193" i="33"/>
  <c r="AP193" i="33"/>
  <c r="AQ193" i="33"/>
  <c r="AR193" i="33"/>
  <c r="AS193" i="33"/>
  <c r="AT193" i="33"/>
  <c r="AU193" i="33"/>
  <c r="AV193" i="33"/>
  <c r="AW193" i="33"/>
  <c r="AX193" i="33"/>
  <c r="AY193" i="33"/>
  <c r="AZ193" i="33"/>
  <c r="BA193" i="33"/>
  <c r="BB193" i="33"/>
  <c r="BC193" i="33"/>
  <c r="BD193" i="33"/>
  <c r="BE193" i="33"/>
  <c r="BF193" i="33"/>
  <c r="BG193" i="33"/>
  <c r="BH193" i="33"/>
  <c r="BI193" i="33"/>
  <c r="BJ193" i="33"/>
  <c r="BK193" i="33"/>
  <c r="BL193" i="33"/>
  <c r="AE194" i="33"/>
  <c r="AF194" i="33"/>
  <c r="AG194" i="33"/>
  <c r="AH194" i="33"/>
  <c r="AI194" i="33"/>
  <c r="AJ194" i="33"/>
  <c r="AK194" i="33"/>
  <c r="AL194" i="33"/>
  <c r="AM194" i="33"/>
  <c r="AN194" i="33"/>
  <c r="AO194" i="33"/>
  <c r="AP194" i="33"/>
  <c r="AQ194" i="33"/>
  <c r="AR194" i="33"/>
  <c r="AS194" i="33"/>
  <c r="AT194" i="33"/>
  <c r="AU194" i="33"/>
  <c r="AV194" i="33"/>
  <c r="AW194" i="33"/>
  <c r="AX194" i="33"/>
  <c r="AY194" i="33"/>
  <c r="AZ194" i="33"/>
  <c r="BA194" i="33"/>
  <c r="BB194" i="33"/>
  <c r="BC194" i="33"/>
  <c r="BD194" i="33"/>
  <c r="BE194" i="33"/>
  <c r="BF194" i="33"/>
  <c r="BG194" i="33"/>
  <c r="BH194" i="33"/>
  <c r="BI194" i="33"/>
  <c r="BJ194" i="33"/>
  <c r="BK194" i="33"/>
  <c r="BL194" i="33"/>
  <c r="AE196" i="33"/>
  <c r="AF196" i="33"/>
  <c r="AG196" i="33"/>
  <c r="AH196" i="33"/>
  <c r="AI196" i="33"/>
  <c r="AJ196" i="33"/>
  <c r="AK196" i="33"/>
  <c r="AL196" i="33"/>
  <c r="AM196" i="33"/>
  <c r="AN196" i="33"/>
  <c r="AO196" i="33"/>
  <c r="AP196" i="33"/>
  <c r="AQ196" i="33"/>
  <c r="AR196" i="33"/>
  <c r="AS196" i="33"/>
  <c r="AT196" i="33"/>
  <c r="AU196" i="33"/>
  <c r="AV196" i="33"/>
  <c r="AW196" i="33"/>
  <c r="AX196" i="33"/>
  <c r="AY196" i="33"/>
  <c r="AZ196" i="33"/>
  <c r="BA196" i="33"/>
  <c r="BB196" i="33"/>
  <c r="BC196" i="33"/>
  <c r="BD196" i="33"/>
  <c r="BE196" i="33"/>
  <c r="BF196" i="33"/>
  <c r="BG196" i="33"/>
  <c r="BH196" i="33"/>
  <c r="BI196" i="33"/>
  <c r="BJ196" i="33"/>
  <c r="BK196" i="33"/>
  <c r="BL196" i="33"/>
  <c r="AE198" i="33"/>
  <c r="AF198" i="33"/>
  <c r="AG198" i="33"/>
  <c r="AH198" i="33"/>
  <c r="AI198" i="33"/>
  <c r="AJ198" i="33"/>
  <c r="AK198" i="33"/>
  <c r="AL198" i="33"/>
  <c r="AM198" i="33"/>
  <c r="AN198" i="33"/>
  <c r="AO198" i="33"/>
  <c r="AP198" i="33"/>
  <c r="AQ198" i="33"/>
  <c r="AR198" i="33"/>
  <c r="AS198" i="33"/>
  <c r="AT198" i="33"/>
  <c r="AU198" i="33"/>
  <c r="AV198" i="33"/>
  <c r="AW198" i="33"/>
  <c r="AX198" i="33"/>
  <c r="AY198" i="33"/>
  <c r="AZ198" i="33"/>
  <c r="BA198" i="33"/>
  <c r="BB198" i="33"/>
  <c r="BC198" i="33"/>
  <c r="BD198" i="33"/>
  <c r="BE198" i="33"/>
  <c r="BF198" i="33"/>
  <c r="BG198" i="33"/>
  <c r="BH198" i="33"/>
  <c r="BI198" i="33"/>
  <c r="BJ198" i="33"/>
  <c r="BK198" i="33"/>
  <c r="BL198" i="33"/>
  <c r="AE199" i="33"/>
  <c r="AF199" i="33"/>
  <c r="AG199" i="33"/>
  <c r="AH199" i="33"/>
  <c r="AI199" i="33"/>
  <c r="AJ199" i="33"/>
  <c r="AK199" i="33"/>
  <c r="AL199" i="33"/>
  <c r="AM199" i="33"/>
  <c r="AN199" i="33"/>
  <c r="AO199" i="33"/>
  <c r="AP199" i="33"/>
  <c r="AQ199" i="33"/>
  <c r="AR199" i="33"/>
  <c r="AS199" i="33"/>
  <c r="AT199" i="33"/>
  <c r="AU199" i="33"/>
  <c r="AV199" i="33"/>
  <c r="AW199" i="33"/>
  <c r="AX199" i="33"/>
  <c r="AY199" i="33"/>
  <c r="AZ199" i="33"/>
  <c r="BA199" i="33"/>
  <c r="BB199" i="33"/>
  <c r="BC199" i="33"/>
  <c r="BD199" i="33"/>
  <c r="BE199" i="33"/>
  <c r="BF199" i="33"/>
  <c r="BG199" i="33"/>
  <c r="BH199" i="33"/>
  <c r="BI199" i="33"/>
  <c r="BJ199" i="33"/>
  <c r="BK199" i="33"/>
  <c r="BL199" i="33"/>
  <c r="AE201" i="33"/>
  <c r="AF201" i="33"/>
  <c r="AG201" i="33"/>
  <c r="AH201" i="33"/>
  <c r="AI201" i="33"/>
  <c r="AJ201" i="33"/>
  <c r="AK201" i="33"/>
  <c r="AL201" i="33"/>
  <c r="AM201" i="33"/>
  <c r="AN201" i="33"/>
  <c r="AO201" i="33"/>
  <c r="AP201" i="33"/>
  <c r="AQ201" i="33"/>
  <c r="AR201" i="33"/>
  <c r="AS201" i="33"/>
  <c r="AT201" i="33"/>
  <c r="AU201" i="33"/>
  <c r="AV201" i="33"/>
  <c r="AW201" i="33"/>
  <c r="AX201" i="33"/>
  <c r="AY201" i="33"/>
  <c r="AZ201" i="33"/>
  <c r="BA201" i="33"/>
  <c r="BB201" i="33"/>
  <c r="BC201" i="33"/>
  <c r="BD201" i="33"/>
  <c r="BE201" i="33"/>
  <c r="BF201" i="33"/>
  <c r="BG201" i="33"/>
  <c r="BH201" i="33"/>
  <c r="BI201" i="33"/>
  <c r="BJ201" i="33"/>
  <c r="BK201" i="33"/>
  <c r="BL201" i="33"/>
  <c r="AE203" i="33"/>
  <c r="AF203" i="33"/>
  <c r="AG203" i="33"/>
  <c r="AH203" i="33"/>
  <c r="AI203" i="33"/>
  <c r="AJ203" i="33"/>
  <c r="AK203" i="33"/>
  <c r="AL203" i="33"/>
  <c r="AM203" i="33"/>
  <c r="AN203" i="33"/>
  <c r="AO203" i="33"/>
  <c r="AP203" i="33"/>
  <c r="AQ203" i="33"/>
  <c r="AR203" i="33"/>
  <c r="AS203" i="33"/>
  <c r="AT203" i="33"/>
  <c r="AU203" i="33"/>
  <c r="AV203" i="33"/>
  <c r="AW203" i="33"/>
  <c r="AX203" i="33"/>
  <c r="AY203" i="33"/>
  <c r="AZ203" i="33"/>
  <c r="BA203" i="33"/>
  <c r="BB203" i="33"/>
  <c r="BC203" i="33"/>
  <c r="BD203" i="33"/>
  <c r="BE203" i="33"/>
  <c r="BF203" i="33"/>
  <c r="BG203" i="33"/>
  <c r="BH203" i="33"/>
  <c r="BI203" i="33"/>
  <c r="BJ203" i="33"/>
  <c r="BK203" i="33"/>
  <c r="BL203" i="33"/>
  <c r="AE204" i="33"/>
  <c r="AF204" i="33"/>
  <c r="AG204" i="33"/>
  <c r="AH204" i="33"/>
  <c r="AI204" i="33"/>
  <c r="AJ204" i="33"/>
  <c r="AK204" i="33"/>
  <c r="AL204" i="33"/>
  <c r="AM204" i="33"/>
  <c r="AN204" i="33"/>
  <c r="AO204" i="33"/>
  <c r="AP204" i="33"/>
  <c r="AQ204" i="33"/>
  <c r="AR204" i="33"/>
  <c r="AS204" i="33"/>
  <c r="AT204" i="33"/>
  <c r="AU204" i="33"/>
  <c r="AV204" i="33"/>
  <c r="AW204" i="33"/>
  <c r="AX204" i="33"/>
  <c r="AY204" i="33"/>
  <c r="AZ204" i="33"/>
  <c r="BA204" i="33"/>
  <c r="BB204" i="33"/>
  <c r="BC204" i="33"/>
  <c r="BD204" i="33"/>
  <c r="BE204" i="33"/>
  <c r="BF204" i="33"/>
  <c r="BG204" i="33"/>
  <c r="BH204" i="33"/>
  <c r="BI204" i="33"/>
  <c r="BJ204" i="33"/>
  <c r="BK204" i="33"/>
  <c r="BL204" i="33"/>
  <c r="AE206" i="33"/>
  <c r="AF206" i="33"/>
  <c r="AG206" i="33"/>
  <c r="AH206" i="33"/>
  <c r="AI206" i="33"/>
  <c r="AJ206" i="33"/>
  <c r="AK206" i="33"/>
  <c r="AL206" i="33"/>
  <c r="AM206" i="33"/>
  <c r="AN206" i="33"/>
  <c r="AO206" i="33"/>
  <c r="AP206" i="33"/>
  <c r="AQ206" i="33"/>
  <c r="AR206" i="33"/>
  <c r="AS206" i="33"/>
  <c r="AT206" i="33"/>
  <c r="AU206" i="33"/>
  <c r="AV206" i="33"/>
  <c r="AW206" i="33"/>
  <c r="AX206" i="33"/>
  <c r="AY206" i="33"/>
  <c r="AZ206" i="33"/>
  <c r="BA206" i="33"/>
  <c r="BB206" i="33"/>
  <c r="BC206" i="33"/>
  <c r="BD206" i="33"/>
  <c r="BE206" i="33"/>
  <c r="BF206" i="33"/>
  <c r="BG206" i="33"/>
  <c r="BH206" i="33"/>
  <c r="BI206" i="33"/>
  <c r="BJ206" i="33"/>
  <c r="BK206" i="33"/>
  <c r="BL206" i="33"/>
  <c r="AE208" i="33"/>
  <c r="AF208" i="33"/>
  <c r="AG208" i="33"/>
  <c r="AH208" i="33"/>
  <c r="AI208" i="33"/>
  <c r="AJ208" i="33"/>
  <c r="AK208" i="33"/>
  <c r="AL208" i="33"/>
  <c r="AM208" i="33"/>
  <c r="AN208" i="33"/>
  <c r="AO208" i="33"/>
  <c r="AP208" i="33"/>
  <c r="AQ208" i="33"/>
  <c r="AR208" i="33"/>
  <c r="AS208" i="33"/>
  <c r="AT208" i="33"/>
  <c r="AU208" i="33"/>
  <c r="AV208" i="33"/>
  <c r="AW208" i="33"/>
  <c r="AX208" i="33"/>
  <c r="AY208" i="33"/>
  <c r="AZ208" i="33"/>
  <c r="BA208" i="33"/>
  <c r="BB208" i="33"/>
  <c r="BC208" i="33"/>
  <c r="BD208" i="33"/>
  <c r="BE208" i="33"/>
  <c r="BF208" i="33"/>
  <c r="BG208" i="33"/>
  <c r="BH208" i="33"/>
  <c r="BI208" i="33"/>
  <c r="BJ208" i="33"/>
  <c r="BK208" i="33"/>
  <c r="BL208" i="33"/>
  <c r="Q168" i="33"/>
  <c r="Q163" i="33"/>
  <c r="AP228" i="33"/>
  <c r="AQ228" i="33"/>
  <c r="AR228" i="33"/>
  <c r="AS228" i="33"/>
  <c r="AT228" i="33"/>
  <c r="AU228" i="33"/>
  <c r="AV228" i="33"/>
  <c r="AW228" i="33"/>
  <c r="AX228" i="33"/>
  <c r="AY228" i="33"/>
  <c r="AZ228" i="33"/>
  <c r="BA228" i="33"/>
  <c r="BB228" i="33"/>
  <c r="BC228" i="33"/>
  <c r="BD228" i="33"/>
  <c r="BE228" i="33"/>
  <c r="BF228" i="33"/>
  <c r="BG228" i="33"/>
  <c r="BH228" i="33"/>
  <c r="BI228" i="33"/>
  <c r="BJ228" i="33"/>
  <c r="BK228" i="33"/>
  <c r="BL228" i="33"/>
  <c r="AP223" i="33"/>
  <c r="AQ223" i="33"/>
  <c r="AR223" i="33"/>
  <c r="AS223" i="33"/>
  <c r="AT223" i="33"/>
  <c r="AU223" i="33"/>
  <c r="AV223" i="33"/>
  <c r="AW223" i="33"/>
  <c r="AX223" i="33"/>
  <c r="AY223" i="33"/>
  <c r="AZ223" i="33"/>
  <c r="BA223" i="33"/>
  <c r="BB223" i="33"/>
  <c r="BC223" i="33"/>
  <c r="BD223" i="33"/>
  <c r="BE223" i="33"/>
  <c r="BF223" i="33"/>
  <c r="BG223" i="33"/>
  <c r="BH223" i="33"/>
  <c r="BI223" i="33"/>
  <c r="BJ223" i="33"/>
  <c r="BK223" i="33"/>
  <c r="BL223" i="33"/>
  <c r="AO228" i="33"/>
  <c r="AO223" i="33"/>
  <c r="AP221" i="33" s="1"/>
  <c r="AD194" i="33"/>
  <c r="AD199" i="33"/>
  <c r="AC199" i="33"/>
  <c r="AC194" i="33"/>
  <c r="AB180" i="33"/>
  <c r="AC180" i="33"/>
  <c r="P151" i="33"/>
  <c r="AI197" i="33" l="1"/>
  <c r="AC163" i="33"/>
  <c r="AF197" i="33"/>
  <c r="BB163" i="33"/>
  <c r="BK168" i="33"/>
  <c r="AQ163" i="33"/>
  <c r="AY168" i="33"/>
  <c r="BL168" i="33"/>
  <c r="AN168" i="33"/>
  <c r="AW221" i="33"/>
  <c r="AP163" i="33"/>
  <c r="AH197" i="33"/>
  <c r="AM168" i="33"/>
  <c r="AW197" i="33"/>
  <c r="AE163" i="33"/>
  <c r="AG197" i="33"/>
  <c r="BJ168" i="33"/>
  <c r="AV197" i="33"/>
  <c r="AD163" i="33"/>
  <c r="BI168" i="33"/>
  <c r="AT197" i="33"/>
  <c r="AJ168" i="33"/>
  <c r="BE168" i="33"/>
  <c r="AN192" i="33"/>
  <c r="BH168" i="33"/>
  <c r="AL197" i="33"/>
  <c r="AS197" i="33"/>
  <c r="AZ168" i="33"/>
  <c r="AP192" i="33"/>
  <c r="AP226" i="33"/>
  <c r="AR197" i="33"/>
  <c r="BE163" i="33"/>
  <c r="AU197" i="33"/>
  <c r="AX168" i="33"/>
  <c r="BC163" i="33"/>
  <c r="AH163" i="33"/>
  <c r="AW168" i="33"/>
  <c r="BD163" i="33"/>
  <c r="AV168" i="33"/>
  <c r="AK197" i="33"/>
  <c r="AM192" i="33"/>
  <c r="BA163" i="33"/>
  <c r="AJ197" i="33"/>
  <c r="AS168" i="33"/>
  <c r="AR226" i="33"/>
  <c r="AV221" i="33"/>
  <c r="AU221" i="33"/>
  <c r="BF221" i="33"/>
  <c r="AT221" i="33"/>
  <c r="AA168" i="33"/>
  <c r="AL168" i="33"/>
  <c r="Z168" i="33"/>
  <c r="AK168" i="33"/>
  <c r="S168" i="33"/>
  <c r="AG168" i="33"/>
  <c r="AS163" i="33"/>
  <c r="BG168" i="33"/>
  <c r="AU168" i="33"/>
  <c r="AI168" i="33"/>
  <c r="AR163" i="33"/>
  <c r="BF168" i="33"/>
  <c r="AT168" i="33"/>
  <c r="AH168" i="33"/>
  <c r="BD168" i="33"/>
  <c r="AF168" i="33"/>
  <c r="BC168" i="33"/>
  <c r="AQ168" i="33"/>
  <c r="AG163" i="33"/>
  <c r="BB168" i="33"/>
  <c r="AP168" i="33"/>
  <c r="AD168" i="33"/>
  <c r="AR168" i="33"/>
  <c r="AO163" i="33"/>
  <c r="AE168" i="33"/>
  <c r="AF163" i="33"/>
  <c r="R168" i="33"/>
  <c r="BA168" i="33"/>
  <c r="AO168" i="33"/>
  <c r="AC168" i="33"/>
  <c r="BC226" i="33"/>
  <c r="AQ226" i="33"/>
  <c r="BB226" i="33"/>
  <c r="BA226" i="33"/>
  <c r="BL226" i="33"/>
  <c r="AZ226" i="33"/>
  <c r="BK226" i="33"/>
  <c r="AY226" i="33"/>
  <c r="BJ226" i="33"/>
  <c r="AX226" i="33"/>
  <c r="BI226" i="33"/>
  <c r="AW226" i="33"/>
  <c r="BH226" i="33"/>
  <c r="AV226" i="33"/>
  <c r="BG226" i="33"/>
  <c r="AU226" i="33"/>
  <c r="BF226" i="33"/>
  <c r="AT226" i="33"/>
  <c r="BE226" i="33"/>
  <c r="AS226" i="33"/>
  <c r="BD226" i="33"/>
  <c r="BE221" i="33"/>
  <c r="AS221" i="33"/>
  <c r="BD221" i="33"/>
  <c r="AR221" i="33"/>
  <c r="BC221" i="33"/>
  <c r="AQ221" i="33"/>
  <c r="BB221" i="33"/>
  <c r="BA221" i="33"/>
  <c r="BL221" i="33"/>
  <c r="AZ221" i="33"/>
  <c r="BK221" i="33"/>
  <c r="AY221" i="33"/>
  <c r="BJ221" i="33"/>
  <c r="AX221" i="33"/>
  <c r="BI221" i="33"/>
  <c r="BH221" i="33"/>
  <c r="BG221" i="33"/>
  <c r="BI197" i="33"/>
  <c r="BH197" i="33"/>
  <c r="BG197" i="33"/>
  <c r="BF197" i="33"/>
  <c r="BE197" i="33"/>
  <c r="BD197" i="33"/>
  <c r="BC197" i="33"/>
  <c r="AQ197" i="33"/>
  <c r="AE197" i="33"/>
  <c r="BB197" i="33"/>
  <c r="AP197" i="33"/>
  <c r="AD197" i="33"/>
  <c r="BA197" i="33"/>
  <c r="AO197" i="33"/>
  <c r="BL197" i="33"/>
  <c r="AZ197" i="33"/>
  <c r="AN197" i="33"/>
  <c r="BK197" i="33"/>
  <c r="AY197" i="33"/>
  <c r="AM197" i="33"/>
  <c r="BJ197" i="33"/>
  <c r="AX197" i="33"/>
  <c r="AY192" i="33"/>
  <c r="AE192" i="33"/>
  <c r="AL192" i="33"/>
  <c r="BI192" i="33"/>
  <c r="AK192" i="33"/>
  <c r="BH192" i="33"/>
  <c r="AJ192" i="33"/>
  <c r="BG192" i="33"/>
  <c r="AU192" i="33"/>
  <c r="AI192" i="33"/>
  <c r="BJ192" i="33"/>
  <c r="BF192" i="33"/>
  <c r="AT192" i="33"/>
  <c r="AH192" i="33"/>
  <c r="BE192" i="33"/>
  <c r="AS192" i="33"/>
  <c r="AG192" i="33"/>
  <c r="BD192" i="33"/>
  <c r="AR192" i="33"/>
  <c r="AF192" i="33"/>
  <c r="AD192" i="33"/>
  <c r="BC192" i="33"/>
  <c r="AQ192" i="33"/>
  <c r="AX192" i="33"/>
  <c r="AW192" i="33"/>
  <c r="BL192" i="33"/>
  <c r="AV192" i="33"/>
  <c r="BB192" i="33"/>
  <c r="BA192" i="33"/>
  <c r="AO192" i="33"/>
  <c r="AZ192" i="33"/>
  <c r="AB168" i="33"/>
  <c r="Y168" i="33"/>
  <c r="W168" i="33"/>
  <c r="V168" i="33"/>
  <c r="U168" i="33"/>
  <c r="X168" i="33"/>
  <c r="T168" i="33"/>
  <c r="O134" i="33"/>
  <c r="S163" i="33"/>
  <c r="AM163" i="33"/>
  <c r="L134" i="33"/>
  <c r="N134" i="33"/>
  <c r="AA163" i="33"/>
  <c r="BL163" i="33"/>
  <c r="AN163" i="33"/>
  <c r="M134" i="33"/>
  <c r="AL163" i="33"/>
  <c r="K134" i="33"/>
  <c r="BI163" i="33"/>
  <c r="AW163" i="33"/>
  <c r="AK163" i="33"/>
  <c r="J134" i="33"/>
  <c r="AY163" i="33"/>
  <c r="BH163" i="33"/>
  <c r="AV163" i="33"/>
  <c r="AJ163" i="33"/>
  <c r="I134" i="33"/>
  <c r="AZ163" i="33"/>
  <c r="BK163" i="33"/>
  <c r="AX163" i="33"/>
  <c r="BG163" i="33"/>
  <c r="AU163" i="33"/>
  <c r="AI163" i="33"/>
  <c r="H134" i="33"/>
  <c r="R163" i="33"/>
  <c r="BJ163" i="33"/>
  <c r="BF163" i="33"/>
  <c r="AT163" i="33"/>
  <c r="Z163" i="33"/>
  <c r="X163" i="33"/>
  <c r="W163" i="33"/>
  <c r="V163" i="33"/>
  <c r="AB163" i="33"/>
  <c r="U163" i="33"/>
  <c r="Y163" i="33"/>
  <c r="T163" i="33"/>
  <c r="E144" i="33" l="1"/>
  <c r="E139" i="33"/>
  <c r="AI188" i="4"/>
  <c r="W83" i="4"/>
  <c r="W84" i="4"/>
  <c r="W85" i="4"/>
  <c r="W86" i="4"/>
  <c r="W82" i="4"/>
  <c r="D80" i="17" l="1"/>
  <c r="CU15" i="17"/>
  <c r="D15" i="17" s="1"/>
  <c r="D47" i="17" s="1"/>
  <c r="W3" i="4" l="1"/>
  <c r="W4" i="4"/>
  <c r="E53" i="36"/>
  <c r="E51" i="36"/>
  <c r="E42" i="36"/>
  <c r="E40" i="36"/>
  <c r="N13" i="17"/>
  <c r="O13" i="17"/>
  <c r="P13" i="17"/>
  <c r="E13" i="17"/>
  <c r="F13" i="17"/>
  <c r="G13" i="17"/>
  <c r="H13" i="17"/>
  <c r="I13" i="17"/>
  <c r="J13" i="17"/>
  <c r="K13" i="17"/>
  <c r="L13" i="17"/>
  <c r="M13" i="17"/>
  <c r="E8" i="17"/>
  <c r="CO26" i="4"/>
  <c r="I84" i="43"/>
  <c r="H84" i="43"/>
  <c r="G84" i="43"/>
  <c r="F84" i="43"/>
  <c r="I80" i="43"/>
  <c r="H80" i="43"/>
  <c r="G80" i="43"/>
  <c r="F80" i="43"/>
  <c r="I69" i="43"/>
  <c r="H69" i="43"/>
  <c r="G69" i="43"/>
  <c r="F69" i="43"/>
  <c r="I64" i="43"/>
  <c r="H64" i="43"/>
  <c r="G64" i="43"/>
  <c r="F64" i="43"/>
  <c r="I60" i="43"/>
  <c r="H60" i="43"/>
  <c r="G60" i="43"/>
  <c r="F60" i="43"/>
  <c r="Q40" i="43"/>
  <c r="CX110" i="43" l="1"/>
  <c r="CX105" i="43"/>
  <c r="CX104" i="43"/>
  <c r="CX103" i="43"/>
  <c r="C104" i="43" s="1"/>
  <c r="CX102" i="43"/>
  <c r="D102" i="43" s="1"/>
  <c r="E102" i="43"/>
  <c r="CX97" i="43"/>
  <c r="CX96" i="43"/>
  <c r="D96" i="43" s="1"/>
  <c r="CX95" i="43"/>
  <c r="J95" i="43" s="1"/>
  <c r="CX94" i="43"/>
  <c r="E68" i="43"/>
  <c r="CX54" i="43"/>
  <c r="CX53" i="43"/>
  <c r="CX52" i="43"/>
  <c r="CX51" i="43"/>
  <c r="CW51" i="43"/>
  <c r="CX50" i="43"/>
  <c r="C50" i="43"/>
  <c r="C96" i="43" s="1"/>
  <c r="CZ49" i="43"/>
  <c r="CY49" i="43"/>
  <c r="CX49" i="43"/>
  <c r="CX48" i="43"/>
  <c r="CX44" i="43"/>
  <c r="D44" i="43" s="1"/>
  <c r="D90" i="43" s="1"/>
  <c r="CX43" i="43"/>
  <c r="D43" i="43" s="1"/>
  <c r="D89" i="43" s="1"/>
  <c r="Q43" i="43"/>
  <c r="E89" i="43" s="1"/>
  <c r="CX41" i="43"/>
  <c r="D41" i="43" s="1"/>
  <c r="D87" i="43" s="1"/>
  <c r="Q41" i="43"/>
  <c r="E87" i="43" s="1"/>
  <c r="CX40" i="43"/>
  <c r="D40" i="43" s="1"/>
  <c r="D86" i="43" s="1"/>
  <c r="CX39" i="43"/>
  <c r="D39" i="43" s="1"/>
  <c r="D85" i="43" s="1"/>
  <c r="CX38" i="43"/>
  <c r="D38" i="43" s="1"/>
  <c r="D84" i="43" s="1"/>
  <c r="P38" i="43"/>
  <c r="O38" i="43"/>
  <c r="N38" i="43"/>
  <c r="M38" i="43"/>
  <c r="L38" i="43"/>
  <c r="K38" i="43"/>
  <c r="J38" i="43"/>
  <c r="I38" i="43"/>
  <c r="H38" i="43"/>
  <c r="G38" i="43"/>
  <c r="F38" i="43"/>
  <c r="E38" i="43"/>
  <c r="CX37" i="43"/>
  <c r="D37" i="43" s="1"/>
  <c r="D83" i="43" s="1"/>
  <c r="Q37" i="43"/>
  <c r="E83" i="43" s="1"/>
  <c r="CX36" i="43"/>
  <c r="D36" i="43" s="1"/>
  <c r="D82" i="43" s="1"/>
  <c r="Q36" i="43"/>
  <c r="Q38" i="43" s="1"/>
  <c r="E84" i="43" s="1"/>
  <c r="CX35" i="43"/>
  <c r="D35" i="43" s="1"/>
  <c r="D81" i="43" s="1"/>
  <c r="CX34" i="43"/>
  <c r="D34" i="43" s="1"/>
  <c r="D80" i="43" s="1"/>
  <c r="P34" i="43"/>
  <c r="O34" i="43"/>
  <c r="N34" i="43"/>
  <c r="M34" i="43"/>
  <c r="L34" i="43"/>
  <c r="K34" i="43"/>
  <c r="J34" i="43"/>
  <c r="I34" i="43"/>
  <c r="H34" i="43"/>
  <c r="G34" i="43"/>
  <c r="F34" i="43"/>
  <c r="E34" i="43"/>
  <c r="CX33" i="43"/>
  <c r="D33" i="43" s="1"/>
  <c r="D79" i="43" s="1"/>
  <c r="Q33" i="43"/>
  <c r="E79" i="43" s="1"/>
  <c r="CX32" i="43"/>
  <c r="D32" i="43" s="1"/>
  <c r="D78" i="43" s="1"/>
  <c r="Q32" i="43"/>
  <c r="CX31" i="43"/>
  <c r="D31" i="43" s="1"/>
  <c r="D77" i="43" s="1"/>
  <c r="CX30" i="43"/>
  <c r="D30" i="43" s="1"/>
  <c r="D76" i="43" s="1"/>
  <c r="CX29" i="43"/>
  <c r="D29" i="43" s="1"/>
  <c r="D75" i="43" s="1"/>
  <c r="Q29" i="43"/>
  <c r="E75" i="43" s="1"/>
  <c r="CX28" i="43"/>
  <c r="D28" i="43" s="1"/>
  <c r="D74" i="43" s="1"/>
  <c r="Q28" i="43"/>
  <c r="E74" i="43" s="1"/>
  <c r="CX27" i="43"/>
  <c r="D27" i="43" s="1"/>
  <c r="D73" i="43" s="1"/>
  <c r="Q27" i="43"/>
  <c r="E73" i="43" s="1"/>
  <c r="CX26" i="43"/>
  <c r="CX25" i="43"/>
  <c r="Q25" i="43"/>
  <c r="E71" i="43" s="1"/>
  <c r="CX24" i="43"/>
  <c r="D24" i="43" s="1"/>
  <c r="D70" i="43" s="1"/>
  <c r="CX23" i="43"/>
  <c r="D23" i="43" s="1"/>
  <c r="D69" i="43" s="1"/>
  <c r="P23" i="43"/>
  <c r="O23" i="43"/>
  <c r="N23" i="43"/>
  <c r="M23" i="43"/>
  <c r="L23" i="43"/>
  <c r="K23" i="43"/>
  <c r="J23" i="43"/>
  <c r="I23" i="43"/>
  <c r="H23" i="43"/>
  <c r="G23" i="43"/>
  <c r="F23" i="43"/>
  <c r="E23" i="43"/>
  <c r="CX22" i="43"/>
  <c r="D22" i="43" s="1"/>
  <c r="D68" i="43" s="1"/>
  <c r="Q22" i="43"/>
  <c r="CX21" i="43"/>
  <c r="D21" i="43" s="1"/>
  <c r="D67" i="43" s="1"/>
  <c r="Q21" i="43"/>
  <c r="E67" i="43" s="1"/>
  <c r="CX20" i="43"/>
  <c r="D20" i="43" s="1"/>
  <c r="D66" i="43" s="1"/>
  <c r="Q20" i="43"/>
  <c r="E66" i="43" s="1"/>
  <c r="CX19" i="43"/>
  <c r="D19" i="43" s="1"/>
  <c r="D65" i="43" s="1"/>
  <c r="Q19" i="43"/>
  <c r="CX18" i="43"/>
  <c r="D18" i="43" s="1"/>
  <c r="D64" i="43" s="1"/>
  <c r="CX17" i="43"/>
  <c r="D17" i="43" s="1"/>
  <c r="D63" i="43" s="1"/>
  <c r="Q17" i="43"/>
  <c r="CX16" i="43"/>
  <c r="D16" i="43" s="1"/>
  <c r="D62" i="43" s="1"/>
  <c r="Q16" i="43"/>
  <c r="E62" i="43" s="1"/>
  <c r="CX15" i="43"/>
  <c r="D15" i="43" s="1"/>
  <c r="D61" i="43" s="1"/>
  <c r="CX14" i="43"/>
  <c r="D14" i="43" s="1"/>
  <c r="D60" i="43" s="1"/>
  <c r="P14" i="43"/>
  <c r="O14" i="43"/>
  <c r="N14" i="43"/>
  <c r="M14" i="43"/>
  <c r="L14" i="43"/>
  <c r="K14" i="43"/>
  <c r="J14" i="43"/>
  <c r="I14" i="43"/>
  <c r="H14" i="43"/>
  <c r="G14" i="43"/>
  <c r="F14" i="43"/>
  <c r="E14" i="43"/>
  <c r="CX13" i="43"/>
  <c r="D13" i="43" s="1"/>
  <c r="D59" i="43" s="1"/>
  <c r="Q13" i="43"/>
  <c r="E59" i="43" s="1"/>
  <c r="CX12" i="43"/>
  <c r="Q12" i="43"/>
  <c r="E58" i="43" s="1"/>
  <c r="D12" i="43"/>
  <c r="D58" i="43" s="1"/>
  <c r="CX11" i="43"/>
  <c r="D11" i="43" s="1"/>
  <c r="D57" i="43" s="1"/>
  <c r="Q11" i="43"/>
  <c r="E57" i="43" s="1"/>
  <c r="CX10" i="43"/>
  <c r="D10" i="43" s="1"/>
  <c r="D56" i="43" s="1"/>
  <c r="Q10" i="43"/>
  <c r="E56" i="43" s="1"/>
  <c r="CX9" i="43"/>
  <c r="D9" i="43" s="1"/>
  <c r="D55" i="43" s="1"/>
  <c r="Q9" i="43"/>
  <c r="E55" i="43" s="1"/>
  <c r="CX8" i="43"/>
  <c r="D8" i="43" s="1"/>
  <c r="D54" i="43" s="1"/>
  <c r="Q8" i="43"/>
  <c r="E54" i="43" s="1"/>
  <c r="CX7" i="43"/>
  <c r="D7" i="43" s="1"/>
  <c r="D53" i="43" s="1"/>
  <c r="Q7" i="43"/>
  <c r="E53" i="43" s="1"/>
  <c r="CX6" i="43"/>
  <c r="D6" i="43" s="1"/>
  <c r="D52" i="43" s="1"/>
  <c r="Q6" i="43"/>
  <c r="CX5" i="43"/>
  <c r="D5" i="43" s="1"/>
  <c r="D51" i="43" s="1"/>
  <c r="CX4" i="43"/>
  <c r="D4" i="43" s="1"/>
  <c r="D50" i="43" s="1"/>
  <c r="CX3" i="43"/>
  <c r="S4" i="43" s="1"/>
  <c r="S50" i="43" s="1"/>
  <c r="S96" i="43" s="1"/>
  <c r="CZ2" i="43"/>
  <c r="CY2" i="43"/>
  <c r="CX2" i="43"/>
  <c r="W191" i="4"/>
  <c r="W189" i="4"/>
  <c r="Y113" i="4"/>
  <c r="W112" i="4"/>
  <c r="W227" i="4"/>
  <c r="D224" i="4"/>
  <c r="E224" i="4"/>
  <c r="D225" i="4"/>
  <c r="E225" i="4"/>
  <c r="D226" i="4"/>
  <c r="E226" i="4"/>
  <c r="D227" i="4"/>
  <c r="E227" i="4"/>
  <c r="D228" i="4"/>
  <c r="E228" i="4"/>
  <c r="D229" i="4"/>
  <c r="E229" i="4"/>
  <c r="D230" i="4"/>
  <c r="E230" i="4"/>
  <c r="D231" i="4"/>
  <c r="E231" i="4"/>
  <c r="D232" i="4"/>
  <c r="E232" i="4"/>
  <c r="CW184" i="4"/>
  <c r="CV184" i="4"/>
  <c r="W18" i="4"/>
  <c r="AB18" i="4"/>
  <c r="AC18" i="4"/>
  <c r="I58" i="4"/>
  <c r="CW187" i="4"/>
  <c r="CV187" i="4"/>
  <c r="K10" i="13"/>
  <c r="CN26" i="4"/>
  <c r="CN23" i="4"/>
  <c r="A3" i="4" a="1"/>
  <c r="A3" i="4" s="1"/>
  <c r="X34" i="4"/>
  <c r="A2" i="29" a="1"/>
  <c r="A2" i="29" s="1"/>
  <c r="B190" i="31"/>
  <c r="B169" i="31"/>
  <c r="B148" i="31"/>
  <c r="B127" i="31"/>
  <c r="L61" i="27"/>
  <c r="AF182" i="4"/>
  <c r="AB184" i="4"/>
  <c r="X191" i="4"/>
  <c r="CE175" i="4"/>
  <c r="CD175" i="4"/>
  <c r="CC175" i="4"/>
  <c r="CE174" i="4"/>
  <c r="CD174" i="4"/>
  <c r="CC174" i="4"/>
  <c r="CE173" i="4"/>
  <c r="CD173" i="4"/>
  <c r="CC173" i="4"/>
  <c r="CE172" i="4"/>
  <c r="CD172" i="4"/>
  <c r="CC172" i="4"/>
  <c r="CE171" i="4"/>
  <c r="CD171" i="4"/>
  <c r="CC171" i="4"/>
  <c r="CE163" i="4"/>
  <c r="CD163" i="4"/>
  <c r="CC163" i="4"/>
  <c r="CE162" i="4"/>
  <c r="CD162" i="4"/>
  <c r="CC162" i="4"/>
  <c r="CE161" i="4"/>
  <c r="CD161" i="4"/>
  <c r="CC161" i="4"/>
  <c r="CE160" i="4"/>
  <c r="CD160" i="4"/>
  <c r="CC160" i="4"/>
  <c r="CE159" i="4"/>
  <c r="CD159" i="4"/>
  <c r="CC159" i="4"/>
  <c r="CC93" i="4"/>
  <c r="CE97" i="4"/>
  <c r="CD97" i="4"/>
  <c r="CC97" i="4"/>
  <c r="CE96" i="4"/>
  <c r="CD96" i="4"/>
  <c r="CC96" i="4"/>
  <c r="CE95" i="4"/>
  <c r="CD95" i="4"/>
  <c r="CC95" i="4"/>
  <c r="CE94" i="4"/>
  <c r="CD94" i="4"/>
  <c r="CC94" i="4"/>
  <c r="CE93" i="4"/>
  <c r="CD93" i="4"/>
  <c r="CE86" i="4"/>
  <c r="CD86" i="4"/>
  <c r="CC86" i="4"/>
  <c r="CE85" i="4"/>
  <c r="CD85" i="4"/>
  <c r="CC85" i="4"/>
  <c r="CE84" i="4"/>
  <c r="CD84" i="4"/>
  <c r="CC84" i="4"/>
  <c r="CE83" i="4"/>
  <c r="CD83" i="4"/>
  <c r="CC83" i="4"/>
  <c r="CE82" i="4"/>
  <c r="CD82" i="4"/>
  <c r="CC82" i="4"/>
  <c r="CD19" i="4"/>
  <c r="CE19" i="4"/>
  <c r="CC19" i="4"/>
  <c r="CD18" i="4"/>
  <c r="CE18" i="4"/>
  <c r="CC18" i="4"/>
  <c r="CD17" i="4"/>
  <c r="CE17" i="4"/>
  <c r="CC17" i="4"/>
  <c r="CD16" i="4"/>
  <c r="CE16" i="4"/>
  <c r="CC16" i="4"/>
  <c r="CD15" i="4"/>
  <c r="CE15" i="4"/>
  <c r="CC15" i="4"/>
  <c r="CC4" i="4"/>
  <c r="CE5" i="4"/>
  <c r="CD5" i="4"/>
  <c r="CE6" i="4"/>
  <c r="CD6" i="4"/>
  <c r="CE7" i="4"/>
  <c r="CD7" i="4"/>
  <c r="CE8" i="4"/>
  <c r="CD8" i="4"/>
  <c r="CD4" i="4"/>
  <c r="CE4" i="4"/>
  <c r="CC6" i="4"/>
  <c r="CC7" i="4"/>
  <c r="CC8" i="4"/>
  <c r="CC5" i="4"/>
  <c r="CA2" i="4"/>
  <c r="CC2" i="4"/>
  <c r="CB2" i="4"/>
  <c r="CZ2" i="39"/>
  <c r="CY2" i="39"/>
  <c r="G11" i="4"/>
  <c r="F103" i="4"/>
  <c r="Q23" i="43" l="1"/>
  <c r="E69" i="43" s="1"/>
  <c r="Q18" i="43"/>
  <c r="E64" i="43" s="1"/>
  <c r="I102" i="43"/>
  <c r="I92" i="17" s="1"/>
  <c r="G102" i="43"/>
  <c r="G92" i="17" s="1"/>
  <c r="F102" i="43"/>
  <c r="E86" i="43"/>
  <c r="Q14" i="43"/>
  <c r="E60" i="43" s="1"/>
  <c r="Q34" i="43"/>
  <c r="E80" i="43" s="1"/>
  <c r="E78" i="43"/>
  <c r="CW53" i="43"/>
  <c r="E82" i="43"/>
  <c r="E52" i="43"/>
  <c r="E63" i="43"/>
  <c r="AD18" i="4"/>
  <c r="CB175" i="4"/>
  <c r="AD162" i="4"/>
  <c r="CB93" i="4"/>
  <c r="CB5" i="4"/>
  <c r="CB4" i="4"/>
  <c r="AD15" i="4"/>
  <c r="AD163" i="4"/>
  <c r="CB7" i="4"/>
  <c r="AD16" i="4"/>
  <c r="AD96" i="4"/>
  <c r="AD17" i="4"/>
  <c r="CB94" i="4"/>
  <c r="CD2" i="4"/>
  <c r="AD174" i="4"/>
  <c r="CD1" i="4"/>
  <c r="AD3" i="4"/>
  <c r="AD84" i="4"/>
  <c r="CB159" i="4"/>
  <c r="CB162" i="4"/>
  <c r="CB173" i="4"/>
  <c r="AD175" i="4"/>
  <c r="CB95" i="4"/>
  <c r="AD85" i="4"/>
  <c r="AD7" i="4"/>
  <c r="CB15" i="4"/>
  <c r="CB18" i="4"/>
  <c r="CB84" i="4"/>
  <c r="AD86" i="4"/>
  <c r="AD95" i="4"/>
  <c r="CB172" i="4"/>
  <c r="AD171" i="4"/>
  <c r="CB83" i="4"/>
  <c r="CB8" i="4"/>
  <c r="CB161" i="4"/>
  <c r="CB6" i="4"/>
  <c r="CB97" i="4"/>
  <c r="AD97" i="4"/>
  <c r="AD172" i="4"/>
  <c r="CA3" i="4"/>
  <c r="CB17" i="4"/>
  <c r="CB86" i="4"/>
  <c r="AD82" i="4"/>
  <c r="AD173" i="4"/>
  <c r="AD83" i="4"/>
  <c r="AD6" i="4"/>
  <c r="AD159" i="4"/>
  <c r="AD5" i="4"/>
  <c r="CB160" i="4"/>
  <c r="CB163" i="4"/>
  <c r="CB171" i="4"/>
  <c r="CB174" i="4"/>
  <c r="AD160" i="4"/>
  <c r="AD4" i="4"/>
  <c r="CB96" i="4"/>
  <c r="AD93" i="4"/>
  <c r="AD161" i="4"/>
  <c r="AD14" i="4"/>
  <c r="CB16" i="4"/>
  <c r="CB19" i="4"/>
  <c r="CB82" i="4"/>
  <c r="CB85" i="4"/>
  <c r="AD94" i="4"/>
  <c r="CZ38" i="32"/>
  <c r="W93" i="4"/>
  <c r="S17" i="4"/>
  <c r="I188" i="4"/>
  <c r="AB182" i="4"/>
  <c r="AG190" i="4"/>
  <c r="AF192" i="4"/>
  <c r="X189" i="4"/>
  <c r="X187" i="4"/>
  <c r="X185" i="4"/>
  <c r="X183" i="4"/>
  <c r="W187" i="4"/>
  <c r="W185" i="4"/>
  <c r="W183" i="4"/>
  <c r="U227" i="4"/>
  <c r="AB192" i="4"/>
  <c r="AJ182" i="4"/>
  <c r="Y34" i="4"/>
  <c r="Z34" i="4"/>
  <c r="AA34" i="4"/>
  <c r="AB34" i="4"/>
  <c r="AC34" i="4"/>
  <c r="AD34" i="4"/>
  <c r="AE34" i="4"/>
  <c r="AF34" i="4"/>
  <c r="AG34" i="4"/>
  <c r="AH34" i="4"/>
  <c r="AI34" i="4"/>
  <c r="U107" i="4"/>
  <c r="U109" i="4" s="1"/>
  <c r="U111" i="4" s="1"/>
  <c r="AJ34" i="4"/>
  <c r="AJ24" i="4"/>
  <c r="AJ113" i="4"/>
  <c r="AJ192" i="4" s="1"/>
  <c r="Z113" i="4"/>
  <c r="AA113" i="4"/>
  <c r="AB113" i="4"/>
  <c r="AC113" i="4"/>
  <c r="AD113" i="4"/>
  <c r="AE113" i="4"/>
  <c r="AF113" i="4"/>
  <c r="AG113" i="4"/>
  <c r="AH113" i="4"/>
  <c r="AI113" i="4"/>
  <c r="X113" i="4"/>
  <c r="AJ103" i="4"/>
  <c r="S139" i="4"/>
  <c r="S141" i="4"/>
  <c r="C94" i="4"/>
  <c r="C172" i="4" s="1"/>
  <c r="C86" i="4"/>
  <c r="CW89" i="17"/>
  <c r="CV89" i="17"/>
  <c r="J35" i="28"/>
  <c r="Q28" i="17"/>
  <c r="H59" i="17" l="1"/>
  <c r="M59" i="17"/>
  <c r="E59" i="17"/>
  <c r="G59" i="17"/>
  <c r="I59" i="17"/>
  <c r="J59" i="17"/>
  <c r="P59" i="17"/>
  <c r="K59" i="17"/>
  <c r="O59" i="17"/>
  <c r="L59" i="17"/>
  <c r="F59" i="17"/>
  <c r="N59" i="17"/>
  <c r="H102" i="43"/>
  <c r="H92" i="17" s="1"/>
  <c r="X192" i="4"/>
  <c r="V26" i="4"/>
  <c r="X26" i="4" s="1"/>
  <c r="V28" i="4"/>
  <c r="CA162" i="4"/>
  <c r="CA84" i="4"/>
  <c r="CA8" i="4"/>
  <c r="CA95" i="4"/>
  <c r="CA161" i="4"/>
  <c r="CA172" i="4"/>
  <c r="AE186" i="4"/>
  <c r="AI184" i="4"/>
  <c r="AE184" i="4"/>
  <c r="AE188" i="4"/>
  <c r="AA188" i="4"/>
  <c r="AA190" i="4"/>
  <c r="AI186" i="4"/>
  <c r="AI190" i="4"/>
  <c r="AA186" i="4"/>
  <c r="AA184" i="4"/>
  <c r="AE190" i="4"/>
  <c r="CA93" i="4"/>
  <c r="CA97" i="4"/>
  <c r="CA7" i="4"/>
  <c r="CA175" i="4"/>
  <c r="CA83" i="4"/>
  <c r="CA86" i="4"/>
  <c r="CA18" i="4"/>
  <c r="CA5" i="4"/>
  <c r="CA173" i="4"/>
  <c r="CA94" i="4"/>
  <c r="CA160" i="4"/>
  <c r="CA82" i="4"/>
  <c r="CA96" i="4"/>
  <c r="CA17" i="4"/>
  <c r="CA19" i="4"/>
  <c r="CA4" i="4"/>
  <c r="CA16" i="4"/>
  <c r="CA6" i="4"/>
  <c r="CA171" i="4"/>
  <c r="CA85" i="4"/>
  <c r="CA163" i="4"/>
  <c r="CA15" i="4"/>
  <c r="CA159" i="4"/>
  <c r="CA174" i="4"/>
  <c r="V107" i="4"/>
  <c r="AJ190" i="4"/>
  <c r="V32" i="4"/>
  <c r="W192" i="4"/>
  <c r="V105" i="4"/>
  <c r="AF190" i="4"/>
  <c r="AB190" i="4"/>
  <c r="V30" i="4"/>
  <c r="V111" i="4"/>
  <c r="V109" i="4"/>
  <c r="CW22" i="29"/>
  <c r="CW21" i="29"/>
  <c r="CW23" i="29"/>
  <c r="CL28" i="4"/>
  <c r="CM26" i="4"/>
  <c r="AI193" i="4" l="1"/>
  <c r="AE193" i="4"/>
  <c r="AA193" i="4"/>
  <c r="AF109" i="4"/>
  <c r="AG109" i="4"/>
  <c r="Y109" i="4"/>
  <c r="AA109" i="4"/>
  <c r="AH109" i="4"/>
  <c r="AI109" i="4"/>
  <c r="X109" i="4"/>
  <c r="Z109" i="4"/>
  <c r="AB109" i="4"/>
  <c r="AC109" i="4"/>
  <c r="AD109" i="4"/>
  <c r="AE109" i="4"/>
  <c r="AF107" i="4"/>
  <c r="AG107" i="4"/>
  <c r="AC107" i="4"/>
  <c r="AD107" i="4"/>
  <c r="AH107" i="4"/>
  <c r="Y107" i="4"/>
  <c r="Z107" i="4"/>
  <c r="AA107" i="4"/>
  <c r="AI107" i="4"/>
  <c r="X107" i="4"/>
  <c r="AE107" i="4"/>
  <c r="AB107" i="4"/>
  <c r="AJ105" i="4"/>
  <c r="AF105" i="4"/>
  <c r="AG105" i="4"/>
  <c r="AH105" i="4"/>
  <c r="AI105" i="4"/>
  <c r="X105" i="4"/>
  <c r="Y105" i="4"/>
  <c r="Z105" i="4"/>
  <c r="AA105" i="4"/>
  <c r="AB105" i="4"/>
  <c r="AC105" i="4"/>
  <c r="AD105" i="4"/>
  <c r="AE105" i="4"/>
  <c r="AC30" i="4"/>
  <c r="AF30" i="4"/>
  <c r="Y30" i="4"/>
  <c r="Z30" i="4"/>
  <c r="AA30" i="4"/>
  <c r="AG30" i="4"/>
  <c r="AH30" i="4"/>
  <c r="AB30" i="4"/>
  <c r="AD30" i="4"/>
  <c r="AE30" i="4"/>
  <c r="AI30" i="4"/>
  <c r="Y32" i="4"/>
  <c r="AC32" i="4"/>
  <c r="AE32" i="4"/>
  <c r="AH32" i="4"/>
  <c r="AI32" i="4"/>
  <c r="X32" i="4"/>
  <c r="Z32" i="4"/>
  <c r="AA32" i="4"/>
  <c r="AB32" i="4"/>
  <c r="AF32" i="4"/>
  <c r="AD32" i="4"/>
  <c r="AG32" i="4"/>
  <c r="X28" i="4"/>
  <c r="AJ28" i="4"/>
  <c r="AI28" i="4"/>
  <c r="AA28" i="4"/>
  <c r="AC28" i="4"/>
  <c r="AD28" i="4"/>
  <c r="AG28" i="4"/>
  <c r="AH28" i="4"/>
  <c r="Y28" i="4"/>
  <c r="Z28" i="4"/>
  <c r="AB28" i="4"/>
  <c r="AE28" i="4"/>
  <c r="AF28" i="4"/>
  <c r="AG26" i="4"/>
  <c r="Y26" i="4"/>
  <c r="AA26" i="4"/>
  <c r="AB26" i="4"/>
  <c r="AD26" i="4"/>
  <c r="AF26" i="4"/>
  <c r="AH26" i="4"/>
  <c r="AI26" i="4"/>
  <c r="AC26" i="4"/>
  <c r="Z26" i="4"/>
  <c r="AE26" i="4"/>
  <c r="AI194" i="4"/>
  <c r="K181" i="4" s="1"/>
  <c r="AA194" i="4"/>
  <c r="AE194" i="4"/>
  <c r="AB186" i="4"/>
  <c r="AJ109" i="4"/>
  <c r="AJ32" i="4"/>
  <c r="AJ26" i="4"/>
  <c r="AJ188" i="4"/>
  <c r="AJ30" i="4"/>
  <c r="X30" i="4"/>
  <c r="AJ107" i="4"/>
  <c r="AJ111" i="4"/>
  <c r="AD111" i="4"/>
  <c r="AE111" i="4"/>
  <c r="AF111" i="4"/>
  <c r="AG111" i="4"/>
  <c r="AH111" i="4"/>
  <c r="AI111" i="4"/>
  <c r="X111" i="4"/>
  <c r="Y111" i="4"/>
  <c r="Z111" i="4"/>
  <c r="AA111" i="4"/>
  <c r="AB111" i="4"/>
  <c r="AC111" i="4"/>
  <c r="AF188" i="4"/>
  <c r="AB188" i="4"/>
  <c r="AF184" i="4"/>
  <c r="AF186" i="4"/>
  <c r="AJ186" i="4"/>
  <c r="AJ184" i="4"/>
  <c r="AC149" i="31"/>
  <c r="AD149" i="31"/>
  <c r="AE149" i="31"/>
  <c r="AF149" i="31"/>
  <c r="AG149" i="31"/>
  <c r="AH149" i="31"/>
  <c r="AI149" i="31"/>
  <c r="AJ149" i="31"/>
  <c r="AK149" i="31"/>
  <c r="AL149" i="31"/>
  <c r="AM149" i="31"/>
  <c r="AN149" i="31"/>
  <c r="AO149" i="31"/>
  <c r="AP149" i="31"/>
  <c r="AQ149" i="31"/>
  <c r="AR149" i="31"/>
  <c r="AS149" i="31"/>
  <c r="AT149" i="31"/>
  <c r="AU149" i="31"/>
  <c r="AV149" i="31"/>
  <c r="AW149" i="31"/>
  <c r="AX149" i="31"/>
  <c r="AY149" i="31"/>
  <c r="AZ149" i="31"/>
  <c r="BA149" i="31"/>
  <c r="BB149" i="31"/>
  <c r="BC149" i="31"/>
  <c r="BD149" i="31"/>
  <c r="BE149" i="31"/>
  <c r="BF149" i="31"/>
  <c r="BG149" i="31"/>
  <c r="BH149" i="31"/>
  <c r="BI149" i="31"/>
  <c r="BJ149" i="31"/>
  <c r="BK149" i="31"/>
  <c r="BL149" i="31"/>
  <c r="BM149" i="31"/>
  <c r="BN149" i="31"/>
  <c r="BO149" i="31"/>
  <c r="BP149" i="31"/>
  <c r="BQ149" i="31"/>
  <c r="BR149" i="31"/>
  <c r="BS149" i="31"/>
  <c r="BT149" i="31"/>
  <c r="BU149" i="31"/>
  <c r="BV149" i="31"/>
  <c r="BW149" i="31"/>
  <c r="AB149" i="31"/>
  <c r="O143" i="31"/>
  <c r="B143" i="31"/>
  <c r="AY206" i="31"/>
  <c r="B206" i="31"/>
  <c r="AM185" i="31"/>
  <c r="B185" i="31"/>
  <c r="AA164" i="31"/>
  <c r="B164" i="31"/>
  <c r="B122" i="31"/>
  <c r="AN183" i="31"/>
  <c r="AB162" i="31"/>
  <c r="AC161" i="31"/>
  <c r="AD161" i="31"/>
  <c r="AE161" i="31"/>
  <c r="AF161" i="31"/>
  <c r="AG161" i="31"/>
  <c r="AH161" i="31"/>
  <c r="AI161" i="31"/>
  <c r="AJ161" i="31"/>
  <c r="AK161" i="31"/>
  <c r="AL161" i="31"/>
  <c r="AM161" i="31"/>
  <c r="AN161" i="31"/>
  <c r="AO161" i="31"/>
  <c r="AP161" i="31"/>
  <c r="AQ161" i="31"/>
  <c r="AR161" i="31"/>
  <c r="AS161" i="31"/>
  <c r="AT161" i="31"/>
  <c r="AU161" i="31"/>
  <c r="AV161" i="31"/>
  <c r="AW161" i="31"/>
  <c r="AX161" i="31"/>
  <c r="AY161" i="31"/>
  <c r="AZ161" i="31"/>
  <c r="BA161" i="31"/>
  <c r="BB161" i="31"/>
  <c r="BC161" i="31"/>
  <c r="BD161" i="31"/>
  <c r="BE161" i="31"/>
  <c r="BF161" i="31"/>
  <c r="BG161" i="31"/>
  <c r="BH161" i="31"/>
  <c r="BI161" i="31"/>
  <c r="BJ161" i="31"/>
  <c r="BK161" i="31"/>
  <c r="BL161" i="31"/>
  <c r="BM161" i="31"/>
  <c r="BN161" i="31"/>
  <c r="BO161" i="31"/>
  <c r="BP161" i="31"/>
  <c r="BQ161" i="31"/>
  <c r="BR161" i="31"/>
  <c r="BS161" i="31"/>
  <c r="BT161" i="31"/>
  <c r="BU161" i="31"/>
  <c r="BV161" i="31"/>
  <c r="BW161" i="31"/>
  <c r="AN179" i="31"/>
  <c r="AN176" i="31"/>
  <c r="P141" i="31"/>
  <c r="D113" i="31"/>
  <c r="I22" i="28"/>
  <c r="K21" i="28"/>
  <c r="I21" i="28"/>
  <c r="G21" i="28"/>
  <c r="E21" i="28"/>
  <c r="E23" i="28" s="1"/>
  <c r="H89" i="4"/>
  <c r="I89" i="4"/>
  <c r="J89" i="4"/>
  <c r="K89" i="4"/>
  <c r="L89" i="4"/>
  <c r="M89" i="4"/>
  <c r="N89" i="4"/>
  <c r="O89" i="4"/>
  <c r="P89" i="4"/>
  <c r="Q89" i="4"/>
  <c r="R89" i="4"/>
  <c r="G89" i="4"/>
  <c r="H11" i="4"/>
  <c r="I11" i="4"/>
  <c r="J11" i="4"/>
  <c r="K11" i="4"/>
  <c r="L11" i="4"/>
  <c r="M11" i="4"/>
  <c r="N11" i="4"/>
  <c r="O11" i="4"/>
  <c r="P11" i="4"/>
  <c r="Q11" i="4"/>
  <c r="R11" i="4"/>
  <c r="W175" i="4"/>
  <c r="AC175" i="4" s="1"/>
  <c r="W174" i="4"/>
  <c r="W173" i="4"/>
  <c r="W172" i="4"/>
  <c r="AC171" i="4"/>
  <c r="W171" i="4"/>
  <c r="AC163" i="4"/>
  <c r="W163" i="4"/>
  <c r="W162" i="4"/>
  <c r="AB162" i="4" s="1"/>
  <c r="W161" i="4"/>
  <c r="AB161" i="4" s="1"/>
  <c r="W160" i="4"/>
  <c r="AC159" i="4"/>
  <c r="W159" i="4"/>
  <c r="AC97" i="4"/>
  <c r="W97" i="4"/>
  <c r="AB97" i="4" s="1"/>
  <c r="AC96" i="4"/>
  <c r="AB96" i="4"/>
  <c r="W96" i="4"/>
  <c r="AB95" i="4"/>
  <c r="W95" i="4"/>
  <c r="AC94" i="4"/>
  <c r="W94" i="4"/>
  <c r="AB94" i="4" s="1"/>
  <c r="AC93" i="4"/>
  <c r="AB93" i="4"/>
  <c r="AC85" i="4"/>
  <c r="AB84" i="4"/>
  <c r="AC83" i="4"/>
  <c r="W16" i="4"/>
  <c r="W17" i="4"/>
  <c r="AC17" i="4"/>
  <c r="AC15" i="4"/>
  <c r="AB17" i="4"/>
  <c r="AB16" i="4"/>
  <c r="W15" i="4"/>
  <c r="W14" i="4"/>
  <c r="AB5" i="4"/>
  <c r="AC4" i="4"/>
  <c r="W5" i="4"/>
  <c r="W6" i="4"/>
  <c r="W7" i="4"/>
  <c r="AB7" i="4" s="1"/>
  <c r="AC3" i="4"/>
  <c r="D103" i="33"/>
  <c r="S135" i="4"/>
  <c r="X114" i="4" l="1"/>
  <c r="X36" i="4"/>
  <c r="AI36" i="4"/>
  <c r="R25" i="4" s="1"/>
  <c r="AI35" i="4"/>
  <c r="AH36" i="4"/>
  <c r="Q25" i="4" s="1"/>
  <c r="AH35" i="4"/>
  <c r="AF36" i="4"/>
  <c r="O25" i="4" s="1"/>
  <c r="AF35" i="4"/>
  <c r="AB35" i="4"/>
  <c r="AB36" i="4"/>
  <c r="K25" i="4" s="1"/>
  <c r="AA35" i="4"/>
  <c r="AA36" i="4"/>
  <c r="J25" i="4" s="1"/>
  <c r="Y36" i="4"/>
  <c r="H25" i="4" s="1"/>
  <c r="Y35" i="4"/>
  <c r="AG36" i="4"/>
  <c r="P25" i="4" s="1"/>
  <c r="AG35" i="4"/>
  <c r="AD36" i="4"/>
  <c r="M25" i="4" s="1"/>
  <c r="AD35" i="4"/>
  <c r="X35" i="4"/>
  <c r="Z36" i="4"/>
  <c r="I25" i="4" s="1"/>
  <c r="Z35" i="4"/>
  <c r="AE36" i="4"/>
  <c r="N25" i="4" s="1"/>
  <c r="AE35" i="4"/>
  <c r="AC36" i="4"/>
  <c r="L25" i="4" s="1"/>
  <c r="AC35" i="4"/>
  <c r="W186" i="4"/>
  <c r="X186" i="4"/>
  <c r="AE227" i="4"/>
  <c r="J226" i="4" s="1"/>
  <c r="X188" i="4"/>
  <c r="AI227" i="4"/>
  <c r="K226" i="4" s="1"/>
  <c r="W99" i="4"/>
  <c r="G94" i="4" s="1"/>
  <c r="AG115" i="4"/>
  <c r="Z115" i="4"/>
  <c r="AF115" i="4"/>
  <c r="X115" i="4"/>
  <c r="AB115" i="4"/>
  <c r="AE115" i="4"/>
  <c r="AC115" i="4"/>
  <c r="AH115" i="4"/>
  <c r="AD115" i="4"/>
  <c r="AI115" i="4"/>
  <c r="AA115" i="4"/>
  <c r="Y115" i="4"/>
  <c r="Y71" i="4"/>
  <c r="G23" i="28"/>
  <c r="I23" i="28"/>
  <c r="AA227" i="4"/>
  <c r="X149" i="4"/>
  <c r="Z71" i="4"/>
  <c r="K180" i="4"/>
  <c r="AI114" i="4"/>
  <c r="AC86" i="4"/>
  <c r="AF99" i="4"/>
  <c r="P94" i="4" s="1"/>
  <c r="P100" i="4" s="1"/>
  <c r="AG99" i="4"/>
  <c r="Q94" i="4" s="1"/>
  <c r="Q100" i="4" s="1"/>
  <c r="AH99" i="4"/>
  <c r="R94" i="4" s="1"/>
  <c r="R100" i="4" s="1"/>
  <c r="AI99" i="4"/>
  <c r="J181" i="4"/>
  <c r="I181" i="4"/>
  <c r="X71" i="4"/>
  <c r="AD99" i="4"/>
  <c r="N94" i="4" s="1"/>
  <c r="N100" i="4" s="1"/>
  <c r="AB99" i="4"/>
  <c r="L94" i="4" s="1"/>
  <c r="L100" i="4" s="1"/>
  <c r="AE99" i="4"/>
  <c r="O94" i="4" s="1"/>
  <c r="O100" i="4" s="1"/>
  <c r="X99" i="4"/>
  <c r="H94" i="4" s="1"/>
  <c r="H100" i="4" s="1"/>
  <c r="Y99" i="4"/>
  <c r="I94" i="4" s="1"/>
  <c r="I100" i="4" s="1"/>
  <c r="Z99" i="4"/>
  <c r="J94" i="4" s="1"/>
  <c r="J100" i="4" s="1"/>
  <c r="AA99" i="4"/>
  <c r="K94" i="4" s="1"/>
  <c r="K100" i="4" s="1"/>
  <c r="AC99" i="4"/>
  <c r="M94" i="4" s="1"/>
  <c r="M100" i="4" s="1"/>
  <c r="W184" i="4"/>
  <c r="W188" i="4"/>
  <c r="AC174" i="4"/>
  <c r="AB3" i="4"/>
  <c r="AC162" i="4"/>
  <c r="AB6" i="4"/>
  <c r="AC172" i="4"/>
  <c r="AB159" i="4"/>
  <c r="AC160" i="4"/>
  <c r="AB174" i="4"/>
  <c r="AB172" i="4"/>
  <c r="AC173" i="4"/>
  <c r="AB175" i="4"/>
  <c r="AB160" i="4"/>
  <c r="AB163" i="4"/>
  <c r="AC161" i="4"/>
  <c r="AC84" i="4"/>
  <c r="AB85" i="4"/>
  <c r="AC95" i="4"/>
  <c r="AC100" i="4" s="1"/>
  <c r="AB83" i="4"/>
  <c r="AB86" i="4"/>
  <c r="AB14" i="4"/>
  <c r="AC6" i="4"/>
  <c r="AC14" i="4"/>
  <c r="AB15" i="4"/>
  <c r="AC7" i="4"/>
  <c r="AC16" i="4"/>
  <c r="AC5" i="4"/>
  <c r="AB4" i="4"/>
  <c r="J110" i="4"/>
  <c r="J116" i="4"/>
  <c r="J123" i="4"/>
  <c r="J131" i="4"/>
  <c r="J136" i="4"/>
  <c r="S20" i="4"/>
  <c r="S19" i="4"/>
  <c r="G175" i="4" s="1"/>
  <c r="S18" i="4"/>
  <c r="S97" i="4"/>
  <c r="H175" i="4" s="1"/>
  <c r="S98" i="4"/>
  <c r="H176" i="4" s="1"/>
  <c r="C109" i="36"/>
  <c r="C120" i="36" s="1"/>
  <c r="G48" i="36"/>
  <c r="G26" i="36"/>
  <c r="G25" i="36"/>
  <c r="G59" i="36" s="1"/>
  <c r="G117" i="36"/>
  <c r="G115" i="36"/>
  <c r="G113" i="36"/>
  <c r="G111" i="36"/>
  <c r="H117" i="36"/>
  <c r="H115" i="36"/>
  <c r="H113" i="36"/>
  <c r="H111" i="36"/>
  <c r="H102" i="36"/>
  <c r="H106" i="36"/>
  <c r="H104" i="36"/>
  <c r="H100" i="36"/>
  <c r="G106" i="36"/>
  <c r="G104" i="36"/>
  <c r="G102" i="36"/>
  <c r="G100" i="36"/>
  <c r="C28" i="36"/>
  <c r="C62" i="36" s="1"/>
  <c r="C29" i="36"/>
  <c r="C63" i="36" s="1"/>
  <c r="C40" i="36"/>
  <c r="C99" i="36" s="1"/>
  <c r="C51" i="36"/>
  <c r="C110" i="36" s="1"/>
  <c r="CL29" i="4"/>
  <c r="AJ115" i="4" l="1"/>
  <c r="J180" i="4"/>
  <c r="W89" i="4"/>
  <c r="Z89" i="4"/>
  <c r="AA89" i="4"/>
  <c r="AG89" i="4"/>
  <c r="AD89" i="4"/>
  <c r="Y89" i="4"/>
  <c r="AB89" i="4"/>
  <c r="AH89" i="4"/>
  <c r="AC89" i="4"/>
  <c r="AC88" i="4"/>
  <c r="W88" i="4"/>
  <c r="Z88" i="4"/>
  <c r="X88" i="4"/>
  <c r="AF88" i="4"/>
  <c r="AH88" i="4"/>
  <c r="AB88" i="4"/>
  <c r="AG88" i="4"/>
  <c r="AA88" i="4"/>
  <c r="AE88" i="4"/>
  <c r="Y88" i="4"/>
  <c r="AD88" i="4"/>
  <c r="AE89" i="4"/>
  <c r="X89" i="4"/>
  <c r="AF89" i="4"/>
  <c r="AF10" i="4"/>
  <c r="AB10" i="4"/>
  <c r="AH10" i="4"/>
  <c r="X10" i="4"/>
  <c r="AA10" i="4"/>
  <c r="AG10" i="4"/>
  <c r="AH21" i="4"/>
  <c r="AB21" i="4"/>
  <c r="Z21" i="4"/>
  <c r="Y21" i="4"/>
  <c r="W21" i="4"/>
  <c r="AF21" i="4"/>
  <c r="AE21" i="4"/>
  <c r="X21" i="4"/>
  <c r="AC21" i="4"/>
  <c r="AG21" i="4"/>
  <c r="AA21" i="4"/>
  <c r="AD21" i="4"/>
  <c r="Y20" i="4"/>
  <c r="I16" i="4" s="1"/>
  <c r="X20" i="4"/>
  <c r="H16" i="4" s="1"/>
  <c r="AD20" i="4"/>
  <c r="N16" i="4" s="1"/>
  <c r="W20" i="4"/>
  <c r="G16" i="4" s="1"/>
  <c r="AH20" i="4"/>
  <c r="R16" i="4" s="1"/>
  <c r="AB20" i="4"/>
  <c r="L16" i="4" s="1"/>
  <c r="Z20" i="4"/>
  <c r="J16" i="4" s="1"/>
  <c r="AC20" i="4"/>
  <c r="M16" i="4" s="1"/>
  <c r="AF20" i="4"/>
  <c r="P16" i="4" s="1"/>
  <c r="AE20" i="4"/>
  <c r="O16" i="4" s="1"/>
  <c r="AG20" i="4"/>
  <c r="Q16" i="4" s="1"/>
  <c r="AA20" i="4"/>
  <c r="K16" i="4" s="1"/>
  <c r="AH9" i="4"/>
  <c r="AB9" i="4"/>
  <c r="AG9" i="4"/>
  <c r="AF9" i="4"/>
  <c r="Z9" i="4"/>
  <c r="AE9" i="4"/>
  <c r="W9" i="4"/>
  <c r="AD9" i="4"/>
  <c r="AA9" i="4"/>
  <c r="X9" i="4"/>
  <c r="Y9" i="4"/>
  <c r="AC9" i="4"/>
  <c r="Y10" i="4"/>
  <c r="AD10" i="4"/>
  <c r="AE10" i="4"/>
  <c r="AC10" i="4"/>
  <c r="W10" i="4"/>
  <c r="Z10" i="4"/>
  <c r="I179" i="4"/>
  <c r="P24" i="4"/>
  <c r="J24" i="4"/>
  <c r="I24" i="4"/>
  <c r="O24" i="4"/>
  <c r="Q24" i="4"/>
  <c r="K24" i="4"/>
  <c r="H24" i="4"/>
  <c r="M24" i="4"/>
  <c r="N24" i="4"/>
  <c r="L24" i="4"/>
  <c r="R24" i="4"/>
  <c r="AD100" i="4"/>
  <c r="AG100" i="4"/>
  <c r="AA100" i="4"/>
  <c r="AI100" i="4"/>
  <c r="G25" i="4"/>
  <c r="I180" i="4"/>
  <c r="AJ36" i="4"/>
  <c r="W194" i="4" s="1"/>
  <c r="AB100" i="4"/>
  <c r="W100" i="4"/>
  <c r="AH100" i="4"/>
  <c r="AF100" i="4"/>
  <c r="AE100" i="4"/>
  <c r="Z100" i="4"/>
  <c r="Y100" i="4"/>
  <c r="X100" i="4"/>
  <c r="S94" i="4"/>
  <c r="H172" i="4" s="1"/>
  <c r="G174" i="4"/>
  <c r="C122" i="36"/>
  <c r="G60" i="36"/>
  <c r="C121" i="36"/>
  <c r="G24" i="4" l="1"/>
  <c r="G26" i="4" s="1"/>
  <c r="S16" i="4"/>
  <c r="G172" i="4" s="1"/>
  <c r="AI21" i="4"/>
  <c r="AI20" i="4"/>
  <c r="J158" i="36"/>
  <c r="H148" i="36"/>
  <c r="I139" i="36"/>
  <c r="J139" i="36"/>
  <c r="K139" i="36"/>
  <c r="L139" i="36"/>
  <c r="M139" i="36"/>
  <c r="N139" i="36"/>
  <c r="O139" i="36"/>
  <c r="P139" i="36"/>
  <c r="Q139" i="36"/>
  <c r="R139" i="36"/>
  <c r="S139" i="36"/>
  <c r="H139" i="36"/>
  <c r="CX58" i="33"/>
  <c r="CW58" i="33"/>
  <c r="CX56" i="33"/>
  <c r="CW56" i="33"/>
  <c r="CX52" i="33"/>
  <c r="CX51" i="33"/>
  <c r="CX50" i="33"/>
  <c r="F40" i="17" l="1"/>
  <c r="G40" i="17"/>
  <c r="H40" i="17"/>
  <c r="I40" i="17"/>
  <c r="J40" i="17"/>
  <c r="K40" i="17"/>
  <c r="L40" i="17"/>
  <c r="M40" i="17"/>
  <c r="N40" i="17"/>
  <c r="O40" i="17"/>
  <c r="P40" i="17"/>
  <c r="E40" i="17"/>
  <c r="I73" i="17"/>
  <c r="H73" i="17"/>
  <c r="G73" i="17"/>
  <c r="F8" i="17"/>
  <c r="G8" i="17"/>
  <c r="H8" i="17"/>
  <c r="I8" i="17"/>
  <c r="J8" i="17"/>
  <c r="K8" i="17"/>
  <c r="L8" i="17"/>
  <c r="M8" i="17"/>
  <c r="N8" i="17"/>
  <c r="O8" i="17"/>
  <c r="P8" i="17"/>
  <c r="Q60" i="17"/>
  <c r="F45" i="17"/>
  <c r="G45" i="17"/>
  <c r="H45" i="17"/>
  <c r="I45" i="17"/>
  <c r="J45" i="17"/>
  <c r="K45" i="17"/>
  <c r="L45" i="17"/>
  <c r="M45" i="17"/>
  <c r="N45" i="17"/>
  <c r="O45" i="17"/>
  <c r="P45" i="17"/>
  <c r="E45" i="17"/>
  <c r="L158" i="36"/>
  <c r="K158" i="36"/>
  <c r="C84" i="4"/>
  <c r="C85" i="4"/>
  <c r="C87" i="4"/>
  <c r="C165" i="4" s="1"/>
  <c r="C88" i="4"/>
  <c r="C166" i="4" s="1"/>
  <c r="C89" i="4"/>
  <c r="C167" i="4" s="1"/>
  <c r="C146" i="4"/>
  <c r="C91" i="4"/>
  <c r="C92" i="4"/>
  <c r="C93" i="4"/>
  <c r="C95" i="4"/>
  <c r="C96" i="4"/>
  <c r="C97" i="4"/>
  <c r="C98" i="4"/>
  <c r="C99" i="4"/>
  <c r="C177" i="4" s="1"/>
  <c r="C100" i="4"/>
  <c r="C178" i="4" s="1"/>
  <c r="C147" i="4"/>
  <c r="C103" i="4"/>
  <c r="C104" i="4"/>
  <c r="C182" i="4" s="1"/>
  <c r="C148" i="4"/>
  <c r="C106" i="4"/>
  <c r="C107" i="4"/>
  <c r="C108" i="4"/>
  <c r="C109" i="4"/>
  <c r="C110" i="4"/>
  <c r="C188" i="4" s="1"/>
  <c r="C149" i="4"/>
  <c r="C112" i="4"/>
  <c r="C113" i="4"/>
  <c r="C114" i="4"/>
  <c r="C115" i="4"/>
  <c r="C116" i="4"/>
  <c r="C194" i="4" s="1"/>
  <c r="C150" i="4"/>
  <c r="C118" i="4"/>
  <c r="C119" i="4"/>
  <c r="C120" i="4"/>
  <c r="C198" i="4" s="1"/>
  <c r="C121" i="4"/>
  <c r="C122" i="4"/>
  <c r="C123" i="4"/>
  <c r="C151" i="4"/>
  <c r="C125" i="4"/>
  <c r="C126" i="4"/>
  <c r="C204" i="4" s="1"/>
  <c r="C127" i="4"/>
  <c r="C128" i="4"/>
  <c r="C129" i="4"/>
  <c r="C207" i="4" s="1"/>
  <c r="C130" i="4"/>
  <c r="C208" i="4" s="1"/>
  <c r="C133" i="4"/>
  <c r="C134" i="4"/>
  <c r="C135" i="4"/>
  <c r="C139" i="4"/>
  <c r="C140" i="4"/>
  <c r="C141" i="4"/>
  <c r="C219" i="4" s="1"/>
  <c r="C83" i="4"/>
  <c r="C161" i="4" s="1"/>
  <c r="CV45" i="17"/>
  <c r="Q40" i="17" l="1"/>
  <c r="F73" i="17" s="1"/>
  <c r="C190" i="4"/>
  <c r="C191" i="4"/>
  <c r="C192" i="4"/>
  <c r="C211" i="4"/>
  <c r="C212" i="4"/>
  <c r="C193" i="4"/>
  <c r="C169" i="4"/>
  <c r="C170" i="4"/>
  <c r="C171" i="4"/>
  <c r="C203" i="4"/>
  <c r="C181" i="4"/>
  <c r="C205" i="4"/>
  <c r="C206" i="4"/>
  <c r="C201" i="4"/>
  <c r="C162" i="4"/>
  <c r="C173" i="4"/>
  <c r="C163" i="4"/>
  <c r="C174" i="4"/>
  <c r="C184" i="4"/>
  <c r="C164" i="4"/>
  <c r="C175" i="4"/>
  <c r="C185" i="4"/>
  <c r="C216" i="4"/>
  <c r="C176" i="4"/>
  <c r="C186" i="4"/>
  <c r="C196" i="4"/>
  <c r="C217" i="4"/>
  <c r="C187" i="4"/>
  <c r="C197" i="4"/>
  <c r="C218" i="4"/>
  <c r="C213" i="4"/>
  <c r="C199" i="4"/>
  <c r="C200" i="4"/>
  <c r="V49" i="28"/>
  <c r="U49" i="28"/>
  <c r="CW79" i="17"/>
  <c r="CV75" i="17"/>
  <c r="CV74" i="17"/>
  <c r="CV73" i="17"/>
  <c r="CV72" i="17"/>
  <c r="F169" i="36"/>
  <c r="F168" i="36"/>
  <c r="G49" i="36"/>
  <c r="T123" i="36"/>
  <c r="L170" i="36" s="1"/>
  <c r="P123" i="36"/>
  <c r="K170" i="36" s="1"/>
  <c r="G116" i="36"/>
  <c r="H114" i="36"/>
  <c r="G114" i="36"/>
  <c r="H112" i="36"/>
  <c r="G112" i="36"/>
  <c r="H110" i="36"/>
  <c r="G110" i="36"/>
  <c r="G103" i="36"/>
  <c r="CW222" i="36"/>
  <c r="CY174" i="36"/>
  <c r="CY128" i="36"/>
  <c r="CX128" i="36"/>
  <c r="L123" i="36"/>
  <c r="E109" i="36"/>
  <c r="G105" i="36"/>
  <c r="H103" i="36"/>
  <c r="H101" i="36"/>
  <c r="G101" i="36"/>
  <c r="H99" i="36"/>
  <c r="G99" i="36"/>
  <c r="E98" i="36"/>
  <c r="D97" i="36"/>
  <c r="S64" i="36"/>
  <c r="AD227" i="36" s="1"/>
  <c r="R64" i="36"/>
  <c r="AC227" i="36" s="1"/>
  <c r="Q64" i="36"/>
  <c r="AB227" i="36" s="1"/>
  <c r="P64" i="36"/>
  <c r="AA227" i="36" s="1"/>
  <c r="O64" i="36"/>
  <c r="Z227" i="36" s="1"/>
  <c r="N64" i="36"/>
  <c r="Y227" i="36" s="1"/>
  <c r="M64" i="36"/>
  <c r="X227" i="36" s="1"/>
  <c r="L64" i="36"/>
  <c r="W227" i="36" s="1"/>
  <c r="K64" i="36"/>
  <c r="V227" i="36" s="1"/>
  <c r="J64" i="36"/>
  <c r="U227" i="36" s="1"/>
  <c r="I64" i="36"/>
  <c r="T227" i="36" s="1"/>
  <c r="H64" i="36"/>
  <c r="S227" i="36" s="1"/>
  <c r="T63" i="36"/>
  <c r="T62" i="36"/>
  <c r="S61" i="36"/>
  <c r="R61" i="36"/>
  <c r="Q61" i="36"/>
  <c r="P61" i="36"/>
  <c r="O61" i="36"/>
  <c r="N61" i="36"/>
  <c r="M61" i="36"/>
  <c r="L61" i="36"/>
  <c r="K61" i="36"/>
  <c r="J61" i="36"/>
  <c r="I61" i="36"/>
  <c r="H61" i="36"/>
  <c r="D61" i="36"/>
  <c r="D120" i="36" s="1"/>
  <c r="T57" i="36"/>
  <c r="H116" i="36" s="1"/>
  <c r="T55" i="36"/>
  <c r="T53" i="36"/>
  <c r="T51" i="36"/>
  <c r="E50" i="36"/>
  <c r="D50" i="36"/>
  <c r="D109" i="36" s="1"/>
  <c r="T46" i="36"/>
  <c r="H105" i="36" s="1"/>
  <c r="T44" i="36"/>
  <c r="T42" i="36"/>
  <c r="T40" i="36"/>
  <c r="E39" i="36"/>
  <c r="D39" i="36"/>
  <c r="D98" i="36" s="1"/>
  <c r="D112" i="36" s="1"/>
  <c r="S30" i="36"/>
  <c r="R227" i="36" s="1"/>
  <c r="R30" i="36"/>
  <c r="Q227" i="36" s="1"/>
  <c r="Q30" i="36"/>
  <c r="P227" i="36" s="1"/>
  <c r="P30" i="36"/>
  <c r="O227" i="36" s="1"/>
  <c r="O30" i="36"/>
  <c r="N227" i="36" s="1"/>
  <c r="N30" i="36"/>
  <c r="M227" i="36" s="1"/>
  <c r="M30" i="36"/>
  <c r="L227" i="36" s="1"/>
  <c r="L30" i="36"/>
  <c r="K227" i="36" s="1"/>
  <c r="K30" i="36"/>
  <c r="J227" i="36" s="1"/>
  <c r="J30" i="36"/>
  <c r="I227" i="36" s="1"/>
  <c r="I30" i="36"/>
  <c r="H227" i="36" s="1"/>
  <c r="H30" i="36"/>
  <c r="G227" i="36" s="1"/>
  <c r="T29" i="36"/>
  <c r="T28" i="36"/>
  <c r="S27" i="36"/>
  <c r="R27" i="36"/>
  <c r="Q27" i="36"/>
  <c r="P27" i="36"/>
  <c r="O27" i="36"/>
  <c r="N27" i="36"/>
  <c r="M27" i="36"/>
  <c r="L27" i="36"/>
  <c r="K27" i="36"/>
  <c r="J27" i="36"/>
  <c r="I27" i="36"/>
  <c r="H27" i="36"/>
  <c r="T23" i="36"/>
  <c r="T21" i="36"/>
  <c r="T19" i="36"/>
  <c r="T17" i="36"/>
  <c r="CY12" i="36"/>
  <c r="CX12" i="36"/>
  <c r="T12" i="36"/>
  <c r="T10" i="36"/>
  <c r="T8" i="36"/>
  <c r="T6" i="36"/>
  <c r="S13" i="4"/>
  <c r="F227" i="36" l="1"/>
  <c r="G121" i="36"/>
  <c r="H121" i="36"/>
  <c r="G169" i="4"/>
  <c r="I109" i="36"/>
  <c r="I98" i="36"/>
  <c r="H122" i="36"/>
  <c r="G122" i="36"/>
  <c r="D116" i="36"/>
  <c r="D110" i="36"/>
  <c r="D114" i="36"/>
  <c r="D101" i="36"/>
  <c r="D103" i="36"/>
  <c r="D99" i="36"/>
  <c r="D105" i="36"/>
  <c r="T64" i="36"/>
  <c r="H123" i="36" s="1"/>
  <c r="J170" i="36"/>
  <c r="T30" i="36"/>
  <c r="D121" i="36"/>
  <c r="D122" i="36"/>
  <c r="M109" i="36" l="1"/>
  <c r="Q109" i="36" s="1"/>
  <c r="M98" i="36"/>
  <c r="Q98" i="36" s="1"/>
  <c r="G123" i="36"/>
  <c r="H170" i="36"/>
  <c r="M148" i="36"/>
  <c r="L148" i="36"/>
  <c r="J148" i="36"/>
  <c r="I148" i="36"/>
  <c r="P148" i="36"/>
  <c r="N148" i="36"/>
  <c r="O148" i="36"/>
  <c r="K148" i="36"/>
  <c r="S148" i="36"/>
  <c r="R148" i="36"/>
  <c r="Q148" i="36"/>
  <c r="T139" i="36"/>
  <c r="H158" i="36" s="1"/>
  <c r="I170" i="36"/>
  <c r="T148" i="36" l="1"/>
  <c r="I158" i="36" s="1"/>
  <c r="CV22" i="4"/>
  <c r="CW22" i="4"/>
  <c r="CT36" i="4"/>
  <c r="CT37" i="4"/>
  <c r="CO25" i="4"/>
  <c r="CO27" i="4" s="1"/>
  <c r="CN25" i="4"/>
  <c r="CN27" i="4" s="1"/>
  <c r="CW93" i="4"/>
  <c r="CR26" i="4"/>
  <c r="CQ26" i="4"/>
  <c r="CP25" i="4"/>
  <c r="CP27" i="4" s="1"/>
  <c r="CM25" i="4"/>
  <c r="CM27" i="4" s="1"/>
  <c r="CR24" i="4"/>
  <c r="CQ24" i="4"/>
  <c r="CP24" i="4"/>
  <c r="CO24" i="4"/>
  <c r="CN24" i="4"/>
  <c r="CM24" i="4"/>
  <c r="CR23" i="4"/>
  <c r="CQ23" i="4"/>
  <c r="CP23" i="4"/>
  <c r="CO23" i="4"/>
  <c r="CM23" i="4"/>
  <c r="CR25" i="4"/>
  <c r="CR27" i="4" s="1"/>
  <c r="CQ25" i="4"/>
  <c r="CQ27" i="4" s="1"/>
  <c r="CP26" i="4"/>
  <c r="CK28" i="4" l="1"/>
  <c r="CK29" i="4"/>
  <c r="A4" i="28"/>
  <c r="A5" i="28" s="1"/>
  <c r="B15" i="28"/>
  <c r="CJ15" i="4" l="1"/>
  <c r="CU169" i="4"/>
  <c r="CU194" i="4"/>
  <c r="Z182" i="4" s="1"/>
  <c r="AD182" i="4" s="1"/>
  <c r="AH182" i="4" s="1"/>
  <c r="CU189" i="4"/>
  <c r="CU195" i="4"/>
  <c r="AA182" i="4" s="1"/>
  <c r="AE182" i="4" s="1"/>
  <c r="AI182" i="4" s="1"/>
  <c r="CU190" i="4"/>
  <c r="CU193" i="4"/>
  <c r="AB191" i="4" s="1"/>
  <c r="AF191" i="4" s="1"/>
  <c r="AJ191" i="4" s="1"/>
  <c r="AJ112" i="4" s="1"/>
  <c r="AJ33" i="4" s="1"/>
  <c r="CU191" i="4"/>
  <c r="U26" i="4" s="1"/>
  <c r="U28" i="4" s="1"/>
  <c r="U30" i="4" s="1"/>
  <c r="U32" i="4" s="1"/>
  <c r="CU192" i="4"/>
  <c r="AB183" i="4" s="1"/>
  <c r="R6" i="28"/>
  <c r="CW34" i="36"/>
  <c r="L38" i="28"/>
  <c r="CX12" i="39"/>
  <c r="C12" i="39" s="1"/>
  <c r="CX13" i="39"/>
  <c r="C13" i="39" s="1"/>
  <c r="CX14" i="39"/>
  <c r="C14" i="39" s="1"/>
  <c r="CX15" i="39"/>
  <c r="C15" i="39" s="1"/>
  <c r="CX16" i="39"/>
  <c r="C16" i="39" s="1"/>
  <c r="CX17" i="39"/>
  <c r="C17" i="39" s="1"/>
  <c r="CX6" i="39"/>
  <c r="C6" i="39" s="1"/>
  <c r="CX5" i="39"/>
  <c r="C5" i="39" s="1"/>
  <c r="CX7" i="39"/>
  <c r="C7" i="39" s="1"/>
  <c r="CX8" i="39"/>
  <c r="C8" i="39" s="1"/>
  <c r="CU27" i="27"/>
  <c r="CU174" i="4"/>
  <c r="Z158" i="4" s="1"/>
  <c r="CX9" i="39"/>
  <c r="C9" i="39" s="1"/>
  <c r="CX10" i="39"/>
  <c r="C10" i="39" s="1"/>
  <c r="CX11" i="39"/>
  <c r="C11" i="39" s="1"/>
  <c r="CX2" i="39"/>
  <c r="C2" i="39" s="1"/>
  <c r="CU40" i="17"/>
  <c r="CU66" i="17"/>
  <c r="CU78" i="17"/>
  <c r="CU91" i="17"/>
  <c r="CU6" i="17"/>
  <c r="D6" i="17" s="1"/>
  <c r="CU20" i="17"/>
  <c r="CU41" i="17"/>
  <c r="CU67" i="17"/>
  <c r="CU92" i="17"/>
  <c r="CU7" i="17"/>
  <c r="D7" i="17" s="1"/>
  <c r="D39" i="17" s="1"/>
  <c r="D72" i="17" s="1"/>
  <c r="CU163" i="4"/>
  <c r="CU68" i="17"/>
  <c r="CU81" i="17"/>
  <c r="CU105" i="17"/>
  <c r="CU8" i="17"/>
  <c r="D8" i="17" s="1"/>
  <c r="D40" i="17" s="1"/>
  <c r="D73" i="17" s="1"/>
  <c r="CU22" i="17"/>
  <c r="CU31" i="17"/>
  <c r="D31" i="17" s="1"/>
  <c r="D63" i="17" s="1"/>
  <c r="D96" i="17" s="1"/>
  <c r="CU57" i="17"/>
  <c r="CU69" i="17"/>
  <c r="CU94" i="17"/>
  <c r="CU9" i="17"/>
  <c r="D9" i="17" s="1"/>
  <c r="D41" i="17" s="1"/>
  <c r="D74" i="17" s="1"/>
  <c r="CU32" i="17"/>
  <c r="D32" i="17" s="1"/>
  <c r="D64" i="17" s="1"/>
  <c r="D97" i="17" s="1"/>
  <c r="CU44" i="17"/>
  <c r="CU58" i="17"/>
  <c r="CU83" i="17"/>
  <c r="CU95" i="17"/>
  <c r="CU24" i="17"/>
  <c r="D24" i="17" s="1"/>
  <c r="D56" i="17" s="1"/>
  <c r="CU33" i="17"/>
  <c r="D33" i="17" s="1"/>
  <c r="D65" i="17" s="1"/>
  <c r="D98" i="17" s="1"/>
  <c r="CU45" i="17"/>
  <c r="CU71" i="17"/>
  <c r="CU84" i="17"/>
  <c r="CU96" i="17"/>
  <c r="CU25" i="17"/>
  <c r="D25" i="17" s="1"/>
  <c r="D57" i="17" s="1"/>
  <c r="D90" i="17" s="1"/>
  <c r="CU34" i="17"/>
  <c r="D34" i="17" s="1"/>
  <c r="D66" i="17" s="1"/>
  <c r="CU46" i="17"/>
  <c r="CU72" i="17"/>
  <c r="CU97" i="17"/>
  <c r="CU12" i="17"/>
  <c r="D12" i="17" s="1"/>
  <c r="D44" i="17" s="1"/>
  <c r="D77" i="17" s="1"/>
  <c r="CU35" i="17"/>
  <c r="CU48" i="17"/>
  <c r="CU61" i="17"/>
  <c r="CU73" i="17"/>
  <c r="CU98" i="17"/>
  <c r="CU110" i="17"/>
  <c r="CU13" i="17"/>
  <c r="CU224" i="4"/>
  <c r="CU49" i="17"/>
  <c r="CU62" i="17"/>
  <c r="CU74" i="17"/>
  <c r="CU99" i="17"/>
  <c r="CU2" i="17"/>
  <c r="F2" i="17" s="1"/>
  <c r="CU14" i="17"/>
  <c r="D14" i="17" s="1"/>
  <c r="D46" i="17" s="1"/>
  <c r="D79" i="17" s="1"/>
  <c r="CU28" i="17"/>
  <c r="D28" i="17" s="1"/>
  <c r="D60" i="17" s="1"/>
  <c r="D93" i="17" s="1"/>
  <c r="CU98" i="4"/>
  <c r="CU37" i="17"/>
  <c r="CU50" i="17"/>
  <c r="CU63" i="17"/>
  <c r="CU75" i="17"/>
  <c r="CU100" i="17"/>
  <c r="CU3" i="17"/>
  <c r="H2" i="17" s="1"/>
  <c r="CU16" i="17"/>
  <c r="D16" i="17" s="1"/>
  <c r="D48" i="17" s="1"/>
  <c r="D81" i="17" s="1"/>
  <c r="CU29" i="17"/>
  <c r="D29" i="17" s="1"/>
  <c r="D61" i="17" s="1"/>
  <c r="D94" i="17" s="1"/>
  <c r="CU21" i="4"/>
  <c r="CU38" i="17"/>
  <c r="CU64" i="17"/>
  <c r="CU89" i="17"/>
  <c r="D88" i="17" s="1"/>
  <c r="CU101" i="17"/>
  <c r="CU17" i="17"/>
  <c r="D17" i="17" s="1"/>
  <c r="D49" i="17" s="1"/>
  <c r="D82" i="17" s="1"/>
  <c r="CU30" i="17"/>
  <c r="D30" i="17" s="1"/>
  <c r="D62" i="17" s="1"/>
  <c r="D95" i="17" s="1"/>
  <c r="CU20" i="4"/>
  <c r="CU39" i="17"/>
  <c r="CU65" i="17"/>
  <c r="CU77" i="17"/>
  <c r="CU102" i="17"/>
  <c r="CU5" i="17"/>
  <c r="CU18" i="17"/>
  <c r="D18" i="17" s="1"/>
  <c r="D50" i="17" s="1"/>
  <c r="D83" i="17" s="1"/>
  <c r="CU1" i="17"/>
  <c r="S6" i="17" s="1"/>
  <c r="CU82" i="17"/>
  <c r="CX8" i="4"/>
  <c r="AA2" i="4" s="1"/>
  <c r="CX10" i="4"/>
  <c r="AC2" i="4" s="1"/>
  <c r="CX11" i="4"/>
  <c r="AD2" i="4" s="1"/>
  <c r="CX9" i="4"/>
  <c r="AB2" i="4" s="1"/>
  <c r="CX5" i="4"/>
  <c r="X2" i="4" s="1"/>
  <c r="CX6" i="4"/>
  <c r="Y2" i="4" s="1"/>
  <c r="CX7" i="4"/>
  <c r="Z2" i="4" s="1"/>
  <c r="CX18" i="4"/>
  <c r="CX27" i="4"/>
  <c r="CX38" i="4"/>
  <c r="CX48" i="4"/>
  <c r="CX75" i="4"/>
  <c r="CX78" i="4"/>
  <c r="CX146" i="4"/>
  <c r="CU177" i="4"/>
  <c r="CX20" i="4"/>
  <c r="CX29" i="4"/>
  <c r="CX50" i="4"/>
  <c r="CX60" i="4"/>
  <c r="CU172" i="4"/>
  <c r="CX40" i="4"/>
  <c r="CX81" i="4"/>
  <c r="CU173" i="4"/>
  <c r="CX41" i="4"/>
  <c r="CX82" i="4"/>
  <c r="CU180" i="4"/>
  <c r="U35" i="4" s="1"/>
  <c r="U114" i="4" s="1"/>
  <c r="U193" i="4" s="1"/>
  <c r="Y193" i="4" s="1"/>
  <c r="AC193" i="4" s="1"/>
  <c r="AG193" i="4" s="1"/>
  <c r="CX22" i="4"/>
  <c r="CX53" i="4"/>
  <c r="CX83" i="4"/>
  <c r="CU181" i="4"/>
  <c r="CX69" i="4"/>
  <c r="CX71" i="4"/>
  <c r="CX74" i="4"/>
  <c r="CX84" i="4"/>
  <c r="CU176" i="4"/>
  <c r="CX33" i="4"/>
  <c r="CX54" i="4"/>
  <c r="CX85" i="4"/>
  <c r="CU226" i="4"/>
  <c r="CX24" i="4"/>
  <c r="CX34" i="4"/>
  <c r="CX19" i="4"/>
  <c r="CX28" i="4"/>
  <c r="CX72" i="4"/>
  <c r="CX49" i="4"/>
  <c r="CX59" i="4"/>
  <c r="CX79" i="4"/>
  <c r="CX90" i="4"/>
  <c r="CU178" i="4"/>
  <c r="CU171" i="4"/>
  <c r="CX3" i="4"/>
  <c r="U2" i="4" s="1"/>
  <c r="CX39" i="4"/>
  <c r="CU225" i="4"/>
  <c r="CX30" i="4"/>
  <c r="CX51" i="4"/>
  <c r="CX61" i="4"/>
  <c r="CU179" i="4"/>
  <c r="CX21" i="4"/>
  <c r="CX31" i="4"/>
  <c r="CX52" i="4"/>
  <c r="CX62" i="4"/>
  <c r="CX68" i="4"/>
  <c r="CU19" i="4"/>
  <c r="CX32" i="4"/>
  <c r="CX42" i="4"/>
  <c r="CX63" i="4"/>
  <c r="CU175" i="4"/>
  <c r="CX12" i="4"/>
  <c r="CX43" i="4"/>
  <c r="CX64" i="4"/>
  <c r="CU182" i="4"/>
  <c r="W34" i="4" s="1"/>
  <c r="CX23" i="4"/>
  <c r="CX44" i="4"/>
  <c r="CX76" i="4"/>
  <c r="CU167" i="4"/>
  <c r="CX14" i="4"/>
  <c r="CX15" i="4"/>
  <c r="CX47" i="4"/>
  <c r="CX89" i="4"/>
  <c r="CX17" i="4"/>
  <c r="CX56" i="4"/>
  <c r="CU186" i="4"/>
  <c r="CX25" i="4"/>
  <c r="CX57" i="4"/>
  <c r="CX26" i="4"/>
  <c r="CX58" i="4"/>
  <c r="CX65" i="4"/>
  <c r="CX66" i="4"/>
  <c r="CU170" i="4"/>
  <c r="CX36" i="4"/>
  <c r="CX4" i="4"/>
  <c r="W2" i="4" s="1"/>
  <c r="CX37" i="4"/>
  <c r="CX45" i="4"/>
  <c r="CU188" i="4"/>
  <c r="CX87" i="4"/>
  <c r="CX46" i="4"/>
  <c r="CU183" i="4"/>
  <c r="CX16" i="4"/>
  <c r="CX55" i="4"/>
  <c r="CU185" i="4"/>
  <c r="CX35" i="4"/>
  <c r="CX67" i="4"/>
  <c r="CX77" i="4"/>
  <c r="CX86" i="4"/>
  <c r="CX73" i="4"/>
  <c r="CX88" i="4"/>
  <c r="CX70" i="4"/>
  <c r="CU94" i="4"/>
  <c r="CV22" i="36"/>
  <c r="CX22" i="36"/>
  <c r="CV395" i="33"/>
  <c r="CV407" i="33"/>
  <c r="CV391" i="33"/>
  <c r="CY111" i="32"/>
  <c r="CV408" i="33"/>
  <c r="CY112" i="32"/>
  <c r="C113" i="32" s="1"/>
  <c r="CV397" i="33"/>
  <c r="C62" i="33" s="1"/>
  <c r="CV409" i="33"/>
  <c r="CY110" i="32"/>
  <c r="C111" i="32" s="1"/>
  <c r="CV410" i="33"/>
  <c r="CV393" i="33"/>
  <c r="CV396" i="33"/>
  <c r="CV394" i="33"/>
  <c r="CV398" i="33"/>
  <c r="CV399" i="33"/>
  <c r="CV411" i="33"/>
  <c r="CV400" i="33"/>
  <c r="CV412" i="33"/>
  <c r="CV401" i="33"/>
  <c r="CV413" i="33"/>
  <c r="CY113" i="32"/>
  <c r="CV402" i="33"/>
  <c r="CV414" i="33"/>
  <c r="CY114" i="32"/>
  <c r="CV403" i="33"/>
  <c r="CV415" i="33"/>
  <c r="CY115" i="32"/>
  <c r="CV404" i="33"/>
  <c r="CV392" i="33"/>
  <c r="CY116" i="32"/>
  <c r="D117" i="32" s="1"/>
  <c r="CV405" i="33"/>
  <c r="CY117" i="32"/>
  <c r="CV406" i="33"/>
  <c r="CY118" i="32"/>
  <c r="D119" i="32" s="1"/>
  <c r="CY3" i="32"/>
  <c r="CY15" i="32"/>
  <c r="CY27" i="32"/>
  <c r="CY52" i="32"/>
  <c r="C52" i="32" s="1"/>
  <c r="CY46" i="32"/>
  <c r="CY11" i="32"/>
  <c r="CY35" i="32"/>
  <c r="CU78" i="4"/>
  <c r="F77" i="4" s="1"/>
  <c r="CY51" i="32"/>
  <c r="CY4" i="32"/>
  <c r="CY16" i="32"/>
  <c r="CY28" i="32"/>
  <c r="CY53" i="32"/>
  <c r="CY17" i="32"/>
  <c r="CY41" i="32"/>
  <c r="CY54" i="32"/>
  <c r="CY18" i="32"/>
  <c r="CY30" i="32"/>
  <c r="CY42" i="32"/>
  <c r="CY55" i="32"/>
  <c r="CY7" i="32"/>
  <c r="CY19" i="32"/>
  <c r="CY31" i="32"/>
  <c r="CY56" i="32"/>
  <c r="CY8" i="32"/>
  <c r="CY20" i="32"/>
  <c r="CY32" i="32"/>
  <c r="CY9" i="32"/>
  <c r="CY21" i="32"/>
  <c r="CY33" i="32"/>
  <c r="CY45" i="32"/>
  <c r="CY10" i="32"/>
  <c r="CY22" i="32"/>
  <c r="CY23" i="32"/>
  <c r="CY36" i="32"/>
  <c r="CY49" i="32"/>
  <c r="CU15" i="4"/>
  <c r="CU13" i="4"/>
  <c r="CU4" i="13"/>
  <c r="CU162" i="4"/>
  <c r="CU4" i="12"/>
  <c r="B4" i="12" s="1"/>
  <c r="CU16" i="12"/>
  <c r="B16" i="12" s="1"/>
  <c r="CU27" i="12"/>
  <c r="CV33" i="33"/>
  <c r="CV45" i="33"/>
  <c r="CV58" i="33"/>
  <c r="CU5" i="12"/>
  <c r="CU17" i="12"/>
  <c r="B17" i="12" s="1"/>
  <c r="CU28" i="12"/>
  <c r="CV34" i="33"/>
  <c r="CV46" i="33"/>
  <c r="CU6" i="12"/>
  <c r="B6" i="12" s="1"/>
  <c r="CU18" i="12"/>
  <c r="B18" i="12" s="1"/>
  <c r="CU29" i="12"/>
  <c r="CV35" i="33"/>
  <c r="CV61" i="33"/>
  <c r="CU2" i="12"/>
  <c r="CV62" i="33"/>
  <c r="CV47" i="33"/>
  <c r="CU7" i="12"/>
  <c r="B7" i="12" s="1"/>
  <c r="CV36" i="33"/>
  <c r="CW106" i="36"/>
  <c r="E141" i="36" s="1"/>
  <c r="CU8" i="12"/>
  <c r="CU20" i="12"/>
  <c r="B20" i="12" s="1"/>
  <c r="CV37" i="33"/>
  <c r="CV49" i="33"/>
  <c r="CV64" i="33"/>
  <c r="B25" i="12"/>
  <c r="CU9" i="12"/>
  <c r="B9" i="12" s="1"/>
  <c r="CU21" i="12"/>
  <c r="CV38" i="33"/>
  <c r="CV50" i="33"/>
  <c r="CV65" i="33"/>
  <c r="CU10" i="12"/>
  <c r="B10" i="12" s="1"/>
  <c r="CU22" i="12"/>
  <c r="B22" i="12" s="1"/>
  <c r="L1" i="27"/>
  <c r="CV39" i="33"/>
  <c r="CV51" i="33"/>
  <c r="CV66" i="33"/>
  <c r="CU11" i="12"/>
  <c r="B11" i="12" s="1"/>
  <c r="CU23" i="12"/>
  <c r="CV63" i="33"/>
  <c r="CV40" i="33"/>
  <c r="CV52" i="33"/>
  <c r="CU12" i="12"/>
  <c r="B12" i="12" s="1"/>
  <c r="CV29" i="33"/>
  <c r="CV41" i="33"/>
  <c r="CV53" i="33"/>
  <c r="CV68" i="33"/>
  <c r="CU13" i="12"/>
  <c r="CV30" i="33"/>
  <c r="CV42" i="33"/>
  <c r="CV54" i="33"/>
  <c r="CV69" i="33"/>
  <c r="CU14" i="12"/>
  <c r="B14" i="12" s="1"/>
  <c r="CU24" i="12"/>
  <c r="B24" i="12" s="1"/>
  <c r="CV31" i="33"/>
  <c r="CV43" i="33"/>
  <c r="CV55" i="33"/>
  <c r="CU3" i="12"/>
  <c r="CU15" i="12"/>
  <c r="B15" i="12" s="1"/>
  <c r="CU25" i="12"/>
  <c r="CV32" i="33"/>
  <c r="CV44" i="33"/>
  <c r="CV56" i="33"/>
  <c r="CU19" i="12"/>
  <c r="B19" i="12" s="1"/>
  <c r="CV48" i="33"/>
  <c r="CW178" i="36"/>
  <c r="F171" i="36" s="1"/>
  <c r="CW162" i="36"/>
  <c r="CW150" i="36"/>
  <c r="CW138" i="36"/>
  <c r="G138" i="36" s="1"/>
  <c r="G147" i="36" s="1"/>
  <c r="CW127" i="36"/>
  <c r="E33" i="36" s="1"/>
  <c r="CW115" i="36"/>
  <c r="CW105" i="36"/>
  <c r="CW88" i="36"/>
  <c r="CW75" i="36"/>
  <c r="CW54" i="36"/>
  <c r="CW49" i="36"/>
  <c r="CW35" i="36"/>
  <c r="CW26" i="36"/>
  <c r="CW15" i="36"/>
  <c r="CW83" i="36"/>
  <c r="CW177" i="36"/>
  <c r="CW161" i="36"/>
  <c r="CW149" i="36"/>
  <c r="CW137" i="36"/>
  <c r="CW126" i="36"/>
  <c r="CW114" i="36"/>
  <c r="CW98" i="36"/>
  <c r="CW87" i="36"/>
  <c r="CW70" i="36"/>
  <c r="CW61" i="36"/>
  <c r="CW53" i="36"/>
  <c r="CW48" i="36"/>
  <c r="CW25" i="36"/>
  <c r="CW16" i="36"/>
  <c r="W4" i="36" s="1"/>
  <c r="CW7" i="36"/>
  <c r="CW176" i="36"/>
  <c r="CW160" i="36"/>
  <c r="CW148" i="36"/>
  <c r="CW136" i="36"/>
  <c r="E134" i="36" s="1"/>
  <c r="CW125" i="36"/>
  <c r="E31" i="36" s="1"/>
  <c r="E65" i="36" s="1"/>
  <c r="E124" i="36" s="1"/>
  <c r="CW113" i="36"/>
  <c r="CW104" i="36"/>
  <c r="CW86" i="36"/>
  <c r="CW68" i="36"/>
  <c r="CW47" i="36"/>
  <c r="CW41" i="36"/>
  <c r="CW33" i="36"/>
  <c r="CW24" i="36"/>
  <c r="CW5" i="36"/>
  <c r="C4" i="36" s="1"/>
  <c r="C14" i="36" s="1"/>
  <c r="C25" i="36" s="1"/>
  <c r="CW190" i="36"/>
  <c r="CW175" i="36"/>
  <c r="CW159" i="36"/>
  <c r="CW147" i="36"/>
  <c r="CW135" i="36"/>
  <c r="CW124" i="36"/>
  <c r="CW112" i="36"/>
  <c r="CW97" i="36"/>
  <c r="CW85" i="36"/>
  <c r="CW60" i="36"/>
  <c r="CW46" i="36"/>
  <c r="CW40" i="36"/>
  <c r="CW31" i="36"/>
  <c r="CW14" i="36"/>
  <c r="CW4" i="36"/>
  <c r="CU18" i="4"/>
  <c r="CM32" i="4" s="1"/>
  <c r="CW59" i="36"/>
  <c r="CW188" i="36"/>
  <c r="CW158" i="36"/>
  <c r="CW146" i="36"/>
  <c r="E28" i="36" s="1"/>
  <c r="E62" i="36" s="1"/>
  <c r="CW134" i="36"/>
  <c r="CW123" i="36"/>
  <c r="CW111" i="36"/>
  <c r="CW103" i="36"/>
  <c r="CW84" i="36"/>
  <c r="CW58" i="36"/>
  <c r="CW52" i="36"/>
  <c r="CW30" i="36"/>
  <c r="CV41" i="36" s="1"/>
  <c r="CZ22" i="36"/>
  <c r="CW13" i="36"/>
  <c r="CW187" i="36"/>
  <c r="CW174" i="36"/>
  <c r="F170" i="36" s="1"/>
  <c r="CW157" i="36"/>
  <c r="CW145" i="36"/>
  <c r="CW110" i="36"/>
  <c r="CW96" i="36"/>
  <c r="CW67" i="36"/>
  <c r="CW57" i="36"/>
  <c r="CW51" i="36"/>
  <c r="CW29" i="36"/>
  <c r="CV51" i="36" s="1"/>
  <c r="CY22" i="36"/>
  <c r="CU16" i="4"/>
  <c r="C3" i="4" s="1"/>
  <c r="CW186" i="36"/>
  <c r="CW133" i="36"/>
  <c r="CW99" i="36"/>
  <c r="CW168" i="36"/>
  <c r="CW165" i="36"/>
  <c r="CW141" i="36"/>
  <c r="CW119" i="36"/>
  <c r="CW93" i="36"/>
  <c r="CW64" i="36"/>
  <c r="CW37" i="36"/>
  <c r="CW164" i="36"/>
  <c r="CW140" i="36"/>
  <c r="CW118" i="36"/>
  <c r="CW91" i="36"/>
  <c r="CW63" i="36"/>
  <c r="CW36" i="36"/>
  <c r="CW18" i="36"/>
  <c r="CU17" i="4"/>
  <c r="CW163" i="36"/>
  <c r="CW139" i="36"/>
  <c r="CW117" i="36"/>
  <c r="CW101" i="36"/>
  <c r="CW90" i="36"/>
  <c r="CW43" i="36"/>
  <c r="CW17" i="36"/>
  <c r="CW181" i="36"/>
  <c r="CW153" i="36"/>
  <c r="CW129" i="36"/>
  <c r="CW108" i="36"/>
  <c r="CW79" i="36"/>
  <c r="CW152" i="36"/>
  <c r="CW107" i="36"/>
  <c r="CW78" i="36"/>
  <c r="CW27" i="36"/>
  <c r="CW11" i="36"/>
  <c r="CW179" i="36"/>
  <c r="CW77" i="36"/>
  <c r="CW56" i="36"/>
  <c r="CW66" i="36"/>
  <c r="CW142" i="36"/>
  <c r="CW65" i="36"/>
  <c r="CW44" i="36"/>
  <c r="CW156" i="36"/>
  <c r="M162" i="36" s="1"/>
  <c r="CW132" i="36"/>
  <c r="CW116" i="36"/>
  <c r="CW89" i="36"/>
  <c r="CW62" i="36"/>
  <c r="CW42" i="36"/>
  <c r="CW185" i="36"/>
  <c r="CW155" i="36"/>
  <c r="CW131" i="36"/>
  <c r="CW109" i="36"/>
  <c r="CW81" i="36"/>
  <c r="CW28" i="36"/>
  <c r="CV47" i="36" s="1"/>
  <c r="CW182" i="36"/>
  <c r="CW154" i="36"/>
  <c r="CW130" i="36"/>
  <c r="CW100" i="36"/>
  <c r="CW80" i="36"/>
  <c r="CW50" i="36"/>
  <c r="CW169" i="36"/>
  <c r="E165" i="36" s="1"/>
  <c r="CW180" i="36"/>
  <c r="CW10" i="36"/>
  <c r="G143" i="36" s="1"/>
  <c r="G162" i="36" s="1"/>
  <c r="CW151" i="36"/>
  <c r="CW144" i="36"/>
  <c r="CW76" i="36"/>
  <c r="CW55" i="36"/>
  <c r="CW39" i="36"/>
  <c r="E4" i="36" s="1"/>
  <c r="E38" i="36" s="1"/>
  <c r="CW9" i="36"/>
  <c r="CW167" i="36"/>
  <c r="CW143" i="36"/>
  <c r="CW122" i="36"/>
  <c r="CW95" i="36"/>
  <c r="CW45" i="36"/>
  <c r="CW22" i="36"/>
  <c r="CW8" i="36"/>
  <c r="CW166" i="36"/>
  <c r="CW121" i="36"/>
  <c r="CW94" i="36"/>
  <c r="CW128" i="36"/>
  <c r="CW12" i="36"/>
  <c r="I124" i="36" s="1"/>
  <c r="M124" i="36" s="1"/>
  <c r="Q124" i="36" s="1"/>
  <c r="CU12" i="4"/>
  <c r="CU68" i="4"/>
  <c r="AJ102" i="4" l="1"/>
  <c r="AJ23" i="4" s="1"/>
  <c r="U36" i="4"/>
  <c r="U37" i="4" s="1"/>
  <c r="CJ25" i="4"/>
  <c r="CL23" i="4"/>
  <c r="CL26" i="4"/>
  <c r="CL24" i="4"/>
  <c r="B12" i="43"/>
  <c r="B26" i="43"/>
  <c r="CJ24" i="4"/>
  <c r="CL25" i="4"/>
  <c r="CJ27" i="4"/>
  <c r="CJ23" i="4"/>
  <c r="CJ26" i="4"/>
  <c r="W32" i="4"/>
  <c r="W111" i="4"/>
  <c r="U184" i="4"/>
  <c r="U190" i="4"/>
  <c r="W30" i="4"/>
  <c r="W109" i="4" s="1"/>
  <c r="W28" i="4"/>
  <c r="W107" i="4" s="1"/>
  <c r="U188" i="4"/>
  <c r="W26" i="4"/>
  <c r="W105" i="4" s="1"/>
  <c r="U186" i="4"/>
  <c r="AF183" i="4"/>
  <c r="AJ183" i="4" s="1"/>
  <c r="AB185" i="4"/>
  <c r="U25" i="4"/>
  <c r="Z191" i="4"/>
  <c r="AD191" i="4" s="1"/>
  <c r="AH191" i="4" s="1"/>
  <c r="U33" i="4"/>
  <c r="U112" i="4"/>
  <c r="W31" i="4"/>
  <c r="W110" i="4"/>
  <c r="U189" i="4"/>
  <c r="U115" i="4"/>
  <c r="U194" i="4" s="1"/>
  <c r="Y194" i="4" s="1"/>
  <c r="AC194" i="4" s="1"/>
  <c r="AG194" i="4" s="1"/>
  <c r="AB181" i="4"/>
  <c r="AF181" i="4" s="1"/>
  <c r="AJ181" i="4" s="1"/>
  <c r="W25" i="4"/>
  <c r="Y182" i="4"/>
  <c r="AC182" i="4" s="1"/>
  <c r="AG182" i="4" s="1"/>
  <c r="U183" i="4"/>
  <c r="W113" i="4"/>
  <c r="U192" i="4"/>
  <c r="U24" i="4"/>
  <c r="U103" i="4" s="1"/>
  <c r="U182" i="4" s="1"/>
  <c r="E67" i="36"/>
  <c r="E126" i="36" s="1"/>
  <c r="K126" i="36" s="1"/>
  <c r="O126" i="36" s="1"/>
  <c r="S126" i="36" s="1"/>
  <c r="F15" i="4"/>
  <c r="S28" i="27"/>
  <c r="L28" i="27"/>
  <c r="E28" i="27"/>
  <c r="R61" i="27"/>
  <c r="E61" i="27"/>
  <c r="F14" i="4"/>
  <c r="F92" i="4" s="1"/>
  <c r="W158" i="4"/>
  <c r="W170" i="4" s="1"/>
  <c r="W81" i="4"/>
  <c r="W92" i="4" s="1"/>
  <c r="W13" i="4"/>
  <c r="X81" i="4"/>
  <c r="X92" i="4" s="1"/>
  <c r="X158" i="4"/>
  <c r="X170" i="4" s="1"/>
  <c r="X13" i="4"/>
  <c r="AB81" i="4"/>
  <c r="AB92" i="4" s="1"/>
  <c r="U99" i="4" s="1"/>
  <c r="AB158" i="4"/>
  <c r="AB170" i="4" s="1"/>
  <c r="AB13" i="4"/>
  <c r="U20" i="4" s="1"/>
  <c r="AA81" i="4"/>
  <c r="AA92" i="4" s="1"/>
  <c r="AA158" i="4"/>
  <c r="AA170" i="4" s="1"/>
  <c r="AA13" i="4"/>
  <c r="Z170" i="4"/>
  <c r="Z81" i="4"/>
  <c r="Z92" i="4" s="1"/>
  <c r="Z13" i="4"/>
  <c r="U158" i="4"/>
  <c r="U170" i="4" s="1"/>
  <c r="U81" i="4"/>
  <c r="U92" i="4" s="1"/>
  <c r="U13" i="4"/>
  <c r="AC81" i="4"/>
  <c r="AC92" i="4" s="1"/>
  <c r="U100" i="4" s="1"/>
  <c r="AC158" i="4"/>
  <c r="AC170" i="4" s="1"/>
  <c r="AC13" i="4"/>
  <c r="U21" i="4" s="1"/>
  <c r="Y81" i="4"/>
  <c r="Y92" i="4" s="1"/>
  <c r="Y158" i="4"/>
  <c r="Y170" i="4" s="1"/>
  <c r="Y13" i="4"/>
  <c r="AD158" i="4"/>
  <c r="AD170" i="4" s="1"/>
  <c r="AD81" i="4"/>
  <c r="AD92" i="4" s="1"/>
  <c r="CA92" i="4" s="1"/>
  <c r="AD13" i="4"/>
  <c r="U9" i="4"/>
  <c r="U10" i="4"/>
  <c r="A5" i="36"/>
  <c r="A16" i="36"/>
  <c r="G9" i="36"/>
  <c r="CL27" i="4"/>
  <c r="CV6" i="36"/>
  <c r="F15" i="36"/>
  <c r="F26" i="36" s="1"/>
  <c r="E49" i="36"/>
  <c r="G52" i="36"/>
  <c r="G54" i="36" s="1"/>
  <c r="G56" i="36" s="1"/>
  <c r="G58" i="36" s="1"/>
  <c r="G20" i="36"/>
  <c r="G22" i="36" s="1"/>
  <c r="G24" i="36" s="1"/>
  <c r="CV19" i="36"/>
  <c r="G43" i="36"/>
  <c r="G45" i="36" s="1"/>
  <c r="G47" i="36" s="1"/>
  <c r="I118" i="36"/>
  <c r="M118" i="36" s="1"/>
  <c r="S118" i="36" s="1"/>
  <c r="K107" i="36"/>
  <c r="O107" i="36" s="1"/>
  <c r="S107" i="36" s="1"/>
  <c r="Q122" i="36"/>
  <c r="E63" i="36"/>
  <c r="E122" i="36" s="1"/>
  <c r="M122" i="36"/>
  <c r="E29" i="36"/>
  <c r="I122" i="36"/>
  <c r="E150" i="36"/>
  <c r="E160" i="36" s="1"/>
  <c r="CL22" i="4"/>
  <c r="E60" i="36"/>
  <c r="CZ19" i="36"/>
  <c r="CZ6" i="36"/>
  <c r="CW173" i="36"/>
  <c r="CV55" i="36"/>
  <c r="CV43" i="36"/>
  <c r="CW6" i="36"/>
  <c r="CW170" i="36"/>
  <c r="CW19" i="36"/>
  <c r="E97" i="36"/>
  <c r="L98" i="36"/>
  <c r="CX6" i="36"/>
  <c r="CW171" i="36"/>
  <c r="CX19" i="36"/>
  <c r="W38" i="36"/>
  <c r="W97" i="36"/>
  <c r="G152" i="36"/>
  <c r="CY6" i="36"/>
  <c r="CW172" i="36"/>
  <c r="CY19" i="36"/>
  <c r="F125" i="36"/>
  <c r="K125" i="36" s="1"/>
  <c r="O125" i="36" s="1"/>
  <c r="S125" i="36" s="1"/>
  <c r="E66" i="36"/>
  <c r="F118" i="36"/>
  <c r="F107" i="36"/>
  <c r="E121" i="36"/>
  <c r="I121" i="36" s="1"/>
  <c r="M121" i="36" s="1"/>
  <c r="Q121" i="36" s="1"/>
  <c r="E27" i="36"/>
  <c r="E30" i="36" s="1"/>
  <c r="E64" i="36" s="1"/>
  <c r="E123" i="36" s="1"/>
  <c r="I123" i="36" s="1"/>
  <c r="M123" i="36" s="1"/>
  <c r="Q123" i="36" s="1"/>
  <c r="E99" i="36"/>
  <c r="F14" i="36"/>
  <c r="E48" i="36" s="1"/>
  <c r="E59" i="36" s="1"/>
  <c r="E23" i="36"/>
  <c r="E12" i="36"/>
  <c r="E10" i="36"/>
  <c r="CU6" i="36"/>
  <c r="D89" i="17"/>
  <c r="D71" i="17"/>
  <c r="D38" i="17"/>
  <c r="D99" i="17"/>
  <c r="E116" i="36" l="1"/>
  <c r="E57" i="36"/>
  <c r="E103" i="36"/>
  <c r="E44" i="36"/>
  <c r="E105" i="36"/>
  <c r="E46" i="36"/>
  <c r="CJ28" i="4"/>
  <c r="CR29" i="4"/>
  <c r="CM29" i="4"/>
  <c r="CQ29" i="4"/>
  <c r="CP29" i="4"/>
  <c r="CO29" i="4"/>
  <c r="CN29" i="4"/>
  <c r="CQ28" i="4"/>
  <c r="CP28" i="4"/>
  <c r="CM28" i="4"/>
  <c r="CO28" i="4"/>
  <c r="CR28" i="4"/>
  <c r="CN28" i="4"/>
  <c r="CJ29" i="4"/>
  <c r="U104" i="4"/>
  <c r="U106" i="4" s="1"/>
  <c r="U108" i="4" s="1"/>
  <c r="U110" i="4" s="1"/>
  <c r="U27" i="4"/>
  <c r="U29" i="4" s="1"/>
  <c r="U31" i="4" s="1"/>
  <c r="U187" i="4"/>
  <c r="U185" i="4"/>
  <c r="AJ104" i="4"/>
  <c r="AJ185" i="4"/>
  <c r="AJ187" i="4" s="1"/>
  <c r="AJ189" i="4" s="1"/>
  <c r="AB187" i="4"/>
  <c r="AF185" i="4"/>
  <c r="W27" i="4"/>
  <c r="W106" i="4" s="1"/>
  <c r="W29" i="4"/>
  <c r="W108" i="4" s="1"/>
  <c r="W104" i="4"/>
  <c r="G11" i="36"/>
  <c r="G13" i="36" s="1"/>
  <c r="F17" i="36"/>
  <c r="H41" i="36"/>
  <c r="H48" i="36" s="1"/>
  <c r="I41" i="36"/>
  <c r="J41" i="36"/>
  <c r="J48" i="36" s="1"/>
  <c r="L41" i="36"/>
  <c r="M41" i="36"/>
  <c r="N41" i="36"/>
  <c r="O41" i="36"/>
  <c r="P41" i="36"/>
  <c r="Q41" i="36"/>
  <c r="R41" i="36"/>
  <c r="S41" i="36"/>
  <c r="K41" i="36"/>
  <c r="K48" i="36" s="1"/>
  <c r="K18" i="36"/>
  <c r="K25" i="36" s="1"/>
  <c r="L20" i="36"/>
  <c r="M22" i="36"/>
  <c r="O24" i="36"/>
  <c r="L18" i="36"/>
  <c r="M20" i="36"/>
  <c r="N22" i="36"/>
  <c r="P24" i="36"/>
  <c r="M18" i="36"/>
  <c r="N20" i="36"/>
  <c r="O22" i="36"/>
  <c r="Q24" i="36"/>
  <c r="H54" i="36"/>
  <c r="H59" i="36" s="1"/>
  <c r="N18" i="36"/>
  <c r="N25" i="36" s="1"/>
  <c r="O20" i="36"/>
  <c r="P22" i="36"/>
  <c r="R24" i="36"/>
  <c r="O18" i="36"/>
  <c r="P20" i="36"/>
  <c r="Q22" i="36"/>
  <c r="S24" i="36"/>
  <c r="P18" i="36"/>
  <c r="Q20" i="36"/>
  <c r="R22" i="36"/>
  <c r="I24" i="36"/>
  <c r="Q18" i="36"/>
  <c r="Q25" i="36" s="1"/>
  <c r="R20" i="36"/>
  <c r="S22" i="36"/>
  <c r="H24" i="36"/>
  <c r="R18" i="36"/>
  <c r="S20" i="36"/>
  <c r="J24" i="36"/>
  <c r="H22" i="36"/>
  <c r="S18" i="36"/>
  <c r="I22" i="36"/>
  <c r="K24" i="36"/>
  <c r="H20" i="36"/>
  <c r="I20" i="36"/>
  <c r="J22" i="36"/>
  <c r="L24" i="36"/>
  <c r="I18" i="36"/>
  <c r="J20" i="36"/>
  <c r="K22" i="36"/>
  <c r="M24" i="36"/>
  <c r="J18" i="36"/>
  <c r="K20" i="36"/>
  <c r="L22" i="36"/>
  <c r="N24" i="36"/>
  <c r="CV14" i="4"/>
  <c r="CW14" i="4"/>
  <c r="E110" i="36"/>
  <c r="U88" i="4"/>
  <c r="U165" i="4"/>
  <c r="U177" i="4" s="1"/>
  <c r="U89" i="4"/>
  <c r="U166" i="4"/>
  <c r="U178" i="4" s="1"/>
  <c r="A14" i="36"/>
  <c r="A4" i="36"/>
  <c r="H18" i="36"/>
  <c r="N54" i="36"/>
  <c r="O58" i="36"/>
  <c r="P56" i="36"/>
  <c r="N47" i="36"/>
  <c r="N45" i="36"/>
  <c r="H13" i="36"/>
  <c r="H11" i="36"/>
  <c r="H9" i="36"/>
  <c r="H14" i="36" s="1"/>
  <c r="P58" i="36"/>
  <c r="Q56" i="36"/>
  <c r="M47" i="36"/>
  <c r="M45" i="36"/>
  <c r="I13" i="36"/>
  <c r="S11" i="36"/>
  <c r="S9" i="36"/>
  <c r="I7" i="36"/>
  <c r="P54" i="36"/>
  <c r="P59" i="36" s="1"/>
  <c r="Q58" i="36"/>
  <c r="R56" i="36"/>
  <c r="L47" i="36"/>
  <c r="S13" i="36"/>
  <c r="R11" i="36"/>
  <c r="R9" i="36"/>
  <c r="J7" i="36"/>
  <c r="H56" i="36"/>
  <c r="I45" i="36"/>
  <c r="P13" i="36"/>
  <c r="O9" i="36"/>
  <c r="I58" i="36"/>
  <c r="J56" i="36"/>
  <c r="H47" i="36"/>
  <c r="H45" i="36"/>
  <c r="O13" i="36"/>
  <c r="N11" i="36"/>
  <c r="N9" i="36"/>
  <c r="N7" i="36"/>
  <c r="I54" i="36"/>
  <c r="J58" i="36"/>
  <c r="K56" i="36"/>
  <c r="S47" i="36"/>
  <c r="S45" i="36"/>
  <c r="N13" i="36"/>
  <c r="M11" i="36"/>
  <c r="M9" i="36"/>
  <c r="O7" i="36"/>
  <c r="O54" i="36"/>
  <c r="R58" i="36"/>
  <c r="S56" i="36"/>
  <c r="K47" i="36"/>
  <c r="Q9" i="36"/>
  <c r="E18" i="36"/>
  <c r="R54" i="36"/>
  <c r="R59" i="36" s="1"/>
  <c r="S58" i="36"/>
  <c r="H58" i="36"/>
  <c r="J47" i="36"/>
  <c r="J45" i="36"/>
  <c r="Q13" i="36"/>
  <c r="P11" i="36"/>
  <c r="P9" i="36"/>
  <c r="L7" i="36"/>
  <c r="E7" i="36"/>
  <c r="S54" i="36"/>
  <c r="I56" i="36"/>
  <c r="I47" i="36"/>
  <c r="O11" i="36"/>
  <c r="M7" i="36"/>
  <c r="L45" i="36"/>
  <c r="Q54" i="36"/>
  <c r="K45" i="36"/>
  <c r="R13" i="36"/>
  <c r="Q11" i="36"/>
  <c r="K7" i="36"/>
  <c r="K54" i="36"/>
  <c r="Q47" i="36"/>
  <c r="L13" i="36"/>
  <c r="Q7" i="36"/>
  <c r="L54" i="36"/>
  <c r="L59" i="36" s="1"/>
  <c r="P47" i="36"/>
  <c r="K13" i="36"/>
  <c r="R7" i="36"/>
  <c r="M54" i="36"/>
  <c r="O47" i="36"/>
  <c r="J13" i="36"/>
  <c r="S7" i="36"/>
  <c r="K58" i="36"/>
  <c r="R45" i="36"/>
  <c r="E20" i="36"/>
  <c r="L11" i="36"/>
  <c r="O56" i="36"/>
  <c r="R47" i="36"/>
  <c r="L58" i="36"/>
  <c r="Q45" i="36"/>
  <c r="E24" i="36"/>
  <c r="K11" i="36"/>
  <c r="M58" i="36"/>
  <c r="P45" i="36"/>
  <c r="E22" i="36"/>
  <c r="J11" i="36"/>
  <c r="N58" i="36"/>
  <c r="O45" i="36"/>
  <c r="I11" i="36"/>
  <c r="L56" i="36"/>
  <c r="L9" i="36"/>
  <c r="M56" i="36"/>
  <c r="K9" i="36"/>
  <c r="N56" i="36"/>
  <c r="J9" i="36"/>
  <c r="I9" i="36"/>
  <c r="J54" i="36"/>
  <c r="M13" i="36"/>
  <c r="P7" i="36"/>
  <c r="P14" i="36" s="1"/>
  <c r="L117" i="36"/>
  <c r="T111" i="36"/>
  <c r="P106" i="36"/>
  <c r="T117" i="36"/>
  <c r="P115" i="36"/>
  <c r="P111" i="36"/>
  <c r="T102" i="36"/>
  <c r="T100" i="36"/>
  <c r="L100" i="36"/>
  <c r="P117" i="36"/>
  <c r="T113" i="36"/>
  <c r="P104" i="36"/>
  <c r="P113" i="36"/>
  <c r="P102" i="36"/>
  <c r="L111" i="36"/>
  <c r="T106" i="36"/>
  <c r="T104" i="36"/>
  <c r="P100" i="36"/>
  <c r="L102" i="36"/>
  <c r="T115" i="36"/>
  <c r="L104" i="36"/>
  <c r="L115" i="36"/>
  <c r="L106" i="36"/>
  <c r="L113" i="36"/>
  <c r="H5" i="36"/>
  <c r="CW1" i="36" s="1"/>
  <c r="I111" i="36"/>
  <c r="M111" i="36" s="1"/>
  <c r="I100" i="36"/>
  <c r="M100" i="36" s="1"/>
  <c r="Q100" i="36" s="1"/>
  <c r="K109" i="36"/>
  <c r="O109" i="36" s="1"/>
  <c r="S109" i="36" s="1"/>
  <c r="F6" i="36"/>
  <c r="F170" i="4"/>
  <c r="E120" i="36"/>
  <c r="E61" i="36"/>
  <c r="E139" i="36" s="1"/>
  <c r="E148" i="36" s="1"/>
  <c r="E158" i="36" s="1"/>
  <c r="P98" i="36"/>
  <c r="T98" i="36" s="1"/>
  <c r="L109" i="36"/>
  <c r="P109" i="36" s="1"/>
  <c r="T109" i="36" s="1"/>
  <c r="E112" i="36"/>
  <c r="E101" i="36"/>
  <c r="E21" i="36"/>
  <c r="E25" i="36"/>
  <c r="M59" i="36" l="1"/>
  <c r="Q59" i="36"/>
  <c r="K59" i="36"/>
  <c r="I59" i="36"/>
  <c r="T226" i="36" s="1"/>
  <c r="N59" i="36"/>
  <c r="O59" i="36"/>
  <c r="S59" i="36"/>
  <c r="J59" i="36"/>
  <c r="U226" i="36" s="1"/>
  <c r="I48" i="36"/>
  <c r="S48" i="36"/>
  <c r="AD225" i="36" s="1"/>
  <c r="R48" i="36"/>
  <c r="AC225" i="36" s="1"/>
  <c r="P48" i="36"/>
  <c r="AA225" i="36" s="1"/>
  <c r="M48" i="36"/>
  <c r="X225" i="36" s="1"/>
  <c r="Q48" i="36"/>
  <c r="O48" i="36"/>
  <c r="Z225" i="36" s="1"/>
  <c r="N48" i="36"/>
  <c r="L48" i="36"/>
  <c r="W225" i="36" s="1"/>
  <c r="J14" i="36"/>
  <c r="R14" i="36"/>
  <c r="O14" i="36"/>
  <c r="P25" i="36"/>
  <c r="Q14" i="36"/>
  <c r="L25" i="36"/>
  <c r="H25" i="36"/>
  <c r="G226" i="36" s="1"/>
  <c r="S25" i="36"/>
  <c r="R25" i="36"/>
  <c r="O25" i="36"/>
  <c r="J25" i="36"/>
  <c r="I25" i="36"/>
  <c r="M25" i="36"/>
  <c r="M14" i="36"/>
  <c r="S14" i="36"/>
  <c r="K14" i="36"/>
  <c r="L14" i="36"/>
  <c r="I14" i="36"/>
  <c r="N14" i="36"/>
  <c r="T107" i="36"/>
  <c r="L107" i="36"/>
  <c r="L108" i="36"/>
  <c r="P108" i="36"/>
  <c r="P107" i="36"/>
  <c r="E114" i="36"/>
  <c r="E55" i="36"/>
  <c r="AB189" i="4"/>
  <c r="AF189" i="4" s="1"/>
  <c r="AF187" i="4"/>
  <c r="AJ106" i="4"/>
  <c r="AJ108" i="4" s="1"/>
  <c r="AJ110" i="4" s="1"/>
  <c r="AJ25" i="4"/>
  <c r="AJ27" i="4" s="1"/>
  <c r="AJ29" i="4" s="1"/>
  <c r="AJ31" i="4" s="1"/>
  <c r="CU14" i="4"/>
  <c r="F12" i="4" s="1"/>
  <c r="CN30" i="4"/>
  <c r="F16" i="4" s="1"/>
  <c r="CN31" i="4"/>
  <c r="T20" i="36"/>
  <c r="T22" i="36"/>
  <c r="F51" i="36"/>
  <c r="F53" i="36" s="1"/>
  <c r="F55" i="36" s="1"/>
  <c r="F57" i="36" s="1"/>
  <c r="I110" i="36"/>
  <c r="I112" i="36" s="1"/>
  <c r="S226" i="36"/>
  <c r="F110" i="36"/>
  <c r="F112" i="36" s="1"/>
  <c r="F114" i="36" s="1"/>
  <c r="F116" i="36" s="1"/>
  <c r="AC226" i="36"/>
  <c r="W226" i="36"/>
  <c r="T225" i="36"/>
  <c r="Z226" i="36"/>
  <c r="T56" i="36"/>
  <c r="L119" i="36"/>
  <c r="AB226" i="36"/>
  <c r="T54" i="36"/>
  <c r="T47" i="36"/>
  <c r="V226" i="36"/>
  <c r="AA226" i="36"/>
  <c r="T45" i="36"/>
  <c r="T43" i="36"/>
  <c r="T58" i="36"/>
  <c r="AD226" i="36"/>
  <c r="Y226" i="36"/>
  <c r="T108" i="36"/>
  <c r="X226" i="36"/>
  <c r="T52" i="36"/>
  <c r="T119" i="36"/>
  <c r="T118" i="36"/>
  <c r="P119" i="36"/>
  <c r="P118" i="36"/>
  <c r="T13" i="36"/>
  <c r="AB225" i="36"/>
  <c r="M117" i="36"/>
  <c r="Q117" i="36" s="1"/>
  <c r="M113" i="36"/>
  <c r="Q111" i="36"/>
  <c r="H50" i="36"/>
  <c r="I50" i="36" s="1"/>
  <c r="J50" i="36" s="1"/>
  <c r="K50" i="36" s="1"/>
  <c r="L50" i="36" s="1"/>
  <c r="M50" i="36" s="1"/>
  <c r="N50" i="36" s="1"/>
  <c r="O50" i="36" s="1"/>
  <c r="P50" i="36" s="1"/>
  <c r="Q50" i="36" s="1"/>
  <c r="R50" i="36" s="1"/>
  <c r="S50" i="36" s="1"/>
  <c r="T11" i="36"/>
  <c r="Y225" i="36"/>
  <c r="T18" i="36"/>
  <c r="E52" i="36"/>
  <c r="E54" i="36" s="1"/>
  <c r="E56" i="36" s="1"/>
  <c r="E58" i="36" s="1"/>
  <c r="F19" i="36"/>
  <c r="U225" i="36"/>
  <c r="T9" i="36"/>
  <c r="L118" i="36" a="1"/>
  <c r="L118" i="36" s="1"/>
  <c r="T41" i="36"/>
  <c r="V225" i="36"/>
  <c r="S225" i="36"/>
  <c r="T7" i="36"/>
  <c r="F8" i="36"/>
  <c r="F10" i="36" s="1"/>
  <c r="F12" i="36" s="1"/>
  <c r="F99" i="36"/>
  <c r="F101" i="36" s="1"/>
  <c r="F103" i="36" s="1"/>
  <c r="F105" i="36" s="1"/>
  <c r="I99" i="36"/>
  <c r="F40" i="36"/>
  <c r="F46" i="36" s="1"/>
  <c r="F111" i="36"/>
  <c r="F113" i="36" s="1"/>
  <c r="F115" i="36" s="1"/>
  <c r="F117" i="36" s="1"/>
  <c r="E41" i="36"/>
  <c r="E9" i="36"/>
  <c r="E11" i="36" s="1"/>
  <c r="E13" i="36" s="1"/>
  <c r="H39" i="36"/>
  <c r="I39" i="36" s="1"/>
  <c r="J39" i="36" s="1"/>
  <c r="K39" i="36" s="1"/>
  <c r="I5" i="36"/>
  <c r="J5" i="36" s="1"/>
  <c r="K5" i="36" s="1"/>
  <c r="L5" i="36" s="1"/>
  <c r="M5" i="36" s="1"/>
  <c r="N5" i="36" s="1"/>
  <c r="O5" i="36" s="1"/>
  <c r="P5" i="36" s="1"/>
  <c r="Q5" i="36" s="1"/>
  <c r="R5" i="36" s="1"/>
  <c r="S5" i="36" s="1"/>
  <c r="I113" i="36"/>
  <c r="I117" i="36"/>
  <c r="I115" i="36"/>
  <c r="I106" i="36"/>
  <c r="M106" i="36" s="1"/>
  <c r="Q106" i="36" s="1"/>
  <c r="I104" i="36"/>
  <c r="M104" i="36" s="1"/>
  <c r="Q104" i="36" s="1"/>
  <c r="I102" i="36"/>
  <c r="M102" i="36" s="1"/>
  <c r="Q102" i="36" s="1"/>
  <c r="P225" i="36" l="1"/>
  <c r="I225" i="36"/>
  <c r="Q225" i="36"/>
  <c r="M225" i="36"/>
  <c r="O225" i="36"/>
  <c r="K225" i="36"/>
  <c r="L225" i="36"/>
  <c r="N225" i="36"/>
  <c r="R225" i="36"/>
  <c r="H225" i="36"/>
  <c r="J225" i="36"/>
  <c r="AC229" i="36"/>
  <c r="Q226" i="36"/>
  <c r="Y229" i="36"/>
  <c r="P32" i="36"/>
  <c r="AD229" i="36"/>
  <c r="M32" i="36"/>
  <c r="W229" i="36"/>
  <c r="K226" i="36"/>
  <c r="R226" i="36"/>
  <c r="M226" i="36"/>
  <c r="P226" i="36"/>
  <c r="AB229" i="36"/>
  <c r="H31" i="36"/>
  <c r="O32" i="36"/>
  <c r="O226" i="36"/>
  <c r="J170" i="4"/>
  <c r="I170" i="4"/>
  <c r="G92" i="4"/>
  <c r="F172" i="4"/>
  <c r="F94" i="4"/>
  <c r="I114" i="36"/>
  <c r="I116" i="36" s="1"/>
  <c r="M110" i="36"/>
  <c r="M112" i="36" s="1"/>
  <c r="H65" i="36"/>
  <c r="AA229" i="36"/>
  <c r="N66" i="36"/>
  <c r="R65" i="36"/>
  <c r="Z229" i="36"/>
  <c r="Q32" i="36"/>
  <c r="O65" i="36"/>
  <c r="R32" i="36"/>
  <c r="L32" i="36"/>
  <c r="L65" i="36"/>
  <c r="R92" i="4"/>
  <c r="N226" i="36"/>
  <c r="P66" i="36"/>
  <c r="P65" i="36"/>
  <c r="L92" i="4"/>
  <c r="Q65" i="36"/>
  <c r="P125" i="36"/>
  <c r="K65" i="36"/>
  <c r="R66" i="36"/>
  <c r="J92" i="4"/>
  <c r="S31" i="36"/>
  <c r="S66" i="36"/>
  <c r="N92" i="4"/>
  <c r="P92" i="4"/>
  <c r="N65" i="36"/>
  <c r="I65" i="36"/>
  <c r="L66" i="36"/>
  <c r="H66" i="36"/>
  <c r="O92" i="4"/>
  <c r="Q66" i="36"/>
  <c r="M92" i="4"/>
  <c r="M31" i="36"/>
  <c r="K66" i="36"/>
  <c r="L226" i="36"/>
  <c r="X229" i="36"/>
  <c r="P14" i="4"/>
  <c r="P22" i="4" s="1"/>
  <c r="N32" i="36"/>
  <c r="N14" i="4"/>
  <c r="N22" i="4" s="1"/>
  <c r="Q92" i="4"/>
  <c r="S65" i="36"/>
  <c r="M66" i="36"/>
  <c r="I66" i="36"/>
  <c r="J65" i="36"/>
  <c r="J66" i="36"/>
  <c r="P31" i="36"/>
  <c r="L31" i="36"/>
  <c r="K92" i="4"/>
  <c r="T48" i="36"/>
  <c r="I168" i="36" s="1"/>
  <c r="O14" i="4"/>
  <c r="O22" i="4" s="1"/>
  <c r="K14" i="4"/>
  <c r="K22" i="4" s="1"/>
  <c r="L14" i="4"/>
  <c r="L22" i="4" s="1"/>
  <c r="S32" i="36"/>
  <c r="K169" i="36"/>
  <c r="P124" i="36"/>
  <c r="T14" i="36"/>
  <c r="G225" i="36"/>
  <c r="K168" i="36"/>
  <c r="R14" i="4"/>
  <c r="R22" i="4" s="1"/>
  <c r="L125" i="36"/>
  <c r="Q31" i="36"/>
  <c r="M14" i="4"/>
  <c r="M22" i="4" s="1"/>
  <c r="O66" i="36"/>
  <c r="Q14" i="4"/>
  <c r="Q22" i="4" s="1"/>
  <c r="M65" i="36"/>
  <c r="Q113" i="36"/>
  <c r="M115" i="36"/>
  <c r="Q115" i="36" s="1"/>
  <c r="L169" i="36"/>
  <c r="T124" i="36"/>
  <c r="J169" i="36"/>
  <c r="L124" i="36"/>
  <c r="T15" i="36"/>
  <c r="G108" i="36" s="1"/>
  <c r="T49" i="36"/>
  <c r="H108" i="36" s="1"/>
  <c r="H92" i="4"/>
  <c r="K170" i="4"/>
  <c r="T125" i="36"/>
  <c r="H32" i="36"/>
  <c r="R31" i="36"/>
  <c r="T60" i="36"/>
  <c r="H119" i="36" s="1"/>
  <c r="I92" i="4"/>
  <c r="L168" i="36"/>
  <c r="G14" i="4"/>
  <c r="G22" i="4" s="1"/>
  <c r="N31" i="36"/>
  <c r="T59" i="36"/>
  <c r="I169" i="36" s="1"/>
  <c r="O31" i="36"/>
  <c r="J168" i="36"/>
  <c r="E43" i="36"/>
  <c r="E45" i="36" s="1"/>
  <c r="E47" i="36" s="1"/>
  <c r="F100" i="36"/>
  <c r="F102" i="36" s="1"/>
  <c r="F104" i="36" s="1"/>
  <c r="F106" i="36" s="1"/>
  <c r="I103" i="36"/>
  <c r="M99" i="36"/>
  <c r="L39" i="36"/>
  <c r="M39" i="36" s="1"/>
  <c r="N39" i="36" s="1"/>
  <c r="O39" i="36" s="1"/>
  <c r="P39" i="36" s="1"/>
  <c r="Q39" i="36" s="1"/>
  <c r="R39" i="36" s="1"/>
  <c r="S39" i="36" s="1"/>
  <c r="K98" i="36"/>
  <c r="O98" i="36" s="1"/>
  <c r="S98" i="36" s="1"/>
  <c r="F21" i="36"/>
  <c r="F44" i="36"/>
  <c r="F42" i="36"/>
  <c r="I101" i="36"/>
  <c r="M101" i="36" s="1"/>
  <c r="F108" i="36"/>
  <c r="K108" i="36" s="1"/>
  <c r="K119" i="36" s="1"/>
  <c r="O119" i="36" s="1"/>
  <c r="S229" i="36"/>
  <c r="G229" i="36" l="1"/>
  <c r="G228" i="36" s="1"/>
  <c r="F225" i="36"/>
  <c r="H33" i="36"/>
  <c r="G5" i="39"/>
  <c r="R229" i="36"/>
  <c r="M229" i="36"/>
  <c r="N229" i="36"/>
  <c r="L229" i="36"/>
  <c r="P229" i="36"/>
  <c r="K229" i="36"/>
  <c r="O229" i="36"/>
  <c r="Q229" i="36"/>
  <c r="D5" i="32"/>
  <c r="E10" i="17"/>
  <c r="I75" i="17"/>
  <c r="H5" i="39"/>
  <c r="G75" i="17"/>
  <c r="F5" i="39"/>
  <c r="S92" i="4"/>
  <c r="N13" i="32"/>
  <c r="O42" i="17"/>
  <c r="O10" i="17"/>
  <c r="J42" i="17"/>
  <c r="L5" i="32"/>
  <c r="M10" i="17"/>
  <c r="E42" i="17"/>
  <c r="G13" i="32"/>
  <c r="H42" i="17"/>
  <c r="N42" i="17"/>
  <c r="K42" i="17"/>
  <c r="I42" i="17"/>
  <c r="P42" i="17"/>
  <c r="K13" i="32"/>
  <c r="L42" i="17"/>
  <c r="F42" i="17"/>
  <c r="L13" i="32"/>
  <c r="M42" i="17"/>
  <c r="H5" i="32"/>
  <c r="I10" i="17"/>
  <c r="L10" i="17"/>
  <c r="I5" i="32"/>
  <c r="J10" i="17"/>
  <c r="P10" i="17"/>
  <c r="F13" i="32"/>
  <c r="G42" i="17"/>
  <c r="J5" i="32"/>
  <c r="K10" i="17"/>
  <c r="M5" i="32"/>
  <c r="N10" i="17"/>
  <c r="H75" i="17"/>
  <c r="D13" i="32"/>
  <c r="Q110" i="36"/>
  <c r="H13" i="32"/>
  <c r="M13" i="32"/>
  <c r="H118" i="36"/>
  <c r="O5" i="32"/>
  <c r="E13" i="32"/>
  <c r="J13" i="32"/>
  <c r="K5" i="32"/>
  <c r="I13" i="32"/>
  <c r="T66" i="36"/>
  <c r="N5" i="32"/>
  <c r="O13" i="32"/>
  <c r="H107" i="36"/>
  <c r="T65" i="36"/>
  <c r="H124" i="36" s="1"/>
  <c r="K53" i="28"/>
  <c r="F38" i="32"/>
  <c r="K55" i="28"/>
  <c r="H38" i="32"/>
  <c r="H168" i="36"/>
  <c r="G107" i="36"/>
  <c r="K54" i="28"/>
  <c r="G38" i="32"/>
  <c r="H125" i="36"/>
  <c r="I105" i="36"/>
  <c r="M103" i="36"/>
  <c r="F119" i="36"/>
  <c r="F23" i="36"/>
  <c r="Q99" i="36"/>
  <c r="S108" i="36"/>
  <c r="O108" i="36"/>
  <c r="S119" i="36" s="1"/>
  <c r="E32" i="36"/>
  <c r="Q101" i="36"/>
  <c r="Q112" i="36"/>
  <c r="M114" i="36"/>
  <c r="E5" i="39" l="1"/>
  <c r="K52" i="28"/>
  <c r="Q114" i="36"/>
  <c r="M116" i="36"/>
  <c r="Q116" i="36" s="1"/>
  <c r="Q103" i="36"/>
  <c r="M105" i="36"/>
  <c r="Q105" i="36" s="1"/>
  <c r="C78" i="33" l="1"/>
  <c r="D111" i="33"/>
  <c r="CX405" i="33"/>
  <c r="CX404" i="33"/>
  <c r="CX403" i="33"/>
  <c r="C64" i="33"/>
  <c r="C72" i="33" s="1"/>
  <c r="C81" i="33" s="1"/>
  <c r="C63" i="33"/>
  <c r="C71" i="33" s="1"/>
  <c r="C80" i="33" s="1"/>
  <c r="C70" i="33"/>
  <c r="C79" i="33" s="1"/>
  <c r="BL272" i="33"/>
  <c r="BK272" i="33"/>
  <c r="BJ272" i="33"/>
  <c r="BI272" i="33"/>
  <c r="BH272" i="33"/>
  <c r="BG272" i="33"/>
  <c r="BF272" i="33"/>
  <c r="BE272" i="33"/>
  <c r="BD272" i="33"/>
  <c r="BC272" i="33"/>
  <c r="BG270" i="33" s="1"/>
  <c r="BB272" i="33"/>
  <c r="BA272" i="33"/>
  <c r="BL271" i="33"/>
  <c r="BK271" i="33"/>
  <c r="BJ271" i="33"/>
  <c r="BI271" i="33"/>
  <c r="BH271" i="33"/>
  <c r="BG271" i="33"/>
  <c r="BF271" i="33"/>
  <c r="BE271" i="33"/>
  <c r="BD271" i="33"/>
  <c r="BC271" i="33"/>
  <c r="BB271" i="33"/>
  <c r="BA271" i="33"/>
  <c r="BC270" i="33"/>
  <c r="BA270" i="33"/>
  <c r="BL269" i="33"/>
  <c r="BK269" i="33"/>
  <c r="BJ269" i="33"/>
  <c r="BI269" i="33"/>
  <c r="BH269" i="33"/>
  <c r="BG269" i="33"/>
  <c r="BF269" i="33"/>
  <c r="BE269" i="33"/>
  <c r="BD269" i="33"/>
  <c r="BC269" i="33"/>
  <c r="BB269" i="33"/>
  <c r="BA269" i="33"/>
  <c r="BL267" i="33"/>
  <c r="BK267" i="33"/>
  <c r="BJ267" i="33"/>
  <c r="BI267" i="33"/>
  <c r="BH267" i="33"/>
  <c r="BG267" i="33"/>
  <c r="BF267" i="33"/>
  <c r="BE267" i="33"/>
  <c r="BD267" i="33"/>
  <c r="BC267" i="33"/>
  <c r="BB267" i="33"/>
  <c r="BA267" i="33"/>
  <c r="BL266" i="33"/>
  <c r="BK266" i="33"/>
  <c r="BJ266" i="33"/>
  <c r="BI266" i="33"/>
  <c r="BH266" i="33"/>
  <c r="BG266" i="33"/>
  <c r="BF266" i="33"/>
  <c r="BE266" i="33"/>
  <c r="BD266" i="33"/>
  <c r="BC266" i="33"/>
  <c r="BB266" i="33"/>
  <c r="BA266" i="33"/>
  <c r="BA265" i="33"/>
  <c r="BL264" i="33"/>
  <c r="BK264" i="33"/>
  <c r="BJ264" i="33"/>
  <c r="BI264" i="33"/>
  <c r="BH264" i="33"/>
  <c r="BG264" i="33"/>
  <c r="BF264" i="33"/>
  <c r="BE264" i="33"/>
  <c r="BD264" i="33"/>
  <c r="BC264" i="33"/>
  <c r="BB264" i="33"/>
  <c r="BA264" i="33"/>
  <c r="BL262" i="33"/>
  <c r="BK262" i="33"/>
  <c r="BJ262" i="33"/>
  <c r="BI262" i="33"/>
  <c r="BH262" i="33"/>
  <c r="BG262" i="33"/>
  <c r="BF262" i="33"/>
  <c r="BE262" i="33"/>
  <c r="BD262" i="33"/>
  <c r="BC262" i="33"/>
  <c r="BB262" i="33"/>
  <c r="BA262" i="33"/>
  <c r="BL261" i="33"/>
  <c r="BK261" i="33"/>
  <c r="BJ261" i="33"/>
  <c r="BI261" i="33"/>
  <c r="BH261" i="33"/>
  <c r="BG261" i="33"/>
  <c r="BF261" i="33"/>
  <c r="BE261" i="33"/>
  <c r="BD261" i="33"/>
  <c r="BC261" i="33"/>
  <c r="BB261" i="33"/>
  <c r="BA261" i="33"/>
  <c r="BA260" i="33"/>
  <c r="BL259" i="33"/>
  <c r="BK259" i="33"/>
  <c r="BJ259" i="33"/>
  <c r="BI259" i="33"/>
  <c r="BH259" i="33"/>
  <c r="BG259" i="33"/>
  <c r="BF259" i="33"/>
  <c r="BE259" i="33"/>
  <c r="BD259" i="33"/>
  <c r="BC259" i="33"/>
  <c r="BB259" i="33"/>
  <c r="BA259" i="33"/>
  <c r="BL257" i="33"/>
  <c r="BK257" i="33"/>
  <c r="BJ257" i="33"/>
  <c r="BI257" i="33"/>
  <c r="BH257" i="33"/>
  <c r="BG257" i="33"/>
  <c r="BF257" i="33"/>
  <c r="BE257" i="33"/>
  <c r="BD257" i="33"/>
  <c r="BC257" i="33"/>
  <c r="BB257" i="33"/>
  <c r="BA257" i="33"/>
  <c r="BL256" i="33"/>
  <c r="BK256" i="33"/>
  <c r="BJ256" i="33"/>
  <c r="BI256" i="33"/>
  <c r="BH256" i="33"/>
  <c r="BG256" i="33"/>
  <c r="BF256" i="33"/>
  <c r="BE256" i="33"/>
  <c r="BD256" i="33"/>
  <c r="BC256" i="33"/>
  <c r="BB256" i="33"/>
  <c r="BA256" i="33"/>
  <c r="BA255" i="33"/>
  <c r="BL254" i="33"/>
  <c r="BK254" i="33"/>
  <c r="BJ254" i="33"/>
  <c r="BI254" i="33"/>
  <c r="BH254" i="33"/>
  <c r="BG254" i="33"/>
  <c r="BF254" i="33"/>
  <c r="BE254" i="33"/>
  <c r="BD254" i="33"/>
  <c r="BC254" i="33"/>
  <c r="BB254" i="33"/>
  <c r="BA254" i="33"/>
  <c r="BL252" i="33"/>
  <c r="BK252" i="33"/>
  <c r="BJ252" i="33"/>
  <c r="BI252" i="33"/>
  <c r="BH252" i="33"/>
  <c r="BG252" i="33"/>
  <c r="BF252" i="33"/>
  <c r="BE252" i="33"/>
  <c r="BD252" i="33"/>
  <c r="BC252" i="33"/>
  <c r="BB252" i="33"/>
  <c r="BA252" i="33"/>
  <c r="BL251" i="33"/>
  <c r="BK251" i="33"/>
  <c r="BJ251" i="33"/>
  <c r="BI251" i="33"/>
  <c r="BH251" i="33"/>
  <c r="BG251" i="33"/>
  <c r="BF251" i="33"/>
  <c r="BE251" i="33"/>
  <c r="BD251" i="33"/>
  <c r="BC251" i="33"/>
  <c r="BB251" i="33"/>
  <c r="BA251" i="33"/>
  <c r="BA250" i="33"/>
  <c r="BL249" i="33"/>
  <c r="BK249" i="33"/>
  <c r="BJ249" i="33"/>
  <c r="BI249" i="33"/>
  <c r="BH249" i="33"/>
  <c r="BG249" i="33"/>
  <c r="BF249" i="33"/>
  <c r="BE249" i="33"/>
  <c r="BD249" i="33"/>
  <c r="BC249" i="33"/>
  <c r="BB249" i="33"/>
  <c r="BA249" i="33"/>
  <c r="BL243" i="33"/>
  <c r="BK243" i="33"/>
  <c r="BJ243" i="33"/>
  <c r="BI243" i="33"/>
  <c r="BH243" i="33"/>
  <c r="BG243" i="33"/>
  <c r="BF243" i="33"/>
  <c r="BE243" i="33"/>
  <c r="BD243" i="33"/>
  <c r="BC243" i="33"/>
  <c r="BB243" i="33"/>
  <c r="BA243" i="33"/>
  <c r="AZ243" i="33"/>
  <c r="AY243" i="33"/>
  <c r="AX243" i="33"/>
  <c r="AW243" i="33"/>
  <c r="AV243" i="33"/>
  <c r="AU243" i="33"/>
  <c r="AT243" i="33"/>
  <c r="AS243" i="33"/>
  <c r="AR243" i="33"/>
  <c r="AQ243" i="33"/>
  <c r="AP243" i="33"/>
  <c r="AO243" i="33"/>
  <c r="BL242" i="33"/>
  <c r="BK242" i="33"/>
  <c r="BJ242" i="33"/>
  <c r="BI242" i="33"/>
  <c r="BH242" i="33"/>
  <c r="BG242" i="33"/>
  <c r="BF242" i="33"/>
  <c r="BE242" i="33"/>
  <c r="BD242" i="33"/>
  <c r="BC242" i="33"/>
  <c r="BB242" i="33"/>
  <c r="BA242" i="33"/>
  <c r="AZ242" i="33"/>
  <c r="AY242" i="33"/>
  <c r="AX242" i="33"/>
  <c r="AW242" i="33"/>
  <c r="AV242" i="33"/>
  <c r="AU242" i="33"/>
  <c r="AT242" i="33"/>
  <c r="AS242" i="33"/>
  <c r="AR242" i="33"/>
  <c r="AQ242" i="33"/>
  <c r="AP242" i="33"/>
  <c r="AO242" i="33"/>
  <c r="BL241" i="33"/>
  <c r="BK241" i="33"/>
  <c r="BJ241" i="33"/>
  <c r="BI241" i="33"/>
  <c r="BH241" i="33"/>
  <c r="BG241" i="33"/>
  <c r="BF241" i="33"/>
  <c r="BE241" i="33"/>
  <c r="BD241" i="33"/>
  <c r="BC241" i="33"/>
  <c r="BB241" i="33"/>
  <c r="BA241" i="33"/>
  <c r="AZ241" i="33"/>
  <c r="AY241" i="33"/>
  <c r="AX241" i="33"/>
  <c r="AW241" i="33"/>
  <c r="AV241" i="33"/>
  <c r="AU241" i="33"/>
  <c r="AT241" i="33"/>
  <c r="AS241" i="33"/>
  <c r="AR241" i="33"/>
  <c r="AQ241" i="33"/>
  <c r="AP241" i="33"/>
  <c r="AO241" i="33"/>
  <c r="BL240" i="33"/>
  <c r="BK240" i="33"/>
  <c r="BJ240" i="33"/>
  <c r="BI240" i="33"/>
  <c r="BH240" i="33"/>
  <c r="BG240" i="33"/>
  <c r="BF240" i="33"/>
  <c r="BE240" i="33"/>
  <c r="BD240" i="33"/>
  <c r="BC240" i="33"/>
  <c r="BB240" i="33"/>
  <c r="BA240" i="33"/>
  <c r="AZ240" i="33"/>
  <c r="AY240" i="33"/>
  <c r="AX240" i="33"/>
  <c r="AW240" i="33"/>
  <c r="AV240" i="33"/>
  <c r="AU240" i="33"/>
  <c r="AT240" i="33"/>
  <c r="AS240" i="33"/>
  <c r="AR240" i="33"/>
  <c r="AQ240" i="33"/>
  <c r="AP240" i="33"/>
  <c r="AO240" i="33"/>
  <c r="BL238" i="33"/>
  <c r="BK238" i="33"/>
  <c r="BJ238" i="33"/>
  <c r="BI238" i="33"/>
  <c r="BH238" i="33"/>
  <c r="BG238" i="33"/>
  <c r="BF238" i="33"/>
  <c r="BE238" i="33"/>
  <c r="BD238" i="33"/>
  <c r="BC238" i="33"/>
  <c r="BB238" i="33"/>
  <c r="BA238" i="33"/>
  <c r="AZ238" i="33"/>
  <c r="AY238" i="33"/>
  <c r="AX238" i="33"/>
  <c r="AW238" i="33"/>
  <c r="AV238" i="33"/>
  <c r="AU238" i="33"/>
  <c r="AT238" i="33"/>
  <c r="AS238" i="33"/>
  <c r="AR238" i="33"/>
  <c r="AQ238" i="33"/>
  <c r="AP238" i="33"/>
  <c r="AO238" i="33"/>
  <c r="BL237" i="33"/>
  <c r="BK237" i="33"/>
  <c r="BJ237" i="33"/>
  <c r="BI237" i="33"/>
  <c r="BH237" i="33"/>
  <c r="BG237" i="33"/>
  <c r="BF237" i="33"/>
  <c r="BE237" i="33"/>
  <c r="BD237" i="33"/>
  <c r="BC237" i="33"/>
  <c r="BB237" i="33"/>
  <c r="BA237" i="33"/>
  <c r="AZ237" i="33"/>
  <c r="AY237" i="33"/>
  <c r="AX237" i="33"/>
  <c r="AW237" i="33"/>
  <c r="AV237" i="33"/>
  <c r="AU237" i="33"/>
  <c r="AT237" i="33"/>
  <c r="AS237" i="33"/>
  <c r="AR237" i="33"/>
  <c r="AQ237" i="33"/>
  <c r="AP237" i="33"/>
  <c r="AO237" i="33"/>
  <c r="AO236" i="33"/>
  <c r="BL235" i="33"/>
  <c r="BK235" i="33"/>
  <c r="BJ235" i="33"/>
  <c r="BI235" i="33"/>
  <c r="BH235" i="33"/>
  <c r="BG235" i="33"/>
  <c r="BF235" i="33"/>
  <c r="BE235" i="33"/>
  <c r="BD235" i="33"/>
  <c r="BC235" i="33"/>
  <c r="BB235" i="33"/>
  <c r="BA235" i="33"/>
  <c r="AZ235" i="33"/>
  <c r="AY235" i="33"/>
  <c r="AX235" i="33"/>
  <c r="AW235" i="33"/>
  <c r="AV235" i="33"/>
  <c r="AU235" i="33"/>
  <c r="AT235" i="33"/>
  <c r="AS235" i="33"/>
  <c r="AR235" i="33"/>
  <c r="AQ235" i="33"/>
  <c r="AP235" i="33"/>
  <c r="AO235" i="33"/>
  <c r="BL233" i="33"/>
  <c r="BK233" i="33"/>
  <c r="BJ233" i="33"/>
  <c r="BI233" i="33"/>
  <c r="BH233" i="33"/>
  <c r="BG233" i="33"/>
  <c r="BF233" i="33"/>
  <c r="BE233" i="33"/>
  <c r="BD233" i="33"/>
  <c r="BC233" i="33"/>
  <c r="BB233" i="33"/>
  <c r="BA233" i="33"/>
  <c r="AZ233" i="33"/>
  <c r="AY233" i="33"/>
  <c r="AX233" i="33"/>
  <c r="AW233" i="33"/>
  <c r="AV233" i="33"/>
  <c r="AU233" i="33"/>
  <c r="AT233" i="33"/>
  <c r="AS233" i="33"/>
  <c r="AR233" i="33"/>
  <c r="AQ233" i="33"/>
  <c r="AP233" i="33"/>
  <c r="AO233" i="33"/>
  <c r="BL232" i="33"/>
  <c r="BK232" i="33"/>
  <c r="BJ232" i="33"/>
  <c r="BI232" i="33"/>
  <c r="BH232" i="33"/>
  <c r="BG232" i="33"/>
  <c r="BF232" i="33"/>
  <c r="BE232" i="33"/>
  <c r="BD232" i="33"/>
  <c r="BC232" i="33"/>
  <c r="BB232" i="33"/>
  <c r="BA232" i="33"/>
  <c r="AZ232" i="33"/>
  <c r="AY232" i="33"/>
  <c r="AX232" i="33"/>
  <c r="AW232" i="33"/>
  <c r="AV232" i="33"/>
  <c r="AU232" i="33"/>
  <c r="AT232" i="33"/>
  <c r="AS232" i="33"/>
  <c r="AR232" i="33"/>
  <c r="AQ232" i="33"/>
  <c r="AP232" i="33"/>
  <c r="AO232" i="33"/>
  <c r="AO231" i="33"/>
  <c r="BL230" i="33"/>
  <c r="BK230" i="33"/>
  <c r="BJ230" i="33"/>
  <c r="BI230" i="33"/>
  <c r="BH230" i="33"/>
  <c r="BG230" i="33"/>
  <c r="BF230" i="33"/>
  <c r="BE230" i="33"/>
  <c r="BD230" i="33"/>
  <c r="BC230" i="33"/>
  <c r="BB230" i="33"/>
  <c r="BA230" i="33"/>
  <c r="AZ230" i="33"/>
  <c r="AY230" i="33"/>
  <c r="AX230" i="33"/>
  <c r="AW230" i="33"/>
  <c r="AV230" i="33"/>
  <c r="AU230" i="33"/>
  <c r="AT230" i="33"/>
  <c r="AS230" i="33"/>
  <c r="AR230" i="33"/>
  <c r="AQ230" i="33"/>
  <c r="AP230" i="33"/>
  <c r="AO230" i="33"/>
  <c r="BL227" i="33"/>
  <c r="BK227" i="33"/>
  <c r="BJ227" i="33"/>
  <c r="BI227" i="33"/>
  <c r="BH227" i="33"/>
  <c r="BG227" i="33"/>
  <c r="BF227" i="33"/>
  <c r="BE227" i="33"/>
  <c r="BD227" i="33"/>
  <c r="BC227" i="33"/>
  <c r="BB227" i="33"/>
  <c r="BA227" i="33"/>
  <c r="AZ227" i="33"/>
  <c r="AY227" i="33"/>
  <c r="AX227" i="33"/>
  <c r="AW227" i="33"/>
  <c r="AV227" i="33"/>
  <c r="AU227" i="33"/>
  <c r="AT227" i="33"/>
  <c r="AS227" i="33"/>
  <c r="AR227" i="33"/>
  <c r="AQ227" i="33"/>
  <c r="AP227" i="33"/>
  <c r="AO227" i="33"/>
  <c r="AO226" i="33"/>
  <c r="BL225" i="33"/>
  <c r="BK225" i="33"/>
  <c r="BJ225" i="33"/>
  <c r="BI225" i="33"/>
  <c r="BH225" i="33"/>
  <c r="BG225" i="33"/>
  <c r="BF225" i="33"/>
  <c r="BE225" i="33"/>
  <c r="BD225" i="33"/>
  <c r="BC225" i="33"/>
  <c r="BB225" i="33"/>
  <c r="BA225" i="33"/>
  <c r="AZ225" i="33"/>
  <c r="AY225" i="33"/>
  <c r="AX225" i="33"/>
  <c r="AW225" i="33"/>
  <c r="AV225" i="33"/>
  <c r="AU225" i="33"/>
  <c r="AT225" i="33"/>
  <c r="AS225" i="33"/>
  <c r="AR225" i="33"/>
  <c r="AQ225" i="33"/>
  <c r="AP225" i="33"/>
  <c r="AO225" i="33"/>
  <c r="BL222" i="33"/>
  <c r="BK222" i="33"/>
  <c r="BJ222" i="33"/>
  <c r="BI222" i="33"/>
  <c r="BH222" i="33"/>
  <c r="BG222" i="33"/>
  <c r="BF222" i="33"/>
  <c r="BE222" i="33"/>
  <c r="BD222" i="33"/>
  <c r="BC222" i="33"/>
  <c r="BB222" i="33"/>
  <c r="BA222" i="33"/>
  <c r="AZ222" i="33"/>
  <c r="AY222" i="33"/>
  <c r="AX222" i="33"/>
  <c r="AW222" i="33"/>
  <c r="AV222" i="33"/>
  <c r="AU222" i="33"/>
  <c r="AT222" i="33"/>
  <c r="AS222" i="33"/>
  <c r="AR222" i="33"/>
  <c r="AQ222" i="33"/>
  <c r="AP222" i="33"/>
  <c r="AO222" i="33"/>
  <c r="AO221" i="33"/>
  <c r="BL220" i="33"/>
  <c r="BK220" i="33"/>
  <c r="BJ220" i="33"/>
  <c r="BI220" i="33"/>
  <c r="BH220" i="33"/>
  <c r="BG220" i="33"/>
  <c r="BF220" i="33"/>
  <c r="BE220" i="33"/>
  <c r="BD220" i="33"/>
  <c r="BC220" i="33"/>
  <c r="BB220" i="33"/>
  <c r="BA220" i="33"/>
  <c r="AZ220" i="33"/>
  <c r="AY220" i="33"/>
  <c r="AX220" i="33"/>
  <c r="AW220" i="33"/>
  <c r="AV220" i="33"/>
  <c r="AU220" i="33"/>
  <c r="AT220" i="33"/>
  <c r="AS220" i="33"/>
  <c r="AR220" i="33"/>
  <c r="AQ220" i="33"/>
  <c r="AP220" i="33"/>
  <c r="AO220" i="33"/>
  <c r="BL214" i="33"/>
  <c r="BK214" i="33"/>
  <c r="BJ214" i="33"/>
  <c r="BI214" i="33"/>
  <c r="BH214" i="33"/>
  <c r="BG214" i="33"/>
  <c r="BF214" i="33"/>
  <c r="BE214" i="33"/>
  <c r="BD214" i="33"/>
  <c r="BC214" i="33"/>
  <c r="BB214" i="33"/>
  <c r="BA214" i="33"/>
  <c r="AZ214" i="33"/>
  <c r="AY214" i="33"/>
  <c r="AX214" i="33"/>
  <c r="AW214" i="33"/>
  <c r="AV214" i="33"/>
  <c r="AU214" i="33"/>
  <c r="AT214" i="33"/>
  <c r="AS214" i="33"/>
  <c r="AR214" i="33"/>
  <c r="AQ214" i="33"/>
  <c r="AP214" i="33"/>
  <c r="AO214" i="33"/>
  <c r="AN214" i="33"/>
  <c r="AM214" i="33"/>
  <c r="AL214" i="33"/>
  <c r="AK214" i="33"/>
  <c r="AJ214" i="33"/>
  <c r="AI214" i="33"/>
  <c r="AH214" i="33"/>
  <c r="AG214" i="33"/>
  <c r="AF214" i="33"/>
  <c r="AE214" i="33"/>
  <c r="AD214" i="33"/>
  <c r="AC214" i="33"/>
  <c r="BL213" i="33"/>
  <c r="BK213" i="33"/>
  <c r="BJ213" i="33"/>
  <c r="BI213" i="33"/>
  <c r="BH213" i="33"/>
  <c r="BG213" i="33"/>
  <c r="BF213" i="33"/>
  <c r="BE213" i="33"/>
  <c r="BD213" i="33"/>
  <c r="BC213" i="33"/>
  <c r="BB213" i="33"/>
  <c r="BA213" i="33"/>
  <c r="AZ213" i="33"/>
  <c r="AY213" i="33"/>
  <c r="AX213" i="33"/>
  <c r="AW213" i="33"/>
  <c r="AV213" i="33"/>
  <c r="AU213" i="33"/>
  <c r="AT213" i="33"/>
  <c r="AS213" i="33"/>
  <c r="AR213" i="33"/>
  <c r="AQ213" i="33"/>
  <c r="AP213" i="33"/>
  <c r="AO213" i="33"/>
  <c r="AN213" i="33"/>
  <c r="AM213" i="33"/>
  <c r="AL213" i="33"/>
  <c r="AK213" i="33"/>
  <c r="AJ213" i="33"/>
  <c r="AI213" i="33"/>
  <c r="AH213" i="33"/>
  <c r="AG213" i="33"/>
  <c r="AF213" i="33"/>
  <c r="AE213" i="33"/>
  <c r="AD213" i="33"/>
  <c r="AC213" i="33"/>
  <c r="BL212" i="33"/>
  <c r="BK212" i="33"/>
  <c r="BJ212" i="33"/>
  <c r="BI212" i="33"/>
  <c r="BH212" i="33"/>
  <c r="BG212" i="33"/>
  <c r="BF212" i="33"/>
  <c r="BE212" i="33"/>
  <c r="BD212" i="33"/>
  <c r="BC212" i="33"/>
  <c r="BB212" i="33"/>
  <c r="BA212" i="33"/>
  <c r="AZ212" i="33"/>
  <c r="AY212" i="33"/>
  <c r="AX212" i="33"/>
  <c r="AW212" i="33"/>
  <c r="AV212" i="33"/>
  <c r="AU212" i="33"/>
  <c r="AT212" i="33"/>
  <c r="AS212" i="33"/>
  <c r="AR212" i="33"/>
  <c r="AQ212" i="33"/>
  <c r="AP212" i="33"/>
  <c r="AO212" i="33"/>
  <c r="AN212" i="33"/>
  <c r="AM212" i="33"/>
  <c r="AL212" i="33"/>
  <c r="AK212" i="33"/>
  <c r="AJ212" i="33"/>
  <c r="AI212" i="33"/>
  <c r="AH212" i="33"/>
  <c r="AG212" i="33"/>
  <c r="AF212" i="33"/>
  <c r="AE212" i="33"/>
  <c r="AC212" i="33"/>
  <c r="BL211" i="33"/>
  <c r="BK211" i="33"/>
  <c r="BJ211" i="33"/>
  <c r="BI211" i="33"/>
  <c r="BH211" i="33"/>
  <c r="BG211" i="33"/>
  <c r="BF211" i="33"/>
  <c r="BE211" i="33"/>
  <c r="BD211" i="33"/>
  <c r="BC211" i="33"/>
  <c r="BB211" i="33"/>
  <c r="BA211" i="33"/>
  <c r="AZ211" i="33"/>
  <c r="AY211" i="33"/>
  <c r="AX211" i="33"/>
  <c r="AW211" i="33"/>
  <c r="AV211" i="33"/>
  <c r="AU211" i="33"/>
  <c r="AT211" i="33"/>
  <c r="AS211" i="33"/>
  <c r="AR211" i="33"/>
  <c r="AQ211" i="33"/>
  <c r="AP211" i="33"/>
  <c r="AO211" i="33"/>
  <c r="AN211" i="33"/>
  <c r="AM211" i="33"/>
  <c r="AL211" i="33"/>
  <c r="AK211" i="33"/>
  <c r="AJ211" i="33"/>
  <c r="AI211" i="33"/>
  <c r="AH211" i="33"/>
  <c r="AG211" i="33"/>
  <c r="AF211" i="33"/>
  <c r="AE211" i="33"/>
  <c r="AD211" i="33"/>
  <c r="AC211" i="33"/>
  <c r="BL209" i="33"/>
  <c r="BK209" i="33"/>
  <c r="BJ209" i="33"/>
  <c r="BI209" i="33"/>
  <c r="BH209" i="33"/>
  <c r="BG209" i="33"/>
  <c r="BF209" i="33"/>
  <c r="BE209" i="33"/>
  <c r="BD209" i="33"/>
  <c r="BC209" i="33"/>
  <c r="BB209" i="33"/>
  <c r="BA209" i="33"/>
  <c r="AZ209" i="33"/>
  <c r="AY209" i="33"/>
  <c r="AX209" i="33"/>
  <c r="AW209" i="33"/>
  <c r="AV209" i="33"/>
  <c r="AU209" i="33"/>
  <c r="AT209" i="33"/>
  <c r="AS209" i="33"/>
  <c r="AR209" i="33"/>
  <c r="AQ209" i="33"/>
  <c r="AP209" i="33"/>
  <c r="AO209" i="33"/>
  <c r="AN209" i="33"/>
  <c r="AM209" i="33"/>
  <c r="AL209" i="33"/>
  <c r="AK209" i="33"/>
  <c r="AJ209" i="33"/>
  <c r="AI209" i="33"/>
  <c r="AH209" i="33"/>
  <c r="AG209" i="33"/>
  <c r="AF209" i="33"/>
  <c r="AE209" i="33"/>
  <c r="AD209" i="33"/>
  <c r="AC209" i="33"/>
  <c r="AD208" i="33"/>
  <c r="AC208" i="33"/>
  <c r="AC207" i="33"/>
  <c r="AD206" i="33"/>
  <c r="AC206" i="33"/>
  <c r="AD204" i="33"/>
  <c r="AC204" i="33"/>
  <c r="AD203" i="33"/>
  <c r="AC203" i="33"/>
  <c r="AC202" i="33"/>
  <c r="AD201" i="33"/>
  <c r="AC201" i="33"/>
  <c r="AD198" i="33"/>
  <c r="AC198" i="33"/>
  <c r="AC197" i="33"/>
  <c r="AD196" i="33"/>
  <c r="AC196" i="33"/>
  <c r="AD193" i="33"/>
  <c r="AC193" i="33"/>
  <c r="AC192" i="33"/>
  <c r="BL191" i="33"/>
  <c r="BK191" i="33"/>
  <c r="BJ191" i="33"/>
  <c r="BI191" i="33"/>
  <c r="BH191" i="33"/>
  <c r="BG191" i="33"/>
  <c r="BF191" i="33"/>
  <c r="BE191" i="33"/>
  <c r="BD191" i="33"/>
  <c r="BC191" i="33"/>
  <c r="BB191" i="33"/>
  <c r="BA191" i="33"/>
  <c r="AZ191" i="33"/>
  <c r="AY191" i="33"/>
  <c r="AX191" i="33"/>
  <c r="AW191" i="33"/>
  <c r="AV191" i="33"/>
  <c r="AU191" i="33"/>
  <c r="AT191" i="33"/>
  <c r="AS191" i="33"/>
  <c r="AR191" i="33"/>
  <c r="AQ191" i="33"/>
  <c r="AP191" i="33"/>
  <c r="AO191" i="33"/>
  <c r="AN191" i="33"/>
  <c r="AM191" i="33"/>
  <c r="AL191" i="33"/>
  <c r="AK191" i="33"/>
  <c r="AJ191" i="33"/>
  <c r="AI191" i="33"/>
  <c r="AH191" i="33"/>
  <c r="AG191" i="33"/>
  <c r="AF191" i="33"/>
  <c r="AE191" i="33"/>
  <c r="AD191" i="33"/>
  <c r="AC191" i="33"/>
  <c r="BL185" i="33"/>
  <c r="BK185" i="33"/>
  <c r="BJ185" i="33"/>
  <c r="BI185" i="33"/>
  <c r="BH185" i="33"/>
  <c r="BG185" i="33"/>
  <c r="BF185" i="33"/>
  <c r="BE185" i="33"/>
  <c r="BD185" i="33"/>
  <c r="BC185" i="33"/>
  <c r="BB185" i="33"/>
  <c r="BA185" i="33"/>
  <c r="AZ185" i="33"/>
  <c r="AY185" i="33"/>
  <c r="AX185" i="33"/>
  <c r="AW185" i="33"/>
  <c r="AV185" i="33"/>
  <c r="AU185" i="33"/>
  <c r="AT185" i="33"/>
  <c r="AS185" i="33"/>
  <c r="AR185" i="33"/>
  <c r="AQ185" i="33"/>
  <c r="AP185" i="33"/>
  <c r="AO185" i="33"/>
  <c r="AN185" i="33"/>
  <c r="AM185" i="33"/>
  <c r="AL185" i="33"/>
  <c r="AK185" i="33"/>
  <c r="AJ185" i="33"/>
  <c r="AI185" i="33"/>
  <c r="AH185" i="33"/>
  <c r="AG185" i="33"/>
  <c r="AF185" i="33"/>
  <c r="AE185" i="33"/>
  <c r="AD185" i="33"/>
  <c r="AC185" i="33"/>
  <c r="AB185" i="33"/>
  <c r="AA185" i="33"/>
  <c r="Z185" i="33"/>
  <c r="Y185" i="33"/>
  <c r="X185" i="33"/>
  <c r="W185" i="33"/>
  <c r="V185" i="33"/>
  <c r="U185" i="33"/>
  <c r="T185" i="33"/>
  <c r="S185" i="33"/>
  <c r="R185" i="33"/>
  <c r="Q185" i="33"/>
  <c r="BL184" i="33"/>
  <c r="BK184" i="33"/>
  <c r="BJ184" i="33"/>
  <c r="BI184" i="33"/>
  <c r="BH184" i="33"/>
  <c r="BG184" i="33"/>
  <c r="BF184" i="33"/>
  <c r="BE184" i="33"/>
  <c r="BD184" i="33"/>
  <c r="BC184" i="33"/>
  <c r="BB184" i="33"/>
  <c r="BA184" i="33"/>
  <c r="AZ184" i="33"/>
  <c r="AY184" i="33"/>
  <c r="AX184" i="33"/>
  <c r="AW184" i="33"/>
  <c r="AV184" i="33"/>
  <c r="AU184" i="33"/>
  <c r="AT184" i="33"/>
  <c r="AS184" i="33"/>
  <c r="AR184" i="33"/>
  <c r="AQ184" i="33"/>
  <c r="AP184" i="33"/>
  <c r="AO184" i="33"/>
  <c r="AN184" i="33"/>
  <c r="AM184" i="33"/>
  <c r="AL184" i="33"/>
  <c r="AK184" i="33"/>
  <c r="AJ184" i="33"/>
  <c r="AI184" i="33"/>
  <c r="AH184" i="33"/>
  <c r="AG184" i="33"/>
  <c r="AF184" i="33"/>
  <c r="AE184" i="33"/>
  <c r="AD184" i="33"/>
  <c r="AC184" i="33"/>
  <c r="AB184" i="33"/>
  <c r="AA184" i="33"/>
  <c r="Z184" i="33"/>
  <c r="Y184" i="33"/>
  <c r="X184" i="33"/>
  <c r="W184" i="33"/>
  <c r="V184" i="33"/>
  <c r="U184" i="33"/>
  <c r="T184" i="33"/>
  <c r="S184" i="33"/>
  <c r="R184" i="33"/>
  <c r="Q184" i="33"/>
  <c r="Q183" i="33"/>
  <c r="BL182" i="33"/>
  <c r="BK182" i="33"/>
  <c r="BJ182" i="33"/>
  <c r="BI182" i="33"/>
  <c r="BH182" i="33"/>
  <c r="BG182" i="33"/>
  <c r="BF182" i="33"/>
  <c r="BE182" i="33"/>
  <c r="BD182" i="33"/>
  <c r="BC182" i="33"/>
  <c r="BB182" i="33"/>
  <c r="BA182" i="33"/>
  <c r="AZ182" i="33"/>
  <c r="AY182" i="33"/>
  <c r="AX182" i="33"/>
  <c r="AW182" i="33"/>
  <c r="AV182" i="33"/>
  <c r="AU182" i="33"/>
  <c r="AT182" i="33"/>
  <c r="AS182" i="33"/>
  <c r="AR182" i="33"/>
  <c r="AQ182" i="33"/>
  <c r="AP182" i="33"/>
  <c r="AO182" i="33"/>
  <c r="AN182" i="33"/>
  <c r="AM182" i="33"/>
  <c r="AL182" i="33"/>
  <c r="AK182" i="33"/>
  <c r="AJ182" i="33"/>
  <c r="AI182" i="33"/>
  <c r="AH182" i="33"/>
  <c r="AG182" i="33"/>
  <c r="AF182" i="33"/>
  <c r="AE182" i="33"/>
  <c r="AD182" i="33"/>
  <c r="AC182" i="33"/>
  <c r="AB182" i="33"/>
  <c r="AA182" i="33"/>
  <c r="Z182" i="33"/>
  <c r="Y182" i="33"/>
  <c r="X182" i="33"/>
  <c r="W182" i="33"/>
  <c r="V182" i="33"/>
  <c r="U182" i="33"/>
  <c r="T182" i="33"/>
  <c r="S182" i="33"/>
  <c r="R182" i="33"/>
  <c r="Q182" i="33"/>
  <c r="BL180" i="33"/>
  <c r="BK180" i="33"/>
  <c r="BJ180" i="33"/>
  <c r="BI180" i="33"/>
  <c r="BH180" i="33"/>
  <c r="BG180" i="33"/>
  <c r="BF180" i="33"/>
  <c r="BE180" i="33"/>
  <c r="BD180" i="33"/>
  <c r="BC180" i="33"/>
  <c r="BB180" i="33"/>
  <c r="BA180" i="33"/>
  <c r="AZ180" i="33"/>
  <c r="AY180" i="33"/>
  <c r="AX180" i="33"/>
  <c r="AW180" i="33"/>
  <c r="AV180" i="33"/>
  <c r="AU180" i="33"/>
  <c r="AT180" i="33"/>
  <c r="AS180" i="33"/>
  <c r="AR180" i="33"/>
  <c r="AQ180" i="33"/>
  <c r="AP180" i="33"/>
  <c r="AO180" i="33"/>
  <c r="AN180" i="33"/>
  <c r="AM180" i="33"/>
  <c r="AL180" i="33"/>
  <c r="AK180" i="33"/>
  <c r="AJ180" i="33"/>
  <c r="AI180" i="33"/>
  <c r="AH180" i="33"/>
  <c r="AG180" i="33"/>
  <c r="AF180" i="33"/>
  <c r="AE180" i="33"/>
  <c r="AD180" i="33"/>
  <c r="AA180" i="33"/>
  <c r="Z180" i="33"/>
  <c r="Y180" i="33"/>
  <c r="X180" i="33"/>
  <c r="W180" i="33"/>
  <c r="V180" i="33"/>
  <c r="U180" i="33"/>
  <c r="T180" i="33"/>
  <c r="S180" i="33"/>
  <c r="R180" i="33"/>
  <c r="Q180" i="33"/>
  <c r="R179" i="33"/>
  <c r="Q179" i="33"/>
  <c r="Q178" i="33"/>
  <c r="R177" i="33"/>
  <c r="Q177" i="33"/>
  <c r="R175" i="33"/>
  <c r="Q175" i="33"/>
  <c r="R174" i="33"/>
  <c r="Q174" i="33"/>
  <c r="Q172" i="33"/>
  <c r="Q169" i="33"/>
  <c r="Q167" i="33"/>
  <c r="Q164" i="33"/>
  <c r="BL162" i="33"/>
  <c r="BK162" i="33"/>
  <c r="BJ162" i="33"/>
  <c r="BI162" i="33"/>
  <c r="BH162" i="33"/>
  <c r="BG162" i="33"/>
  <c r="BF162" i="33"/>
  <c r="BE162" i="33"/>
  <c r="BD162" i="33"/>
  <c r="BC162" i="33"/>
  <c r="BB162" i="33"/>
  <c r="BA162" i="33"/>
  <c r="AZ162" i="33"/>
  <c r="AY162" i="33"/>
  <c r="AX162" i="33"/>
  <c r="AW162" i="33"/>
  <c r="AV162" i="33"/>
  <c r="AU162" i="33"/>
  <c r="AT162" i="33"/>
  <c r="AS162" i="33"/>
  <c r="AR162" i="33"/>
  <c r="AQ162" i="33"/>
  <c r="AP162" i="33"/>
  <c r="AO162" i="33"/>
  <c r="AN162" i="33"/>
  <c r="AM162" i="33"/>
  <c r="AL162" i="33"/>
  <c r="AK162" i="33"/>
  <c r="AJ162" i="33"/>
  <c r="AI162" i="33"/>
  <c r="AH162" i="33"/>
  <c r="AG162" i="33"/>
  <c r="AF162" i="33"/>
  <c r="AE162" i="33"/>
  <c r="AD162" i="33"/>
  <c r="AC162" i="33"/>
  <c r="AB162" i="33"/>
  <c r="AA162" i="33"/>
  <c r="Z162" i="33"/>
  <c r="Y162" i="33"/>
  <c r="X162" i="33"/>
  <c r="W162" i="33"/>
  <c r="V162" i="33"/>
  <c r="U162" i="33"/>
  <c r="T162" i="33"/>
  <c r="S162" i="33"/>
  <c r="R162" i="33"/>
  <c r="Q162" i="33"/>
  <c r="BL156" i="33"/>
  <c r="BK156" i="33"/>
  <c r="BJ156" i="33"/>
  <c r="BI156" i="33"/>
  <c r="BH156" i="33"/>
  <c r="BG156" i="33"/>
  <c r="BF156" i="33"/>
  <c r="BE156" i="33"/>
  <c r="BD156" i="33"/>
  <c r="BC156" i="33"/>
  <c r="BB156" i="33"/>
  <c r="BA156" i="33"/>
  <c r="AZ156" i="33"/>
  <c r="AY156" i="33"/>
  <c r="AX156" i="33"/>
  <c r="AW156" i="33"/>
  <c r="AV156" i="33"/>
  <c r="AU156" i="33"/>
  <c r="AT156" i="33"/>
  <c r="AS156" i="33"/>
  <c r="AR156" i="33"/>
  <c r="AQ156" i="33"/>
  <c r="AP156" i="33"/>
  <c r="AO156" i="33"/>
  <c r="AN156" i="33"/>
  <c r="AM156" i="33"/>
  <c r="AL156" i="33"/>
  <c r="AK156" i="33"/>
  <c r="AJ156" i="33"/>
  <c r="AI156" i="33"/>
  <c r="AH156" i="33"/>
  <c r="AG156" i="33"/>
  <c r="AF156" i="33"/>
  <c r="AE156" i="33"/>
  <c r="AD156" i="33"/>
  <c r="AC156" i="33"/>
  <c r="AB156" i="33"/>
  <c r="AA156" i="33"/>
  <c r="Z156" i="33"/>
  <c r="Y156" i="33"/>
  <c r="X156" i="33"/>
  <c r="W156" i="33"/>
  <c r="V156" i="33"/>
  <c r="U156" i="33"/>
  <c r="T156" i="33"/>
  <c r="S156" i="33"/>
  <c r="R156" i="33"/>
  <c r="Q156" i="33"/>
  <c r="P156" i="33"/>
  <c r="O156" i="33"/>
  <c r="N156" i="33"/>
  <c r="M156" i="33"/>
  <c r="L156" i="33"/>
  <c r="K156" i="33"/>
  <c r="J156" i="33"/>
  <c r="I156" i="33"/>
  <c r="H156" i="33"/>
  <c r="G156" i="33"/>
  <c r="F156" i="33"/>
  <c r="E156" i="33"/>
  <c r="BL155" i="33"/>
  <c r="BK155" i="33"/>
  <c r="BJ155" i="33"/>
  <c r="BI155" i="33"/>
  <c r="BH155" i="33"/>
  <c r="BG155" i="33"/>
  <c r="BF155" i="33"/>
  <c r="BE155" i="33"/>
  <c r="BD155" i="33"/>
  <c r="BC155" i="33"/>
  <c r="BB155" i="33"/>
  <c r="BA155" i="33"/>
  <c r="AZ155" i="33"/>
  <c r="AY155" i="33"/>
  <c r="AX155" i="33"/>
  <c r="AW155" i="33"/>
  <c r="AV155" i="33"/>
  <c r="AU155" i="33"/>
  <c r="AT155" i="33"/>
  <c r="AS155" i="33"/>
  <c r="AR155" i="33"/>
  <c r="AQ155" i="33"/>
  <c r="AP155" i="33"/>
  <c r="AO155" i="33"/>
  <c r="AN155" i="33"/>
  <c r="AM155" i="33"/>
  <c r="AL155" i="33"/>
  <c r="AK155" i="33"/>
  <c r="AJ155" i="33"/>
  <c r="AI155" i="33"/>
  <c r="AH155" i="33"/>
  <c r="AG155" i="33"/>
  <c r="AF155" i="33"/>
  <c r="AE155" i="33"/>
  <c r="AD155" i="33"/>
  <c r="AC155" i="33"/>
  <c r="AB155" i="33"/>
  <c r="AA155" i="33"/>
  <c r="Z155" i="33"/>
  <c r="Y155" i="33"/>
  <c r="X155" i="33"/>
  <c r="W155" i="33"/>
  <c r="V155" i="33"/>
  <c r="U155" i="33"/>
  <c r="T155" i="33"/>
  <c r="S155" i="33"/>
  <c r="R155" i="33"/>
  <c r="Q155" i="33"/>
  <c r="P155" i="33"/>
  <c r="O155" i="33"/>
  <c r="N155" i="33"/>
  <c r="M155" i="33"/>
  <c r="L155" i="33"/>
  <c r="K155" i="33"/>
  <c r="J155" i="33"/>
  <c r="I155" i="33"/>
  <c r="H155" i="33"/>
  <c r="G155" i="33"/>
  <c r="F155" i="33"/>
  <c r="E155" i="33"/>
  <c r="E154" i="33"/>
  <c r="BL153" i="33"/>
  <c r="BK153" i="33"/>
  <c r="BJ153" i="33"/>
  <c r="BI153" i="33"/>
  <c r="BH153" i="33"/>
  <c r="BG153" i="33"/>
  <c r="BF153" i="33"/>
  <c r="BE153" i="33"/>
  <c r="BD153" i="33"/>
  <c r="BC153" i="33"/>
  <c r="BB153" i="33"/>
  <c r="BA153" i="33"/>
  <c r="AZ153" i="33"/>
  <c r="AY153" i="33"/>
  <c r="AX153" i="33"/>
  <c r="AW153" i="33"/>
  <c r="AV153" i="33"/>
  <c r="AU153" i="33"/>
  <c r="AT153" i="33"/>
  <c r="AS153" i="33"/>
  <c r="AR153" i="33"/>
  <c r="AQ153" i="33"/>
  <c r="AP153" i="33"/>
  <c r="AO153" i="33"/>
  <c r="AN153" i="33"/>
  <c r="AM153" i="33"/>
  <c r="AL153" i="33"/>
  <c r="AK153" i="33"/>
  <c r="AJ153" i="33"/>
  <c r="AI153" i="33"/>
  <c r="AH153" i="33"/>
  <c r="AG153" i="33"/>
  <c r="AF153" i="33"/>
  <c r="AE153" i="33"/>
  <c r="AD153" i="33"/>
  <c r="AC153" i="33"/>
  <c r="AB153" i="33"/>
  <c r="AA153" i="33"/>
  <c r="Z153" i="33"/>
  <c r="Y153" i="33"/>
  <c r="X153" i="33"/>
  <c r="W153" i="33"/>
  <c r="V153" i="33"/>
  <c r="U153" i="33"/>
  <c r="T153" i="33"/>
  <c r="S153" i="33"/>
  <c r="R153" i="33"/>
  <c r="Q153" i="33"/>
  <c r="P153" i="33"/>
  <c r="O153" i="33"/>
  <c r="N153" i="33"/>
  <c r="M153" i="33"/>
  <c r="L153" i="33"/>
  <c r="K153" i="33"/>
  <c r="J153" i="33"/>
  <c r="I153" i="33"/>
  <c r="H153" i="33"/>
  <c r="G153" i="33"/>
  <c r="F153" i="33"/>
  <c r="E153" i="33"/>
  <c r="BL151" i="33"/>
  <c r="BK151" i="33"/>
  <c r="BJ151" i="33"/>
  <c r="BI151" i="33"/>
  <c r="BH151" i="33"/>
  <c r="BG151" i="33"/>
  <c r="BF151" i="33"/>
  <c r="BE151" i="33"/>
  <c r="BD151" i="33"/>
  <c r="BC151" i="33"/>
  <c r="BB151" i="33"/>
  <c r="BA151" i="33"/>
  <c r="AZ151" i="33"/>
  <c r="AY151" i="33"/>
  <c r="AX151" i="33"/>
  <c r="AW151" i="33"/>
  <c r="AV151" i="33"/>
  <c r="AU151" i="33"/>
  <c r="AT151" i="33"/>
  <c r="AS151" i="33"/>
  <c r="AR151" i="33"/>
  <c r="AQ151" i="33"/>
  <c r="AP151" i="33"/>
  <c r="AO151" i="33"/>
  <c r="AN151" i="33"/>
  <c r="AM151" i="33"/>
  <c r="AL151" i="33"/>
  <c r="AK151" i="33"/>
  <c r="AJ151" i="33"/>
  <c r="AI151" i="33"/>
  <c r="AH151" i="33"/>
  <c r="AG151" i="33"/>
  <c r="AF151" i="33"/>
  <c r="AE151" i="33"/>
  <c r="AD151" i="33"/>
  <c r="AC151" i="33"/>
  <c r="AB151" i="33"/>
  <c r="AA151" i="33"/>
  <c r="Z151" i="33"/>
  <c r="Y151" i="33"/>
  <c r="X151" i="33"/>
  <c r="W151" i="33"/>
  <c r="V151" i="33"/>
  <c r="U151" i="33"/>
  <c r="T151" i="33"/>
  <c r="S151" i="33"/>
  <c r="R151" i="33"/>
  <c r="Q151" i="33"/>
  <c r="O151" i="33"/>
  <c r="N151" i="33"/>
  <c r="M151" i="33"/>
  <c r="L151" i="33"/>
  <c r="K151" i="33"/>
  <c r="J151" i="33"/>
  <c r="I151" i="33"/>
  <c r="H151" i="33"/>
  <c r="G151" i="33"/>
  <c r="F151" i="33"/>
  <c r="E151" i="33"/>
  <c r="BL150" i="33"/>
  <c r="BK150" i="33"/>
  <c r="BJ150" i="33"/>
  <c r="BI150" i="33"/>
  <c r="BH150" i="33"/>
  <c r="BG150" i="33"/>
  <c r="BF150" i="33"/>
  <c r="BE150" i="33"/>
  <c r="BD150" i="33"/>
  <c r="BC150" i="33"/>
  <c r="BB150" i="33"/>
  <c r="BA150" i="33"/>
  <c r="AZ150" i="33"/>
  <c r="AY150" i="33"/>
  <c r="AX150" i="33"/>
  <c r="AW150" i="33"/>
  <c r="AV150" i="33"/>
  <c r="AU150" i="33"/>
  <c r="AT150" i="33"/>
  <c r="AS150" i="33"/>
  <c r="AR150" i="33"/>
  <c r="AQ150" i="33"/>
  <c r="AP150" i="33"/>
  <c r="AO150" i="33"/>
  <c r="AN150" i="33"/>
  <c r="AM150" i="33"/>
  <c r="AL150" i="33"/>
  <c r="AK150" i="33"/>
  <c r="AJ150" i="33"/>
  <c r="AI150" i="33"/>
  <c r="AH150" i="33"/>
  <c r="AG150" i="33"/>
  <c r="AF150" i="33"/>
  <c r="AE150" i="33"/>
  <c r="AD150" i="33"/>
  <c r="AC150" i="33"/>
  <c r="AB150" i="33"/>
  <c r="AA150" i="33"/>
  <c r="Z150" i="33"/>
  <c r="Y150" i="33"/>
  <c r="X150" i="33"/>
  <c r="W150" i="33"/>
  <c r="V150" i="33"/>
  <c r="U150" i="33"/>
  <c r="T150" i="33"/>
  <c r="S150" i="33"/>
  <c r="R150" i="33"/>
  <c r="Q150" i="33"/>
  <c r="P150" i="33"/>
  <c r="O150" i="33"/>
  <c r="N150" i="33"/>
  <c r="M150" i="33"/>
  <c r="L150" i="33"/>
  <c r="K150" i="33"/>
  <c r="J150" i="33"/>
  <c r="I150" i="33"/>
  <c r="H150" i="33"/>
  <c r="G150" i="33"/>
  <c r="F150" i="33"/>
  <c r="E150" i="33"/>
  <c r="E149" i="33"/>
  <c r="F148" i="33"/>
  <c r="E148" i="33"/>
  <c r="F146" i="33"/>
  <c r="E146" i="33"/>
  <c r="F145" i="33"/>
  <c r="E145" i="33"/>
  <c r="F143" i="33"/>
  <c r="E143" i="33"/>
  <c r="F141" i="33"/>
  <c r="E141" i="33"/>
  <c r="F140" i="33"/>
  <c r="E140" i="33"/>
  <c r="F138" i="33"/>
  <c r="E138" i="33"/>
  <c r="F136" i="33"/>
  <c r="E136" i="33"/>
  <c r="F135" i="33"/>
  <c r="E135" i="33"/>
  <c r="E134" i="33"/>
  <c r="BL133" i="33"/>
  <c r="BK133" i="33"/>
  <c r="BJ133" i="33"/>
  <c r="BI133" i="33"/>
  <c r="BH133" i="33"/>
  <c r="BG133" i="33"/>
  <c r="BF133" i="33"/>
  <c r="BE133" i="33"/>
  <c r="BD133" i="33"/>
  <c r="BC133" i="33"/>
  <c r="BB133" i="33"/>
  <c r="BA133" i="33"/>
  <c r="AZ133" i="33"/>
  <c r="AY133" i="33"/>
  <c r="AX133" i="33"/>
  <c r="AW133" i="33"/>
  <c r="AV133" i="33"/>
  <c r="AU133" i="33"/>
  <c r="AT133" i="33"/>
  <c r="AS133" i="33"/>
  <c r="AR133" i="33"/>
  <c r="AQ133" i="33"/>
  <c r="AP133" i="33"/>
  <c r="AO133" i="33"/>
  <c r="AN133" i="33"/>
  <c r="AM133" i="33"/>
  <c r="AL133" i="33"/>
  <c r="AK133" i="33"/>
  <c r="AJ133" i="33"/>
  <c r="AI133" i="33"/>
  <c r="AH133" i="33"/>
  <c r="AG133" i="33"/>
  <c r="AF133" i="33"/>
  <c r="AE133" i="33"/>
  <c r="AD133" i="33"/>
  <c r="AC133" i="33"/>
  <c r="AB133" i="33"/>
  <c r="AA133" i="33"/>
  <c r="Z133" i="33"/>
  <c r="Y133" i="33"/>
  <c r="X133" i="33"/>
  <c r="W133" i="33"/>
  <c r="V133" i="33"/>
  <c r="U133" i="33"/>
  <c r="T133" i="33"/>
  <c r="S133" i="33"/>
  <c r="R133" i="33"/>
  <c r="Q133" i="33"/>
  <c r="P133" i="33"/>
  <c r="O133" i="33"/>
  <c r="N133" i="33"/>
  <c r="M133" i="33"/>
  <c r="L133" i="33"/>
  <c r="K133" i="33"/>
  <c r="J133" i="33"/>
  <c r="I133" i="33"/>
  <c r="H133" i="33"/>
  <c r="G133" i="33"/>
  <c r="F133" i="33"/>
  <c r="E133" i="33"/>
  <c r="N116" i="33"/>
  <c r="L116" i="33"/>
  <c r="J116" i="33"/>
  <c r="H116" i="33"/>
  <c r="F116" i="33"/>
  <c r="O30" i="33"/>
  <c r="J30" i="33"/>
  <c r="E30" i="33"/>
  <c r="O16" i="33"/>
  <c r="E16" i="33"/>
  <c r="D16" i="33"/>
  <c r="L16" i="33" s="1"/>
  <c r="D30" i="33" s="1"/>
  <c r="O15" i="33"/>
  <c r="H115" i="33" s="1"/>
  <c r="E15" i="33"/>
  <c r="F115" i="33" s="1"/>
  <c r="CN4" i="33"/>
  <c r="J61" i="33" s="1"/>
  <c r="J69" i="33" s="1"/>
  <c r="BD265" i="33" l="1"/>
  <c r="BE265" i="33"/>
  <c r="BF265" i="33"/>
  <c r="BG265" i="33"/>
  <c r="BH265" i="33"/>
  <c r="BI265" i="33"/>
  <c r="BJ265" i="33"/>
  <c r="BK265" i="33"/>
  <c r="BL265" i="33"/>
  <c r="BC265" i="33"/>
  <c r="BB265" i="33"/>
  <c r="AX173" i="33"/>
  <c r="BI173" i="33"/>
  <c r="AW173" i="33"/>
  <c r="BH173" i="33"/>
  <c r="BJ173" i="33"/>
  <c r="AO173" i="33"/>
  <c r="BB173" i="33"/>
  <c r="BG173" i="33"/>
  <c r="BK173" i="33"/>
  <c r="AQ173" i="33"/>
  <c r="AU173" i="33"/>
  <c r="BC173" i="33"/>
  <c r="BF173" i="33"/>
  <c r="BD173" i="33"/>
  <c r="AR173" i="33"/>
  <c r="AP173" i="33"/>
  <c r="BE173" i="33"/>
  <c r="AT173" i="33"/>
  <c r="AV173" i="33"/>
  <c r="AY173" i="33"/>
  <c r="AS173" i="33"/>
  <c r="BL173" i="33"/>
  <c r="AZ173" i="33"/>
  <c r="BA173" i="33"/>
  <c r="U139" i="33"/>
  <c r="AG139" i="33"/>
  <c r="AS139" i="33"/>
  <c r="BE139" i="33"/>
  <c r="BG139" i="33"/>
  <c r="X139" i="33"/>
  <c r="AO139" i="33"/>
  <c r="BB139" i="33"/>
  <c r="BC139" i="33"/>
  <c r="V139" i="33"/>
  <c r="AH139" i="33"/>
  <c r="AT139" i="33"/>
  <c r="BF139" i="33"/>
  <c r="W139" i="33"/>
  <c r="AI139" i="33"/>
  <c r="AU139" i="33"/>
  <c r="AJ139" i="33"/>
  <c r="AV139" i="33"/>
  <c r="BH139" i="33"/>
  <c r="Y139" i="33"/>
  <c r="AK139" i="33"/>
  <c r="AW139" i="33"/>
  <c r="BI139" i="33"/>
  <c r="F139" i="33"/>
  <c r="R139" i="33"/>
  <c r="AQ139" i="33"/>
  <c r="AF139" i="33"/>
  <c r="AR139" i="33"/>
  <c r="BD139" i="33"/>
  <c r="Z139" i="33"/>
  <c r="AL139" i="33"/>
  <c r="AX139" i="33"/>
  <c r="BJ139" i="33"/>
  <c r="AA139" i="33"/>
  <c r="AM139" i="33"/>
  <c r="AY139" i="33"/>
  <c r="BK139" i="33"/>
  <c r="AB139" i="33"/>
  <c r="AN139" i="33"/>
  <c r="AZ139" i="33"/>
  <c r="BL139" i="33"/>
  <c r="AC139" i="33"/>
  <c r="BA139" i="33"/>
  <c r="AP139" i="33"/>
  <c r="AE139" i="33"/>
  <c r="T139" i="33"/>
  <c r="Q139" i="33"/>
  <c r="AD139" i="33"/>
  <c r="S139" i="33"/>
  <c r="P139" i="33"/>
  <c r="H139" i="33"/>
  <c r="I139" i="33"/>
  <c r="J139" i="33"/>
  <c r="L139" i="33"/>
  <c r="G139" i="33"/>
  <c r="M139" i="33"/>
  <c r="K139" i="33"/>
  <c r="O139" i="33"/>
  <c r="N139" i="33"/>
  <c r="AQ125" i="33"/>
  <c r="AF125" i="33"/>
  <c r="AG125" i="33"/>
  <c r="AY125" i="33"/>
  <c r="AN125" i="33"/>
  <c r="AE125" i="33"/>
  <c r="AM125" i="33"/>
  <c r="AB125" i="33"/>
  <c r="BC125" i="33"/>
  <c r="BK125" i="33"/>
  <c r="K149" i="33"/>
  <c r="W149" i="33"/>
  <c r="AI149" i="33"/>
  <c r="AU149" i="33"/>
  <c r="BG149" i="33"/>
  <c r="L149" i="33"/>
  <c r="X149" i="33"/>
  <c r="AJ149" i="33"/>
  <c r="AV149" i="33"/>
  <c r="BH149" i="33"/>
  <c r="M149" i="33"/>
  <c r="Y149" i="33"/>
  <c r="AK149" i="33"/>
  <c r="AW149" i="33"/>
  <c r="BI149" i="33"/>
  <c r="N149" i="33"/>
  <c r="Z149" i="33"/>
  <c r="AL149" i="33"/>
  <c r="AX149" i="33"/>
  <c r="BJ149" i="33"/>
  <c r="O149" i="33"/>
  <c r="AA149" i="33"/>
  <c r="AM149" i="33"/>
  <c r="AY149" i="33"/>
  <c r="BK149" i="33"/>
  <c r="BD149" i="33"/>
  <c r="I149" i="33"/>
  <c r="U149" i="33"/>
  <c r="AS149" i="33"/>
  <c r="BE149" i="33"/>
  <c r="J149" i="33"/>
  <c r="AH149" i="33"/>
  <c r="AT149" i="33"/>
  <c r="BF149" i="33"/>
  <c r="P149" i="33"/>
  <c r="AB149" i="33"/>
  <c r="AN149" i="33"/>
  <c r="AZ149" i="33"/>
  <c r="BL149" i="33"/>
  <c r="Q149" i="33"/>
  <c r="AC149" i="33"/>
  <c r="AO149" i="33"/>
  <c r="BA149" i="33"/>
  <c r="F149" i="33"/>
  <c r="R149" i="33"/>
  <c r="AD149" i="33"/>
  <c r="AP149" i="33"/>
  <c r="BB149" i="33"/>
  <c r="G149" i="33"/>
  <c r="S149" i="33"/>
  <c r="AE149" i="33"/>
  <c r="AQ149" i="33"/>
  <c r="BC149" i="33"/>
  <c r="H149" i="33"/>
  <c r="T149" i="33"/>
  <c r="AF149" i="33"/>
  <c r="AR149" i="33"/>
  <c r="AG149" i="33"/>
  <c r="V149" i="33"/>
  <c r="S144" i="33"/>
  <c r="T144" i="33"/>
  <c r="AF144" i="33"/>
  <c r="AR144" i="33"/>
  <c r="BD144" i="33"/>
  <c r="G144" i="33"/>
  <c r="U144" i="33"/>
  <c r="AG144" i="33"/>
  <c r="AS144" i="33"/>
  <c r="BE144" i="33"/>
  <c r="H144" i="33"/>
  <c r="V144" i="33"/>
  <c r="AH144" i="33"/>
  <c r="AT144" i="33"/>
  <c r="BF144" i="33"/>
  <c r="F144" i="33"/>
  <c r="I144" i="33"/>
  <c r="W144" i="33"/>
  <c r="AI144" i="33"/>
  <c r="AU144" i="33"/>
  <c r="BG144" i="33"/>
  <c r="J144" i="33"/>
  <c r="X144" i="33"/>
  <c r="AJ144" i="33"/>
  <c r="AV144" i="33"/>
  <c r="BH144" i="33"/>
  <c r="K144" i="33"/>
  <c r="Y144" i="33"/>
  <c r="AK144" i="33"/>
  <c r="AW144" i="33"/>
  <c r="BI144" i="33"/>
  <c r="L144" i="33"/>
  <c r="Z144" i="33"/>
  <c r="AL144" i="33"/>
  <c r="AX144" i="33"/>
  <c r="BJ144" i="33"/>
  <c r="M144" i="33"/>
  <c r="AA144" i="33"/>
  <c r="AM144" i="33"/>
  <c r="AY144" i="33"/>
  <c r="BK144" i="33"/>
  <c r="N144" i="33"/>
  <c r="AB144" i="33"/>
  <c r="AN144" i="33"/>
  <c r="AZ144" i="33"/>
  <c r="BL144" i="33"/>
  <c r="Q144" i="33"/>
  <c r="AC144" i="33"/>
  <c r="AO144" i="33"/>
  <c r="BA144" i="33"/>
  <c r="R144" i="33"/>
  <c r="AD144" i="33"/>
  <c r="AP144" i="33"/>
  <c r="BB144" i="33"/>
  <c r="AE144" i="33"/>
  <c r="AQ144" i="33"/>
  <c r="BC144" i="33"/>
  <c r="O144" i="33"/>
  <c r="P144" i="33"/>
  <c r="BF260" i="33"/>
  <c r="BG260" i="33"/>
  <c r="BH260" i="33"/>
  <c r="BI260" i="33"/>
  <c r="BJ260" i="33"/>
  <c r="BK260" i="33"/>
  <c r="BL260" i="33"/>
  <c r="BC260" i="33"/>
  <c r="BB260" i="33"/>
  <c r="BD260" i="33"/>
  <c r="BE260" i="33"/>
  <c r="BL255" i="33"/>
  <c r="BC255" i="33"/>
  <c r="BD255" i="33"/>
  <c r="BB255" i="33"/>
  <c r="BE255" i="33"/>
  <c r="BF255" i="33"/>
  <c r="BG255" i="33"/>
  <c r="BH255" i="33"/>
  <c r="BI255" i="33"/>
  <c r="BJ255" i="33"/>
  <c r="BK255" i="33"/>
  <c r="BK250" i="33"/>
  <c r="BL250" i="33"/>
  <c r="BC250" i="33"/>
  <c r="BD250" i="33"/>
  <c r="BE250" i="33"/>
  <c r="BF250" i="33"/>
  <c r="BB250" i="33"/>
  <c r="BG250" i="33"/>
  <c r="BH250" i="33"/>
  <c r="BI250" i="33"/>
  <c r="BJ250" i="33"/>
  <c r="BB236" i="33"/>
  <c r="AQ236" i="33"/>
  <c r="BC236" i="33"/>
  <c r="AR236" i="33"/>
  <c r="BD236" i="33"/>
  <c r="AS236" i="33"/>
  <c r="BE236" i="33"/>
  <c r="AT236" i="33"/>
  <c r="BF236" i="33"/>
  <c r="AU236" i="33"/>
  <c r="BG236" i="33"/>
  <c r="AV236" i="33"/>
  <c r="BH236" i="33"/>
  <c r="AW236" i="33"/>
  <c r="BI236" i="33"/>
  <c r="AP236" i="33"/>
  <c r="AX236" i="33"/>
  <c r="BJ236" i="33"/>
  <c r="AY236" i="33"/>
  <c r="BK236" i="33"/>
  <c r="AZ236" i="33"/>
  <c r="BL236" i="33"/>
  <c r="BA236" i="33"/>
  <c r="BD125" i="33"/>
  <c r="AS125" i="33"/>
  <c r="AZ125" i="33"/>
  <c r="AQ231" i="33"/>
  <c r="BC231" i="33"/>
  <c r="AR231" i="33"/>
  <c r="BD231" i="33"/>
  <c r="AS231" i="33"/>
  <c r="BE231" i="33"/>
  <c r="AT231" i="33"/>
  <c r="BF231" i="33"/>
  <c r="AU231" i="33"/>
  <c r="BG231" i="33"/>
  <c r="AV231" i="33"/>
  <c r="BH231" i="33"/>
  <c r="AW231" i="33"/>
  <c r="BI231" i="33"/>
  <c r="AX231" i="33"/>
  <c r="BJ231" i="33"/>
  <c r="AY231" i="33"/>
  <c r="BK231" i="33"/>
  <c r="AP231" i="33"/>
  <c r="AZ231" i="33"/>
  <c r="BL231" i="33"/>
  <c r="BA231" i="33"/>
  <c r="BB231" i="33"/>
  <c r="AO125" i="33"/>
  <c r="BA125" i="33"/>
  <c r="AR125" i="33"/>
  <c r="BE125" i="33"/>
  <c r="BL125" i="33"/>
  <c r="BF125" i="33"/>
  <c r="BG125" i="33"/>
  <c r="AJ125" i="33"/>
  <c r="AV125" i="33"/>
  <c r="BH125" i="33"/>
  <c r="AK125" i="33"/>
  <c r="AW125" i="33"/>
  <c r="BI125" i="33"/>
  <c r="AL125" i="33"/>
  <c r="AX125" i="33"/>
  <c r="BJ125" i="33"/>
  <c r="AH207" i="33"/>
  <c r="AT207" i="33"/>
  <c r="BF207" i="33"/>
  <c r="AI207" i="33"/>
  <c r="AU207" i="33"/>
  <c r="BG207" i="33"/>
  <c r="AD207" i="33"/>
  <c r="AJ207" i="33"/>
  <c r="AV207" i="33"/>
  <c r="BH207" i="33"/>
  <c r="AK207" i="33"/>
  <c r="AW207" i="33"/>
  <c r="BI207" i="33"/>
  <c r="AQ207" i="33"/>
  <c r="BD207" i="33"/>
  <c r="BE207" i="33"/>
  <c r="AL207" i="33"/>
  <c r="AX207" i="33"/>
  <c r="BJ207" i="33"/>
  <c r="AM207" i="33"/>
  <c r="AY207" i="33"/>
  <c r="BK207" i="33"/>
  <c r="AN207" i="33"/>
  <c r="AZ207" i="33"/>
  <c r="BL207" i="33"/>
  <c r="AO207" i="33"/>
  <c r="BA207" i="33"/>
  <c r="AP207" i="33"/>
  <c r="BB207" i="33"/>
  <c r="AE207" i="33"/>
  <c r="BC207" i="33"/>
  <c r="AF207" i="33"/>
  <c r="AR207" i="33"/>
  <c r="AG207" i="33"/>
  <c r="AS207" i="33"/>
  <c r="AH125" i="33"/>
  <c r="AU125" i="33"/>
  <c r="AT125" i="33"/>
  <c r="AI125" i="33"/>
  <c r="AP125" i="33"/>
  <c r="BB125" i="33"/>
  <c r="AJ202" i="33"/>
  <c r="AV202" i="33"/>
  <c r="BH202" i="33"/>
  <c r="AD202" i="33"/>
  <c r="AK202" i="33"/>
  <c r="AW202" i="33"/>
  <c r="BI202" i="33"/>
  <c r="AL202" i="33"/>
  <c r="AX202" i="33"/>
  <c r="BJ202" i="33"/>
  <c r="BD202" i="33"/>
  <c r="BE202" i="33"/>
  <c r="BF202" i="33"/>
  <c r="BG202" i="33"/>
  <c r="AM202" i="33"/>
  <c r="AY202" i="33"/>
  <c r="BK202" i="33"/>
  <c r="AN202" i="33"/>
  <c r="AZ202" i="33"/>
  <c r="BL202" i="33"/>
  <c r="AO202" i="33"/>
  <c r="BA202" i="33"/>
  <c r="AP202" i="33"/>
  <c r="BB202" i="33"/>
  <c r="AE202" i="33"/>
  <c r="AQ202" i="33"/>
  <c r="BC202" i="33"/>
  <c r="AF202" i="33"/>
  <c r="AR202" i="33"/>
  <c r="AG202" i="33"/>
  <c r="AS202" i="33"/>
  <c r="AH202" i="33"/>
  <c r="AT202" i="33"/>
  <c r="AI202" i="33"/>
  <c r="AU202" i="33"/>
  <c r="AC125" i="33"/>
  <c r="AD125" i="33"/>
  <c r="W178" i="33"/>
  <c r="AI178" i="33"/>
  <c r="AU178" i="33"/>
  <c r="BG178" i="33"/>
  <c r="AK178" i="33"/>
  <c r="AL178" i="33"/>
  <c r="BJ178" i="33"/>
  <c r="BB178" i="33"/>
  <c r="AF178" i="33"/>
  <c r="AH178" i="33"/>
  <c r="X178" i="33"/>
  <c r="AJ178" i="33"/>
  <c r="AV178" i="33"/>
  <c r="BH178" i="33"/>
  <c r="AW178" i="33"/>
  <c r="BI178" i="33"/>
  <c r="Z178" i="33"/>
  <c r="AP178" i="33"/>
  <c r="AE178" i="33"/>
  <c r="BD178" i="33"/>
  <c r="AS178" i="33"/>
  <c r="BF178" i="33"/>
  <c r="Y178" i="33"/>
  <c r="AX178" i="33"/>
  <c r="AO178" i="33"/>
  <c r="AQ178" i="33"/>
  <c r="T178" i="33"/>
  <c r="AG178" i="33"/>
  <c r="AT178" i="33"/>
  <c r="AA178" i="33"/>
  <c r="AM178" i="33"/>
  <c r="AY178" i="33"/>
  <c r="BK178" i="33"/>
  <c r="AB178" i="33"/>
  <c r="AN178" i="33"/>
  <c r="AZ178" i="33"/>
  <c r="BL178" i="33"/>
  <c r="AC178" i="33"/>
  <c r="BA178" i="33"/>
  <c r="R178" i="33"/>
  <c r="AD178" i="33"/>
  <c r="S178" i="33"/>
  <c r="BC178" i="33"/>
  <c r="AR178" i="33"/>
  <c r="U178" i="33"/>
  <c r="BE178" i="33"/>
  <c r="V178" i="33"/>
  <c r="AJ173" i="33"/>
  <c r="AK173" i="33"/>
  <c r="AL173" i="33"/>
  <c r="T173" i="33"/>
  <c r="U173" i="33"/>
  <c r="V173" i="33"/>
  <c r="W173" i="33"/>
  <c r="X173" i="33"/>
  <c r="AH173" i="33"/>
  <c r="AI173" i="33"/>
  <c r="AE173" i="33"/>
  <c r="AN173" i="33"/>
  <c r="R173" i="33"/>
  <c r="AF173" i="33"/>
  <c r="Y173" i="33"/>
  <c r="Z173" i="33"/>
  <c r="AA173" i="33"/>
  <c r="AG173" i="33"/>
  <c r="S173" i="33"/>
  <c r="AD173" i="33"/>
  <c r="AM173" i="33"/>
  <c r="AC173" i="33"/>
  <c r="AB173" i="33"/>
  <c r="F134" i="33"/>
  <c r="N117" i="33"/>
  <c r="I78" i="17" s="1"/>
  <c r="J117" i="33"/>
  <c r="L117" i="33"/>
  <c r="H117" i="33"/>
  <c r="H125" i="33"/>
  <c r="K105" i="33" s="1"/>
  <c r="J125" i="33"/>
  <c r="O105" i="33" s="1"/>
  <c r="L125" i="33"/>
  <c r="S105" i="33" s="1"/>
  <c r="X125" i="33"/>
  <c r="AQ105" i="33" s="1"/>
  <c r="F117" i="33"/>
  <c r="M125" i="33"/>
  <c r="U105" i="33" s="1"/>
  <c r="Y125" i="33"/>
  <c r="AS105" i="33" s="1"/>
  <c r="N125" i="33"/>
  <c r="W105" i="33" s="1"/>
  <c r="Z125" i="33"/>
  <c r="AU105" i="33" s="1"/>
  <c r="O125" i="33"/>
  <c r="Y105" i="33" s="1"/>
  <c r="AA125" i="33"/>
  <c r="AW105" i="33" s="1"/>
  <c r="P125" i="33"/>
  <c r="AA105" i="33" s="1"/>
  <c r="AY105" i="33"/>
  <c r="E125" i="33"/>
  <c r="Q125" i="33"/>
  <c r="AC105" i="33" s="1"/>
  <c r="T125" i="33"/>
  <c r="AI105" i="33" s="1"/>
  <c r="I125" i="33"/>
  <c r="M105" i="33" s="1"/>
  <c r="S125" i="33"/>
  <c r="AG105" i="33" s="1"/>
  <c r="F125" i="33"/>
  <c r="G105" i="33" s="1"/>
  <c r="R125" i="33"/>
  <c r="AE105" i="33" s="1"/>
  <c r="G125" i="33"/>
  <c r="I105" i="33" s="1"/>
  <c r="U125" i="33"/>
  <c r="AK105" i="33" s="1"/>
  <c r="V125" i="33"/>
  <c r="AM105" i="33" s="1"/>
  <c r="K125" i="33"/>
  <c r="Q105" i="33" s="1"/>
  <c r="W125" i="33"/>
  <c r="AO105" i="33" s="1"/>
  <c r="CJ4" i="33"/>
  <c r="F61" i="33" s="1"/>
  <c r="F69" i="33" s="1"/>
  <c r="CR4" i="33"/>
  <c r="N61" i="33" s="1"/>
  <c r="N69" i="33" s="1"/>
  <c r="BK270" i="33"/>
  <c r="BH270" i="33"/>
  <c r="BD270" i="33"/>
  <c r="BL270" i="33"/>
  <c r="BB270" i="33"/>
  <c r="BI270" i="33"/>
  <c r="CL4" i="33"/>
  <c r="H61" i="33" s="1"/>
  <c r="H69" i="33" s="1"/>
  <c r="CP4" i="33"/>
  <c r="L61" i="33" s="1"/>
  <c r="L69" i="33" s="1"/>
  <c r="CT4" i="33"/>
  <c r="P61" i="33" s="1"/>
  <c r="P69" i="33" s="1"/>
  <c r="CI4" i="33"/>
  <c r="E61" i="33" s="1"/>
  <c r="E69" i="33" s="1"/>
  <c r="CM4" i="33"/>
  <c r="I61" i="33" s="1"/>
  <c r="I69" i="33" s="1"/>
  <c r="CQ4" i="33"/>
  <c r="M61" i="33" s="1"/>
  <c r="M69" i="33" s="1"/>
  <c r="CK4" i="33"/>
  <c r="G61" i="33" s="1"/>
  <c r="G69" i="33" s="1"/>
  <c r="CO4" i="33"/>
  <c r="K61" i="33" s="1"/>
  <c r="K69" i="33" s="1"/>
  <c r="CS4" i="33"/>
  <c r="O61" i="33" s="1"/>
  <c r="O69" i="33" s="1"/>
  <c r="Q173" i="33"/>
  <c r="BJ270" i="33"/>
  <c r="BF270" i="33"/>
  <c r="BE270" i="33"/>
  <c r="AG124" i="33" l="1"/>
  <c r="H124" i="33"/>
  <c r="P124" i="33"/>
  <c r="AE124" i="33"/>
  <c r="AC124" i="33"/>
  <c r="Q124" i="33"/>
  <c r="AD124" i="33"/>
  <c r="I114" i="33"/>
  <c r="G80" i="33" s="1"/>
  <c r="AI124" i="33"/>
  <c r="AM124" i="33"/>
  <c r="AN124" i="33"/>
  <c r="AH124" i="33"/>
  <c r="AL124" i="33"/>
  <c r="AF124" i="33"/>
  <c r="AK124" i="33"/>
  <c r="AJ124" i="33"/>
  <c r="S124" i="33"/>
  <c r="T124" i="33"/>
  <c r="H78" i="17"/>
  <c r="G78" i="17"/>
  <c r="K63" i="33"/>
  <c r="E63" i="33"/>
  <c r="E105" i="33"/>
  <c r="O63" i="33"/>
  <c r="M71" i="33"/>
  <c r="I71" i="33"/>
  <c r="E71" i="33"/>
  <c r="J63" i="33"/>
  <c r="G63" i="33"/>
  <c r="D125" i="33"/>
  <c r="D105" i="33" s="1"/>
  <c r="O71" i="33"/>
  <c r="M63" i="33"/>
  <c r="P71" i="33"/>
  <c r="H63" i="33"/>
  <c r="G71" i="33"/>
  <c r="L63" i="33"/>
  <c r="H71" i="33"/>
  <c r="P63" i="33"/>
  <c r="J71" i="33"/>
  <c r="F63" i="33"/>
  <c r="F71" i="33"/>
  <c r="K71" i="33"/>
  <c r="N71" i="33"/>
  <c r="I63" i="33"/>
  <c r="L71" i="33"/>
  <c r="N63" i="33"/>
  <c r="E114" i="33"/>
  <c r="E80" i="33" s="1"/>
  <c r="G114" i="33"/>
  <c r="F80" i="33" s="1"/>
  <c r="K114" i="33"/>
  <c r="H80" i="33" s="1"/>
  <c r="H89" i="17" s="1"/>
  <c r="M114" i="33"/>
  <c r="I80" i="33" s="1"/>
  <c r="I89" i="17" s="1"/>
  <c r="I113" i="33" l="1"/>
  <c r="G79" i="33" s="1"/>
  <c r="G89" i="17"/>
  <c r="H24" i="17"/>
  <c r="L56" i="17"/>
  <c r="K24" i="17"/>
  <c r="I24" i="17"/>
  <c r="M24" i="17"/>
  <c r="N56" i="17"/>
  <c r="K56" i="17"/>
  <c r="F56" i="17"/>
  <c r="J56" i="17"/>
  <c r="N24" i="17"/>
  <c r="E24" i="17"/>
  <c r="G24" i="17"/>
  <c r="F24" i="17"/>
  <c r="J24" i="17"/>
  <c r="E56" i="17"/>
  <c r="P24" i="17"/>
  <c r="I56" i="17"/>
  <c r="H56" i="17"/>
  <c r="M56" i="17"/>
  <c r="L24" i="17"/>
  <c r="O24" i="17"/>
  <c r="G56" i="17"/>
  <c r="O56" i="17"/>
  <c r="P56" i="17"/>
  <c r="Q63" i="33"/>
  <c r="Q71" i="33"/>
  <c r="Q24" i="17" l="1"/>
  <c r="Q56" i="17"/>
  <c r="C61" i="33" l="1"/>
  <c r="C69" i="33"/>
  <c r="D27" i="28" l="1"/>
  <c r="CZ39" i="32" l="1"/>
  <c r="CY39" i="32" s="1"/>
  <c r="DA38" i="32"/>
  <c r="CZ34" i="32"/>
  <c r="CY34" i="32" s="1"/>
  <c r="CZ14" i="32"/>
  <c r="CY14" i="32" s="1"/>
  <c r="DA13" i="32"/>
  <c r="CZ13" i="32"/>
  <c r="CY13" i="32" s="1"/>
  <c r="CY38" i="32"/>
  <c r="DA6" i="32"/>
  <c r="CZ6" i="32"/>
  <c r="CY6" i="32" s="1"/>
  <c r="D53" i="32"/>
  <c r="CZ5" i="32"/>
  <c r="CY5" i="32" s="1"/>
  <c r="C40" i="32" l="1"/>
  <c r="C53" i="32"/>
  <c r="S4" i="32"/>
  <c r="S48" i="32" s="1"/>
  <c r="C8" i="32"/>
  <c r="C41" i="32" s="1"/>
  <c r="C39" i="32"/>
  <c r="C6" i="32"/>
  <c r="I49" i="32"/>
  <c r="C5" i="32"/>
  <c r="C7" i="32"/>
  <c r="C15" i="32" s="1"/>
  <c r="C14" i="32"/>
  <c r="DA14" i="32"/>
  <c r="C38" i="32"/>
  <c r="DA39" i="32"/>
  <c r="C48" i="32"/>
  <c r="C51" i="32"/>
  <c r="C13" i="32"/>
  <c r="S12" i="32" l="1"/>
  <c r="S39" i="32" s="1"/>
  <c r="C16" i="32"/>
  <c r="F181" i="4" l="1"/>
  <c r="Q39" i="28"/>
  <c r="E101" i="4" l="1"/>
  <c r="E179" i="4" s="1"/>
  <c r="E104" i="4" l="1"/>
  <c r="E182" i="4" s="1"/>
  <c r="E105" i="4"/>
  <c r="E183" i="4" s="1"/>
  <c r="G110" i="4"/>
  <c r="H110" i="4"/>
  <c r="I110" i="4"/>
  <c r="K110" i="4"/>
  <c r="L110" i="4"/>
  <c r="M110" i="4"/>
  <c r="N110" i="4"/>
  <c r="O110" i="4"/>
  <c r="P110" i="4"/>
  <c r="Q110" i="4"/>
  <c r="E111" i="4"/>
  <c r="E189" i="4" s="1"/>
  <c r="G116" i="4"/>
  <c r="H116" i="4"/>
  <c r="I116" i="4"/>
  <c r="K116" i="4"/>
  <c r="L116" i="4"/>
  <c r="M116" i="4"/>
  <c r="N116" i="4"/>
  <c r="O116" i="4"/>
  <c r="P116" i="4"/>
  <c r="Q116" i="4"/>
  <c r="E117" i="4"/>
  <c r="E195" i="4" s="1"/>
  <c r="D65" i="28" l="1"/>
  <c r="H219" i="4"/>
  <c r="S140" i="4"/>
  <c r="H218" i="4" s="1"/>
  <c r="R136" i="4"/>
  <c r="Q136" i="4"/>
  <c r="P136" i="4"/>
  <c r="O136" i="4"/>
  <c r="N136" i="4"/>
  <c r="M136" i="4"/>
  <c r="L136" i="4"/>
  <c r="K136" i="4"/>
  <c r="I136" i="4"/>
  <c r="H136" i="4"/>
  <c r="G136" i="4"/>
  <c r="H213" i="4"/>
  <c r="S134" i="4"/>
  <c r="H212" i="4" s="1"/>
  <c r="S133" i="4"/>
  <c r="H211" i="4" s="1"/>
  <c r="R131" i="4"/>
  <c r="Q131" i="4"/>
  <c r="P131" i="4"/>
  <c r="O131" i="4"/>
  <c r="N131" i="4"/>
  <c r="M131" i="4"/>
  <c r="L131" i="4"/>
  <c r="K131" i="4"/>
  <c r="I131" i="4"/>
  <c r="H131" i="4"/>
  <c r="G131" i="4"/>
  <c r="S130" i="4"/>
  <c r="H208" i="4" s="1"/>
  <c r="S129" i="4"/>
  <c r="H207" i="4" s="1"/>
  <c r="S128" i="4"/>
  <c r="H206" i="4" s="1"/>
  <c r="S127" i="4"/>
  <c r="H205" i="4" s="1"/>
  <c r="S126" i="4"/>
  <c r="H204" i="4" s="1"/>
  <c r="S125" i="4"/>
  <c r="H203" i="4" s="1"/>
  <c r="R123" i="4"/>
  <c r="Q123" i="4"/>
  <c r="P123" i="4"/>
  <c r="O123" i="4"/>
  <c r="N123" i="4"/>
  <c r="M123" i="4"/>
  <c r="L123" i="4"/>
  <c r="K123" i="4"/>
  <c r="I123" i="4"/>
  <c r="H123" i="4"/>
  <c r="G123" i="4"/>
  <c r="S122" i="4"/>
  <c r="H200" i="4" s="1"/>
  <c r="S121" i="4"/>
  <c r="H199" i="4" s="1"/>
  <c r="S120" i="4"/>
  <c r="H198" i="4" s="1"/>
  <c r="S119" i="4"/>
  <c r="H197" i="4" s="1"/>
  <c r="S118" i="4"/>
  <c r="H196" i="4" s="1"/>
  <c r="R116" i="4"/>
  <c r="S115" i="4"/>
  <c r="H193" i="4" s="1"/>
  <c r="S114" i="4"/>
  <c r="H192" i="4" s="1"/>
  <c r="S113" i="4"/>
  <c r="H191" i="4" s="1"/>
  <c r="S112" i="4"/>
  <c r="H190" i="4" s="1"/>
  <c r="R110" i="4"/>
  <c r="S109" i="4"/>
  <c r="H187" i="4" s="1"/>
  <c r="S108" i="4"/>
  <c r="H186" i="4" s="1"/>
  <c r="S107" i="4"/>
  <c r="H185" i="4" s="1"/>
  <c r="S106" i="4"/>
  <c r="H184" i="4" s="1"/>
  <c r="S99" i="4"/>
  <c r="H177" i="4" s="1"/>
  <c r="S96" i="4"/>
  <c r="S95" i="4"/>
  <c r="S91" i="4"/>
  <c r="S88" i="4"/>
  <c r="H166" i="4" s="1"/>
  <c r="S87" i="4"/>
  <c r="H165" i="4" s="1"/>
  <c r="S85" i="4"/>
  <c r="H163" i="4" s="1"/>
  <c r="S84" i="4"/>
  <c r="H162" i="4" s="1"/>
  <c r="S83" i="4"/>
  <c r="CV93" i="4"/>
  <c r="E90" i="4"/>
  <c r="E168" i="4" s="1"/>
  <c r="E124" i="4"/>
  <c r="E202" i="4" s="1"/>
  <c r="S5" i="4"/>
  <c r="S6" i="4"/>
  <c r="G162" i="4" s="1"/>
  <c r="S7" i="4"/>
  <c r="G163" i="4" s="1"/>
  <c r="S9" i="4"/>
  <c r="G165" i="4" s="1"/>
  <c r="S10" i="4"/>
  <c r="CV11" i="4"/>
  <c r="G176" i="4"/>
  <c r="S21" i="4"/>
  <c r="S25" i="4"/>
  <c r="S28" i="4"/>
  <c r="S29" i="4"/>
  <c r="G185" i="4" s="1"/>
  <c r="S30" i="4"/>
  <c r="G186" i="4" s="1"/>
  <c r="S31" i="4"/>
  <c r="G187" i="4" s="1"/>
  <c r="G32" i="4"/>
  <c r="H32" i="4"/>
  <c r="I32" i="4"/>
  <c r="J32" i="4"/>
  <c r="K32" i="4"/>
  <c r="L32" i="4"/>
  <c r="M32" i="4"/>
  <c r="N32" i="4"/>
  <c r="O32" i="4"/>
  <c r="P32" i="4"/>
  <c r="Q32" i="4"/>
  <c r="R32" i="4"/>
  <c r="CV32" i="4"/>
  <c r="S34" i="4"/>
  <c r="S35" i="4"/>
  <c r="G191" i="4" s="1"/>
  <c r="S36" i="4"/>
  <c r="G192" i="4" s="1"/>
  <c r="S37" i="4"/>
  <c r="G193" i="4" s="1"/>
  <c r="G38" i="4"/>
  <c r="H38" i="4"/>
  <c r="I38" i="4"/>
  <c r="J38" i="4"/>
  <c r="K38" i="4"/>
  <c r="L38" i="4"/>
  <c r="M38" i="4"/>
  <c r="N38" i="4"/>
  <c r="O38" i="4"/>
  <c r="P38" i="4"/>
  <c r="Q38" i="4"/>
  <c r="R38" i="4"/>
  <c r="CV38" i="4"/>
  <c r="S40" i="4"/>
  <c r="S41" i="4"/>
  <c r="G197" i="4" s="1"/>
  <c r="S42" i="4"/>
  <c r="G198" i="4" s="1"/>
  <c r="S43" i="4"/>
  <c r="G199" i="4" s="1"/>
  <c r="S44" i="4"/>
  <c r="G200" i="4" s="1"/>
  <c r="G45" i="4"/>
  <c r="H45" i="4"/>
  <c r="I45" i="4"/>
  <c r="J45" i="4"/>
  <c r="K45" i="4"/>
  <c r="L45" i="4"/>
  <c r="M45" i="4"/>
  <c r="N45" i="4"/>
  <c r="O45" i="4"/>
  <c r="P45" i="4"/>
  <c r="Q45" i="4"/>
  <c r="R45" i="4"/>
  <c r="CV45" i="4"/>
  <c r="S47" i="4"/>
  <c r="G203" i="4" s="1"/>
  <c r="S48" i="4"/>
  <c r="S49" i="4"/>
  <c r="G205" i="4" s="1"/>
  <c r="S50" i="4"/>
  <c r="G206" i="4" s="1"/>
  <c r="S51" i="4"/>
  <c r="G207" i="4" s="1"/>
  <c r="S52" i="4"/>
  <c r="G208" i="4" s="1"/>
  <c r="G53" i="4"/>
  <c r="H53" i="4"/>
  <c r="I53" i="4"/>
  <c r="J53" i="4"/>
  <c r="K53" i="4"/>
  <c r="L53" i="4"/>
  <c r="M53" i="4"/>
  <c r="N53" i="4"/>
  <c r="O53" i="4"/>
  <c r="P53" i="4"/>
  <c r="Q53" i="4"/>
  <c r="R53" i="4"/>
  <c r="CV53" i="4"/>
  <c r="S55" i="4"/>
  <c r="S56" i="4"/>
  <c r="G212" i="4" s="1"/>
  <c r="S57" i="4"/>
  <c r="G213" i="4" s="1"/>
  <c r="G58" i="4"/>
  <c r="H58" i="4"/>
  <c r="J58" i="4"/>
  <c r="K58" i="4"/>
  <c r="L58" i="4"/>
  <c r="M58" i="4"/>
  <c r="N58" i="4"/>
  <c r="O58" i="4"/>
  <c r="P58" i="4"/>
  <c r="Q58" i="4"/>
  <c r="R58" i="4"/>
  <c r="S61" i="4"/>
  <c r="G217" i="4" s="1"/>
  <c r="S62" i="4"/>
  <c r="G218" i="4" s="1"/>
  <c r="S63" i="4"/>
  <c r="CV67" i="4"/>
  <c r="CV89" i="4"/>
  <c r="CV100" i="4"/>
  <c r="CV110" i="4"/>
  <c r="CV116" i="4"/>
  <c r="CV123" i="4"/>
  <c r="CV131" i="4"/>
  <c r="CV145" i="4"/>
  <c r="E159" i="4"/>
  <c r="J188" i="4"/>
  <c r="K188" i="4"/>
  <c r="I194" i="4"/>
  <c r="J194" i="4"/>
  <c r="K194" i="4"/>
  <c r="I201" i="4"/>
  <c r="J201" i="4"/>
  <c r="K201" i="4"/>
  <c r="I209" i="4"/>
  <c r="J209" i="4"/>
  <c r="K209" i="4"/>
  <c r="I214" i="4"/>
  <c r="J214" i="4"/>
  <c r="K214" i="4"/>
  <c r="S100" i="4" l="1"/>
  <c r="G181" i="4"/>
  <c r="D12" i="39" s="1"/>
  <c r="G166" i="4"/>
  <c r="S11" i="4"/>
  <c r="G167" i="4" s="1"/>
  <c r="G177" i="4"/>
  <c r="H173" i="4"/>
  <c r="H161" i="4"/>
  <c r="S89" i="4"/>
  <c r="H167" i="4" s="1"/>
  <c r="H170" i="4"/>
  <c r="S131" i="4"/>
  <c r="H209" i="4" s="1"/>
  <c r="S136" i="4"/>
  <c r="H214" i="4" s="1"/>
  <c r="G173" i="4"/>
  <c r="G161" i="4"/>
  <c r="H169" i="4"/>
  <c r="G211" i="4"/>
  <c r="G204" i="4"/>
  <c r="G196" i="4"/>
  <c r="G190" i="4"/>
  <c r="G184" i="4"/>
  <c r="H174" i="4"/>
  <c r="G219" i="4"/>
  <c r="CV15" i="33"/>
  <c r="D9" i="33" s="1"/>
  <c r="L9" i="33" s="1"/>
  <c r="CV16" i="33"/>
  <c r="D10" i="33" s="1"/>
  <c r="D116" i="33" s="1"/>
  <c r="CV23" i="33"/>
  <c r="CV17" i="33"/>
  <c r="D11" i="33" s="1"/>
  <c r="CV24" i="33"/>
  <c r="CV18" i="33"/>
  <c r="CV25" i="33"/>
  <c r="D15" i="33" s="1"/>
  <c r="CV19" i="33"/>
  <c r="CV20" i="33"/>
  <c r="CV9" i="33"/>
  <c r="CV21" i="33"/>
  <c r="D117" i="33"/>
  <c r="CV10" i="33"/>
  <c r="CV4" i="33"/>
  <c r="CV11" i="33"/>
  <c r="CV6" i="33"/>
  <c r="E7" i="33" s="1"/>
  <c r="CV12" i="33"/>
  <c r="CV7" i="33"/>
  <c r="F7" i="33" s="1"/>
  <c r="CV22" i="33"/>
  <c r="CV13" i="33"/>
  <c r="D6" i="33" s="1"/>
  <c r="L6" i="33" s="1"/>
  <c r="D20" i="33" s="1"/>
  <c r="CV2" i="33"/>
  <c r="U7" i="33" s="1"/>
  <c r="U21" i="33" s="1"/>
  <c r="CV14" i="33"/>
  <c r="D8" i="33" s="1"/>
  <c r="L8" i="33" s="1"/>
  <c r="CV3" i="33"/>
  <c r="C2" i="33" s="1"/>
  <c r="CV28" i="13"/>
  <c r="CU3" i="13"/>
  <c r="CU2" i="13"/>
  <c r="U28" i="28"/>
  <c r="U27" i="28"/>
  <c r="U24" i="28"/>
  <c r="U26" i="28"/>
  <c r="Q17" i="28"/>
  <c r="CV32" i="13"/>
  <c r="F179" i="4"/>
  <c r="CU165" i="4"/>
  <c r="CU158" i="4"/>
  <c r="CU155" i="4"/>
  <c r="CU101" i="4"/>
  <c r="F101" i="4" s="1"/>
  <c r="CU23" i="4"/>
  <c r="F23" i="4" s="1"/>
  <c r="CU54" i="4"/>
  <c r="F54" i="4" s="1"/>
  <c r="CU166" i="4"/>
  <c r="CU164" i="4"/>
  <c r="L41" i="28"/>
  <c r="D62" i="28"/>
  <c r="D64" i="28"/>
  <c r="CU131" i="4"/>
  <c r="CU89" i="4"/>
  <c r="CU38" i="4"/>
  <c r="F38" i="4" s="1"/>
  <c r="CU11" i="4"/>
  <c r="CU42" i="4"/>
  <c r="F42" i="4" s="1"/>
  <c r="CU129" i="4"/>
  <c r="CU111" i="4"/>
  <c r="CU90" i="4"/>
  <c r="CU100" i="4"/>
  <c r="CU63" i="4"/>
  <c r="F63" i="4" s="1"/>
  <c r="CU106" i="4"/>
  <c r="CU123" i="4"/>
  <c r="CU67" i="4"/>
  <c r="F67" i="4" s="1"/>
  <c r="CU8" i="4"/>
  <c r="CU58" i="4"/>
  <c r="F58" i="4" s="1"/>
  <c r="CU138" i="4"/>
  <c r="CU120" i="4"/>
  <c r="CU102" i="4"/>
  <c r="CU81" i="4"/>
  <c r="CU31" i="4"/>
  <c r="F31" i="4" s="1"/>
  <c r="CU141" i="4"/>
  <c r="F141" i="4" s="1"/>
  <c r="F219" i="4" s="1"/>
  <c r="CU125" i="4"/>
  <c r="CU85" i="4"/>
  <c r="CU145" i="4"/>
  <c r="CU116" i="4"/>
  <c r="CU110" i="4"/>
  <c r="CU3" i="4"/>
  <c r="F3" i="4" s="1"/>
  <c r="CU50" i="4"/>
  <c r="F50" i="4" s="1"/>
  <c r="CU134" i="4"/>
  <c r="CU115" i="4"/>
  <c r="F115" i="4" s="1"/>
  <c r="F193" i="4" s="1"/>
  <c r="CU96" i="4"/>
  <c r="CU7" i="4"/>
  <c r="CU77" i="4"/>
  <c r="CU62" i="4"/>
  <c r="F62" i="4" s="1"/>
  <c r="CU55" i="4"/>
  <c r="F55" i="4" s="1"/>
  <c r="CU47" i="4"/>
  <c r="F47" i="4" s="1"/>
  <c r="CU39" i="4"/>
  <c r="F39" i="4" s="1"/>
  <c r="CU30" i="4"/>
  <c r="F30" i="4" s="1"/>
  <c r="CU144" i="4"/>
  <c r="CU140" i="4"/>
  <c r="CU137" i="4"/>
  <c r="CU133" i="4"/>
  <c r="CU128" i="4"/>
  <c r="CU124" i="4"/>
  <c r="CU119" i="4"/>
  <c r="CU114" i="4"/>
  <c r="CU109" i="4"/>
  <c r="F109" i="4" s="1"/>
  <c r="F187" i="4" s="1"/>
  <c r="CU105" i="4"/>
  <c r="CU95" i="4"/>
  <c r="CU88" i="4"/>
  <c r="F88" i="4" s="1"/>
  <c r="CU84" i="4"/>
  <c r="CU22" i="4"/>
  <c r="F22" i="4" s="1"/>
  <c r="CU5" i="4"/>
  <c r="F155" i="4"/>
  <c r="F233" i="4" s="1"/>
  <c r="CU66" i="4"/>
  <c r="F66" i="4" s="1"/>
  <c r="CU61" i="4"/>
  <c r="F61" i="4" s="1"/>
  <c r="CU46" i="4"/>
  <c r="F46" i="4" s="1"/>
  <c r="CU35" i="4"/>
  <c r="F35" i="4" s="1"/>
  <c r="CU27" i="4"/>
  <c r="F27" i="4" s="1"/>
  <c r="CU143" i="4"/>
  <c r="CU139" i="4"/>
  <c r="CU136" i="4"/>
  <c r="CU132" i="4"/>
  <c r="F132" i="4" s="1"/>
  <c r="CU127" i="4"/>
  <c r="CU122" i="4"/>
  <c r="F122" i="4" s="1"/>
  <c r="F200" i="4" s="1"/>
  <c r="CU118" i="4"/>
  <c r="CU113" i="4"/>
  <c r="CU108" i="4"/>
  <c r="CU104" i="4"/>
  <c r="CU99" i="4"/>
  <c r="F99" i="4" s="1"/>
  <c r="CU92" i="4"/>
  <c r="CU87" i="4"/>
  <c r="CU83" i="4"/>
  <c r="CU9" i="4"/>
  <c r="CU4" i="4"/>
  <c r="F4" i="4" s="1"/>
  <c r="CU65" i="4"/>
  <c r="F65" i="4" s="1"/>
  <c r="CU59" i="4"/>
  <c r="F59" i="4" s="1"/>
  <c r="CU51" i="4"/>
  <c r="F51" i="4" s="1"/>
  <c r="CU43" i="4"/>
  <c r="F43" i="4" s="1"/>
  <c r="CU34" i="4"/>
  <c r="F34" i="4" s="1"/>
  <c r="CU26" i="4"/>
  <c r="F26" i="4" s="1"/>
  <c r="CU93" i="4"/>
  <c r="CU142" i="4"/>
  <c r="CU135" i="4"/>
  <c r="F135" i="4" s="1"/>
  <c r="F213" i="4" s="1"/>
  <c r="CU130" i="4"/>
  <c r="F130" i="4" s="1"/>
  <c r="F208" i="4" s="1"/>
  <c r="CU126" i="4"/>
  <c r="CU121" i="4"/>
  <c r="CU117" i="4"/>
  <c r="CU112" i="4"/>
  <c r="CU107" i="4"/>
  <c r="CU103" i="4"/>
  <c r="CU97" i="4"/>
  <c r="CU91" i="4"/>
  <c r="CU86" i="4"/>
  <c r="CU82" i="4"/>
  <c r="H217" i="4"/>
  <c r="S110" i="4"/>
  <c r="H188" i="4" s="1"/>
  <c r="S116" i="4"/>
  <c r="H194" i="4" s="1"/>
  <c r="S123" i="4"/>
  <c r="H201" i="4" s="1"/>
  <c r="CU10" i="4"/>
  <c r="CU6" i="4"/>
  <c r="CU64" i="4"/>
  <c r="F64" i="4" s="1"/>
  <c r="CU57" i="4"/>
  <c r="F57" i="4" s="1"/>
  <c r="CU53" i="4"/>
  <c r="F53" i="4" s="1"/>
  <c r="CU49" i="4"/>
  <c r="F49" i="4" s="1"/>
  <c r="CU45" i="4"/>
  <c r="F45" i="4" s="1"/>
  <c r="CU41" i="4"/>
  <c r="F41" i="4" s="1"/>
  <c r="CU37" i="4"/>
  <c r="F37" i="4" s="1"/>
  <c r="CU33" i="4"/>
  <c r="F33" i="4" s="1"/>
  <c r="CU29" i="4"/>
  <c r="F29" i="4" s="1"/>
  <c r="CU25" i="4"/>
  <c r="F21" i="4" s="1"/>
  <c r="CU60" i="4"/>
  <c r="F60" i="4" s="1"/>
  <c r="CU56" i="4"/>
  <c r="F56" i="4" s="1"/>
  <c r="CU52" i="4"/>
  <c r="F52" i="4" s="1"/>
  <c r="CU48" i="4"/>
  <c r="F48" i="4" s="1"/>
  <c r="CU44" i="4"/>
  <c r="F44" i="4" s="1"/>
  <c r="CU40" i="4"/>
  <c r="F40" i="4" s="1"/>
  <c r="CU36" i="4"/>
  <c r="F36" i="4" s="1"/>
  <c r="CU32" i="4"/>
  <c r="F32" i="4" s="1"/>
  <c r="CU28" i="4"/>
  <c r="F28" i="4" s="1"/>
  <c r="CU24" i="4"/>
  <c r="F24" i="4" s="1"/>
  <c r="S45" i="4"/>
  <c r="G201" i="4" s="1"/>
  <c r="S58" i="4"/>
  <c r="S53" i="4"/>
  <c r="S32" i="4"/>
  <c r="G188" i="4" s="1"/>
  <c r="S38" i="4"/>
  <c r="CU19" i="33" l="1"/>
  <c r="B12" i="33" s="1"/>
  <c r="CT20" i="33"/>
  <c r="CT19" i="33"/>
  <c r="B13" i="33" s="1"/>
  <c r="A13" i="33" s="1"/>
  <c r="CT21" i="33"/>
  <c r="B28" i="33" s="1"/>
  <c r="CU21" i="33"/>
  <c r="B27" i="33" s="1"/>
  <c r="C142" i="33"/>
  <c r="C171" i="33" s="1"/>
  <c r="C200" i="33" s="1"/>
  <c r="C229" i="33" s="1"/>
  <c r="C258" i="33" s="1"/>
  <c r="G178" i="4"/>
  <c r="F8" i="4"/>
  <c r="F164" i="4"/>
  <c r="F86" i="4"/>
  <c r="U33" i="28"/>
  <c r="V33" i="28" s="1"/>
  <c r="AL3" i="4"/>
  <c r="G194" i="4"/>
  <c r="G209" i="4"/>
  <c r="G214" i="4"/>
  <c r="L15" i="33"/>
  <c r="D115" i="33"/>
  <c r="C137" i="33"/>
  <c r="C166" i="33" s="1"/>
  <c r="C195" i="33" s="1"/>
  <c r="C224" i="33" s="1"/>
  <c r="C253" i="33" s="1"/>
  <c r="L11" i="33"/>
  <c r="D26" i="33" s="1"/>
  <c r="D114" i="33"/>
  <c r="L20" i="33"/>
  <c r="Q20" i="33" s="1"/>
  <c r="G6" i="33"/>
  <c r="Q6" i="33" s="1"/>
  <c r="G20" i="33" s="1"/>
  <c r="N21" i="33"/>
  <c r="S7" i="33"/>
  <c r="I7" i="33"/>
  <c r="I21" i="33" s="1"/>
  <c r="S21" i="33"/>
  <c r="C132" i="33"/>
  <c r="C161" i="33" s="1"/>
  <c r="C190" i="33" s="1"/>
  <c r="C219" i="33" s="1"/>
  <c r="C248" i="33" s="1"/>
  <c r="L10" i="33"/>
  <c r="D25" i="33" s="1"/>
  <c r="DA50" i="32"/>
  <c r="CZ50" i="32"/>
  <c r="P21" i="33"/>
  <c r="P7" i="33"/>
  <c r="K21" i="33" s="1"/>
  <c r="F21" i="33"/>
  <c r="E21" i="33"/>
  <c r="O21" i="33"/>
  <c r="O7" i="33"/>
  <c r="J21" i="33"/>
  <c r="D14" i="33"/>
  <c r="C152" i="33" s="1"/>
  <c r="C181" i="33" s="1"/>
  <c r="C210" i="33" s="1"/>
  <c r="C239" i="33" s="1"/>
  <c r="C268" i="33" s="1"/>
  <c r="D29" i="33"/>
  <c r="L14" i="33"/>
  <c r="M21" i="33"/>
  <c r="R7" i="33"/>
  <c r="R21" i="33"/>
  <c r="H7" i="33"/>
  <c r="H21" i="33" s="1"/>
  <c r="Q7" i="33"/>
  <c r="G7" i="33"/>
  <c r="Q21" i="33"/>
  <c r="CU20" i="33"/>
  <c r="C147" i="33"/>
  <c r="C176" i="33" s="1"/>
  <c r="C205" i="33" s="1"/>
  <c r="C234" i="33" s="1"/>
  <c r="C263" i="33" s="1"/>
  <c r="V30" i="28"/>
  <c r="D66" i="28"/>
  <c r="I27" i="29" s="1"/>
  <c r="A28" i="33" l="1"/>
  <c r="A21" i="33"/>
  <c r="A7" i="33"/>
  <c r="J13" i="33"/>
  <c r="J15" i="33" s="1"/>
  <c r="J12" i="33"/>
  <c r="J8" i="33" s="1"/>
  <c r="AL79" i="4"/>
  <c r="AL158" i="4"/>
  <c r="U29" i="28"/>
  <c r="CY50" i="32"/>
  <c r="C50" i="32" s="1"/>
  <c r="G21" i="33"/>
  <c r="L21" i="33"/>
  <c r="CM31" i="4" l="1"/>
  <c r="F13" i="4" s="1"/>
  <c r="CM30" i="4"/>
  <c r="CQ30" i="4"/>
  <c r="CQ31" i="4"/>
  <c r="F19" i="4" s="1"/>
  <c r="CP31" i="4"/>
  <c r="F18" i="4" s="1"/>
  <c r="CO31" i="4"/>
  <c r="F17" i="4" s="1"/>
  <c r="CR31" i="4"/>
  <c r="F20" i="4" s="1"/>
  <c r="G15" i="4"/>
  <c r="CO30" i="4"/>
  <c r="CP30" i="4"/>
  <c r="CR30" i="4"/>
  <c r="AZ201" i="31"/>
  <c r="AZ200" i="31"/>
  <c r="AZ198" i="31"/>
  <c r="AZ197" i="31"/>
  <c r="AZ195" i="31"/>
  <c r="AZ194" i="31"/>
  <c r="AZ192" i="31"/>
  <c r="AZ191" i="31"/>
  <c r="AZ189" i="31"/>
  <c r="AZ188" i="31"/>
  <c r="AN177" i="31"/>
  <c r="AN174" i="31"/>
  <c r="AN173" i="31"/>
  <c r="AN171" i="31"/>
  <c r="AN170" i="31"/>
  <c r="AN167" i="31"/>
  <c r="AC158" i="31"/>
  <c r="AD158" i="31"/>
  <c r="AE158" i="31"/>
  <c r="AF158" i="31"/>
  <c r="AG158" i="31"/>
  <c r="AH158" i="31"/>
  <c r="AI158" i="31"/>
  <c r="AJ158" i="31"/>
  <c r="AK158" i="31"/>
  <c r="AL158" i="31"/>
  <c r="AM158" i="31"/>
  <c r="AN158" i="31"/>
  <c r="AO158" i="31"/>
  <c r="AP158" i="31"/>
  <c r="AQ158" i="31"/>
  <c r="AR158" i="31"/>
  <c r="AS158" i="31"/>
  <c r="AT158" i="31"/>
  <c r="AU158" i="31"/>
  <c r="AV158" i="31"/>
  <c r="AW158" i="31"/>
  <c r="AX158" i="31"/>
  <c r="AY158" i="31"/>
  <c r="AZ158" i="31"/>
  <c r="BA158" i="31"/>
  <c r="BB158" i="31"/>
  <c r="BC158" i="31"/>
  <c r="BD158" i="31"/>
  <c r="BE158" i="31"/>
  <c r="BF158" i="31"/>
  <c r="BG158" i="31"/>
  <c r="BH158" i="31"/>
  <c r="BI158" i="31"/>
  <c r="BJ158" i="31"/>
  <c r="BK158" i="31"/>
  <c r="BL158" i="31"/>
  <c r="BM158" i="31"/>
  <c r="BN158" i="31"/>
  <c r="BO158" i="31"/>
  <c r="BP158" i="31"/>
  <c r="BQ158" i="31"/>
  <c r="BR158" i="31"/>
  <c r="BS158" i="31"/>
  <c r="BT158" i="31"/>
  <c r="BU158" i="31"/>
  <c r="BV158" i="31"/>
  <c r="BW158" i="31"/>
  <c r="AB158" i="31"/>
  <c r="AC155" i="31"/>
  <c r="AD155" i="31"/>
  <c r="AE155" i="31"/>
  <c r="AF155" i="31"/>
  <c r="AG155" i="31"/>
  <c r="AH155" i="31"/>
  <c r="AI155" i="31"/>
  <c r="AJ155" i="31"/>
  <c r="AK155" i="31"/>
  <c r="AL155" i="31"/>
  <c r="AM155" i="31"/>
  <c r="AN155" i="31"/>
  <c r="AO155" i="31"/>
  <c r="AP155" i="31"/>
  <c r="AQ155" i="31"/>
  <c r="AR155" i="31"/>
  <c r="AS155" i="31"/>
  <c r="AT155" i="31"/>
  <c r="AU155" i="31"/>
  <c r="AV155" i="31"/>
  <c r="AW155" i="31"/>
  <c r="AX155" i="31"/>
  <c r="AY155" i="31"/>
  <c r="AZ155" i="31"/>
  <c r="BA155" i="31"/>
  <c r="BB155" i="31"/>
  <c r="BC155" i="31"/>
  <c r="BD155" i="31"/>
  <c r="BE155" i="31"/>
  <c r="BF155" i="31"/>
  <c r="BG155" i="31"/>
  <c r="BH155" i="31"/>
  <c r="BI155" i="31"/>
  <c r="BJ155" i="31"/>
  <c r="BK155" i="31"/>
  <c r="BL155" i="31"/>
  <c r="BM155" i="31"/>
  <c r="BN155" i="31"/>
  <c r="BO155" i="31"/>
  <c r="BP155" i="31"/>
  <c r="BQ155" i="31"/>
  <c r="BR155" i="31"/>
  <c r="BS155" i="31"/>
  <c r="BT155" i="31"/>
  <c r="BU155" i="31"/>
  <c r="BV155" i="31"/>
  <c r="BW155" i="31"/>
  <c r="AB155" i="31"/>
  <c r="AC152" i="31"/>
  <c r="AD152" i="31"/>
  <c r="AE152" i="31"/>
  <c r="AF152" i="31"/>
  <c r="AG152" i="31"/>
  <c r="AH152" i="31"/>
  <c r="AI152" i="31"/>
  <c r="AJ152" i="31"/>
  <c r="AK152" i="31"/>
  <c r="AL152" i="31"/>
  <c r="AM152" i="31"/>
  <c r="AN152" i="31"/>
  <c r="AO152" i="31"/>
  <c r="AP152" i="31"/>
  <c r="AQ152" i="31"/>
  <c r="AR152" i="31"/>
  <c r="AS152" i="31"/>
  <c r="AT152" i="31"/>
  <c r="AU152" i="31"/>
  <c r="AV152" i="31"/>
  <c r="AW152" i="31"/>
  <c r="AX152" i="31"/>
  <c r="AY152" i="31"/>
  <c r="AZ152" i="31"/>
  <c r="BA152" i="31"/>
  <c r="BB152" i="31"/>
  <c r="BC152" i="31"/>
  <c r="BD152" i="31"/>
  <c r="BE152" i="31"/>
  <c r="BF152" i="31"/>
  <c r="BG152" i="31"/>
  <c r="BH152" i="31"/>
  <c r="BI152" i="31"/>
  <c r="BJ152" i="31"/>
  <c r="BK152" i="31"/>
  <c r="BL152" i="31"/>
  <c r="BM152" i="31"/>
  <c r="BN152" i="31"/>
  <c r="BO152" i="31"/>
  <c r="BP152" i="31"/>
  <c r="BQ152" i="31"/>
  <c r="BR152" i="31"/>
  <c r="BS152" i="31"/>
  <c r="BT152" i="31"/>
  <c r="BU152" i="31"/>
  <c r="BV152" i="31"/>
  <c r="BW152" i="31"/>
  <c r="AB152" i="31"/>
  <c r="AB146" i="31"/>
  <c r="AC146" i="31"/>
  <c r="AD146" i="31"/>
  <c r="AE146" i="31"/>
  <c r="AF146" i="31"/>
  <c r="AG146" i="31"/>
  <c r="AH146" i="31"/>
  <c r="AI146" i="31"/>
  <c r="AJ146" i="31"/>
  <c r="AK146" i="31"/>
  <c r="AL146" i="31"/>
  <c r="AM146" i="31"/>
  <c r="AN146" i="31"/>
  <c r="AO146" i="31"/>
  <c r="AP146" i="31"/>
  <c r="AQ146" i="31"/>
  <c r="AR146" i="31"/>
  <c r="AS146" i="31"/>
  <c r="AT146" i="31"/>
  <c r="AU146" i="31"/>
  <c r="AV146" i="31"/>
  <c r="AW146" i="31"/>
  <c r="AX146" i="31"/>
  <c r="AY146" i="31"/>
  <c r="AZ146" i="31"/>
  <c r="BA146" i="31"/>
  <c r="BB146" i="31"/>
  <c r="BC146" i="31"/>
  <c r="BD146" i="31"/>
  <c r="BE146" i="31"/>
  <c r="BF146" i="31"/>
  <c r="BG146" i="31"/>
  <c r="BH146" i="31"/>
  <c r="BI146" i="31"/>
  <c r="BJ146" i="31"/>
  <c r="BK146" i="31"/>
  <c r="BL146" i="31"/>
  <c r="BM146" i="31"/>
  <c r="BN146" i="31"/>
  <c r="BO146" i="31"/>
  <c r="BP146" i="31"/>
  <c r="BQ146" i="31"/>
  <c r="BR146" i="31"/>
  <c r="BS146" i="31"/>
  <c r="BT146" i="31"/>
  <c r="BU146" i="31"/>
  <c r="BV146" i="31"/>
  <c r="BW146" i="31"/>
  <c r="Q140" i="31"/>
  <c r="R140" i="31"/>
  <c r="S140" i="31"/>
  <c r="T140" i="31"/>
  <c r="U140" i="31"/>
  <c r="V140" i="31"/>
  <c r="W140" i="31"/>
  <c r="X140" i="31"/>
  <c r="Y140" i="31"/>
  <c r="Z140" i="31"/>
  <c r="AA140" i="31"/>
  <c r="AB140" i="31"/>
  <c r="AC140" i="31"/>
  <c r="AD140" i="31"/>
  <c r="AE140" i="31"/>
  <c r="AF140" i="31"/>
  <c r="AG140" i="31"/>
  <c r="AH140" i="31"/>
  <c r="AI140" i="31"/>
  <c r="AJ140" i="31"/>
  <c r="AK140" i="31"/>
  <c r="AL140" i="31"/>
  <c r="AM140" i="31"/>
  <c r="AN140" i="31"/>
  <c r="AO140" i="31"/>
  <c r="AP140" i="31"/>
  <c r="AQ140" i="31"/>
  <c r="AR140" i="31"/>
  <c r="AS140" i="31"/>
  <c r="AT140" i="31"/>
  <c r="AU140" i="31"/>
  <c r="AV140" i="31"/>
  <c r="AW140" i="31"/>
  <c r="AX140" i="31"/>
  <c r="AY140" i="31"/>
  <c r="AZ140" i="31"/>
  <c r="BA140" i="31"/>
  <c r="BB140" i="31"/>
  <c r="BC140" i="31"/>
  <c r="BD140" i="31"/>
  <c r="BE140" i="31"/>
  <c r="BF140" i="31"/>
  <c r="BG140" i="31"/>
  <c r="BH140" i="31"/>
  <c r="BI140" i="31"/>
  <c r="BJ140" i="31"/>
  <c r="BK140" i="31"/>
  <c r="BL140" i="31"/>
  <c r="BM140" i="31"/>
  <c r="BN140" i="31"/>
  <c r="BO140" i="31"/>
  <c r="BP140" i="31"/>
  <c r="BQ140" i="31"/>
  <c r="BR140" i="31"/>
  <c r="BS140" i="31"/>
  <c r="BT140" i="31"/>
  <c r="BU140" i="31"/>
  <c r="BV140" i="31"/>
  <c r="BW140" i="31"/>
  <c r="Q137" i="31"/>
  <c r="R137" i="31"/>
  <c r="S137" i="31"/>
  <c r="T137" i="31"/>
  <c r="U137" i="31"/>
  <c r="V137" i="31"/>
  <c r="W137" i="31"/>
  <c r="X137" i="31"/>
  <c r="Y137" i="31"/>
  <c r="Z137" i="31"/>
  <c r="AA137" i="31"/>
  <c r="AB137" i="31"/>
  <c r="AC137" i="31"/>
  <c r="AD137" i="31"/>
  <c r="AE137" i="31"/>
  <c r="AF137" i="31"/>
  <c r="AG137" i="31"/>
  <c r="AH137" i="31"/>
  <c r="AI137" i="31"/>
  <c r="AJ137" i="31"/>
  <c r="AK137" i="31"/>
  <c r="AL137" i="31"/>
  <c r="AM137" i="31"/>
  <c r="AN137" i="31"/>
  <c r="AO137" i="31"/>
  <c r="AP137" i="31"/>
  <c r="AQ137" i="31"/>
  <c r="AR137" i="31"/>
  <c r="AS137" i="31"/>
  <c r="AT137" i="31"/>
  <c r="AU137" i="31"/>
  <c r="AV137" i="31"/>
  <c r="AW137" i="31"/>
  <c r="AX137" i="31"/>
  <c r="AY137" i="31"/>
  <c r="AZ137" i="31"/>
  <c r="BA137" i="31"/>
  <c r="BB137" i="31"/>
  <c r="BC137" i="31"/>
  <c r="BD137" i="31"/>
  <c r="BE137" i="31"/>
  <c r="BF137" i="31"/>
  <c r="BG137" i="31"/>
  <c r="BH137" i="31"/>
  <c r="BI137" i="31"/>
  <c r="BJ137" i="31"/>
  <c r="BK137" i="31"/>
  <c r="BL137" i="31"/>
  <c r="BM137" i="31"/>
  <c r="BN137" i="31"/>
  <c r="BO137" i="31"/>
  <c r="BP137" i="31"/>
  <c r="BQ137" i="31"/>
  <c r="BR137" i="31"/>
  <c r="BS137" i="31"/>
  <c r="BT137" i="31"/>
  <c r="BU137" i="31"/>
  <c r="BV137" i="31"/>
  <c r="BW137" i="31"/>
  <c r="P137" i="31"/>
  <c r="P138" i="31" s="1"/>
  <c r="Q134" i="31"/>
  <c r="R134" i="31"/>
  <c r="S134" i="31"/>
  <c r="T134" i="31"/>
  <c r="U134" i="31"/>
  <c r="V134" i="31"/>
  <c r="W134" i="31"/>
  <c r="X134" i="31"/>
  <c r="Y134" i="31"/>
  <c r="Z134" i="31"/>
  <c r="AA134" i="31"/>
  <c r="AB134" i="31"/>
  <c r="AC134" i="31"/>
  <c r="AD134" i="31"/>
  <c r="AE134" i="31"/>
  <c r="AF134" i="31"/>
  <c r="AG134" i="31"/>
  <c r="AH134" i="31"/>
  <c r="AI134" i="31"/>
  <c r="AJ134" i="31"/>
  <c r="AK134" i="31"/>
  <c r="AL134" i="31"/>
  <c r="AM134" i="31"/>
  <c r="AN134" i="31"/>
  <c r="AO134" i="31"/>
  <c r="AP134" i="31"/>
  <c r="AQ134" i="31"/>
  <c r="AR134" i="31"/>
  <c r="AS134" i="31"/>
  <c r="AT134" i="31"/>
  <c r="AU134" i="31"/>
  <c r="AV134" i="31"/>
  <c r="AW134" i="31"/>
  <c r="AX134" i="31"/>
  <c r="AY134" i="31"/>
  <c r="AZ134" i="31"/>
  <c r="BA134" i="31"/>
  <c r="BB134" i="31"/>
  <c r="BC134" i="31"/>
  <c r="BD134" i="31"/>
  <c r="BE134" i="31"/>
  <c r="BF134" i="31"/>
  <c r="BG134" i="31"/>
  <c r="BH134" i="31"/>
  <c r="BI134" i="31"/>
  <c r="BJ134" i="31"/>
  <c r="BK134" i="31"/>
  <c r="BL134" i="31"/>
  <c r="BM134" i="31"/>
  <c r="BN134" i="31"/>
  <c r="BO134" i="31"/>
  <c r="BP134" i="31"/>
  <c r="BQ134" i="31"/>
  <c r="BR134" i="31"/>
  <c r="BS134" i="31"/>
  <c r="BT134" i="31"/>
  <c r="BU134" i="31"/>
  <c r="BV134" i="31"/>
  <c r="BW134" i="31"/>
  <c r="P134" i="31"/>
  <c r="P135" i="31" s="1"/>
  <c r="Q131" i="31"/>
  <c r="R131" i="31"/>
  <c r="S131" i="31"/>
  <c r="T131" i="31"/>
  <c r="U131" i="31"/>
  <c r="V131" i="31"/>
  <c r="W131" i="31"/>
  <c r="X131" i="31"/>
  <c r="Y131" i="31"/>
  <c r="Z131" i="31"/>
  <c r="AA131" i="31"/>
  <c r="AB131" i="31"/>
  <c r="AC131" i="31"/>
  <c r="AD131" i="31"/>
  <c r="AE131" i="31"/>
  <c r="AF131" i="31"/>
  <c r="AG131" i="31"/>
  <c r="AH131" i="31"/>
  <c r="AI131" i="31"/>
  <c r="AJ131" i="31"/>
  <c r="AK131" i="31"/>
  <c r="AL131" i="31"/>
  <c r="AM131" i="31"/>
  <c r="AN131" i="31"/>
  <c r="AO131" i="31"/>
  <c r="AP131" i="31"/>
  <c r="AQ131" i="31"/>
  <c r="AR131" i="31"/>
  <c r="AS131" i="31"/>
  <c r="AT131" i="31"/>
  <c r="AU131" i="31"/>
  <c r="AV131" i="31"/>
  <c r="AW131" i="31"/>
  <c r="AX131" i="31"/>
  <c r="AY131" i="31"/>
  <c r="AZ131" i="31"/>
  <c r="BA131" i="31"/>
  <c r="BB131" i="31"/>
  <c r="BC131" i="31"/>
  <c r="BD131" i="31"/>
  <c r="BE131" i="31"/>
  <c r="BF131" i="31"/>
  <c r="BG131" i="31"/>
  <c r="BH131" i="31"/>
  <c r="BI131" i="31"/>
  <c r="BJ131" i="31"/>
  <c r="BK131" i="31"/>
  <c r="BL131" i="31"/>
  <c r="BM131" i="31"/>
  <c r="BN131" i="31"/>
  <c r="BO131" i="31"/>
  <c r="BP131" i="31"/>
  <c r="BQ131" i="31"/>
  <c r="BR131" i="31"/>
  <c r="BS131" i="31"/>
  <c r="BT131" i="31"/>
  <c r="BU131" i="31"/>
  <c r="BV131" i="31"/>
  <c r="BW131" i="31"/>
  <c r="P131" i="31"/>
  <c r="P132" i="31" s="1"/>
  <c r="Q128" i="31"/>
  <c r="R128" i="31"/>
  <c r="S128" i="31"/>
  <c r="T128" i="31"/>
  <c r="U128" i="31"/>
  <c r="V128" i="31"/>
  <c r="W128" i="31"/>
  <c r="X128" i="31"/>
  <c r="Y128" i="31"/>
  <c r="Z128" i="31"/>
  <c r="AA128" i="31"/>
  <c r="AB128" i="31"/>
  <c r="AC128" i="31"/>
  <c r="AD128" i="31"/>
  <c r="AE128" i="31"/>
  <c r="AF128" i="31"/>
  <c r="AG128" i="31"/>
  <c r="AH128" i="31"/>
  <c r="AI128" i="31"/>
  <c r="AJ128" i="31"/>
  <c r="AK128" i="31"/>
  <c r="AL128" i="31"/>
  <c r="AM128" i="31"/>
  <c r="AN128" i="31"/>
  <c r="AO128" i="31"/>
  <c r="AP128" i="31"/>
  <c r="AQ128" i="31"/>
  <c r="AR128" i="31"/>
  <c r="AS128" i="31"/>
  <c r="AT128" i="31"/>
  <c r="AU128" i="31"/>
  <c r="AV128" i="31"/>
  <c r="AW128" i="31"/>
  <c r="AX128" i="31"/>
  <c r="AY128" i="31"/>
  <c r="AZ128" i="31"/>
  <c r="BA128" i="31"/>
  <c r="BB128" i="31"/>
  <c r="BC128" i="31"/>
  <c r="BD128" i="31"/>
  <c r="BE128" i="31"/>
  <c r="BF128" i="31"/>
  <c r="BG128" i="31"/>
  <c r="BH128" i="31"/>
  <c r="BI128" i="31"/>
  <c r="BJ128" i="31"/>
  <c r="BK128" i="31"/>
  <c r="BL128" i="31"/>
  <c r="BM128" i="31"/>
  <c r="BN128" i="31"/>
  <c r="BO128" i="31"/>
  <c r="BP128" i="31"/>
  <c r="BQ128" i="31"/>
  <c r="BR128" i="31"/>
  <c r="BS128" i="31"/>
  <c r="BT128" i="31"/>
  <c r="BU128" i="31"/>
  <c r="BV128" i="31"/>
  <c r="BW128" i="31"/>
  <c r="P128" i="31"/>
  <c r="P125" i="31"/>
  <c r="Q125" i="31"/>
  <c r="R125" i="31"/>
  <c r="S125" i="31"/>
  <c r="T125" i="31"/>
  <c r="U125" i="31"/>
  <c r="V125" i="31"/>
  <c r="W125" i="31"/>
  <c r="X125" i="31"/>
  <c r="Y125" i="31"/>
  <c r="Z125" i="31"/>
  <c r="AA125" i="31"/>
  <c r="AB125" i="31"/>
  <c r="AC125" i="31"/>
  <c r="AD125" i="31"/>
  <c r="AE125" i="31"/>
  <c r="AF125" i="31"/>
  <c r="AG125" i="31"/>
  <c r="AH125" i="31"/>
  <c r="AI125" i="31"/>
  <c r="AJ125" i="31"/>
  <c r="AK125" i="31"/>
  <c r="AL125" i="31"/>
  <c r="AM125" i="31"/>
  <c r="AN125" i="31"/>
  <c r="AO125" i="31"/>
  <c r="AP125" i="31"/>
  <c r="AQ125" i="31"/>
  <c r="AR125" i="31"/>
  <c r="AS125" i="31"/>
  <c r="AT125" i="31"/>
  <c r="AU125" i="31"/>
  <c r="AV125" i="31"/>
  <c r="AW125" i="31"/>
  <c r="AX125" i="31"/>
  <c r="AY125" i="31"/>
  <c r="AZ125" i="31"/>
  <c r="BA125" i="31"/>
  <c r="BB125" i="31"/>
  <c r="BC125" i="31"/>
  <c r="BD125" i="31"/>
  <c r="BE125" i="31"/>
  <c r="BF125" i="31"/>
  <c r="BG125" i="31"/>
  <c r="BH125" i="31"/>
  <c r="BI125" i="31"/>
  <c r="BJ125" i="31"/>
  <c r="BK125" i="31"/>
  <c r="BL125" i="31"/>
  <c r="BM125" i="31"/>
  <c r="BN125" i="31"/>
  <c r="BO125" i="31"/>
  <c r="BP125" i="31"/>
  <c r="BQ125" i="31"/>
  <c r="BR125" i="31"/>
  <c r="BS125" i="31"/>
  <c r="BT125" i="31"/>
  <c r="BU125" i="31"/>
  <c r="BV125" i="31"/>
  <c r="BW125" i="31"/>
  <c r="D116" i="31"/>
  <c r="D117" i="31" s="1"/>
  <c r="D222" i="31" s="1"/>
  <c r="D114" i="31"/>
  <c r="D115" i="31" s="1"/>
  <c r="D107" i="31"/>
  <c r="D212" i="31" s="1"/>
  <c r="D104" i="31"/>
  <c r="D208" i="31"/>
  <c r="AZ204" i="31"/>
  <c r="BA187" i="31"/>
  <c r="AN180" i="31"/>
  <c r="AN181" i="31" s="1"/>
  <c r="AO166" i="31"/>
  <c r="Q141" i="31"/>
  <c r="D120" i="31"/>
  <c r="D225" i="31" s="1"/>
  <c r="D110" i="31"/>
  <c r="D215" i="31" s="1"/>
  <c r="E103" i="31"/>
  <c r="D8" i="28"/>
  <c r="C8" i="28"/>
  <c r="B8" i="28"/>
  <c r="B13" i="28"/>
  <c r="CW20" i="29"/>
  <c r="CW19" i="29"/>
  <c r="CW18" i="29"/>
  <c r="CW17" i="29"/>
  <c r="CW16" i="29"/>
  <c r="CW15" i="29"/>
  <c r="CW14" i="29"/>
  <c r="CW13" i="29"/>
  <c r="CW12" i="29"/>
  <c r="CW11" i="29"/>
  <c r="CW10" i="29"/>
  <c r="CW9" i="29"/>
  <c r="CW8" i="29"/>
  <c r="CW7" i="29"/>
  <c r="CW6" i="29"/>
  <c r="CY5" i="29"/>
  <c r="CX5" i="29"/>
  <c r="CW5" i="29"/>
  <c r="CW4" i="29"/>
  <c r="AZ202" i="31" l="1"/>
  <c r="AZ190" i="31"/>
  <c r="AZ199" i="31"/>
  <c r="BJ143" i="31"/>
  <c r="BV143" i="31"/>
  <c r="AX143" i="31"/>
  <c r="AN185" i="31"/>
  <c r="AZ229" i="31" s="1"/>
  <c r="BT143" i="31"/>
  <c r="BH143" i="31"/>
  <c r="AV143" i="31"/>
  <c r="AJ143" i="31"/>
  <c r="X143" i="31"/>
  <c r="X229" i="31" s="1"/>
  <c r="BS143" i="31"/>
  <c r="BR143" i="31"/>
  <c r="BF143" i="31"/>
  <c r="AT143" i="31"/>
  <c r="AH143" i="31"/>
  <c r="V143" i="31"/>
  <c r="V229" i="31" s="1"/>
  <c r="Q135" i="31"/>
  <c r="R135" i="31" s="1"/>
  <c r="S135" i="31" s="1"/>
  <c r="T135" i="31" s="1"/>
  <c r="U135" i="31" s="1"/>
  <c r="V135" i="31" s="1"/>
  <c r="W135" i="31" s="1"/>
  <c r="X135" i="31" s="1"/>
  <c r="Y135" i="31" s="1"/>
  <c r="Z135" i="31" s="1"/>
  <c r="AA135" i="31" s="1"/>
  <c r="AB135" i="31" s="1"/>
  <c r="AC135" i="31" s="1"/>
  <c r="AD135" i="31" s="1"/>
  <c r="AE135" i="31" s="1"/>
  <c r="AF135" i="31" s="1"/>
  <c r="AG135" i="31" s="1"/>
  <c r="AH135" i="31" s="1"/>
  <c r="AI135" i="31" s="1"/>
  <c r="AJ135" i="31" s="1"/>
  <c r="AK135" i="31" s="1"/>
  <c r="AL135" i="31" s="1"/>
  <c r="AM135" i="31" s="1"/>
  <c r="AN135" i="31" s="1"/>
  <c r="AO135" i="31" s="1"/>
  <c r="AP135" i="31" s="1"/>
  <c r="AQ135" i="31" s="1"/>
  <c r="AR135" i="31" s="1"/>
  <c r="AS135" i="31" s="1"/>
  <c r="AT135" i="31" s="1"/>
  <c r="AU135" i="31" s="1"/>
  <c r="AV135" i="31" s="1"/>
  <c r="AW135" i="31" s="1"/>
  <c r="AX135" i="31" s="1"/>
  <c r="AY135" i="31" s="1"/>
  <c r="AZ135" i="31" s="1"/>
  <c r="BA135" i="31" s="1"/>
  <c r="BB135" i="31" s="1"/>
  <c r="BC135" i="31" s="1"/>
  <c r="BD135" i="31" s="1"/>
  <c r="BE135" i="31" s="1"/>
  <c r="BF135" i="31" s="1"/>
  <c r="BG135" i="31" s="1"/>
  <c r="BH135" i="31" s="1"/>
  <c r="BI135" i="31" s="1"/>
  <c r="BJ135" i="31" s="1"/>
  <c r="BK135" i="31" s="1"/>
  <c r="BL135" i="31" s="1"/>
  <c r="BM135" i="31" s="1"/>
  <c r="BN135" i="31" s="1"/>
  <c r="BO135" i="31" s="1"/>
  <c r="BP135" i="31" s="1"/>
  <c r="BQ135" i="31" s="1"/>
  <c r="BR135" i="31" s="1"/>
  <c r="BS135" i="31" s="1"/>
  <c r="BT135" i="31" s="1"/>
  <c r="BU135" i="31" s="1"/>
  <c r="BV135" i="31" s="1"/>
  <c r="BW135" i="31" s="1"/>
  <c r="AZ206" i="31"/>
  <c r="BL229" i="31" s="1"/>
  <c r="W143" i="31"/>
  <c r="W229" i="31" s="1"/>
  <c r="BQ143" i="31"/>
  <c r="BE143" i="31"/>
  <c r="AS143" i="31"/>
  <c r="AG143" i="31"/>
  <c r="U143" i="31"/>
  <c r="U229" i="31" s="1"/>
  <c r="AU143" i="31"/>
  <c r="BP143" i="31"/>
  <c r="BD143" i="31"/>
  <c r="AR143" i="31"/>
  <c r="AF143" i="31"/>
  <c r="T143" i="31"/>
  <c r="T229" i="31" s="1"/>
  <c r="AI143" i="31"/>
  <c r="BG143" i="31"/>
  <c r="AB164" i="31"/>
  <c r="BO143" i="31"/>
  <c r="BC143" i="31"/>
  <c r="AQ143" i="31"/>
  <c r="AE143" i="31"/>
  <c r="S143" i="31"/>
  <c r="S229" i="31" s="1"/>
  <c r="BB143" i="31"/>
  <c r="BM143" i="31"/>
  <c r="BA143" i="31"/>
  <c r="AO143" i="31"/>
  <c r="AC143" i="31"/>
  <c r="Q143" i="31"/>
  <c r="Q229" i="31" s="1"/>
  <c r="AD143" i="31"/>
  <c r="BL143" i="31"/>
  <c r="AZ143" i="31"/>
  <c r="AN143" i="31"/>
  <c r="AB143" i="31"/>
  <c r="P143" i="31"/>
  <c r="P229" i="31" s="1"/>
  <c r="R143" i="31"/>
  <c r="R229" i="31" s="1"/>
  <c r="BW143" i="31"/>
  <c r="BK143" i="31"/>
  <c r="AY143" i="31"/>
  <c r="AM143" i="31"/>
  <c r="AA143" i="31"/>
  <c r="AA229" i="31" s="1"/>
  <c r="AP143" i="31"/>
  <c r="AL143" i="31"/>
  <c r="Z143" i="31"/>
  <c r="Z229" i="31" s="1"/>
  <c r="BN143" i="31"/>
  <c r="BU143" i="31"/>
  <c r="BI143" i="31"/>
  <c r="AW143" i="31"/>
  <c r="AK143" i="31"/>
  <c r="Y143" i="31"/>
  <c r="Y229" i="31" s="1"/>
  <c r="D209" i="31"/>
  <c r="D122" i="31"/>
  <c r="D229" i="31" s="1"/>
  <c r="AO183" i="31"/>
  <c r="AO182" i="31"/>
  <c r="AO167" i="31"/>
  <c r="AO179" i="31"/>
  <c r="F176" i="4"/>
  <c r="F97" i="4"/>
  <c r="F175" i="4"/>
  <c r="F96" i="4"/>
  <c r="F174" i="4"/>
  <c r="F95" i="4"/>
  <c r="F173" i="4"/>
  <c r="F98" i="4"/>
  <c r="BA195" i="31"/>
  <c r="BA189" i="31"/>
  <c r="F7" i="4"/>
  <c r="F11" i="4"/>
  <c r="F107" i="4"/>
  <c r="F108" i="4"/>
  <c r="F112" i="4"/>
  <c r="F114" i="4"/>
  <c r="F177" i="4"/>
  <c r="F105" i="4"/>
  <c r="F113" i="4"/>
  <c r="F9" i="4"/>
  <c r="F102" i="4"/>
  <c r="F104" i="4"/>
  <c r="F10" i="4"/>
  <c r="F166" i="4" s="1"/>
  <c r="F118" i="4"/>
  <c r="F6" i="4"/>
  <c r="F106" i="4"/>
  <c r="F221" i="4"/>
  <c r="F5" i="4"/>
  <c r="F116" i="4"/>
  <c r="O37" i="28"/>
  <c r="P8" i="28"/>
  <c r="K8" i="28"/>
  <c r="E13" i="28"/>
  <c r="E4" i="43" s="1"/>
  <c r="L13" i="28"/>
  <c r="L4" i="43" s="1"/>
  <c r="G13" i="28"/>
  <c r="G4" i="43" s="1"/>
  <c r="CU20" i="31"/>
  <c r="C305" i="31" s="1"/>
  <c r="C299" i="31" s="1"/>
  <c r="CU15" i="31"/>
  <c r="CU10" i="31"/>
  <c r="D10" i="31" s="1"/>
  <c r="H10" i="31" s="1"/>
  <c r="M10" i="31" s="1"/>
  <c r="CU6" i="31"/>
  <c r="O8" i="28"/>
  <c r="I8" i="28"/>
  <c r="P13" i="28"/>
  <c r="P4" i="43" s="1"/>
  <c r="K13" i="28"/>
  <c r="K4" i="43" s="1"/>
  <c r="CU19" i="31"/>
  <c r="CU14" i="31"/>
  <c r="CU9" i="31"/>
  <c r="CU5" i="31"/>
  <c r="M8" i="28"/>
  <c r="H8" i="28"/>
  <c r="O13" i="28"/>
  <c r="O4" i="43" s="1"/>
  <c r="I13" i="28"/>
  <c r="I4" i="43" s="1"/>
  <c r="CU18" i="31"/>
  <c r="CU12" i="31"/>
  <c r="CU8" i="31"/>
  <c r="G4" i="31" s="1"/>
  <c r="L4" i="31" s="1"/>
  <c r="Q4" i="31" s="1"/>
  <c r="V4" i="31" s="1"/>
  <c r="AA4" i="31" s="1"/>
  <c r="CU4" i="31"/>
  <c r="D4" i="31" s="1"/>
  <c r="H4" i="31" s="1"/>
  <c r="E8" i="28"/>
  <c r="L8" i="28"/>
  <c r="G8" i="28"/>
  <c r="M13" i="28"/>
  <c r="M4" i="43" s="1"/>
  <c r="H13" i="28"/>
  <c r="H4" i="43" s="1"/>
  <c r="CU21" i="31"/>
  <c r="C304" i="31" s="1"/>
  <c r="C298" i="31" s="1"/>
  <c r="CU17" i="31"/>
  <c r="CU11" i="31"/>
  <c r="CU7" i="31"/>
  <c r="CU3" i="31"/>
  <c r="F4" i="31" s="1"/>
  <c r="D221" i="31"/>
  <c r="BA191" i="31"/>
  <c r="BA197" i="31"/>
  <c r="BA198" i="31"/>
  <c r="BA200" i="31"/>
  <c r="BA192" i="31"/>
  <c r="BA194" i="31"/>
  <c r="BA188" i="31"/>
  <c r="BA201" i="31"/>
  <c r="P126" i="31"/>
  <c r="AN175" i="31"/>
  <c r="P129" i="31"/>
  <c r="Q129" i="31" s="1"/>
  <c r="AB159" i="31"/>
  <c r="AC159" i="31" s="1"/>
  <c r="AN178" i="31"/>
  <c r="AZ193" i="31"/>
  <c r="AN172" i="31"/>
  <c r="P133" i="31"/>
  <c r="P139" i="31"/>
  <c r="AB147" i="31"/>
  <c r="AB156" i="31"/>
  <c r="AC156" i="31" s="1"/>
  <c r="AC157" i="31" s="1"/>
  <c r="AN168" i="31"/>
  <c r="AZ196" i="31"/>
  <c r="D219" i="31"/>
  <c r="D218" i="31"/>
  <c r="Q138" i="31"/>
  <c r="R141" i="31"/>
  <c r="AB150" i="31"/>
  <c r="AB151" i="31" s="1"/>
  <c r="D111" i="31"/>
  <c r="E116" i="31"/>
  <c r="E113" i="31"/>
  <c r="D118" i="31"/>
  <c r="D223" i="31" s="1"/>
  <c r="D105" i="31"/>
  <c r="D210" i="31" s="1"/>
  <c r="D108" i="31"/>
  <c r="E104" i="31"/>
  <c r="AO170" i="31"/>
  <c r="AO174" i="31"/>
  <c r="E110" i="31"/>
  <c r="E215" i="31" s="1"/>
  <c r="E107" i="31"/>
  <c r="E212" i="31" s="1"/>
  <c r="AO177" i="31"/>
  <c r="E208" i="31"/>
  <c r="E120" i="31"/>
  <c r="E225" i="31" s="1"/>
  <c r="F103" i="31"/>
  <c r="E119" i="31"/>
  <c r="E224" i="31" s="1"/>
  <c r="AC162" i="31"/>
  <c r="AO180" i="31"/>
  <c r="AO181" i="31" s="1"/>
  <c r="AP166" i="31"/>
  <c r="AP182" i="31" s="1"/>
  <c r="AO173" i="31"/>
  <c r="AO171" i="31"/>
  <c r="AO176" i="31"/>
  <c r="BA204" i="31"/>
  <c r="BA203" i="31"/>
  <c r="BB187" i="31"/>
  <c r="BB197" i="31" s="1"/>
  <c r="N8" i="28"/>
  <c r="J8" i="28"/>
  <c r="F8" i="28"/>
  <c r="N13" i="28"/>
  <c r="N4" i="43" s="1"/>
  <c r="J13" i="28"/>
  <c r="J4" i="43" s="1"/>
  <c r="F13" i="28"/>
  <c r="F4" i="43" s="1"/>
  <c r="CX39" i="13"/>
  <c r="Q15" i="28" s="1"/>
  <c r="CX40" i="13"/>
  <c r="Q16" i="28" s="1"/>
  <c r="D13" i="28"/>
  <c r="C13" i="28"/>
  <c r="B32" i="12"/>
  <c r="S304" i="31" l="1"/>
  <c r="R4" i="36"/>
  <c r="K4" i="36"/>
  <c r="K38" i="36" s="1"/>
  <c r="L4" i="36"/>
  <c r="L38" i="36" s="1"/>
  <c r="P4" i="36"/>
  <c r="P138" i="36" s="1"/>
  <c r="P147" i="36" s="1"/>
  <c r="O4" i="36"/>
  <c r="O138" i="36" s="1"/>
  <c r="O147" i="36" s="1"/>
  <c r="J4" i="36"/>
  <c r="J38" i="36" s="1"/>
  <c r="I4" i="36"/>
  <c r="I138" i="36" s="1"/>
  <c r="I147" i="36" s="1"/>
  <c r="M4" i="36"/>
  <c r="M38" i="36" s="1"/>
  <c r="H4" i="36"/>
  <c r="H38" i="36" s="1"/>
  <c r="N4" i="36"/>
  <c r="N138" i="36" s="1"/>
  <c r="N147" i="36" s="1"/>
  <c r="Q4" i="36"/>
  <c r="Q138" i="36" s="1"/>
  <c r="Q147" i="36" s="1"/>
  <c r="S4" i="36"/>
  <c r="S38" i="36" s="1"/>
  <c r="M5" i="31"/>
  <c r="D6" i="31"/>
  <c r="D5" i="31"/>
  <c r="W8" i="31"/>
  <c r="M6" i="31"/>
  <c r="H7" i="31"/>
  <c r="D7" i="31"/>
  <c r="D8" i="31"/>
  <c r="H6" i="31"/>
  <c r="BA190" i="31"/>
  <c r="BA196" i="31"/>
  <c r="AO168" i="31"/>
  <c r="AO169" i="31" s="1"/>
  <c r="BA206" i="31"/>
  <c r="BM229" i="31" s="1"/>
  <c r="AB229" i="31"/>
  <c r="AN229" i="31"/>
  <c r="AO185" i="31"/>
  <c r="BA229" i="31" s="1"/>
  <c r="E209" i="31"/>
  <c r="E122" i="31"/>
  <c r="E229" i="31" s="1"/>
  <c r="AP183" i="31"/>
  <c r="AP167" i="31"/>
  <c r="AP179" i="31"/>
  <c r="H138" i="36"/>
  <c r="H147" i="36" s="1"/>
  <c r="L138" i="36"/>
  <c r="L147" i="36" s="1"/>
  <c r="R138" i="36"/>
  <c r="R147" i="36" s="1"/>
  <c r="R38" i="36"/>
  <c r="F91" i="4"/>
  <c r="F169" i="4"/>
  <c r="F93" i="4"/>
  <c r="F171" i="4"/>
  <c r="G6" i="17"/>
  <c r="F4" i="32"/>
  <c r="F12" i="32" s="1"/>
  <c r="I3" i="4"/>
  <c r="Y8" i="4" s="1"/>
  <c r="K6" i="17"/>
  <c r="M3" i="4"/>
  <c r="AC8" i="4" s="1"/>
  <c r="J4" i="32"/>
  <c r="J12" i="32" s="1"/>
  <c r="H6" i="17"/>
  <c r="G4" i="32"/>
  <c r="G12" i="32" s="1"/>
  <c r="J3" i="4"/>
  <c r="E4" i="32"/>
  <c r="E12" i="32" s="1"/>
  <c r="F6" i="17"/>
  <c r="H3" i="4"/>
  <c r="X8" i="4" s="1"/>
  <c r="H4" i="32"/>
  <c r="H12" i="32" s="1"/>
  <c r="K3" i="4"/>
  <c r="AA8" i="4" s="1"/>
  <c r="I6" i="17"/>
  <c r="R3" i="4"/>
  <c r="AH8" i="4" s="1"/>
  <c r="P6" i="17"/>
  <c r="O4" i="32"/>
  <c r="O12" i="32" s="1"/>
  <c r="P3" i="4"/>
  <c r="AF8" i="4" s="1"/>
  <c r="N6" i="17"/>
  <c r="M4" i="32"/>
  <c r="M12" i="32" s="1"/>
  <c r="L4" i="32"/>
  <c r="L12" i="32" s="1"/>
  <c r="M6" i="17"/>
  <c r="O3" i="4"/>
  <c r="L6" i="17"/>
  <c r="N3" i="4"/>
  <c r="K4" i="32"/>
  <c r="K12" i="32" s="1"/>
  <c r="D4" i="32"/>
  <c r="D12" i="32" s="1"/>
  <c r="E6" i="17"/>
  <c r="G3" i="4"/>
  <c r="W8" i="4" s="1"/>
  <c r="L3" i="4"/>
  <c r="J6" i="17"/>
  <c r="I4" i="32"/>
  <c r="I12" i="32" s="1"/>
  <c r="O6" i="17"/>
  <c r="N4" i="32"/>
  <c r="N12" i="32" s="1"/>
  <c r="Q3" i="4"/>
  <c r="AG8" i="4" s="1"/>
  <c r="C12" i="4"/>
  <c r="F68" i="4"/>
  <c r="F111" i="4"/>
  <c r="F189" i="4"/>
  <c r="F110" i="4"/>
  <c r="F117" i="4"/>
  <c r="F188" i="4"/>
  <c r="F145" i="4"/>
  <c r="F223" i="4"/>
  <c r="F138" i="4"/>
  <c r="F216" i="4"/>
  <c r="F125" i="4"/>
  <c r="F203" i="4"/>
  <c r="F162" i="4"/>
  <c r="F84" i="4"/>
  <c r="F209" i="4"/>
  <c r="F131" i="4"/>
  <c r="F81" i="4"/>
  <c r="F159" i="4"/>
  <c r="F214" i="4"/>
  <c r="F136" i="4"/>
  <c r="F127" i="4"/>
  <c r="F205" i="4"/>
  <c r="F87" i="4"/>
  <c r="F165" i="4"/>
  <c r="F124" i="4"/>
  <c r="F202" i="4"/>
  <c r="F186" i="4"/>
  <c r="F100" i="4"/>
  <c r="F178" i="4"/>
  <c r="F210" i="4"/>
  <c r="F83" i="4"/>
  <c r="F161" i="4"/>
  <c r="F144" i="4"/>
  <c r="F222" i="4"/>
  <c r="F198" i="4"/>
  <c r="F120" i="4"/>
  <c r="F126" i="4"/>
  <c r="F204" i="4"/>
  <c r="F212" i="4"/>
  <c r="F134" i="4"/>
  <c r="F121" i="4"/>
  <c r="F199" i="4"/>
  <c r="F90" i="4"/>
  <c r="F168" i="4"/>
  <c r="F195" i="4"/>
  <c r="F185" i="4"/>
  <c r="F194" i="4"/>
  <c r="F128" i="4"/>
  <c r="F206" i="4"/>
  <c r="F143" i="4"/>
  <c r="F139" i="4"/>
  <c r="F217" i="4"/>
  <c r="F197" i="4"/>
  <c r="F119" i="4"/>
  <c r="F133" i="4"/>
  <c r="F211" i="4"/>
  <c r="F182" i="4"/>
  <c r="F191" i="4"/>
  <c r="F192" i="4"/>
  <c r="F167" i="4"/>
  <c r="F89" i="4"/>
  <c r="F201" i="4"/>
  <c r="F123" i="4"/>
  <c r="F137" i="4"/>
  <c r="F215" i="4"/>
  <c r="F184" i="4"/>
  <c r="F140" i="4"/>
  <c r="F218" i="4"/>
  <c r="F196" i="4"/>
  <c r="F142" i="4"/>
  <c r="F220" i="4"/>
  <c r="F207" i="4"/>
  <c r="F129" i="4"/>
  <c r="F183" i="4"/>
  <c r="F82" i="4"/>
  <c r="F160" i="4"/>
  <c r="F190" i="4"/>
  <c r="F85" i="4"/>
  <c r="F163" i="4"/>
  <c r="P130" i="31"/>
  <c r="AD156" i="31"/>
  <c r="AD157" i="31" s="1"/>
  <c r="Q130" i="31"/>
  <c r="AO178" i="31"/>
  <c r="AB160" i="31"/>
  <c r="P127" i="31"/>
  <c r="AN169" i="31"/>
  <c r="P136" i="31"/>
  <c r="BB192" i="31"/>
  <c r="BA193" i="31"/>
  <c r="BB188" i="31"/>
  <c r="BB191" i="31"/>
  <c r="BB194" i="31"/>
  <c r="BB201" i="31"/>
  <c r="BB198" i="31"/>
  <c r="BB200" i="31"/>
  <c r="BB195" i="31"/>
  <c r="AC160" i="31"/>
  <c r="BB189" i="31"/>
  <c r="Q139" i="31"/>
  <c r="AB157" i="31"/>
  <c r="BA202" i="31"/>
  <c r="AO172" i="31"/>
  <c r="AB148" i="31"/>
  <c r="AO175" i="31"/>
  <c r="Q126" i="31"/>
  <c r="AC147" i="31"/>
  <c r="AC164" i="31" s="1"/>
  <c r="Q132" i="31"/>
  <c r="BA199" i="31"/>
  <c r="E114" i="31"/>
  <c r="E115" i="31" s="1"/>
  <c r="E218" i="31"/>
  <c r="D109" i="31"/>
  <c r="D214" i="31" s="1"/>
  <c r="D213" i="31"/>
  <c r="E117" i="31"/>
  <c r="E222" i="31" s="1"/>
  <c r="E221" i="31"/>
  <c r="D112" i="31"/>
  <c r="D217" i="31" s="1"/>
  <c r="D216" i="31"/>
  <c r="D9" i="31"/>
  <c r="W9" i="31"/>
  <c r="R138" i="31"/>
  <c r="AD159" i="31"/>
  <c r="S141" i="31"/>
  <c r="R129" i="31"/>
  <c r="AB153" i="31"/>
  <c r="AB154" i="31" s="1"/>
  <c r="Q136" i="31"/>
  <c r="E111" i="31"/>
  <c r="F116" i="31"/>
  <c r="F113" i="31"/>
  <c r="E105" i="31"/>
  <c r="E210" i="31" s="1"/>
  <c r="D106" i="31"/>
  <c r="D211" i="31" s="1"/>
  <c r="E108" i="31"/>
  <c r="M4" i="31"/>
  <c r="R4" i="31" s="1"/>
  <c r="W4" i="31" s="1"/>
  <c r="AD162" i="31"/>
  <c r="BB204" i="31"/>
  <c r="BB203" i="31"/>
  <c r="BC187" i="31"/>
  <c r="R9" i="31"/>
  <c r="H8" i="31"/>
  <c r="R7" i="31"/>
  <c r="W5" i="31"/>
  <c r="M9" i="31"/>
  <c r="M7" i="31"/>
  <c r="W6" i="31"/>
  <c r="R5" i="31"/>
  <c r="R8" i="31"/>
  <c r="H9" i="31"/>
  <c r="R6" i="31"/>
  <c r="M8" i="31"/>
  <c r="W7" i="31"/>
  <c r="H5" i="31"/>
  <c r="W10" i="31"/>
  <c r="R10" i="31"/>
  <c r="AP180" i="31"/>
  <c r="AP181" i="31" s="1"/>
  <c r="AQ166" i="31"/>
  <c r="AP177" i="31"/>
  <c r="AP176" i="31"/>
  <c r="AP174" i="31"/>
  <c r="AP173" i="31"/>
  <c r="AP171" i="31"/>
  <c r="AP170" i="31"/>
  <c r="F208" i="31"/>
  <c r="G103" i="31"/>
  <c r="F120" i="31"/>
  <c r="F119" i="31"/>
  <c r="F224" i="31" s="1"/>
  <c r="F110" i="31"/>
  <c r="F215" i="31" s="1"/>
  <c r="F107" i="31"/>
  <c r="F212" i="31" s="1"/>
  <c r="F104" i="31"/>
  <c r="D11" i="31"/>
  <c r="H11" i="31" s="1"/>
  <c r="M11" i="31" s="1"/>
  <c r="R11" i="31" s="1"/>
  <c r="W11" i="31" s="1"/>
  <c r="P4" i="31"/>
  <c r="Z4" i="31"/>
  <c r="U4" i="31"/>
  <c r="K4" i="31"/>
  <c r="P38" i="36" l="1"/>
  <c r="J138" i="36"/>
  <c r="J147" i="36" s="1"/>
  <c r="M138" i="36"/>
  <c r="M147" i="36" s="1"/>
  <c r="Q38" i="36"/>
  <c r="O38" i="36"/>
  <c r="S138" i="36"/>
  <c r="S147" i="36" s="1"/>
  <c r="I38" i="36"/>
  <c r="K138" i="36"/>
  <c r="K147" i="36" s="1"/>
  <c r="N38" i="36"/>
  <c r="AE8" i="4"/>
  <c r="AE87" i="4" s="1"/>
  <c r="AE98" i="4" s="1"/>
  <c r="AD8" i="4"/>
  <c r="AD19" i="4" s="1"/>
  <c r="Z8" i="4"/>
  <c r="Z19" i="4" s="1"/>
  <c r="AA24" i="4" s="1"/>
  <c r="AA103" i="4" s="1"/>
  <c r="AB8" i="4"/>
  <c r="BB190" i="31"/>
  <c r="F76" i="4"/>
  <c r="F150" i="4"/>
  <c r="AG19" i="4"/>
  <c r="AG87" i="4"/>
  <c r="AG98" i="4" s="1"/>
  <c r="AH19" i="4"/>
  <c r="AH87" i="4"/>
  <c r="AH98" i="4" s="1"/>
  <c r="AC19" i="4"/>
  <c r="AC87" i="4"/>
  <c r="Y19" i="4"/>
  <c r="Y87" i="4"/>
  <c r="W19" i="4"/>
  <c r="X24" i="4" s="1"/>
  <c r="X103" i="4" s="1"/>
  <c r="W87" i="4"/>
  <c r="W98" i="4"/>
  <c r="AA19" i="4"/>
  <c r="AA87" i="4"/>
  <c r="X19" i="4"/>
  <c r="X87" i="4"/>
  <c r="AF19" i="4"/>
  <c r="AF87" i="4"/>
  <c r="AF98" i="4" s="1"/>
  <c r="BB206" i="31"/>
  <c r="BN229" i="31" s="1"/>
  <c r="AO229" i="31"/>
  <c r="AC229" i="31"/>
  <c r="F225" i="31"/>
  <c r="AP185" i="31"/>
  <c r="BB229" i="31" s="1"/>
  <c r="AP168" i="31"/>
  <c r="F209" i="31"/>
  <c r="F122" i="31"/>
  <c r="F229" i="31" s="1"/>
  <c r="AQ182" i="31"/>
  <c r="AQ183" i="31"/>
  <c r="E299" i="31"/>
  <c r="AE162" i="31"/>
  <c r="AQ167" i="31"/>
  <c r="AQ179" i="31"/>
  <c r="P81" i="4"/>
  <c r="J81" i="4"/>
  <c r="G81" i="4"/>
  <c r="R81" i="4"/>
  <c r="M81" i="4"/>
  <c r="K81" i="4"/>
  <c r="H81" i="4"/>
  <c r="Q81" i="4"/>
  <c r="L81" i="4"/>
  <c r="N81" i="4"/>
  <c r="O81" i="4"/>
  <c r="I81" i="4"/>
  <c r="C90" i="4"/>
  <c r="C82" i="4"/>
  <c r="AE156" i="31"/>
  <c r="AE157" i="31" s="1"/>
  <c r="F229" i="4"/>
  <c r="F148" i="4"/>
  <c r="F146" i="4"/>
  <c r="F152" i="4"/>
  <c r="F69" i="4"/>
  <c r="F149" i="4"/>
  <c r="F228" i="4"/>
  <c r="F147" i="4"/>
  <c r="F227" i="4"/>
  <c r="F73" i="4"/>
  <c r="F153" i="4"/>
  <c r="F74" i="4"/>
  <c r="F71" i="4"/>
  <c r="F151" i="4"/>
  <c r="F231" i="4"/>
  <c r="F230" i="4"/>
  <c r="F226" i="4"/>
  <c r="F225" i="4"/>
  <c r="F75" i="4"/>
  <c r="F224" i="4"/>
  <c r="F154" i="4"/>
  <c r="F72" i="4"/>
  <c r="F70" i="4"/>
  <c r="C33" i="4"/>
  <c r="C111" i="4" s="1"/>
  <c r="C189" i="4" s="1"/>
  <c r="C46" i="4"/>
  <c r="C124" i="4" s="1"/>
  <c r="C202" i="4" s="1"/>
  <c r="C102" i="4"/>
  <c r="C180" i="4" s="1"/>
  <c r="C27" i="4"/>
  <c r="C105" i="4" s="1"/>
  <c r="C183" i="4" s="1"/>
  <c r="C54" i="4"/>
  <c r="C132" i="4" s="1"/>
  <c r="C210" i="4" s="1"/>
  <c r="C60" i="4"/>
  <c r="C137" i="4" s="1"/>
  <c r="C215" i="4" s="1"/>
  <c r="C39" i="4"/>
  <c r="C117" i="4" s="1"/>
  <c r="C195" i="4" s="1"/>
  <c r="AC148" i="31"/>
  <c r="E118" i="31"/>
  <c r="E223" i="31" s="1"/>
  <c r="AD147" i="31"/>
  <c r="AD164" i="31" s="1"/>
  <c r="BC191" i="31"/>
  <c r="BC194" i="31"/>
  <c r="BC197" i="31"/>
  <c r="BC198" i="31"/>
  <c r="BC188" i="31"/>
  <c r="BC192" i="31"/>
  <c r="BC200" i="31"/>
  <c r="BC195" i="31"/>
  <c r="BC201" i="31"/>
  <c r="AC150" i="31"/>
  <c r="AC151" i="31" s="1"/>
  <c r="S129" i="31"/>
  <c r="AD160" i="31"/>
  <c r="Q127" i="31"/>
  <c r="R126" i="31"/>
  <c r="BB196" i="31"/>
  <c r="AP175" i="31"/>
  <c r="R130" i="31"/>
  <c r="BB202" i="31"/>
  <c r="BB193" i="31"/>
  <c r="R139" i="31"/>
  <c r="BC189" i="31"/>
  <c r="BB199" i="31"/>
  <c r="AP172" i="31"/>
  <c r="AP178" i="31"/>
  <c r="Q133" i="31"/>
  <c r="R132" i="31"/>
  <c r="E109" i="31"/>
  <c r="E214" i="31" s="1"/>
  <c r="E213" i="31"/>
  <c r="F117" i="31"/>
  <c r="F221" i="31"/>
  <c r="F114" i="31"/>
  <c r="F115" i="31" s="1"/>
  <c r="F218" i="31"/>
  <c r="E112" i="31"/>
  <c r="E217" i="31" s="1"/>
  <c r="E216" i="31"/>
  <c r="E220" i="31"/>
  <c r="E219" i="31"/>
  <c r="S138" i="31"/>
  <c r="AE159" i="31"/>
  <c r="AF159" i="31" s="1"/>
  <c r="T141" i="31"/>
  <c r="AC153" i="31"/>
  <c r="R136" i="31"/>
  <c r="F111" i="31"/>
  <c r="G116" i="31"/>
  <c r="G113" i="31"/>
  <c r="G218" i="31" s="1"/>
  <c r="F105" i="31"/>
  <c r="F210" i="31" s="1"/>
  <c r="E106" i="31"/>
  <c r="E211" i="31" s="1"/>
  <c r="F108" i="31"/>
  <c r="AQ180" i="31"/>
  <c r="AQ181" i="31" s="1"/>
  <c r="AR166" i="31"/>
  <c r="AQ177" i="31"/>
  <c r="AQ176" i="31"/>
  <c r="AQ174" i="31"/>
  <c r="AQ173" i="31"/>
  <c r="AQ171" i="31"/>
  <c r="AQ170" i="31"/>
  <c r="G208" i="31"/>
  <c r="H103" i="31"/>
  <c r="G119" i="31"/>
  <c r="G224" i="31" s="1"/>
  <c r="G110" i="31"/>
  <c r="G215" i="31" s="1"/>
  <c r="G107" i="31"/>
  <c r="G212" i="31" s="1"/>
  <c r="G104" i="31"/>
  <c r="G120" i="31"/>
  <c r="BC203" i="31"/>
  <c r="BD187" i="31"/>
  <c r="BC204" i="31"/>
  <c r="AE19" i="4" l="1"/>
  <c r="AF24" i="4" s="1"/>
  <c r="AF103" i="4" s="1"/>
  <c r="AB19" i="4"/>
  <c r="AC24" i="4" s="1"/>
  <c r="AC103" i="4" s="1"/>
  <c r="AI10" i="4"/>
  <c r="Z87" i="4"/>
  <c r="Z98" i="4" s="1"/>
  <c r="AD87" i="4"/>
  <c r="AD98" i="4" s="1"/>
  <c r="AB87" i="4"/>
  <c r="AP169" i="31"/>
  <c r="BC190" i="31"/>
  <c r="AC98" i="4"/>
  <c r="AD24" i="4"/>
  <c r="AD103" i="4" s="1"/>
  <c r="AG24" i="4"/>
  <c r="AG103" i="4" s="1"/>
  <c r="AH24" i="4"/>
  <c r="AH103" i="4" s="1"/>
  <c r="AA98" i="4"/>
  <c r="AB24" i="4"/>
  <c r="AB103" i="4" s="1"/>
  <c r="Y98" i="4"/>
  <c r="Z24" i="4"/>
  <c r="Z103" i="4" s="1"/>
  <c r="X98" i="4"/>
  <c r="Y24" i="4"/>
  <c r="Y103" i="4" s="1"/>
  <c r="AI24" i="4"/>
  <c r="AI103" i="4" s="1"/>
  <c r="AE24" i="4"/>
  <c r="AE103" i="4" s="1"/>
  <c r="F299" i="31"/>
  <c r="G225" i="31"/>
  <c r="AP229" i="31"/>
  <c r="AD229" i="31"/>
  <c r="AQ168" i="31"/>
  <c r="AQ185" i="31"/>
  <c r="BC229" i="31" s="1"/>
  <c r="G209" i="31"/>
  <c r="G122" i="31"/>
  <c r="G229" i="31" s="1"/>
  <c r="BC206" i="31"/>
  <c r="BO229" i="31" s="1"/>
  <c r="AR182" i="31"/>
  <c r="AR183" i="31"/>
  <c r="AF162" i="31"/>
  <c r="AR167" i="31"/>
  <c r="AR179" i="31"/>
  <c r="AF156" i="31"/>
  <c r="AF157" i="31" s="1"/>
  <c r="E301" i="31"/>
  <c r="F19" i="17"/>
  <c r="C168" i="4"/>
  <c r="C160" i="4"/>
  <c r="AD148" i="31"/>
  <c r="AE147" i="31"/>
  <c r="AF147" i="31" s="1"/>
  <c r="AD150" i="31"/>
  <c r="AD151" i="31" s="1"/>
  <c r="BD192" i="31"/>
  <c r="BD197" i="31"/>
  <c r="BD188" i="31"/>
  <c r="BD201" i="31"/>
  <c r="BD191" i="31"/>
  <c r="BD194" i="31"/>
  <c r="BD200" i="31"/>
  <c r="BD198" i="31"/>
  <c r="BD195" i="31"/>
  <c r="T129" i="31"/>
  <c r="U129" i="31" s="1"/>
  <c r="BC193" i="31"/>
  <c r="AQ178" i="31"/>
  <c r="S130" i="31"/>
  <c r="BD189" i="31"/>
  <c r="S132" i="31"/>
  <c r="R133" i="31"/>
  <c r="R127" i="31"/>
  <c r="S126" i="31"/>
  <c r="BC202" i="31"/>
  <c r="AQ175" i="31"/>
  <c r="AQ172" i="31"/>
  <c r="AE160" i="31"/>
  <c r="S139" i="31"/>
  <c r="BC196" i="31"/>
  <c r="BC199" i="31"/>
  <c r="F118" i="31"/>
  <c r="F223" i="31" s="1"/>
  <c r="F222" i="31"/>
  <c r="F112" i="31"/>
  <c r="F217" i="31" s="1"/>
  <c r="F216" i="31"/>
  <c r="F109" i="31"/>
  <c r="F214" i="31" s="1"/>
  <c r="F213" i="31"/>
  <c r="G117" i="31"/>
  <c r="G221" i="31"/>
  <c r="F220" i="31"/>
  <c r="F219" i="31"/>
  <c r="T138" i="31"/>
  <c r="U138" i="31" s="1"/>
  <c r="G114" i="31"/>
  <c r="G115" i="31" s="1"/>
  <c r="U141" i="31"/>
  <c r="AG159" i="31"/>
  <c r="AF160" i="31"/>
  <c r="AD153" i="31"/>
  <c r="AC154" i="31"/>
  <c r="S136" i="31"/>
  <c r="H113" i="31"/>
  <c r="H116" i="31"/>
  <c r="H107" i="31"/>
  <c r="H212" i="31" s="1"/>
  <c r="G111" i="31"/>
  <c r="G216" i="31" s="1"/>
  <c r="G105" i="31"/>
  <c r="G210" i="31" s="1"/>
  <c r="F106" i="31"/>
  <c r="F211" i="31" s="1"/>
  <c r="G108" i="31"/>
  <c r="G213" i="31" s="1"/>
  <c r="BD204" i="31"/>
  <c r="BD203" i="31"/>
  <c r="BE187" i="31"/>
  <c r="H208" i="31"/>
  <c r="H120" i="31"/>
  <c r="H119" i="31"/>
  <c r="H224" i="31" s="1"/>
  <c r="H110" i="31"/>
  <c r="H215" i="31" s="1"/>
  <c r="H104" i="31"/>
  <c r="I103" i="31"/>
  <c r="AR180" i="31"/>
  <c r="AR181" i="31" s="1"/>
  <c r="AR177" i="31"/>
  <c r="AR176" i="31"/>
  <c r="AR174" i="31"/>
  <c r="AR173" i="31"/>
  <c r="AR171" i="31"/>
  <c r="AR170" i="31"/>
  <c r="AS166" i="31"/>
  <c r="E10" i="31" l="1"/>
  <c r="F121" i="31" s="1"/>
  <c r="S8" i="4"/>
  <c r="G164" i="4" s="1"/>
  <c r="I86" i="4"/>
  <c r="Q86" i="4"/>
  <c r="R86" i="4"/>
  <c r="AB98" i="4"/>
  <c r="K86" i="4"/>
  <c r="N86" i="4"/>
  <c r="O86" i="4"/>
  <c r="J86" i="4"/>
  <c r="M86" i="4"/>
  <c r="H86" i="4"/>
  <c r="G86" i="4"/>
  <c r="AI9" i="4"/>
  <c r="P86" i="4"/>
  <c r="L86" i="4"/>
  <c r="G299" i="31"/>
  <c r="AQ169" i="31"/>
  <c r="BD190" i="31"/>
  <c r="H225" i="31"/>
  <c r="AR168" i="31"/>
  <c r="AR185" i="31"/>
  <c r="BD229" i="31" s="1"/>
  <c r="H209" i="31"/>
  <c r="H122" i="31"/>
  <c r="H229" i="31" s="1"/>
  <c r="BD206" i="31"/>
  <c r="BP229" i="31" s="1"/>
  <c r="AG162" i="31"/>
  <c r="AS182" i="31"/>
  <c r="AS183" i="31"/>
  <c r="AS167" i="31"/>
  <c r="AS179" i="31"/>
  <c r="AG156" i="31"/>
  <c r="AH156" i="31" s="1"/>
  <c r="AE148" i="31"/>
  <c r="F301" i="31"/>
  <c r="G19" i="17"/>
  <c r="T139" i="31"/>
  <c r="T130" i="31"/>
  <c r="AR172" i="31"/>
  <c r="BD202" i="31"/>
  <c r="BE194" i="31"/>
  <c r="BE200" i="31"/>
  <c r="BE188" i="31"/>
  <c r="BE191" i="31"/>
  <c r="BE197" i="31"/>
  <c r="BE201" i="31"/>
  <c r="BE192" i="31"/>
  <c r="BE198" i="31"/>
  <c r="BE195" i="31"/>
  <c r="BE189" i="31"/>
  <c r="T126" i="31"/>
  <c r="S127" i="31"/>
  <c r="AF164" i="31"/>
  <c r="T132" i="31"/>
  <c r="S133" i="31"/>
  <c r="AR178" i="31"/>
  <c r="BD199" i="31"/>
  <c r="AR175" i="31"/>
  <c r="BD196" i="31"/>
  <c r="BD193" i="31"/>
  <c r="G118" i="31"/>
  <c r="G223" i="31" s="1"/>
  <c r="G222" i="31"/>
  <c r="H114" i="31"/>
  <c r="H115" i="31" s="1"/>
  <c r="H218" i="31"/>
  <c r="G220" i="31"/>
  <c r="G219" i="31"/>
  <c r="H117" i="31"/>
  <c r="H221" i="31"/>
  <c r="V141" i="31"/>
  <c r="AG147" i="31"/>
  <c r="AG148" i="31" s="1"/>
  <c r="U139" i="31"/>
  <c r="V138" i="31"/>
  <c r="AH159" i="31"/>
  <c r="AG160" i="31"/>
  <c r="AD154" i="31"/>
  <c r="AE153" i="31"/>
  <c r="AF148" i="31"/>
  <c r="T136" i="31"/>
  <c r="U130" i="31"/>
  <c r="V129" i="31"/>
  <c r="H111" i="31"/>
  <c r="H216" i="31" s="1"/>
  <c r="G112" i="31"/>
  <c r="G217" i="31" s="1"/>
  <c r="I116" i="31"/>
  <c r="I113" i="31"/>
  <c r="I107" i="31"/>
  <c r="I212" i="31" s="1"/>
  <c r="H105" i="31"/>
  <c r="G106" i="31"/>
  <c r="G211" i="31" s="1"/>
  <c r="G109" i="31"/>
  <c r="G214" i="31" s="1"/>
  <c r="H108" i="31"/>
  <c r="H213" i="31" s="1"/>
  <c r="BE204" i="31"/>
  <c r="BE203" i="31"/>
  <c r="BF187" i="31"/>
  <c r="AS180" i="31"/>
  <c r="AS181" i="31" s="1"/>
  <c r="AT166" i="31"/>
  <c r="AS173" i="31"/>
  <c r="AS177" i="31"/>
  <c r="AS170" i="31"/>
  <c r="AS174" i="31"/>
  <c r="AS171" i="31"/>
  <c r="AS176" i="31"/>
  <c r="I208" i="31"/>
  <c r="I119" i="31"/>
  <c r="I224" i="31" s="1"/>
  <c r="I120" i="31"/>
  <c r="J103" i="31"/>
  <c r="I110" i="31"/>
  <c r="I215" i="31" s="1"/>
  <c r="I104" i="31"/>
  <c r="D3" i="28"/>
  <c r="D15" i="28"/>
  <c r="L27" i="28"/>
  <c r="L28" i="28" s="1"/>
  <c r="L29" i="28" s="1"/>
  <c r="L30" i="28" s="1"/>
  <c r="L31" i="28" s="1"/>
  <c r="D28" i="28"/>
  <c r="D29" i="28" s="1"/>
  <c r="D30" i="28" s="1"/>
  <c r="H27" i="17" l="1"/>
  <c r="N27" i="17"/>
  <c r="I27" i="17"/>
  <c r="J27" i="17"/>
  <c r="O27" i="17"/>
  <c r="K27" i="17"/>
  <c r="F27" i="17"/>
  <c r="L27" i="17"/>
  <c r="M27" i="17"/>
  <c r="G27" i="17"/>
  <c r="P27" i="17"/>
  <c r="E27" i="17"/>
  <c r="G121" i="31"/>
  <c r="H121" i="31"/>
  <c r="G301" i="31"/>
  <c r="AI89" i="4"/>
  <c r="S86" i="4"/>
  <c r="H164" i="4" s="1"/>
  <c r="AI88" i="4"/>
  <c r="AS168" i="31"/>
  <c r="AS169" i="31" s="1"/>
  <c r="H19" i="17"/>
  <c r="AR169" i="31"/>
  <c r="BE190" i="31"/>
  <c r="E11" i="31"/>
  <c r="I225" i="31"/>
  <c r="I121" i="31"/>
  <c r="AR229" i="31"/>
  <c r="AF229" i="31"/>
  <c r="AS185" i="31"/>
  <c r="BE229" i="31" s="1"/>
  <c r="AG157" i="31"/>
  <c r="AE150" i="31"/>
  <c r="AE151" i="31" s="1"/>
  <c r="AE164" i="31"/>
  <c r="I209" i="31"/>
  <c r="I122" i="31"/>
  <c r="I229" i="31" s="1"/>
  <c r="BE206" i="31"/>
  <c r="BQ229" i="31" s="1"/>
  <c r="AT182" i="31"/>
  <c r="AT183" i="31"/>
  <c r="AH162" i="31"/>
  <c r="H299" i="31"/>
  <c r="AT167" i="31"/>
  <c r="AT179" i="31"/>
  <c r="BF189" i="31"/>
  <c r="AH147" i="31"/>
  <c r="AH148" i="31" s="1"/>
  <c r="E3" i="28"/>
  <c r="F3" i="28" s="1"/>
  <c r="G3" i="28" s="1"/>
  <c r="H3" i="28" s="1"/>
  <c r="BE199" i="31"/>
  <c r="T133" i="31"/>
  <c r="U132" i="31"/>
  <c r="BE193" i="31"/>
  <c r="AS178" i="31"/>
  <c r="H106" i="31"/>
  <c r="H211" i="31" s="1"/>
  <c r="H210" i="31"/>
  <c r="T127" i="31"/>
  <c r="U126" i="31"/>
  <c r="BE202" i="31"/>
  <c r="AS175" i="31"/>
  <c r="BF188" i="31"/>
  <c r="BF191" i="31"/>
  <c r="BF194" i="31"/>
  <c r="BF197" i="31"/>
  <c r="BF200" i="31"/>
  <c r="BF201" i="31"/>
  <c r="BF192" i="31"/>
  <c r="BF198" i="31"/>
  <c r="BF195" i="31"/>
  <c r="AS172" i="31"/>
  <c r="AG164" i="31"/>
  <c r="BE196" i="31"/>
  <c r="I114" i="31"/>
  <c r="I115" i="31" s="1"/>
  <c r="I218" i="31"/>
  <c r="I117" i="31"/>
  <c r="I221" i="31"/>
  <c r="H118" i="31"/>
  <c r="H223" i="31" s="1"/>
  <c r="H222" i="31"/>
  <c r="H220" i="31"/>
  <c r="H219" i="31"/>
  <c r="W138" i="31"/>
  <c r="V139" i="31"/>
  <c r="W141" i="31"/>
  <c r="AI159" i="31"/>
  <c r="AH160" i="31"/>
  <c r="AE154" i="31"/>
  <c r="AF153" i="31"/>
  <c r="AH157" i="31"/>
  <c r="AI156" i="31"/>
  <c r="U136" i="31"/>
  <c r="W129" i="31"/>
  <c r="V130" i="31"/>
  <c r="J107" i="31"/>
  <c r="J212" i="31" s="1"/>
  <c r="J116" i="31"/>
  <c r="J113" i="31"/>
  <c r="I111" i="31"/>
  <c r="I216" i="31" s="1"/>
  <c r="H112" i="31"/>
  <c r="H217" i="31" s="1"/>
  <c r="I105" i="31"/>
  <c r="I108" i="31"/>
  <c r="I213" i="31" s="1"/>
  <c r="H109" i="31"/>
  <c r="H214" i="31" s="1"/>
  <c r="J208" i="31"/>
  <c r="J120" i="31"/>
  <c r="K103" i="31"/>
  <c r="J119" i="31"/>
  <c r="J224" i="31" s="1"/>
  <c r="J110" i="31"/>
  <c r="J215" i="31" s="1"/>
  <c r="J104" i="31"/>
  <c r="BF204" i="31"/>
  <c r="BF203" i="31"/>
  <c r="BG187" i="31"/>
  <c r="AT180" i="31"/>
  <c r="AT181" i="31" s="1"/>
  <c r="AU166" i="31"/>
  <c r="AT177" i="31"/>
  <c r="AT176" i="31"/>
  <c r="AT174" i="31"/>
  <c r="AT173" i="31"/>
  <c r="AT171" i="31"/>
  <c r="AT170" i="31"/>
  <c r="CX2" i="13"/>
  <c r="CX23" i="13"/>
  <c r="CX15" i="13"/>
  <c r="CX19" i="13"/>
  <c r="B16" i="13" s="1"/>
  <c r="CX25" i="13"/>
  <c r="K12" i="13" s="1"/>
  <c r="CX22" i="13"/>
  <c r="G18" i="13" s="1"/>
  <c r="CX14" i="13"/>
  <c r="B5" i="13" s="1"/>
  <c r="CX18" i="13"/>
  <c r="B13" i="13" s="1"/>
  <c r="CX20" i="13"/>
  <c r="G16" i="13" s="1"/>
  <c r="CX8" i="13"/>
  <c r="CX24" i="13"/>
  <c r="K11" i="13" s="1"/>
  <c r="CX12" i="13"/>
  <c r="CX21" i="13"/>
  <c r="B18" i="13" s="1"/>
  <c r="CX17" i="13"/>
  <c r="B11" i="13" s="1"/>
  <c r="CX6" i="13"/>
  <c r="D2" i="13" s="1"/>
  <c r="CX7" i="13"/>
  <c r="D3" i="13" s="1"/>
  <c r="CX9" i="13"/>
  <c r="J7" i="13" s="1"/>
  <c r="CX38" i="13"/>
  <c r="D22" i="13" s="1"/>
  <c r="CX37" i="13"/>
  <c r="D21" i="13" s="1"/>
  <c r="CV36" i="13"/>
  <c r="CV29" i="13"/>
  <c r="CV35" i="13"/>
  <c r="CV34" i="13"/>
  <c r="CX16" i="13"/>
  <c r="CV30" i="13"/>
  <c r="CV33" i="13"/>
  <c r="CV31" i="13"/>
  <c r="CX11" i="13"/>
  <c r="J9" i="13" s="1"/>
  <c r="CX10" i="13"/>
  <c r="CX13" i="13"/>
  <c r="J12" i="13" s="1"/>
  <c r="CX5" i="13"/>
  <c r="CX3" i="13"/>
  <c r="CX4" i="13"/>
  <c r="D16" i="28"/>
  <c r="D31" i="28"/>
  <c r="J10" i="31" l="1"/>
  <c r="T142" i="31" s="1"/>
  <c r="CV38" i="13"/>
  <c r="H8" i="13" s="1"/>
  <c r="CW6" i="13"/>
  <c r="J2" i="13" s="1"/>
  <c r="J14" i="13"/>
  <c r="G9" i="13"/>
  <c r="J10" i="13"/>
  <c r="AF150" i="31"/>
  <c r="AF151" i="31" s="1"/>
  <c r="BF190" i="31"/>
  <c r="D305" i="31"/>
  <c r="C15" i="28"/>
  <c r="R303" i="31" s="1"/>
  <c r="S303" i="31" s="1"/>
  <c r="T303" i="31" s="1"/>
  <c r="U303" i="31" s="1"/>
  <c r="V303" i="31" s="1"/>
  <c r="J225" i="31"/>
  <c r="J121" i="31"/>
  <c r="AS229" i="31"/>
  <c r="AG229" i="31"/>
  <c r="AQ229" i="31"/>
  <c r="AE229" i="31"/>
  <c r="K8" i="13"/>
  <c r="AT168" i="31"/>
  <c r="AT185" i="31"/>
  <c r="BF229" i="31" s="1"/>
  <c r="J209" i="31"/>
  <c r="J122" i="31"/>
  <c r="J229" i="31" s="1"/>
  <c r="BF206" i="31"/>
  <c r="BR229" i="31" s="1"/>
  <c r="AU182" i="31"/>
  <c r="AU183" i="31"/>
  <c r="I299" i="31"/>
  <c r="AI147" i="31"/>
  <c r="AI148" i="31" s="1"/>
  <c r="AI162" i="31"/>
  <c r="AU167" i="31"/>
  <c r="AU179" i="31"/>
  <c r="U22" i="28"/>
  <c r="K9" i="13"/>
  <c r="AH164" i="31"/>
  <c r="H301" i="31"/>
  <c r="I19" i="17"/>
  <c r="CU36" i="13"/>
  <c r="CU32" i="13"/>
  <c r="CU35" i="13"/>
  <c r="CU34" i="13"/>
  <c r="CU33" i="13"/>
  <c r="CU28" i="13"/>
  <c r="CU31" i="13"/>
  <c r="CU30" i="13"/>
  <c r="CU29" i="13"/>
  <c r="U34" i="28"/>
  <c r="U30" i="28"/>
  <c r="I15" i="28" s="1"/>
  <c r="U32" i="28"/>
  <c r="U31" i="28"/>
  <c r="CW30" i="13"/>
  <c r="CW32" i="13"/>
  <c r="CW29" i="13"/>
  <c r="CW28" i="13"/>
  <c r="CW31" i="13"/>
  <c r="CX35" i="13"/>
  <c r="CX36" i="13"/>
  <c r="CX34" i="13"/>
  <c r="CX33" i="13"/>
  <c r="CX32" i="13"/>
  <c r="CX28" i="13"/>
  <c r="CX30" i="13"/>
  <c r="CX31" i="13"/>
  <c r="CX29" i="13"/>
  <c r="L16" i="28"/>
  <c r="BF199" i="31"/>
  <c r="AT172" i="31"/>
  <c r="AT178" i="31"/>
  <c r="BG191" i="31"/>
  <c r="BG194" i="31"/>
  <c r="BG197" i="31"/>
  <c r="BG200" i="31"/>
  <c r="BG188" i="31"/>
  <c r="BG201" i="31"/>
  <c r="BG192" i="31"/>
  <c r="BG198" i="31"/>
  <c r="BG195" i="31"/>
  <c r="I106" i="31"/>
  <c r="I211" i="31" s="1"/>
  <c r="I210" i="31"/>
  <c r="BF193" i="31"/>
  <c r="V132" i="31"/>
  <c r="U133" i="31"/>
  <c r="AT175" i="31"/>
  <c r="BF196" i="31"/>
  <c r="V126" i="31"/>
  <c r="U127" i="31"/>
  <c r="BG189" i="31"/>
  <c r="BF202" i="31"/>
  <c r="J114" i="31"/>
  <c r="J115" i="31" s="1"/>
  <c r="J218" i="31"/>
  <c r="J117" i="31"/>
  <c r="J221" i="31"/>
  <c r="I118" i="31"/>
  <c r="I223" i="31" s="1"/>
  <c r="I222" i="31"/>
  <c r="I220" i="31"/>
  <c r="I219" i="31"/>
  <c r="X141" i="31"/>
  <c r="X138" i="31"/>
  <c r="Y138" i="31" s="1"/>
  <c r="W139" i="31"/>
  <c r="AI160" i="31"/>
  <c r="AJ159" i="31"/>
  <c r="AI157" i="31"/>
  <c r="AJ156" i="31"/>
  <c r="AG153" i="31"/>
  <c r="AF154" i="31"/>
  <c r="V136" i="31"/>
  <c r="W130" i="31"/>
  <c r="X129" i="31"/>
  <c r="K107" i="31"/>
  <c r="K212" i="31" s="1"/>
  <c r="K116" i="31"/>
  <c r="K113" i="31"/>
  <c r="J111" i="31"/>
  <c r="I112" i="31"/>
  <c r="I217" i="31" s="1"/>
  <c r="J105" i="31"/>
  <c r="J210" i="31" s="1"/>
  <c r="J108" i="31"/>
  <c r="J213" i="31" s="1"/>
  <c r="I109" i="31"/>
  <c r="I214" i="31" s="1"/>
  <c r="K208" i="31"/>
  <c r="L103" i="31"/>
  <c r="K110" i="31"/>
  <c r="K215" i="31" s="1"/>
  <c r="K104" i="31"/>
  <c r="K119" i="31"/>
  <c r="K224" i="31" s="1"/>
  <c r="K120" i="31"/>
  <c r="BG204" i="31"/>
  <c r="BH187" i="31"/>
  <c r="BG203" i="31"/>
  <c r="AU180" i="31"/>
  <c r="AU181" i="31" s="1"/>
  <c r="AV166" i="31"/>
  <c r="AU177" i="31"/>
  <c r="AU176" i="31"/>
  <c r="AU174" i="31"/>
  <c r="AU173" i="31"/>
  <c r="AU171" i="31"/>
  <c r="AU170" i="31"/>
  <c r="J8" i="13"/>
  <c r="B7" i="13"/>
  <c r="B9" i="13"/>
  <c r="J11" i="13"/>
  <c r="E9" i="13"/>
  <c r="G7" i="13"/>
  <c r="BA123" i="33" l="1"/>
  <c r="BC123" i="33"/>
  <c r="BD123" i="33"/>
  <c r="BI123" i="33"/>
  <c r="BE123" i="33"/>
  <c r="BF123" i="33"/>
  <c r="BG123" i="33"/>
  <c r="BH123" i="33"/>
  <c r="BJ123" i="33"/>
  <c r="BK123" i="33"/>
  <c r="BL123" i="33"/>
  <c r="BB123" i="33"/>
  <c r="AO123" i="33"/>
  <c r="AP123" i="33"/>
  <c r="AQ123" i="33"/>
  <c r="AR123" i="33"/>
  <c r="AS123" i="33"/>
  <c r="AT123" i="33"/>
  <c r="AU123" i="33"/>
  <c r="AV123" i="33"/>
  <c r="AW123" i="33"/>
  <c r="AX123" i="33"/>
  <c r="AY123" i="33"/>
  <c r="AZ123" i="33"/>
  <c r="AC123" i="33"/>
  <c r="AD123" i="33"/>
  <c r="AF123" i="33"/>
  <c r="AI123" i="33"/>
  <c r="AG123" i="33"/>
  <c r="AH123" i="33"/>
  <c r="AJ123" i="33"/>
  <c r="AK123" i="33"/>
  <c r="AL123" i="33"/>
  <c r="AM123" i="33"/>
  <c r="AN123" i="33"/>
  <c r="AE123" i="33"/>
  <c r="AB123" i="33"/>
  <c r="AY103" i="33" s="1"/>
  <c r="AZ103" i="33" s="1"/>
  <c r="CY13" i="4"/>
  <c r="CZ13" i="4"/>
  <c r="CY2" i="4"/>
  <c r="CZ2" i="4"/>
  <c r="CY91" i="4"/>
  <c r="CZ91" i="4"/>
  <c r="CZ80" i="4"/>
  <c r="CY80" i="4"/>
  <c r="G15" i="28"/>
  <c r="I127" i="36" s="1"/>
  <c r="R142" i="31"/>
  <c r="W142" i="31"/>
  <c r="V142" i="31"/>
  <c r="S142" i="31"/>
  <c r="Q142" i="31"/>
  <c r="P140" i="31"/>
  <c r="P142" i="31"/>
  <c r="J11" i="31"/>
  <c r="F305" i="31" s="1"/>
  <c r="U142" i="31"/>
  <c r="E50" i="43"/>
  <c r="C2" i="43"/>
  <c r="U8" i="4"/>
  <c r="U87" i="4" s="1"/>
  <c r="U98" i="4" s="1"/>
  <c r="U19" i="4"/>
  <c r="CV42" i="13"/>
  <c r="CU42" i="13"/>
  <c r="CV43" i="13"/>
  <c r="CU43" i="13"/>
  <c r="CX5" i="33"/>
  <c r="CW5" i="33"/>
  <c r="O18" i="28"/>
  <c r="CU38" i="13"/>
  <c r="H6" i="13"/>
  <c r="J16" i="13"/>
  <c r="J20" i="13"/>
  <c r="J4" i="13"/>
  <c r="E15" i="28"/>
  <c r="AG150" i="31"/>
  <c r="AG151" i="31" s="1"/>
  <c r="AT169" i="31"/>
  <c r="CV36" i="17"/>
  <c r="O17" i="28"/>
  <c r="CW4" i="17"/>
  <c r="CW36" i="17"/>
  <c r="CV4" i="17"/>
  <c r="CY71" i="36"/>
  <c r="CX71" i="36"/>
  <c r="CX82" i="36"/>
  <c r="CY82" i="36"/>
  <c r="S224" i="36"/>
  <c r="X224" i="36"/>
  <c r="Y224" i="36"/>
  <c r="Z224" i="36"/>
  <c r="AA224" i="36"/>
  <c r="AB224" i="36"/>
  <c r="AC224" i="36"/>
  <c r="AD224" i="36"/>
  <c r="T224" i="36"/>
  <c r="U224" i="36"/>
  <c r="V224" i="36"/>
  <c r="W224" i="36"/>
  <c r="G224" i="36"/>
  <c r="H224" i="36"/>
  <c r="K224" i="36"/>
  <c r="I224" i="36"/>
  <c r="J224" i="36"/>
  <c r="L224" i="36"/>
  <c r="M224" i="36"/>
  <c r="N224" i="36"/>
  <c r="O224" i="36"/>
  <c r="P224" i="36"/>
  <c r="Q224" i="36"/>
  <c r="R224" i="36"/>
  <c r="Q110" i="32"/>
  <c r="S110" i="32"/>
  <c r="AA110" i="32"/>
  <c r="R110" i="32"/>
  <c r="T110" i="32"/>
  <c r="X110" i="32"/>
  <c r="AB110" i="32"/>
  <c r="U110" i="32"/>
  <c r="V110" i="32"/>
  <c r="W110" i="32"/>
  <c r="Y110" i="32"/>
  <c r="Z110" i="32"/>
  <c r="E110" i="32"/>
  <c r="F110" i="32"/>
  <c r="G110" i="32"/>
  <c r="H110" i="32"/>
  <c r="I110" i="32"/>
  <c r="J110" i="32"/>
  <c r="K110" i="32"/>
  <c r="L110" i="32"/>
  <c r="M110" i="32"/>
  <c r="N110" i="32"/>
  <c r="O110" i="32"/>
  <c r="P110" i="32"/>
  <c r="E120" i="32"/>
  <c r="D4" i="39"/>
  <c r="E4" i="39" s="1"/>
  <c r="F4" i="39" s="1"/>
  <c r="G4" i="39" s="1"/>
  <c r="H4" i="39" s="1"/>
  <c r="CW107" i="17"/>
  <c r="CX57" i="33"/>
  <c r="CW57" i="33"/>
  <c r="X164" i="4"/>
  <c r="Y164" i="4" s="1"/>
  <c r="Z164" i="4" s="1"/>
  <c r="CV108" i="17"/>
  <c r="CV107" i="17"/>
  <c r="D194" i="17"/>
  <c r="D198" i="17" s="1"/>
  <c r="CW108" i="17"/>
  <c r="D37" i="32"/>
  <c r="X296" i="31"/>
  <c r="D303" i="31"/>
  <c r="CU3" i="36"/>
  <c r="Y123" i="33"/>
  <c r="AS103" i="33" s="1"/>
  <c r="AT103" i="33" s="1"/>
  <c r="E296" i="31"/>
  <c r="B27" i="28"/>
  <c r="Z123" i="33"/>
  <c r="AU103" i="33" s="1"/>
  <c r="AV103" i="33" s="1"/>
  <c r="N296" i="31"/>
  <c r="X123" i="33"/>
  <c r="AQ103" i="33" s="1"/>
  <c r="AR103" i="33" s="1"/>
  <c r="F123" i="33"/>
  <c r="R296" i="31"/>
  <c r="V296" i="31"/>
  <c r="CX120" i="36"/>
  <c r="W123" i="33"/>
  <c r="AO103" i="33" s="1"/>
  <c r="AP103" i="33" s="1"/>
  <c r="Z296" i="31"/>
  <c r="P26" i="28"/>
  <c r="Q26" i="28" s="1"/>
  <c r="R26" i="28" s="1"/>
  <c r="S26" i="28" s="1"/>
  <c r="H296" i="31"/>
  <c r="CY120" i="36"/>
  <c r="T123" i="33"/>
  <c r="AI103" i="33" s="1"/>
  <c r="AJ103" i="33" s="1"/>
  <c r="CZ37" i="32"/>
  <c r="CV16" i="31"/>
  <c r="P296" i="31"/>
  <c r="CZ44" i="32"/>
  <c r="L123" i="33"/>
  <c r="S103" i="33" s="1"/>
  <c r="T103" i="33" s="1"/>
  <c r="G123" i="33"/>
  <c r="H123" i="33"/>
  <c r="K103" i="33" s="1"/>
  <c r="L103" i="33" s="1"/>
  <c r="E203" i="17"/>
  <c r="Y4" i="31"/>
  <c r="T296" i="31"/>
  <c r="DA44" i="32"/>
  <c r="H167" i="36"/>
  <c r="I167" i="36" s="1"/>
  <c r="J167" i="36" s="1"/>
  <c r="K167" i="36" s="1"/>
  <c r="L167" i="36" s="1"/>
  <c r="D296" i="31"/>
  <c r="S296" i="31"/>
  <c r="D47" i="32"/>
  <c r="G97" i="36"/>
  <c r="I97" i="36" s="1"/>
  <c r="O123" i="33"/>
  <c r="Y103" i="33" s="1"/>
  <c r="Z103" i="33" s="1"/>
  <c r="DA2" i="32"/>
  <c r="CW16" i="31"/>
  <c r="W296" i="31"/>
  <c r="B103" i="31"/>
  <c r="C124" i="31" s="1"/>
  <c r="Q6" i="17"/>
  <c r="H157" i="36"/>
  <c r="I157" i="36" s="1"/>
  <c r="J157" i="36" s="1"/>
  <c r="M157" i="36" s="1"/>
  <c r="M123" i="33"/>
  <c r="U103" i="33" s="1"/>
  <c r="V103" i="33" s="1"/>
  <c r="S123" i="33"/>
  <c r="AG103" i="33" s="1"/>
  <c r="AH103" i="33" s="1"/>
  <c r="E71" i="17"/>
  <c r="CZ2" i="32"/>
  <c r="O16" i="28"/>
  <c r="L296" i="31"/>
  <c r="AA296" i="31"/>
  <c r="CU23" i="36"/>
  <c r="R123" i="33"/>
  <c r="AE103" i="33" s="1"/>
  <c r="AF103" i="33" s="1"/>
  <c r="AI8" i="4"/>
  <c r="AI87" i="4" s="1"/>
  <c r="AI98" i="4" s="1"/>
  <c r="DA12" i="32"/>
  <c r="X176" i="4"/>
  <c r="U123" i="33"/>
  <c r="AK103" i="33" s="1"/>
  <c r="AL103" i="33" s="1"/>
  <c r="J51" i="28"/>
  <c r="J52" i="28" s="1"/>
  <c r="J53" i="28" s="1"/>
  <c r="J54" i="28" s="1"/>
  <c r="J55" i="28" s="1"/>
  <c r="E6" i="33"/>
  <c r="G159" i="4"/>
  <c r="H159" i="4" s="1"/>
  <c r="O296" i="31"/>
  <c r="J296" i="31"/>
  <c r="O4" i="31"/>
  <c r="B40" i="28"/>
  <c r="Q123" i="33"/>
  <c r="AC103" i="33" s="1"/>
  <c r="AD103" i="33" s="1"/>
  <c r="E39" i="28"/>
  <c r="F39" i="28" s="1"/>
  <c r="G39" i="28" s="1"/>
  <c r="H39" i="28" s="1"/>
  <c r="K296" i="31"/>
  <c r="F296" i="31"/>
  <c r="T4" i="31"/>
  <c r="O15" i="28"/>
  <c r="CZ12" i="32"/>
  <c r="N123" i="33"/>
  <c r="W103" i="33" s="1"/>
  <c r="X103" i="33" s="1"/>
  <c r="J123" i="33"/>
  <c r="O103" i="33" s="1"/>
  <c r="P103" i="33" s="1"/>
  <c r="G296" i="31"/>
  <c r="Y296" i="31"/>
  <c r="E4" i="31"/>
  <c r="I123" i="33"/>
  <c r="M103" i="33" s="1"/>
  <c r="N103" i="33" s="1"/>
  <c r="CZ29" i="32"/>
  <c r="U296" i="31"/>
  <c r="Q296" i="31"/>
  <c r="J4" i="31"/>
  <c r="AA123" i="33"/>
  <c r="AW103" i="33" s="1"/>
  <c r="AX103" i="33" s="1"/>
  <c r="K123" i="33"/>
  <c r="Q103" i="33" s="1"/>
  <c r="R103" i="33" s="1"/>
  <c r="CY102" i="36"/>
  <c r="CX102" i="36"/>
  <c r="M296" i="31"/>
  <c r="I296" i="31"/>
  <c r="DA37" i="32"/>
  <c r="D39" i="28"/>
  <c r="P123" i="33"/>
  <c r="AA103" i="33" s="1"/>
  <c r="AB103" i="33" s="1"/>
  <c r="E123" i="33"/>
  <c r="E103" i="33" s="1"/>
  <c r="F103" i="33" s="1"/>
  <c r="V123" i="33"/>
  <c r="AM103" i="33" s="1"/>
  <c r="AN103" i="33" s="1"/>
  <c r="AT229" i="31"/>
  <c r="AH229" i="31"/>
  <c r="K225" i="31"/>
  <c r="K121" i="31"/>
  <c r="AU168" i="31"/>
  <c r="AU185" i="31"/>
  <c r="BG229" i="31" s="1"/>
  <c r="AI164" i="31"/>
  <c r="AJ147" i="31"/>
  <c r="AJ148" i="31" s="1"/>
  <c r="K209" i="31"/>
  <c r="K122" i="31"/>
  <c r="K229" i="31" s="1"/>
  <c r="BG206" i="31"/>
  <c r="BS229" i="31" s="1"/>
  <c r="J299" i="31"/>
  <c r="AJ162" i="31"/>
  <c r="AV182" i="31"/>
  <c r="AV183" i="31"/>
  <c r="AV167" i="31"/>
  <c r="AV179" i="31"/>
  <c r="I301" i="31"/>
  <c r="J19" i="17"/>
  <c r="V34" i="28"/>
  <c r="V31" i="28"/>
  <c r="V32" i="28"/>
  <c r="BH189" i="31"/>
  <c r="BH190" i="31" s="1"/>
  <c r="AU178" i="31"/>
  <c r="BG193" i="31"/>
  <c r="BH197" i="31"/>
  <c r="BH191" i="31"/>
  <c r="BH200" i="31"/>
  <c r="BH194" i="31"/>
  <c r="BH188" i="31"/>
  <c r="BH201" i="31"/>
  <c r="BH192" i="31"/>
  <c r="BH198" i="31"/>
  <c r="BH195" i="31"/>
  <c r="W126" i="31"/>
  <c r="V127" i="31"/>
  <c r="AH150" i="31"/>
  <c r="AH151" i="31" s="1"/>
  <c r="BG202" i="31"/>
  <c r="AU172" i="31"/>
  <c r="AU175" i="31"/>
  <c r="AJ164" i="31"/>
  <c r="V133" i="31"/>
  <c r="W132" i="31"/>
  <c r="BG196" i="31"/>
  <c r="BG190" i="31"/>
  <c r="BG199" i="31"/>
  <c r="K114" i="31"/>
  <c r="K115" i="31" s="1"/>
  <c r="K218" i="31"/>
  <c r="K117" i="31"/>
  <c r="K221" i="31"/>
  <c r="J118" i="31"/>
  <c r="J223" i="31" s="1"/>
  <c r="J222" i="31"/>
  <c r="J112" i="31"/>
  <c r="J217" i="31" s="1"/>
  <c r="J216" i="31"/>
  <c r="J220" i="31"/>
  <c r="J219" i="31"/>
  <c r="X139" i="31"/>
  <c r="Y141" i="31"/>
  <c r="X142" i="31"/>
  <c r="AK159" i="31"/>
  <c r="AJ160" i="31"/>
  <c r="AJ157" i="31"/>
  <c r="AK156" i="31"/>
  <c r="AH153" i="31"/>
  <c r="AG154" i="31"/>
  <c r="W136" i="31"/>
  <c r="X130" i="31"/>
  <c r="Y129" i="31"/>
  <c r="L116" i="31"/>
  <c r="L113" i="31"/>
  <c r="L107" i="31"/>
  <c r="L212" i="31" s="1"/>
  <c r="K111" i="31"/>
  <c r="K105" i="31"/>
  <c r="K210" i="31" s="1"/>
  <c r="K108" i="31"/>
  <c r="K213" i="31" s="1"/>
  <c r="J109" i="31"/>
  <c r="J214" i="31" s="1"/>
  <c r="BH204" i="31"/>
  <c r="BH203" i="31"/>
  <c r="BI187" i="31"/>
  <c r="L208" i="31"/>
  <c r="L120" i="31"/>
  <c r="L119" i="31"/>
  <c r="L224" i="31" s="1"/>
  <c r="L110" i="31"/>
  <c r="L215" i="31" s="1"/>
  <c r="L104" i="31"/>
  <c r="M103" i="31"/>
  <c r="AV180" i="31"/>
  <c r="AV181" i="31" s="1"/>
  <c r="AV177" i="31"/>
  <c r="AV176" i="31"/>
  <c r="AV174" i="31"/>
  <c r="AV173" i="31"/>
  <c r="AV171" i="31"/>
  <c r="AV170" i="31"/>
  <c r="AW166" i="31"/>
  <c r="T68" i="36" l="1"/>
  <c r="F30" i="43"/>
  <c r="K30" i="43"/>
  <c r="H30" i="43"/>
  <c r="I30" i="43"/>
  <c r="Q127" i="36"/>
  <c r="P128" i="36"/>
  <c r="CS22" i="36" s="1"/>
  <c r="H68" i="36"/>
  <c r="M127" i="36"/>
  <c r="T128" i="36"/>
  <c r="CS23" i="36" s="1"/>
  <c r="L15" i="28"/>
  <c r="CV90" i="17" s="1"/>
  <c r="CW157" i="4"/>
  <c r="CV157" i="4"/>
  <c r="CV168" i="4"/>
  <c r="CW168" i="4"/>
  <c r="L55" i="28"/>
  <c r="O55" i="28" s="1"/>
  <c r="Q95" i="36" s="1"/>
  <c r="L54" i="28"/>
  <c r="O54" i="28" s="1"/>
  <c r="M95" i="36" s="1"/>
  <c r="L53" i="28"/>
  <c r="O53" i="28" s="1"/>
  <c r="I95" i="36" s="1"/>
  <c r="Q27" i="17"/>
  <c r="L128" i="36"/>
  <c r="CS21" i="36" s="1"/>
  <c r="CY45" i="43"/>
  <c r="CZ42" i="43"/>
  <c r="CY42" i="43"/>
  <c r="CX42" i="43" s="1"/>
  <c r="D42" i="43" s="1"/>
  <c r="D88" i="43" s="1"/>
  <c r="CZ45" i="43"/>
  <c r="H72" i="43"/>
  <c r="H76" i="43" s="1"/>
  <c r="F72" i="43"/>
  <c r="F76" i="43" s="1"/>
  <c r="I72" i="43"/>
  <c r="I76" i="43" s="1"/>
  <c r="G72" i="43"/>
  <c r="G76" i="43" s="1"/>
  <c r="Q4" i="43"/>
  <c r="CV70" i="17"/>
  <c r="C94" i="43"/>
  <c r="C48" i="43"/>
  <c r="F50" i="43"/>
  <c r="E92" i="43"/>
  <c r="E96" i="43"/>
  <c r="F96" i="43" s="1"/>
  <c r="G96" i="43" s="1"/>
  <c r="H96" i="43" s="1"/>
  <c r="I96" i="43" s="1"/>
  <c r="CV5" i="33"/>
  <c r="C4" i="33" s="1"/>
  <c r="X177" i="4"/>
  <c r="I172" i="4" s="1"/>
  <c r="I178" i="4" s="1"/>
  <c r="X178" i="4"/>
  <c r="X166" i="4"/>
  <c r="X165" i="4"/>
  <c r="I164" i="4" s="1"/>
  <c r="CV44" i="13"/>
  <c r="CZ47" i="32"/>
  <c r="CW8" i="33"/>
  <c r="O20" i="33"/>
  <c r="BA246" i="33" s="1"/>
  <c r="BH263" i="33" s="1"/>
  <c r="CS19" i="33"/>
  <c r="CS20" i="33" s="1"/>
  <c r="CS21" i="33" s="1"/>
  <c r="CW102" i="36"/>
  <c r="CX2" i="4"/>
  <c r="U1" i="4" s="1"/>
  <c r="CY2" i="32"/>
  <c r="C2" i="32" s="1"/>
  <c r="CW71" i="36"/>
  <c r="E136" i="36" s="1"/>
  <c r="CU36" i="17"/>
  <c r="CY44" i="32"/>
  <c r="CU16" i="31"/>
  <c r="CY37" i="32"/>
  <c r="CW82" i="36"/>
  <c r="E145" i="36" s="1"/>
  <c r="CU108" i="17"/>
  <c r="CU4" i="17"/>
  <c r="C4" i="17" s="1"/>
  <c r="CX13" i="4"/>
  <c r="U11" i="4" s="1"/>
  <c r="CU107" i="17"/>
  <c r="CW120" i="36"/>
  <c r="CV57" i="33"/>
  <c r="J3" i="13"/>
  <c r="D6" i="13"/>
  <c r="I4" i="29" s="1"/>
  <c r="CV27" i="17"/>
  <c r="CV60" i="17" s="1"/>
  <c r="CW26" i="17"/>
  <c r="CW27" i="17"/>
  <c r="CV26" i="17"/>
  <c r="CV59" i="17" s="1"/>
  <c r="Q34" i="28"/>
  <c r="AK147" i="31"/>
  <c r="AK148" i="31" s="1"/>
  <c r="AV168" i="31"/>
  <c r="AV169" i="31" s="1"/>
  <c r="AU169" i="31"/>
  <c r="I103" i="33"/>
  <c r="J103" i="33" s="1"/>
  <c r="G103" i="33"/>
  <c r="H103" i="33" s="1"/>
  <c r="CW70" i="17"/>
  <c r="CX92" i="36"/>
  <c r="CY92" i="36"/>
  <c r="CX184" i="36"/>
  <c r="CY184" i="36"/>
  <c r="CU185" i="36"/>
  <c r="CU186" i="36" s="1"/>
  <c r="CU187" i="36" s="1"/>
  <c r="CP157" i="4"/>
  <c r="CO169" i="4"/>
  <c r="CP169" i="4"/>
  <c r="CO157" i="4"/>
  <c r="CW59" i="33"/>
  <c r="DA47" i="32"/>
  <c r="CW161" i="4"/>
  <c r="CV161" i="4"/>
  <c r="CX60" i="33"/>
  <c r="CW60" i="33"/>
  <c r="CV109" i="17"/>
  <c r="CW109" i="17"/>
  <c r="CZ40" i="32"/>
  <c r="DA40" i="32"/>
  <c r="K157" i="36"/>
  <c r="L157" i="36" s="1"/>
  <c r="O157" i="36" s="1"/>
  <c r="T4" i="36"/>
  <c r="T138" i="36" s="1"/>
  <c r="DA29" i="32"/>
  <c r="CY29" i="32" s="1"/>
  <c r="CX91" i="4"/>
  <c r="U90" i="4" s="1"/>
  <c r="CX80" i="4"/>
  <c r="U79" i="4" s="1"/>
  <c r="H97" i="36"/>
  <c r="W182" i="4"/>
  <c r="J20" i="33"/>
  <c r="AO217" i="33" s="1"/>
  <c r="AY234" i="33" s="1"/>
  <c r="CX67" i="33"/>
  <c r="CW67" i="33"/>
  <c r="CX59" i="33"/>
  <c r="E121" i="33"/>
  <c r="N126" i="33" s="1"/>
  <c r="X106" i="33" s="1"/>
  <c r="S3" i="4"/>
  <c r="CV159" i="4"/>
  <c r="CW159" i="4"/>
  <c r="AI19" i="4"/>
  <c r="C10" i="32"/>
  <c r="CY12" i="32"/>
  <c r="S81" i="4"/>
  <c r="CW160" i="4"/>
  <c r="P12" i="32"/>
  <c r="E130" i="33"/>
  <c r="Q38" i="17"/>
  <c r="Y176" i="4"/>
  <c r="Y178" i="4" s="1"/>
  <c r="CV160" i="4"/>
  <c r="P4" i="32"/>
  <c r="D1" i="33"/>
  <c r="O6" i="33"/>
  <c r="E20" i="33"/>
  <c r="D207" i="31"/>
  <c r="E78" i="33"/>
  <c r="F78" i="33" s="1"/>
  <c r="G78" i="33" s="1"/>
  <c r="H78" i="33" s="1"/>
  <c r="I78" i="33" s="1"/>
  <c r="T38" i="36"/>
  <c r="T147" i="36" s="1"/>
  <c r="CU184" i="4"/>
  <c r="L225" i="31"/>
  <c r="L121" i="31"/>
  <c r="AU229" i="31"/>
  <c r="AI229" i="31"/>
  <c r="AJ229" i="31"/>
  <c r="AV229" i="31"/>
  <c r="BH206" i="31"/>
  <c r="BT229" i="31" s="1"/>
  <c r="K299" i="31"/>
  <c r="C145" i="31"/>
  <c r="C166" i="31" s="1"/>
  <c r="C187" i="31" s="1"/>
  <c r="P207" i="31"/>
  <c r="AB207" i="31" s="1"/>
  <c r="AN207" i="31" s="1"/>
  <c r="AZ207" i="31" s="1"/>
  <c r="BL207" i="31" s="1"/>
  <c r="DA43" i="32"/>
  <c r="CZ48" i="32" s="1"/>
  <c r="CY48" i="32" s="1"/>
  <c r="CZ43" i="32"/>
  <c r="AV185" i="31"/>
  <c r="BH229" i="31" s="1"/>
  <c r="L209" i="31"/>
  <c r="L122" i="31"/>
  <c r="L229" i="31" s="1"/>
  <c r="AW182" i="31"/>
  <c r="AW183" i="31"/>
  <c r="AK162" i="31"/>
  <c r="AW167" i="31"/>
  <c r="AW179" i="31"/>
  <c r="J301" i="31"/>
  <c r="K19" i="17"/>
  <c r="CW53" i="17"/>
  <c r="F20" i="17"/>
  <c r="G20" i="17"/>
  <c r="H20" i="17"/>
  <c r="I20" i="17"/>
  <c r="J20" i="17"/>
  <c r="CW10" i="17"/>
  <c r="CW76" i="17" s="1"/>
  <c r="CW103" i="17"/>
  <c r="M97" i="36"/>
  <c r="I120" i="36"/>
  <c r="BI189" i="31"/>
  <c r="BI190" i="31" s="1"/>
  <c r="X182" i="4"/>
  <c r="I159" i="4"/>
  <c r="BH196" i="31"/>
  <c r="BH202" i="31"/>
  <c r="AV175" i="31"/>
  <c r="BH199" i="31"/>
  <c r="BI188" i="31"/>
  <c r="BI200" i="31"/>
  <c r="BI191" i="31"/>
  <c r="BI197" i="31"/>
  <c r="BI194" i="31"/>
  <c r="BI201" i="31"/>
  <c r="BI192" i="31"/>
  <c r="BI198" i="31"/>
  <c r="BI195" i="31"/>
  <c r="AK164" i="31"/>
  <c r="W133" i="31"/>
  <c r="X132" i="31"/>
  <c r="W127" i="31"/>
  <c r="X126" i="31"/>
  <c r="AV172" i="31"/>
  <c r="AV178" i="31"/>
  <c r="BH193" i="31"/>
  <c r="AI150" i="31"/>
  <c r="L117" i="31"/>
  <c r="L221" i="31"/>
  <c r="K118" i="31"/>
  <c r="K223" i="31" s="1"/>
  <c r="K222" i="31"/>
  <c r="K112" i="31"/>
  <c r="K217" i="31" s="1"/>
  <c r="K216" i="31"/>
  <c r="L114" i="31"/>
  <c r="L115" i="31" s="1"/>
  <c r="L218" i="31"/>
  <c r="K220" i="31"/>
  <c r="K219" i="31"/>
  <c r="Z141" i="31"/>
  <c r="Y142" i="31"/>
  <c r="Z138" i="31"/>
  <c r="Y139" i="31"/>
  <c r="AL159" i="31"/>
  <c r="AK160" i="31"/>
  <c r="AL156" i="31"/>
  <c r="AK157" i="31"/>
  <c r="AI153" i="31"/>
  <c r="AH154" i="31"/>
  <c r="X136" i="31"/>
  <c r="Z129" i="31"/>
  <c r="Y130" i="31"/>
  <c r="M116" i="31"/>
  <c r="M113" i="31"/>
  <c r="M107" i="31"/>
  <c r="M212" i="31" s="1"/>
  <c r="L111" i="31"/>
  <c r="L105" i="31"/>
  <c r="K106" i="31"/>
  <c r="K211" i="31" s="1"/>
  <c r="L108" i="31"/>
  <c r="L213" i="31" s="1"/>
  <c r="K109" i="31"/>
  <c r="K214" i="31" s="1"/>
  <c r="M208" i="31"/>
  <c r="M119" i="31"/>
  <c r="M224" i="31" s="1"/>
  <c r="M120" i="31"/>
  <c r="N103" i="31"/>
  <c r="M110" i="31"/>
  <c r="M215" i="31" s="1"/>
  <c r="M104" i="31"/>
  <c r="AX166" i="31"/>
  <c r="AW177" i="31"/>
  <c r="AW170" i="31"/>
  <c r="AW174" i="31"/>
  <c r="AW180" i="31"/>
  <c r="AW181" i="31" s="1"/>
  <c r="AW176" i="31"/>
  <c r="AW171" i="31"/>
  <c r="AW173" i="31"/>
  <c r="BI204" i="31"/>
  <c r="BI203" i="31"/>
  <c r="BJ187" i="31"/>
  <c r="CW87" i="17" l="1"/>
  <c r="CX189" i="36"/>
  <c r="CW189" i="36" s="1"/>
  <c r="CW86" i="17"/>
  <c r="CV51" i="17"/>
  <c r="CV10" i="17"/>
  <c r="CV52" i="17"/>
  <c r="CU52" i="17" s="1"/>
  <c r="CV42" i="17"/>
  <c r="CU42" i="17" s="1"/>
  <c r="CW21" i="17"/>
  <c r="CV88" i="17"/>
  <c r="CU88" i="17" s="1"/>
  <c r="CV85" i="17"/>
  <c r="CU85" i="17" s="1"/>
  <c r="CW2" i="31"/>
  <c r="CW90" i="17"/>
  <c r="C53" i="4"/>
  <c r="C209" i="4" s="1"/>
  <c r="CW85" i="17"/>
  <c r="CV76" i="17"/>
  <c r="CU76" i="17" s="1"/>
  <c r="AL147" i="31"/>
  <c r="AL148" i="31" s="1"/>
  <c r="M137" i="33"/>
  <c r="Y137" i="33"/>
  <c r="AK137" i="33"/>
  <c r="AW137" i="33"/>
  <c r="BI137" i="33"/>
  <c r="K142" i="33"/>
  <c r="W142" i="33"/>
  <c r="AI142" i="33"/>
  <c r="AU142" i="33"/>
  <c r="BG142" i="33"/>
  <c r="I147" i="33"/>
  <c r="U147" i="33"/>
  <c r="AG147" i="33"/>
  <c r="AS147" i="33"/>
  <c r="BE147" i="33"/>
  <c r="AY142" i="33"/>
  <c r="BI147" i="33"/>
  <c r="BK147" i="33"/>
  <c r="T137" i="33"/>
  <c r="AS137" i="33"/>
  <c r="S142" i="33"/>
  <c r="T142" i="33"/>
  <c r="AI137" i="33"/>
  <c r="AS142" i="33"/>
  <c r="N137" i="33"/>
  <c r="Z137" i="33"/>
  <c r="AL137" i="33"/>
  <c r="AX137" i="33"/>
  <c r="BJ137" i="33"/>
  <c r="L142" i="33"/>
  <c r="X142" i="33"/>
  <c r="AJ142" i="33"/>
  <c r="AV142" i="33"/>
  <c r="BH142" i="33"/>
  <c r="J147" i="33"/>
  <c r="V147" i="33"/>
  <c r="AH147" i="33"/>
  <c r="AT147" i="33"/>
  <c r="BF147" i="33"/>
  <c r="BA137" i="33"/>
  <c r="O142" i="33"/>
  <c r="BK142" i="33"/>
  <c r="AQ137" i="33"/>
  <c r="Q142" i="33"/>
  <c r="O147" i="33"/>
  <c r="AM147" i="33"/>
  <c r="AB147" i="33"/>
  <c r="BE137" i="33"/>
  <c r="AJ137" i="33"/>
  <c r="O137" i="33"/>
  <c r="AA137" i="33"/>
  <c r="AM137" i="33"/>
  <c r="AY137" i="33"/>
  <c r="BK137" i="33"/>
  <c r="M142" i="33"/>
  <c r="Y142" i="33"/>
  <c r="AK142" i="33"/>
  <c r="AW142" i="33"/>
  <c r="BI142" i="33"/>
  <c r="K147" i="33"/>
  <c r="W147" i="33"/>
  <c r="AI147" i="33"/>
  <c r="AU147" i="33"/>
  <c r="BG147" i="33"/>
  <c r="AC137" i="33"/>
  <c r="AM142" i="33"/>
  <c r="AK147" i="33"/>
  <c r="H137" i="33"/>
  <c r="BD137" i="33"/>
  <c r="R142" i="33"/>
  <c r="BB142" i="33"/>
  <c r="AG137" i="33"/>
  <c r="BA147" i="33"/>
  <c r="BF137" i="33"/>
  <c r="H142" i="33"/>
  <c r="AR142" i="33"/>
  <c r="AP147" i="33"/>
  <c r="BG137" i="33"/>
  <c r="I142" i="33"/>
  <c r="BE142" i="33"/>
  <c r="S147" i="33"/>
  <c r="P137" i="33"/>
  <c r="AB137" i="33"/>
  <c r="AN137" i="33"/>
  <c r="AZ137" i="33"/>
  <c r="BL137" i="33"/>
  <c r="N142" i="33"/>
  <c r="Z142" i="33"/>
  <c r="AL142" i="33"/>
  <c r="AX142" i="33"/>
  <c r="BJ142" i="33"/>
  <c r="L147" i="33"/>
  <c r="X147" i="33"/>
  <c r="AJ147" i="33"/>
  <c r="AV147" i="33"/>
  <c r="BH147" i="33"/>
  <c r="Q137" i="33"/>
  <c r="AO137" i="33"/>
  <c r="AA142" i="33"/>
  <c r="M147" i="33"/>
  <c r="Y147" i="33"/>
  <c r="AW147" i="33"/>
  <c r="G137" i="33"/>
  <c r="S137" i="33"/>
  <c r="AE137" i="33"/>
  <c r="BC137" i="33"/>
  <c r="AC142" i="33"/>
  <c r="AO142" i="33"/>
  <c r="AA147" i="33"/>
  <c r="AY147" i="33"/>
  <c r="AR137" i="33"/>
  <c r="AD142" i="33"/>
  <c r="P147" i="33"/>
  <c r="AZ147" i="33"/>
  <c r="BL147" i="33"/>
  <c r="U137" i="33"/>
  <c r="AE142" i="33"/>
  <c r="BC142" i="33"/>
  <c r="Q147" i="33"/>
  <c r="AO147" i="33"/>
  <c r="J137" i="33"/>
  <c r="V137" i="33"/>
  <c r="AH137" i="33"/>
  <c r="AT137" i="33"/>
  <c r="AF142" i="33"/>
  <c r="BD142" i="33"/>
  <c r="R147" i="33"/>
  <c r="AD147" i="33"/>
  <c r="BB147" i="33"/>
  <c r="K137" i="33"/>
  <c r="AU137" i="33"/>
  <c r="U142" i="33"/>
  <c r="AG142" i="33"/>
  <c r="AE147" i="33"/>
  <c r="BC147" i="33"/>
  <c r="L137" i="33"/>
  <c r="X137" i="33"/>
  <c r="AV137" i="33"/>
  <c r="BH137" i="33"/>
  <c r="R137" i="33"/>
  <c r="AD137" i="33"/>
  <c r="AP137" i="33"/>
  <c r="BB137" i="33"/>
  <c r="P142" i="33"/>
  <c r="AB142" i="33"/>
  <c r="AN142" i="33"/>
  <c r="AZ142" i="33"/>
  <c r="BL142" i="33"/>
  <c r="N147" i="33"/>
  <c r="Z147" i="33"/>
  <c r="AL147" i="33"/>
  <c r="AX147" i="33"/>
  <c r="BJ147" i="33"/>
  <c r="BA142" i="33"/>
  <c r="AF137" i="33"/>
  <c r="AP142" i="33"/>
  <c r="AN147" i="33"/>
  <c r="I137" i="33"/>
  <c r="G142" i="33"/>
  <c r="AQ142" i="33"/>
  <c r="AC147" i="33"/>
  <c r="W137" i="33"/>
  <c r="G147" i="33"/>
  <c r="AQ147" i="33"/>
  <c r="AR147" i="33"/>
  <c r="BD147" i="33"/>
  <c r="AT142" i="33"/>
  <c r="BF142" i="33"/>
  <c r="H147" i="33"/>
  <c r="T147" i="33"/>
  <c r="AF147" i="33"/>
  <c r="J142" i="33"/>
  <c r="V142" i="33"/>
  <c r="AH142" i="33"/>
  <c r="AO132" i="33"/>
  <c r="CW104" i="17"/>
  <c r="CV86" i="17"/>
  <c r="CU86" i="17" s="1"/>
  <c r="Q157" i="4"/>
  <c r="CX183" i="36"/>
  <c r="CW183" i="36" s="1"/>
  <c r="C58" i="4"/>
  <c r="C214" i="4" s="1"/>
  <c r="CW54" i="17"/>
  <c r="CV19" i="17"/>
  <c r="CU19" i="17" s="1"/>
  <c r="C75" i="4"/>
  <c r="CY189" i="36"/>
  <c r="CV87" i="17"/>
  <c r="CU87" i="17" s="1"/>
  <c r="CW19" i="17"/>
  <c r="CV56" i="17"/>
  <c r="CU56" i="17" s="1"/>
  <c r="CV54" i="17"/>
  <c r="CU54" i="17" s="1"/>
  <c r="CV103" i="17"/>
  <c r="CU103" i="17" s="1"/>
  <c r="CW56" i="17"/>
  <c r="CW88" i="17"/>
  <c r="CW42" i="17"/>
  <c r="C74" i="4"/>
  <c r="CV104" i="17"/>
  <c r="CU104" i="17" s="1"/>
  <c r="CY183" i="36"/>
  <c r="CV53" i="17"/>
  <c r="CU53" i="17" s="1"/>
  <c r="CV21" i="17"/>
  <c r="CU21" i="17" s="1"/>
  <c r="CV2" i="31"/>
  <c r="CU2" i="31" s="1"/>
  <c r="C2" i="31" s="1"/>
  <c r="L210" i="31"/>
  <c r="L106" i="31"/>
  <c r="L211" i="31" s="1"/>
  <c r="CX45" i="43"/>
  <c r="D45" i="43" s="1"/>
  <c r="D91" i="43" s="1"/>
  <c r="G30" i="43"/>
  <c r="L30" i="43"/>
  <c r="N30" i="43"/>
  <c r="O30" i="43"/>
  <c r="E30" i="43"/>
  <c r="Q26" i="43"/>
  <c r="J30" i="43"/>
  <c r="M30" i="43"/>
  <c r="P30" i="43"/>
  <c r="C49" i="32"/>
  <c r="I167" i="4"/>
  <c r="K20" i="17"/>
  <c r="CU70" i="17"/>
  <c r="C69" i="17" s="1"/>
  <c r="G50" i="43"/>
  <c r="F92" i="43"/>
  <c r="O10" i="31"/>
  <c r="T307" i="31" s="1"/>
  <c r="Y166" i="4"/>
  <c r="Y177" i="4"/>
  <c r="J172" i="4" s="1"/>
  <c r="J178" i="4" s="1"/>
  <c r="Y165" i="4"/>
  <c r="CY47" i="32"/>
  <c r="BA258" i="33"/>
  <c r="BC258" i="33"/>
  <c r="BA253" i="33"/>
  <c r="CW76" i="33"/>
  <c r="BG268" i="33"/>
  <c r="BL248" i="33"/>
  <c r="BH248" i="33"/>
  <c r="M112" i="33"/>
  <c r="BB248" i="33"/>
  <c r="BB268" i="33"/>
  <c r="BJ253" i="33"/>
  <c r="BK248" i="33"/>
  <c r="BG253" i="33"/>
  <c r="BC253" i="33"/>
  <c r="BI258" i="33"/>
  <c r="BD263" i="33"/>
  <c r="BG258" i="33"/>
  <c r="BK258" i="33"/>
  <c r="BE253" i="33"/>
  <c r="BB258" i="33"/>
  <c r="BG263" i="33"/>
  <c r="BE263" i="33"/>
  <c r="BG248" i="33"/>
  <c r="BJ263" i="33"/>
  <c r="BH268" i="33"/>
  <c r="BK268" i="33"/>
  <c r="CX76" i="33"/>
  <c r="BL258" i="33"/>
  <c r="BH253" i="33"/>
  <c r="BA263" i="33"/>
  <c r="BF248" i="33"/>
  <c r="BA248" i="33"/>
  <c r="BC263" i="33"/>
  <c r="BJ248" i="33"/>
  <c r="BA268" i="33"/>
  <c r="BD268" i="33"/>
  <c r="BL268" i="33"/>
  <c r="BJ268" i="33"/>
  <c r="BI263" i="33"/>
  <c r="BD258" i="33"/>
  <c r="BK263" i="33"/>
  <c r="N112" i="33"/>
  <c r="BB263" i="33"/>
  <c r="BE268" i="33"/>
  <c r="BI248" i="33"/>
  <c r="BL263" i="33"/>
  <c r="BE248" i="33"/>
  <c r="BI268" i="33"/>
  <c r="BI253" i="33"/>
  <c r="BB253" i="33"/>
  <c r="BK253" i="33"/>
  <c r="BH258" i="33"/>
  <c r="BC248" i="33"/>
  <c r="BF253" i="33"/>
  <c r="BC268" i="33"/>
  <c r="BD248" i="33"/>
  <c r="BF268" i="33"/>
  <c r="BJ258" i="33"/>
  <c r="BE258" i="33"/>
  <c r="BF258" i="33"/>
  <c r="BD253" i="33"/>
  <c r="BL253" i="33"/>
  <c r="BF263" i="33"/>
  <c r="CV67" i="33"/>
  <c r="C67" i="33" s="1"/>
  <c r="CN157" i="4"/>
  <c r="U157" i="4" s="1"/>
  <c r="CV60" i="33"/>
  <c r="CU109" i="17"/>
  <c r="CN169" i="4"/>
  <c r="U168" i="4" s="1"/>
  <c r="CV8" i="33"/>
  <c r="C18" i="33" s="1"/>
  <c r="CV59" i="33"/>
  <c r="C59" i="33" s="1"/>
  <c r="CY40" i="32"/>
  <c r="CW92" i="36"/>
  <c r="E155" i="36" s="1"/>
  <c r="CU161" i="4"/>
  <c r="CU27" i="17"/>
  <c r="D27" i="17" s="1"/>
  <c r="D59" i="17" s="1"/>
  <c r="D92" i="17" s="1"/>
  <c r="CU26" i="17"/>
  <c r="CU90" i="17"/>
  <c r="CU168" i="4"/>
  <c r="CU160" i="4"/>
  <c r="CU10" i="17"/>
  <c r="U22" i="4"/>
  <c r="U101" i="4"/>
  <c r="CU187" i="4"/>
  <c r="U180" i="4" s="1"/>
  <c r="N157" i="36"/>
  <c r="CV93" i="17"/>
  <c r="BE224" i="33"/>
  <c r="AO229" i="33"/>
  <c r="AX239" i="33"/>
  <c r="BG219" i="33"/>
  <c r="AT234" i="33"/>
  <c r="BK239" i="33"/>
  <c r="AT224" i="33"/>
  <c r="O126" i="33"/>
  <c r="Z106" i="33" s="1"/>
  <c r="BK219" i="33"/>
  <c r="AV239" i="33"/>
  <c r="M127" i="33"/>
  <c r="V107" i="33" s="1"/>
  <c r="AW234" i="33"/>
  <c r="L127" i="33"/>
  <c r="T107" i="33" s="1"/>
  <c r="CU159" i="4"/>
  <c r="BA219" i="33"/>
  <c r="BF229" i="33"/>
  <c r="AQ219" i="33"/>
  <c r="BF239" i="33"/>
  <c r="BC234" i="33"/>
  <c r="BD224" i="33"/>
  <c r="AP224" i="33"/>
  <c r="BB234" i="33"/>
  <c r="AU234" i="33"/>
  <c r="AX234" i="33"/>
  <c r="BJ239" i="33"/>
  <c r="AS239" i="33"/>
  <c r="AW239" i="33"/>
  <c r="AR234" i="33"/>
  <c r="BD239" i="33"/>
  <c r="AT219" i="33"/>
  <c r="L112" i="33"/>
  <c r="BB229" i="33"/>
  <c r="AB152" i="33"/>
  <c r="AO239" i="33"/>
  <c r="BD229" i="33"/>
  <c r="AZ219" i="33"/>
  <c r="V152" i="33"/>
  <c r="AV234" i="33"/>
  <c r="BI219" i="33"/>
  <c r="BB224" i="33"/>
  <c r="BB219" i="33"/>
  <c r="AR229" i="33"/>
  <c r="AY224" i="33"/>
  <c r="AV229" i="33"/>
  <c r="AO234" i="33"/>
  <c r="BI229" i="33"/>
  <c r="AP234" i="33"/>
  <c r="AR239" i="33"/>
  <c r="AN152" i="33"/>
  <c r="M126" i="33"/>
  <c r="V106" i="33" s="1"/>
  <c r="BE234" i="33"/>
  <c r="AX224" i="33"/>
  <c r="AQ234" i="33"/>
  <c r="BI239" i="33"/>
  <c r="BC229" i="33"/>
  <c r="BA229" i="33"/>
  <c r="AR224" i="33"/>
  <c r="BD234" i="33"/>
  <c r="AT239" i="33"/>
  <c r="O132" i="33"/>
  <c r="AU132" i="33"/>
  <c r="P152" i="33"/>
  <c r="I126" i="33"/>
  <c r="N106" i="33" s="1"/>
  <c r="BC224" i="33"/>
  <c r="AZ234" i="33"/>
  <c r="AU224" i="33"/>
  <c r="BJ224" i="33"/>
  <c r="BG234" i="33"/>
  <c r="AY219" i="33"/>
  <c r="BC239" i="33"/>
  <c r="BK234" i="33"/>
  <c r="AY229" i="33"/>
  <c r="AU229" i="33"/>
  <c r="BL152" i="33"/>
  <c r="BH224" i="33"/>
  <c r="AZ239" i="33"/>
  <c r="BG224" i="33"/>
  <c r="BL234" i="33"/>
  <c r="BK224" i="33"/>
  <c r="AW229" i="33"/>
  <c r="BL219" i="33"/>
  <c r="AP229" i="33"/>
  <c r="BI234" i="33"/>
  <c r="AX219" i="33"/>
  <c r="O152" i="33"/>
  <c r="E132" i="33"/>
  <c r="E127" i="33" s="1"/>
  <c r="F107" i="33" s="1"/>
  <c r="J126" i="33"/>
  <c r="P106" i="33" s="1"/>
  <c r="Y152" i="33"/>
  <c r="BD219" i="33"/>
  <c r="AV224" i="33"/>
  <c r="K112" i="33"/>
  <c r="AZ224" i="33"/>
  <c r="AQ239" i="33"/>
  <c r="AQ229" i="33"/>
  <c r="BH229" i="33"/>
  <c r="BE229" i="33"/>
  <c r="AR219" i="33"/>
  <c r="AS229" i="33"/>
  <c r="L126" i="33"/>
  <c r="T106" i="33" s="1"/>
  <c r="AS234" i="33"/>
  <c r="BJ234" i="33"/>
  <c r="AW219" i="33"/>
  <c r="AV219" i="33"/>
  <c r="AO219" i="33"/>
  <c r="BC219" i="33"/>
  <c r="BG239" i="33"/>
  <c r="BA224" i="33"/>
  <c r="AW224" i="33"/>
  <c r="AC152" i="33"/>
  <c r="AB132" i="33"/>
  <c r="AS224" i="33"/>
  <c r="BB239" i="33"/>
  <c r="AT229" i="33"/>
  <c r="BA239" i="33"/>
  <c r="AP219" i="33"/>
  <c r="AY239" i="33"/>
  <c r="BF234" i="33"/>
  <c r="AS219" i="33"/>
  <c r="BH234" i="33"/>
  <c r="BL229" i="33"/>
  <c r="AZ132" i="33"/>
  <c r="BA132" i="33"/>
  <c r="AZ229" i="33"/>
  <c r="BF224" i="33"/>
  <c r="BF219" i="33"/>
  <c r="AP239" i="33"/>
  <c r="F132" i="33"/>
  <c r="Y132" i="33"/>
  <c r="BL224" i="33"/>
  <c r="AX229" i="33"/>
  <c r="BK229" i="33"/>
  <c r="BJ229" i="33"/>
  <c r="AU219" i="33"/>
  <c r="BI224" i="33"/>
  <c r="BG229" i="33"/>
  <c r="BJ219" i="33"/>
  <c r="F127" i="33"/>
  <c r="H107" i="33" s="1"/>
  <c r="AQ224" i="33"/>
  <c r="AO224" i="33"/>
  <c r="BH239" i="33"/>
  <c r="BH219" i="33"/>
  <c r="AU239" i="33"/>
  <c r="BA234" i="33"/>
  <c r="BE239" i="33"/>
  <c r="BE219" i="33"/>
  <c r="BL239" i="33"/>
  <c r="F126" i="33"/>
  <c r="H106" i="33" s="1"/>
  <c r="AF152" i="33"/>
  <c r="AI132" i="33"/>
  <c r="AW132" i="33"/>
  <c r="W132" i="33"/>
  <c r="K152" i="33"/>
  <c r="L152" i="33"/>
  <c r="K127" i="33"/>
  <c r="R107" i="33" s="1"/>
  <c r="V132" i="33"/>
  <c r="AJ132" i="33"/>
  <c r="F152" i="33"/>
  <c r="BG152" i="33"/>
  <c r="BH152" i="33"/>
  <c r="AD152" i="33"/>
  <c r="AH152" i="33"/>
  <c r="N152" i="33"/>
  <c r="G126" i="33"/>
  <c r="J106" i="33" s="1"/>
  <c r="BB152" i="33"/>
  <c r="AV132" i="33"/>
  <c r="R152" i="33"/>
  <c r="AS132" i="33"/>
  <c r="BK152" i="33"/>
  <c r="Q121" i="33"/>
  <c r="J127" i="33"/>
  <c r="P107" i="33" s="1"/>
  <c r="P127" i="33"/>
  <c r="AB107" i="33" s="1"/>
  <c r="Q132" i="33"/>
  <c r="Q159" i="33"/>
  <c r="BC132" i="33"/>
  <c r="F137" i="33"/>
  <c r="E142" i="33"/>
  <c r="AH132" i="33"/>
  <c r="I127" i="33"/>
  <c r="N107" i="33" s="1"/>
  <c r="P126" i="33"/>
  <c r="AB106" i="33" s="1"/>
  <c r="BI152" i="33"/>
  <c r="AG152" i="33"/>
  <c r="K126" i="33"/>
  <c r="R106" i="33" s="1"/>
  <c r="AE132" i="33"/>
  <c r="AA132" i="33"/>
  <c r="Z152" i="33"/>
  <c r="H127" i="33"/>
  <c r="L107" i="33" s="1"/>
  <c r="O127" i="33"/>
  <c r="Z107" i="33" s="1"/>
  <c r="H126" i="33"/>
  <c r="L106" i="33" s="1"/>
  <c r="AL132" i="33"/>
  <c r="AC132" i="33"/>
  <c r="BJ132" i="33"/>
  <c r="H152" i="33"/>
  <c r="G127" i="33"/>
  <c r="J107" i="33" s="1"/>
  <c r="N127" i="33"/>
  <c r="X107" i="33" s="1"/>
  <c r="E126" i="33"/>
  <c r="F106" i="33" s="1"/>
  <c r="BD152" i="33"/>
  <c r="T152" i="33"/>
  <c r="BF132" i="33"/>
  <c r="X152" i="33"/>
  <c r="AZ152" i="33"/>
  <c r="AU152" i="33"/>
  <c r="G152" i="33"/>
  <c r="F147" i="33"/>
  <c r="I132" i="33"/>
  <c r="U152" i="33"/>
  <c r="M152" i="33"/>
  <c r="AP152" i="33"/>
  <c r="E137" i="33"/>
  <c r="N132" i="33"/>
  <c r="AX152" i="33"/>
  <c r="AL152" i="33"/>
  <c r="Z176" i="4"/>
  <c r="Z177" i="4" s="1"/>
  <c r="AP132" i="33"/>
  <c r="F142" i="33"/>
  <c r="AR132" i="33"/>
  <c r="BB132" i="33"/>
  <c r="AO152" i="33"/>
  <c r="W152" i="33"/>
  <c r="AS152" i="33"/>
  <c r="AA152" i="33"/>
  <c r="BI132" i="33"/>
  <c r="AF132" i="33"/>
  <c r="AM132" i="33"/>
  <c r="AV152" i="33"/>
  <c r="BJ152" i="33"/>
  <c r="S152" i="33"/>
  <c r="F112" i="33"/>
  <c r="L132" i="33"/>
  <c r="J132" i="33"/>
  <c r="P132" i="33"/>
  <c r="AW152" i="33"/>
  <c r="AE152" i="33"/>
  <c r="E152" i="33"/>
  <c r="E147" i="33"/>
  <c r="AX132" i="33"/>
  <c r="AQ152" i="33"/>
  <c r="K132" i="33"/>
  <c r="AG132" i="33"/>
  <c r="H132" i="33"/>
  <c r="AQ132" i="33"/>
  <c r="AY132" i="33"/>
  <c r="BL132" i="33"/>
  <c r="R132" i="33"/>
  <c r="T132" i="33"/>
  <c r="BA152" i="33"/>
  <c r="AT152" i="33"/>
  <c r="Q152" i="33"/>
  <c r="AY152" i="33"/>
  <c r="AT132" i="33"/>
  <c r="J152" i="33"/>
  <c r="AK152" i="33"/>
  <c r="BD132" i="33"/>
  <c r="BG132" i="33"/>
  <c r="E112" i="33"/>
  <c r="AI152" i="33"/>
  <c r="I152" i="33"/>
  <c r="BH132" i="33"/>
  <c r="AJ152" i="33"/>
  <c r="AD132" i="33"/>
  <c r="BC152" i="33"/>
  <c r="S132" i="33"/>
  <c r="AK132" i="33"/>
  <c r="BE132" i="33"/>
  <c r="M132" i="33"/>
  <c r="U132" i="33"/>
  <c r="AN132" i="33"/>
  <c r="AR152" i="33"/>
  <c r="BF152" i="33"/>
  <c r="BK132" i="33"/>
  <c r="Z132" i="33"/>
  <c r="X132" i="33"/>
  <c r="BE152" i="33"/>
  <c r="G132" i="33"/>
  <c r="AM152" i="33"/>
  <c r="AK229" i="31"/>
  <c r="AW229" i="31"/>
  <c r="BI206" i="31"/>
  <c r="BU229" i="31" s="1"/>
  <c r="M225" i="31"/>
  <c r="M121" i="31"/>
  <c r="M226" i="31" s="1"/>
  <c r="CY43" i="32"/>
  <c r="AW168" i="31"/>
  <c r="AW185" i="31"/>
  <c r="BI229" i="31" s="1"/>
  <c r="M209" i="31"/>
  <c r="M122" i="31"/>
  <c r="M229" i="31" s="1"/>
  <c r="AJ150" i="31"/>
  <c r="AJ151" i="31" s="1"/>
  <c r="AI151" i="31"/>
  <c r="AL162" i="31"/>
  <c r="AX182" i="31"/>
  <c r="AX183" i="31"/>
  <c r="L299" i="31"/>
  <c r="AX167" i="31"/>
  <c r="AX179" i="31"/>
  <c r="L219" i="31"/>
  <c r="L220" i="31"/>
  <c r="K301" i="31"/>
  <c r="L19" i="17"/>
  <c r="Q97" i="36"/>
  <c r="Q120" i="36" s="1"/>
  <c r="M120" i="36"/>
  <c r="CW2" i="4"/>
  <c r="CV2" i="4"/>
  <c r="CW80" i="4"/>
  <c r="CV80" i="4"/>
  <c r="CU157" i="4"/>
  <c r="E157" i="4" s="1"/>
  <c r="CT239" i="4"/>
  <c r="CS239" i="4"/>
  <c r="J159" i="4"/>
  <c r="Y181" i="4"/>
  <c r="AW175" i="31"/>
  <c r="BI196" i="31"/>
  <c r="X127" i="31"/>
  <c r="Y126" i="31"/>
  <c r="BI202" i="31"/>
  <c r="AW172" i="31"/>
  <c r="AW178" i="31"/>
  <c r="AL164" i="31"/>
  <c r="BI199" i="31"/>
  <c r="BJ188" i="31"/>
  <c r="BJ191" i="31"/>
  <c r="BJ194" i="31"/>
  <c r="BJ200" i="31"/>
  <c r="BJ197" i="31"/>
  <c r="BJ201" i="31"/>
  <c r="BJ192" i="31"/>
  <c r="BJ198" i="31"/>
  <c r="BJ195" i="31"/>
  <c r="BJ189" i="31"/>
  <c r="BJ190" i="31" s="1"/>
  <c r="X133" i="31"/>
  <c r="Y132" i="31"/>
  <c r="BI193" i="31"/>
  <c r="M117" i="31"/>
  <c r="M221" i="31"/>
  <c r="L112" i="31"/>
  <c r="L217" i="31" s="1"/>
  <c r="L216" i="31"/>
  <c r="M114" i="31"/>
  <c r="M115" i="31" s="1"/>
  <c r="M218" i="31"/>
  <c r="L118" i="31"/>
  <c r="L223" i="31" s="1"/>
  <c r="L222" i="31"/>
  <c r="Z139" i="31"/>
  <c r="AA138" i="31"/>
  <c r="Z142" i="31"/>
  <c r="AA141" i="31"/>
  <c r="AL160" i="31"/>
  <c r="AM159" i="31"/>
  <c r="AJ153" i="31"/>
  <c r="AI154" i="31"/>
  <c r="AM156" i="31"/>
  <c r="AL157" i="31"/>
  <c r="AM147" i="31"/>
  <c r="Y136" i="31"/>
  <c r="Z130" i="31"/>
  <c r="AA129" i="31"/>
  <c r="N107" i="31"/>
  <c r="N212" i="31" s="1"/>
  <c r="N116" i="31"/>
  <c r="N113" i="31"/>
  <c r="M111" i="31"/>
  <c r="M216" i="31" s="1"/>
  <c r="M105" i="31"/>
  <c r="M210" i="31" s="1"/>
  <c r="M108" i="31"/>
  <c r="M213" i="31" s="1"/>
  <c r="L109" i="31"/>
  <c r="L214" i="31" s="1"/>
  <c r="N208" i="31"/>
  <c r="N119" i="31"/>
  <c r="N224" i="31" s="1"/>
  <c r="N120" i="31"/>
  <c r="O103" i="31"/>
  <c r="N110" i="31"/>
  <c r="N215" i="31" s="1"/>
  <c r="N104" i="31"/>
  <c r="AX180" i="31"/>
  <c r="AX181" i="31" s="1"/>
  <c r="AY166" i="31"/>
  <c r="AX177" i="31"/>
  <c r="AX176" i="31"/>
  <c r="AX174" i="31"/>
  <c r="AX173" i="31"/>
  <c r="AX171" i="31"/>
  <c r="AX170" i="31"/>
  <c r="BJ204" i="31"/>
  <c r="BJ203" i="31"/>
  <c r="BK187" i="31"/>
  <c r="T166" i="33" l="1"/>
  <c r="AF166" i="33"/>
  <c r="AR166" i="33"/>
  <c r="BD166" i="33"/>
  <c r="Y171" i="33"/>
  <c r="AK171" i="33"/>
  <c r="AW171" i="33"/>
  <c r="BI171" i="33"/>
  <c r="AP171" i="33"/>
  <c r="BJ166" i="33"/>
  <c r="AA166" i="33"/>
  <c r="AB166" i="33"/>
  <c r="AO166" i="33"/>
  <c r="AD166" i="33"/>
  <c r="BH171" i="33"/>
  <c r="U166" i="33"/>
  <c r="AG166" i="33"/>
  <c r="AS166" i="33"/>
  <c r="BE166" i="33"/>
  <c r="Z171" i="33"/>
  <c r="AL171" i="33"/>
  <c r="AX171" i="33"/>
  <c r="BJ171" i="33"/>
  <c r="AW166" i="33"/>
  <c r="AX166" i="33"/>
  <c r="S171" i="33"/>
  <c r="BC171" i="33"/>
  <c r="T171" i="33"/>
  <c r="AZ166" i="33"/>
  <c r="AP166" i="33"/>
  <c r="S166" i="33"/>
  <c r="V166" i="33"/>
  <c r="AH166" i="33"/>
  <c r="AT166" i="33"/>
  <c r="BF166" i="33"/>
  <c r="AA171" i="33"/>
  <c r="AM171" i="33"/>
  <c r="AY171" i="33"/>
  <c r="BK171" i="33"/>
  <c r="Y166" i="33"/>
  <c r="R171" i="33"/>
  <c r="BB171" i="33"/>
  <c r="BL166" i="33"/>
  <c r="U171" i="33"/>
  <c r="V171" i="33"/>
  <c r="AT171" i="33"/>
  <c r="AQ166" i="33"/>
  <c r="W166" i="33"/>
  <c r="AI166" i="33"/>
  <c r="AU166" i="33"/>
  <c r="BG166" i="33"/>
  <c r="AB171" i="33"/>
  <c r="AN171" i="33"/>
  <c r="AZ171" i="33"/>
  <c r="BL171" i="33"/>
  <c r="AK166" i="33"/>
  <c r="Z166" i="33"/>
  <c r="AU171" i="33"/>
  <c r="AE166" i="33"/>
  <c r="X166" i="33"/>
  <c r="AJ166" i="33"/>
  <c r="AV166" i="33"/>
  <c r="BH166" i="33"/>
  <c r="AC171" i="33"/>
  <c r="AO171" i="33"/>
  <c r="BA171" i="33"/>
  <c r="BI166" i="33"/>
  <c r="AD171" i="33"/>
  <c r="AL166" i="33"/>
  <c r="AE171" i="33"/>
  <c r="AQ171" i="33"/>
  <c r="AM166" i="33"/>
  <c r="AY166" i="33"/>
  <c r="BK166" i="33"/>
  <c r="AF171" i="33"/>
  <c r="AR171" i="33"/>
  <c r="BD171" i="33"/>
  <c r="AN166" i="33"/>
  <c r="AG171" i="33"/>
  <c r="AS171" i="33"/>
  <c r="BE171" i="33"/>
  <c r="AC166" i="33"/>
  <c r="BA166" i="33"/>
  <c r="AH171" i="33"/>
  <c r="BF171" i="33"/>
  <c r="R166" i="33"/>
  <c r="BB166" i="33"/>
  <c r="W171" i="33"/>
  <c r="AI171" i="33"/>
  <c r="BG171" i="33"/>
  <c r="BC166" i="33"/>
  <c r="X171" i="33"/>
  <c r="AJ171" i="33"/>
  <c r="AV171" i="33"/>
  <c r="U176" i="33"/>
  <c r="AG176" i="33"/>
  <c r="AS176" i="33"/>
  <c r="BE176" i="33"/>
  <c r="BJ176" i="33"/>
  <c r="AP176" i="33"/>
  <c r="AR176" i="33"/>
  <c r="V176" i="33"/>
  <c r="AH176" i="33"/>
  <c r="AT176" i="33"/>
  <c r="BF176" i="33"/>
  <c r="AA176" i="33"/>
  <c r="BL176" i="33"/>
  <c r="AO176" i="33"/>
  <c r="AF176" i="33"/>
  <c r="W176" i="33"/>
  <c r="AI176" i="33"/>
  <c r="AU176" i="33"/>
  <c r="BG176" i="33"/>
  <c r="AD176" i="33"/>
  <c r="BC176" i="33"/>
  <c r="X176" i="33"/>
  <c r="AJ176" i="33"/>
  <c r="AV176" i="33"/>
  <c r="BH176" i="33"/>
  <c r="AB176" i="33"/>
  <c r="AZ176" i="33"/>
  <c r="S176" i="33"/>
  <c r="Y176" i="33"/>
  <c r="AK176" i="33"/>
  <c r="AW176" i="33"/>
  <c r="BI176" i="33"/>
  <c r="Z176" i="33"/>
  <c r="AL176" i="33"/>
  <c r="AX176" i="33"/>
  <c r="AM176" i="33"/>
  <c r="AY176" i="33"/>
  <c r="BK176" i="33"/>
  <c r="AN176" i="33"/>
  <c r="AC176" i="33"/>
  <c r="BA176" i="33"/>
  <c r="BB176" i="33"/>
  <c r="AE176" i="33"/>
  <c r="AQ176" i="33"/>
  <c r="T176" i="33"/>
  <c r="BD176" i="33"/>
  <c r="AC127" i="33"/>
  <c r="AO127" i="33"/>
  <c r="BA127" i="33"/>
  <c r="BG127" i="33"/>
  <c r="AN127" i="33"/>
  <c r="AD127" i="33"/>
  <c r="AP127" i="33"/>
  <c r="BB127" i="33"/>
  <c r="BE127" i="33"/>
  <c r="BH127" i="33"/>
  <c r="BK127" i="33"/>
  <c r="AZ127" i="33"/>
  <c r="AE127" i="33"/>
  <c r="AQ127" i="33"/>
  <c r="BC127" i="33"/>
  <c r="AS127" i="33"/>
  <c r="AT127" i="33"/>
  <c r="AU127" i="33"/>
  <c r="AV127" i="33"/>
  <c r="AK127" i="33"/>
  <c r="AX127" i="33"/>
  <c r="AY127" i="33"/>
  <c r="BL127" i="33"/>
  <c r="AF127" i="33"/>
  <c r="AR127" i="33"/>
  <c r="BD127" i="33"/>
  <c r="AG127" i="33"/>
  <c r="AH127" i="33"/>
  <c r="AI127" i="33"/>
  <c r="AJ127" i="33"/>
  <c r="AW127" i="33"/>
  <c r="AL127" i="33"/>
  <c r="AM127" i="33"/>
  <c r="BF127" i="33"/>
  <c r="BJ127" i="33"/>
  <c r="BI127" i="33"/>
  <c r="AG126" i="33"/>
  <c r="AS126" i="33"/>
  <c r="BE126" i="33"/>
  <c r="AH126" i="33"/>
  <c r="AT126" i="33"/>
  <c r="BF126" i="33"/>
  <c r="AI126" i="33"/>
  <c r="AU126" i="33"/>
  <c r="BG126" i="33"/>
  <c r="AJ126" i="33"/>
  <c r="AV126" i="33"/>
  <c r="BH126" i="33"/>
  <c r="AK126" i="33"/>
  <c r="AW126" i="33"/>
  <c r="BI126" i="33"/>
  <c r="AL126" i="33"/>
  <c r="AX126" i="33"/>
  <c r="BJ126" i="33"/>
  <c r="AM126" i="33"/>
  <c r="AY126" i="33"/>
  <c r="BK126" i="33"/>
  <c r="AN126" i="33"/>
  <c r="AZ126" i="33"/>
  <c r="BL126" i="33"/>
  <c r="AC126" i="33"/>
  <c r="AO126" i="33"/>
  <c r="BA126" i="33"/>
  <c r="AD126" i="33"/>
  <c r="AP126" i="33"/>
  <c r="BB126" i="33"/>
  <c r="AE126" i="33"/>
  <c r="AQ126" i="33"/>
  <c r="BC126" i="33"/>
  <c r="AF126" i="33"/>
  <c r="AR126" i="33"/>
  <c r="BD126" i="33"/>
  <c r="X127" i="33"/>
  <c r="AR107" i="33" s="1"/>
  <c r="AC100" i="33" a="1"/>
  <c r="AC100" i="33" s="1"/>
  <c r="AO100" i="33" s="1"/>
  <c r="BA100" i="33" s="1"/>
  <c r="E72" i="43"/>
  <c r="Q30" i="43"/>
  <c r="E76" i="43" s="1"/>
  <c r="L20" i="17"/>
  <c r="J164" i="4"/>
  <c r="H50" i="43"/>
  <c r="G92" i="43"/>
  <c r="Z166" i="4"/>
  <c r="Z178" i="4"/>
  <c r="Z165" i="4"/>
  <c r="K164" i="4" s="1"/>
  <c r="CV76" i="33"/>
  <c r="C76" i="33" s="1"/>
  <c r="AW169" i="31"/>
  <c r="G8" i="39"/>
  <c r="AI161" i="33"/>
  <c r="BH181" i="33"/>
  <c r="AM161" i="33"/>
  <c r="T10" i="31"/>
  <c r="U307" i="31" s="1"/>
  <c r="M228" i="31"/>
  <c r="AT181" i="33"/>
  <c r="BB161" i="33"/>
  <c r="AU161" i="33"/>
  <c r="BA161" i="33"/>
  <c r="AI181" i="33"/>
  <c r="AA181" i="33"/>
  <c r="AT161" i="33"/>
  <c r="Z181" i="33"/>
  <c r="M128" i="33"/>
  <c r="V108" i="33" s="1"/>
  <c r="AC181" i="33"/>
  <c r="Q166" i="33"/>
  <c r="AC161" i="33"/>
  <c r="AB181" i="33"/>
  <c r="BJ181" i="33"/>
  <c r="W161" i="33"/>
  <c r="X161" i="33"/>
  <c r="H112" i="33"/>
  <c r="BK181" i="33"/>
  <c r="BC161" i="33"/>
  <c r="BK161" i="33"/>
  <c r="BL161" i="33"/>
  <c r="AJ181" i="33"/>
  <c r="AJ161" i="33"/>
  <c r="AF161" i="33"/>
  <c r="Y181" i="33"/>
  <c r="AW161" i="33"/>
  <c r="W127" i="33"/>
  <c r="AP107" i="33" s="1"/>
  <c r="O11" i="31"/>
  <c r="H305" i="31" s="1"/>
  <c r="F128" i="33"/>
  <c r="H108" i="33" s="1"/>
  <c r="BH161" i="33"/>
  <c r="AP161" i="33"/>
  <c r="AM181" i="33"/>
  <c r="AL161" i="33"/>
  <c r="AR181" i="33"/>
  <c r="R161" i="33"/>
  <c r="BC181" i="33"/>
  <c r="AB161" i="33"/>
  <c r="BD181" i="33"/>
  <c r="AE181" i="33"/>
  <c r="AW181" i="33"/>
  <c r="AU181" i="33"/>
  <c r="G112" i="33"/>
  <c r="W126" i="33"/>
  <c r="AP106" i="33" s="1"/>
  <c r="AS161" i="33"/>
  <c r="BE181" i="33"/>
  <c r="AX181" i="33"/>
  <c r="AO161" i="33"/>
  <c r="AQ181" i="33"/>
  <c r="AD161" i="33"/>
  <c r="T181" i="33"/>
  <c r="AH161" i="33"/>
  <c r="S161" i="33"/>
  <c r="AZ181" i="33"/>
  <c r="AD181" i="33"/>
  <c r="P128" i="33"/>
  <c r="AB108" i="33" s="1"/>
  <c r="T161" i="33"/>
  <c r="Q171" i="33"/>
  <c r="AG161" i="33"/>
  <c r="AL181" i="33"/>
  <c r="Z161" i="33"/>
  <c r="AC188" i="33"/>
  <c r="BG161" i="33"/>
  <c r="BB181" i="33"/>
  <c r="AO181" i="33"/>
  <c r="AH181" i="33"/>
  <c r="Q127" i="33"/>
  <c r="AD107" i="33" s="1"/>
  <c r="BJ161" i="33"/>
  <c r="U181" i="33"/>
  <c r="W181" i="33"/>
  <c r="AP181" i="33"/>
  <c r="U127" i="33"/>
  <c r="AL107" i="33" s="1"/>
  <c r="Q161" i="33"/>
  <c r="BD161" i="33"/>
  <c r="AF181" i="33"/>
  <c r="AK161" i="33"/>
  <c r="AY181" i="33"/>
  <c r="AS181" i="33"/>
  <c r="AR161" i="33"/>
  <c r="BL181" i="33"/>
  <c r="AK181" i="33"/>
  <c r="BG181" i="33"/>
  <c r="AX161" i="33"/>
  <c r="AN181" i="33"/>
  <c r="AB127" i="33"/>
  <c r="AZ107" i="33" s="1"/>
  <c r="H128" i="33"/>
  <c r="L108" i="33" s="1"/>
  <c r="AY161" i="33"/>
  <c r="AZ161" i="33"/>
  <c r="AV161" i="33"/>
  <c r="BF161" i="33"/>
  <c r="AA161" i="33"/>
  <c r="AN161" i="33"/>
  <c r="AQ161" i="33"/>
  <c r="R176" i="33"/>
  <c r="Q176" i="33"/>
  <c r="U161" i="33"/>
  <c r="X181" i="33"/>
  <c r="AB126" i="33"/>
  <c r="AZ106" i="33" s="1"/>
  <c r="V181" i="33"/>
  <c r="AE161" i="33"/>
  <c r="BF181" i="33"/>
  <c r="R126" i="33"/>
  <c r="AF106" i="33" s="1"/>
  <c r="Q181" i="33"/>
  <c r="AV181" i="33"/>
  <c r="BI161" i="33"/>
  <c r="Y161" i="33"/>
  <c r="AG181" i="33"/>
  <c r="V161" i="33"/>
  <c r="BI181" i="33"/>
  <c r="BE161" i="33"/>
  <c r="S181" i="33"/>
  <c r="R181" i="33"/>
  <c r="BA181" i="33"/>
  <c r="X126" i="33"/>
  <c r="AR106" i="33" s="1"/>
  <c r="Z126" i="33"/>
  <c r="AV106" i="33" s="1"/>
  <c r="Q126" i="33"/>
  <c r="AD106" i="33" s="1"/>
  <c r="E128" i="33"/>
  <c r="F108" i="33" s="1"/>
  <c r="U126" i="33"/>
  <c r="AL106" i="33" s="1"/>
  <c r="AA127" i="33"/>
  <c r="AX107" i="33" s="1"/>
  <c r="G128" i="33"/>
  <c r="J108" i="33" s="1"/>
  <c r="T127" i="33"/>
  <c r="AJ107" i="33" s="1"/>
  <c r="T126" i="33"/>
  <c r="AJ106" i="33" s="1"/>
  <c r="AA126" i="33"/>
  <c r="AX106" i="33" s="1"/>
  <c r="K128" i="33"/>
  <c r="R108" i="33" s="1"/>
  <c r="Z127" i="33"/>
  <c r="AV107" i="33" s="1"/>
  <c r="V126" i="33"/>
  <c r="AN106" i="33" s="1"/>
  <c r="S126" i="33"/>
  <c r="AH106" i="33" s="1"/>
  <c r="Y127" i="33"/>
  <c r="AT107" i="33" s="1"/>
  <c r="L128" i="33"/>
  <c r="T108" i="33" s="1"/>
  <c r="V127" i="33"/>
  <c r="AN107" i="33" s="1"/>
  <c r="Y126" i="33"/>
  <c r="AT106" i="33" s="1"/>
  <c r="S127" i="33"/>
  <c r="AH107" i="33" s="1"/>
  <c r="R127" i="33"/>
  <c r="AF107" i="33" s="1"/>
  <c r="N128" i="33"/>
  <c r="X108" i="33" s="1"/>
  <c r="J128" i="33"/>
  <c r="P108" i="33" s="1"/>
  <c r="I128" i="33"/>
  <c r="N108" i="33" s="1"/>
  <c r="O128" i="33"/>
  <c r="Z108" i="33" s="1"/>
  <c r="K172" i="4"/>
  <c r="K178" i="4" s="1"/>
  <c r="AX229" i="31"/>
  <c r="AL229" i="31"/>
  <c r="BJ206" i="31"/>
  <c r="BV229" i="31" s="1"/>
  <c r="N225" i="31"/>
  <c r="N121" i="31"/>
  <c r="AX168" i="31"/>
  <c r="AX185" i="31"/>
  <c r="BJ229" i="31" s="1"/>
  <c r="AK150" i="31"/>
  <c r="AK151" i="31" s="1"/>
  <c r="N209" i="31"/>
  <c r="N122" i="31"/>
  <c r="N229" i="31" s="1"/>
  <c r="R304" i="31" s="1"/>
  <c r="AM162" i="31"/>
  <c r="M299" i="31"/>
  <c r="AY182" i="31"/>
  <c r="AY183" i="31"/>
  <c r="AY167" i="31"/>
  <c r="AY179" i="31"/>
  <c r="M219" i="31"/>
  <c r="M220" i="31"/>
  <c r="L301" i="31"/>
  <c r="M19" i="17"/>
  <c r="CU80" i="4"/>
  <c r="CU2" i="4"/>
  <c r="K159" i="4"/>
  <c r="AG181" i="4" s="1"/>
  <c r="AC181" i="4"/>
  <c r="AM164" i="31"/>
  <c r="AY229" i="31" s="1"/>
  <c r="BJ199" i="31"/>
  <c r="AX175" i="31"/>
  <c r="BJ196" i="31"/>
  <c r="BK194" i="31"/>
  <c r="BK197" i="31"/>
  <c r="BK188" i="31"/>
  <c r="BK200" i="31"/>
  <c r="BK191" i="31"/>
  <c r="BK201" i="31"/>
  <c r="BK192" i="31"/>
  <c r="BK198" i="31"/>
  <c r="BK195" i="31"/>
  <c r="AX172" i="31"/>
  <c r="AX178" i="31"/>
  <c r="BK189" i="31"/>
  <c r="BJ193" i="31"/>
  <c r="Y127" i="31"/>
  <c r="Z126" i="31"/>
  <c r="Z132" i="31"/>
  <c r="Y133" i="31"/>
  <c r="BJ202" i="31"/>
  <c r="N117" i="31"/>
  <c r="N221" i="31"/>
  <c r="N114" i="31"/>
  <c r="N115" i="31" s="1"/>
  <c r="N218" i="31"/>
  <c r="M118" i="31"/>
  <c r="M223" i="31" s="1"/>
  <c r="M222" i="31"/>
  <c r="AB141" i="31"/>
  <c r="AA142" i="31"/>
  <c r="AA139" i="31"/>
  <c r="AB138" i="31"/>
  <c r="AM160" i="31"/>
  <c r="AN159" i="31"/>
  <c r="AM157" i="31"/>
  <c r="AN156" i="31"/>
  <c r="AJ154" i="31"/>
  <c r="AK153" i="31"/>
  <c r="AN147" i="31"/>
  <c r="AM148" i="31"/>
  <c r="N105" i="31"/>
  <c r="N210" i="31" s="1"/>
  <c r="Z136" i="31"/>
  <c r="AB129" i="31"/>
  <c r="AA130" i="31"/>
  <c r="N111" i="31"/>
  <c r="N216" i="31" s="1"/>
  <c r="M112" i="31"/>
  <c r="M217" i="31" s="1"/>
  <c r="O107" i="31"/>
  <c r="O212" i="31" s="1"/>
  <c r="O116" i="31"/>
  <c r="O113" i="31"/>
  <c r="M106" i="31"/>
  <c r="M211" i="31" s="1"/>
  <c r="N108" i="31"/>
  <c r="N213" i="31" s="1"/>
  <c r="M109" i="31"/>
  <c r="M214" i="31" s="1"/>
  <c r="BL187" i="31"/>
  <c r="BK203" i="31"/>
  <c r="BK204" i="31"/>
  <c r="AY180" i="31"/>
  <c r="AY181" i="31" s="1"/>
  <c r="AZ166" i="31"/>
  <c r="AY177" i="31"/>
  <c r="AY176" i="31"/>
  <c r="AY174" i="31"/>
  <c r="AY173" i="31"/>
  <c r="AY171" i="31"/>
  <c r="AY170" i="31"/>
  <c r="O208" i="31"/>
  <c r="O120" i="31"/>
  <c r="P103" i="31"/>
  <c r="O110" i="31"/>
  <c r="O215" i="31" s="1"/>
  <c r="O104" i="31"/>
  <c r="O119" i="31"/>
  <c r="O224" i="31" s="1"/>
  <c r="T304" i="31" l="1"/>
  <c r="D107" i="33"/>
  <c r="AP210" i="33"/>
  <c r="AK195" i="33"/>
  <c r="AW195" i="33"/>
  <c r="BI195" i="33"/>
  <c r="AI200" i="33"/>
  <c r="AU200" i="33"/>
  <c r="AU124" i="33" s="1"/>
  <c r="BG200" i="33"/>
  <c r="BG124" i="33" s="1"/>
  <c r="AG205" i="33"/>
  <c r="AS205" i="33"/>
  <c r="BE205" i="33"/>
  <c r="AZ200" i="33"/>
  <c r="AZ124" i="33" s="1"/>
  <c r="BB200" i="33"/>
  <c r="BB124" i="33" s="1"/>
  <c r="AE205" i="33"/>
  <c r="AH200" i="33"/>
  <c r="AL195" i="33"/>
  <c r="AX195" i="33"/>
  <c r="BJ195" i="33"/>
  <c r="AJ200" i="33"/>
  <c r="AV200" i="33"/>
  <c r="AV124" i="33" s="1"/>
  <c r="BH200" i="33"/>
  <c r="BH124" i="33" s="1"/>
  <c r="AH205" i="33"/>
  <c r="AT205" i="33"/>
  <c r="BF205" i="33"/>
  <c r="AP195" i="33"/>
  <c r="AN200" i="33"/>
  <c r="BJ205" i="33"/>
  <c r="AQ195" i="33"/>
  <c r="BK205" i="33"/>
  <c r="AP200" i="33"/>
  <c r="AP124" i="33" s="1"/>
  <c r="AN205" i="33"/>
  <c r="AQ205" i="33"/>
  <c r="AM195" i="33"/>
  <c r="AY195" i="33"/>
  <c r="BK195" i="33"/>
  <c r="AK200" i="33"/>
  <c r="AW200" i="33"/>
  <c r="AW124" i="33" s="1"/>
  <c r="BI200" i="33"/>
  <c r="BI124" i="33" s="1"/>
  <c r="AI205" i="33"/>
  <c r="AU205" i="33"/>
  <c r="BG205" i="33"/>
  <c r="AL205" i="33"/>
  <c r="AE195" i="33"/>
  <c r="BA200" i="33"/>
  <c r="BA124" i="33" s="1"/>
  <c r="AR195" i="33"/>
  <c r="BE200" i="33"/>
  <c r="BE124" i="33" s="1"/>
  <c r="AJ195" i="33"/>
  <c r="AR205" i="33"/>
  <c r="AN195" i="33"/>
  <c r="AZ195" i="33"/>
  <c r="BL195" i="33"/>
  <c r="AL200" i="33"/>
  <c r="AX200" i="33"/>
  <c r="AX124" i="33" s="1"/>
  <c r="BJ200" i="33"/>
  <c r="BJ124" i="33" s="1"/>
  <c r="AJ205" i="33"/>
  <c r="AV205" i="33"/>
  <c r="BH205" i="33"/>
  <c r="AO200" i="33"/>
  <c r="AO124" i="33" s="1"/>
  <c r="AM205" i="33"/>
  <c r="BC205" i="33"/>
  <c r="AF205" i="33"/>
  <c r="AO195" i="33"/>
  <c r="BA195" i="33"/>
  <c r="AM200" i="33"/>
  <c r="AY200" i="33"/>
  <c r="AY124" i="33" s="1"/>
  <c r="BK200" i="33"/>
  <c r="BK124" i="33" s="1"/>
  <c r="AK205" i="33"/>
  <c r="AW205" i="33"/>
  <c r="BI205" i="33"/>
  <c r="BB195" i="33"/>
  <c r="BL200" i="33"/>
  <c r="BL124" i="33" s="1"/>
  <c r="AX205" i="33"/>
  <c r="BC195" i="33"/>
  <c r="AY205" i="33"/>
  <c r="AF195" i="33"/>
  <c r="BD195" i="33"/>
  <c r="BL205" i="33"/>
  <c r="BH195" i="33"/>
  <c r="BF200" i="33"/>
  <c r="BF124" i="33" s="1"/>
  <c r="AZ205" i="33"/>
  <c r="AT200" i="33"/>
  <c r="AT124" i="33" s="1"/>
  <c r="BD205" i="33"/>
  <c r="AG195" i="33"/>
  <c r="AS195" i="33"/>
  <c r="BE195" i="33"/>
  <c r="AE200" i="33"/>
  <c r="AQ200" i="33"/>
  <c r="AQ124" i="33" s="1"/>
  <c r="BC200" i="33"/>
  <c r="BC124" i="33" s="1"/>
  <c r="AO205" i="33"/>
  <c r="BA205" i="33"/>
  <c r="AH195" i="33"/>
  <c r="AT195" i="33"/>
  <c r="BF195" i="33"/>
  <c r="AF200" i="33"/>
  <c r="AR200" i="33"/>
  <c r="AR124" i="33" s="1"/>
  <c r="BD200" i="33"/>
  <c r="BD124" i="33" s="1"/>
  <c r="AP205" i="33"/>
  <c r="BB205" i="33"/>
  <c r="AI195" i="33"/>
  <c r="AU195" i="33"/>
  <c r="BG195" i="33"/>
  <c r="AG200" i="33"/>
  <c r="AS200" i="33"/>
  <c r="AS124" i="33" s="1"/>
  <c r="AV195" i="33"/>
  <c r="AW128" i="33"/>
  <c r="BC128" i="33"/>
  <c r="AI128" i="33"/>
  <c r="AK128" i="33"/>
  <c r="BH128" i="33"/>
  <c r="AH128" i="33"/>
  <c r="BL128" i="33"/>
  <c r="BA128" i="33"/>
  <c r="AR128" i="33"/>
  <c r="AC128" i="33"/>
  <c r="AG128" i="33"/>
  <c r="AJ128" i="33"/>
  <c r="AZ128" i="33"/>
  <c r="AV128" i="33"/>
  <c r="BJ128" i="33"/>
  <c r="AF128" i="33"/>
  <c r="AU128" i="33"/>
  <c r="BB128" i="33"/>
  <c r="AT128" i="33"/>
  <c r="BE128" i="33"/>
  <c r="BD128" i="33"/>
  <c r="BF128" i="33"/>
  <c r="AD128" i="33"/>
  <c r="BI128" i="33"/>
  <c r="AQ128" i="33"/>
  <c r="AN128" i="33"/>
  <c r="BK128" i="33"/>
  <c r="AE128" i="33"/>
  <c r="AM128" i="33"/>
  <c r="BG128" i="33"/>
  <c r="AS128" i="33"/>
  <c r="AP128" i="33"/>
  <c r="AO128" i="33"/>
  <c r="AX128" i="33"/>
  <c r="AL128" i="33"/>
  <c r="AY128" i="33"/>
  <c r="AK163" i="31"/>
  <c r="AL150" i="31"/>
  <c r="AL151" i="31" s="1"/>
  <c r="J167" i="4"/>
  <c r="K167" i="4"/>
  <c r="G84" i="17"/>
  <c r="M20" i="17"/>
  <c r="I50" i="43"/>
  <c r="I92" i="43" s="1"/>
  <c r="H92" i="43"/>
  <c r="Y10" i="31"/>
  <c r="V307" i="31" s="1"/>
  <c r="AX169" i="31"/>
  <c r="H8" i="39"/>
  <c r="AT184" i="31"/>
  <c r="AW184" i="31"/>
  <c r="T11" i="31"/>
  <c r="AN184" i="31"/>
  <c r="AX190" i="33"/>
  <c r="AL163" i="31"/>
  <c r="AB161" i="31"/>
  <c r="AN182" i="31"/>
  <c r="AU184" i="31"/>
  <c r="AY184" i="31"/>
  <c r="AI163" i="31"/>
  <c r="AH163" i="31"/>
  <c r="BC210" i="33"/>
  <c r="AP184" i="31"/>
  <c r="BH210" i="33"/>
  <c r="AR184" i="31"/>
  <c r="AD163" i="31"/>
  <c r="AG210" i="33"/>
  <c r="AE163" i="31"/>
  <c r="AZ210" i="33"/>
  <c r="AU190" i="33"/>
  <c r="AQ184" i="31"/>
  <c r="AQ210" i="33"/>
  <c r="AV184" i="31"/>
  <c r="AC195" i="33"/>
  <c r="I112" i="33"/>
  <c r="AB163" i="31"/>
  <c r="BI210" i="33"/>
  <c r="AC205" i="33"/>
  <c r="BG210" i="33"/>
  <c r="AS184" i="31"/>
  <c r="AO184" i="31"/>
  <c r="AX184" i="31"/>
  <c r="BE190" i="33"/>
  <c r="AK210" i="33"/>
  <c r="AG163" i="31"/>
  <c r="BD210" i="33"/>
  <c r="AT190" i="33"/>
  <c r="AN210" i="33"/>
  <c r="AJ163" i="31"/>
  <c r="AF163" i="31"/>
  <c r="AC163" i="31"/>
  <c r="M230" i="31"/>
  <c r="AA128" i="33"/>
  <c r="AX108" i="33" s="1"/>
  <c r="AI190" i="33"/>
  <c r="AN190" i="33"/>
  <c r="U128" i="33"/>
  <c r="AL108" i="33" s="1"/>
  <c r="X128" i="33"/>
  <c r="AR108" i="33" s="1"/>
  <c r="BC190" i="33"/>
  <c r="Z128" i="33"/>
  <c r="AV108" i="33" s="1"/>
  <c r="AM210" i="33"/>
  <c r="AH190" i="33"/>
  <c r="BJ190" i="33"/>
  <c r="AT210" i="33"/>
  <c r="AX210" i="33"/>
  <c r="R128" i="33"/>
  <c r="AF108" i="33" s="1"/>
  <c r="Q128" i="33"/>
  <c r="AD108" i="33" s="1"/>
  <c r="Y128" i="33"/>
  <c r="AT108" i="33" s="1"/>
  <c r="AD210" i="33"/>
  <c r="AL210" i="33"/>
  <c r="AE190" i="33"/>
  <c r="AJ190" i="33"/>
  <c r="BH190" i="33"/>
  <c r="BI190" i="33"/>
  <c r="AW210" i="33"/>
  <c r="AD190" i="33"/>
  <c r="AS190" i="33"/>
  <c r="AF210" i="33"/>
  <c r="AV190" i="33"/>
  <c r="BF210" i="33"/>
  <c r="BL210" i="33"/>
  <c r="AY190" i="33"/>
  <c r="T128" i="33"/>
  <c r="AJ108" i="33" s="1"/>
  <c r="AR210" i="33"/>
  <c r="AW190" i="33"/>
  <c r="AV210" i="33"/>
  <c r="BK210" i="33"/>
  <c r="AM190" i="33"/>
  <c r="AD205" i="33"/>
  <c r="AC200" i="33"/>
  <c r="AI210" i="33"/>
  <c r="AH210" i="33"/>
  <c r="BE210" i="33"/>
  <c r="AK190" i="33"/>
  <c r="BA190" i="33"/>
  <c r="AY210" i="33"/>
  <c r="BJ210" i="33"/>
  <c r="AL190" i="33"/>
  <c r="BB190" i="33"/>
  <c r="J112" i="33"/>
  <c r="BK190" i="33"/>
  <c r="AG190" i="33"/>
  <c r="AU210" i="33"/>
  <c r="AD195" i="33"/>
  <c r="S128" i="33"/>
  <c r="AH108" i="33" s="1"/>
  <c r="AO210" i="33"/>
  <c r="BF190" i="33"/>
  <c r="AD200" i="33"/>
  <c r="BB210" i="33"/>
  <c r="AF190" i="33"/>
  <c r="AQ190" i="33"/>
  <c r="BG190" i="33"/>
  <c r="AR190" i="33"/>
  <c r="BL190" i="33"/>
  <c r="AC210" i="33"/>
  <c r="AS210" i="33"/>
  <c r="AE210" i="33"/>
  <c r="AJ210" i="33"/>
  <c r="AO190" i="33"/>
  <c r="AP190" i="33"/>
  <c r="AC190" i="33"/>
  <c r="BA210" i="33"/>
  <c r="AZ190" i="33"/>
  <c r="BD190" i="33"/>
  <c r="AB128" i="33"/>
  <c r="AZ108" i="33" s="1"/>
  <c r="V128" i="33"/>
  <c r="AN108" i="33" s="1"/>
  <c r="W128" i="33"/>
  <c r="AP108" i="33" s="1"/>
  <c r="D106" i="33"/>
  <c r="D126" i="33"/>
  <c r="H307" i="31"/>
  <c r="AY185" i="31"/>
  <c r="BK229" i="31" s="1"/>
  <c r="U304" i="31" s="1"/>
  <c r="O225" i="31"/>
  <c r="O121" i="31"/>
  <c r="O226" i="31" s="1"/>
  <c r="AM229" i="31"/>
  <c r="AY168" i="31"/>
  <c r="O209" i="31"/>
  <c r="O122" i="31"/>
  <c r="O229" i="31" s="1"/>
  <c r="BK206" i="31"/>
  <c r="BW229" i="31" s="1"/>
  <c r="V304" i="31" s="1"/>
  <c r="N299" i="31"/>
  <c r="AZ182" i="31"/>
  <c r="AZ183" i="31"/>
  <c r="AZ184" i="31" s="1"/>
  <c r="AN162" i="31"/>
  <c r="AM163" i="31"/>
  <c r="AZ167" i="31"/>
  <c r="AZ179" i="31"/>
  <c r="N219" i="31"/>
  <c r="M301" i="31"/>
  <c r="N19" i="17"/>
  <c r="BL189" i="31"/>
  <c r="BL190" i="31" s="1"/>
  <c r="N220" i="31"/>
  <c r="Z133" i="31"/>
  <c r="AA132" i="31"/>
  <c r="BK202" i="31"/>
  <c r="BL197" i="31"/>
  <c r="BL191" i="31"/>
  <c r="BL194" i="31"/>
  <c r="BL188" i="31"/>
  <c r="BL200" i="31"/>
  <c r="BL201" i="31"/>
  <c r="BL192" i="31"/>
  <c r="BL198" i="31"/>
  <c r="BL195" i="31"/>
  <c r="BK196" i="31"/>
  <c r="AY175" i="31"/>
  <c r="BK190" i="31"/>
  <c r="AY172" i="31"/>
  <c r="AY178" i="31"/>
  <c r="AN164" i="31"/>
  <c r="Z127" i="31"/>
  <c r="AA126" i="31"/>
  <c r="BK199" i="31"/>
  <c r="BK193" i="31"/>
  <c r="O114" i="31"/>
  <c r="O115" i="31" s="1"/>
  <c r="O218" i="31"/>
  <c r="O117" i="31"/>
  <c r="O221" i="31"/>
  <c r="N118" i="31"/>
  <c r="N223" i="31" s="1"/>
  <c r="N222" i="31"/>
  <c r="AC138" i="31"/>
  <c r="AB139" i="31"/>
  <c r="AC141" i="31"/>
  <c r="AB142" i="31"/>
  <c r="AO159" i="31"/>
  <c r="AN160" i="31"/>
  <c r="AL153" i="31"/>
  <c r="AK154" i="31"/>
  <c r="AO156" i="31"/>
  <c r="AN157" i="31"/>
  <c r="AO147" i="31"/>
  <c r="AN148" i="31"/>
  <c r="AA136" i="31"/>
  <c r="AB130" i="31"/>
  <c r="AC129" i="31"/>
  <c r="P116" i="31"/>
  <c r="P221" i="31" s="1"/>
  <c r="P107" i="31"/>
  <c r="P212" i="31" s="1"/>
  <c r="P113" i="31"/>
  <c r="O111" i="31"/>
  <c r="O216" i="31" s="1"/>
  <c r="N112" i="31"/>
  <c r="N217" i="31" s="1"/>
  <c r="O105" i="31"/>
  <c r="O210" i="31" s="1"/>
  <c r="N106" i="31"/>
  <c r="N211" i="31" s="1"/>
  <c r="O108" i="31"/>
  <c r="O213" i="31" s="1"/>
  <c r="N109" i="31"/>
  <c r="N214" i="31" s="1"/>
  <c r="P208" i="31"/>
  <c r="P120" i="31"/>
  <c r="P119" i="31"/>
  <c r="P224" i="31" s="1"/>
  <c r="G100" i="4" s="1"/>
  <c r="P110" i="31"/>
  <c r="P215" i="31" s="1"/>
  <c r="P104" i="31"/>
  <c r="Q103" i="31"/>
  <c r="BL204" i="31"/>
  <c r="BL203" i="31"/>
  <c r="BM187" i="31"/>
  <c r="AZ180" i="31"/>
  <c r="AZ181" i="31" s="1"/>
  <c r="AZ177" i="31"/>
  <c r="AZ176" i="31"/>
  <c r="AZ174" i="31"/>
  <c r="AZ173" i="31"/>
  <c r="AZ171" i="31"/>
  <c r="AZ170" i="31"/>
  <c r="BA166" i="31"/>
  <c r="D13" i="17"/>
  <c r="K113" i="33" l="1"/>
  <c r="H79" i="33" s="1"/>
  <c r="M113" i="33"/>
  <c r="J305" i="31"/>
  <c r="J307" i="31" s="1"/>
  <c r="AZ203" i="31"/>
  <c r="AM150" i="31"/>
  <c r="AN150" i="31" s="1"/>
  <c r="G85" i="17"/>
  <c r="N20" i="17"/>
  <c r="BK205" i="31"/>
  <c r="BG205" i="31"/>
  <c r="BD205" i="31"/>
  <c r="BF205" i="31"/>
  <c r="AZ205" i="31"/>
  <c r="BC205" i="31"/>
  <c r="BA205" i="31"/>
  <c r="BJ205" i="31"/>
  <c r="BE205" i="31"/>
  <c r="BH205" i="31"/>
  <c r="BI205" i="31"/>
  <c r="BB205" i="31"/>
  <c r="Y11" i="31"/>
  <c r="L305" i="31" s="1"/>
  <c r="AY169" i="31"/>
  <c r="F8" i="39"/>
  <c r="O228" i="31"/>
  <c r="D108" i="33"/>
  <c r="D128" i="33"/>
  <c r="BL206" i="31"/>
  <c r="P225" i="31"/>
  <c r="P121" i="31"/>
  <c r="AZ185" i="31"/>
  <c r="AZ168" i="31"/>
  <c r="P209" i="31"/>
  <c r="P122" i="31"/>
  <c r="AO162" i="31"/>
  <c r="AN163" i="31"/>
  <c r="BA182" i="31"/>
  <c r="BA183" i="31"/>
  <c r="BA184" i="31" s="1"/>
  <c r="O299" i="31"/>
  <c r="BA167" i="31"/>
  <c r="BA179" i="31"/>
  <c r="O219" i="31"/>
  <c r="O220" i="31"/>
  <c r="N301" i="31"/>
  <c r="O19" i="17"/>
  <c r="D45" i="17"/>
  <c r="D78" i="17" s="1"/>
  <c r="CV79" i="17"/>
  <c r="CU79" i="17" s="1"/>
  <c r="BM189" i="31"/>
  <c r="BM190" i="31" s="1"/>
  <c r="BL202" i="31"/>
  <c r="AZ175" i="31"/>
  <c r="BL196" i="31"/>
  <c r="BM200" i="31"/>
  <c r="BM191" i="31"/>
  <c r="BM197" i="31"/>
  <c r="BM194" i="31"/>
  <c r="BM188" i="31"/>
  <c r="BM201" i="31"/>
  <c r="BM192" i="31"/>
  <c r="BM198" i="31"/>
  <c r="BM195" i="31"/>
  <c r="AO164" i="31"/>
  <c r="BL205" i="31"/>
  <c r="BL199" i="31"/>
  <c r="AZ172" i="31"/>
  <c r="AZ178" i="31"/>
  <c r="P114" i="31"/>
  <c r="P115" i="31" s="1"/>
  <c r="P218" i="31"/>
  <c r="AA127" i="31"/>
  <c r="AB126" i="31"/>
  <c r="BL193" i="31"/>
  <c r="AB132" i="31"/>
  <c r="AA133" i="31"/>
  <c r="P117" i="31"/>
  <c r="O118" i="31"/>
  <c r="O223" i="31" s="1"/>
  <c r="O222" i="31"/>
  <c r="AD141" i="31"/>
  <c r="AC142" i="31"/>
  <c r="AD138" i="31"/>
  <c r="AC139" i="31"/>
  <c r="AP159" i="31"/>
  <c r="AO160" i="31"/>
  <c r="AP156" i="31"/>
  <c r="AO157" i="31"/>
  <c r="AL154" i="31"/>
  <c r="AM153" i="31"/>
  <c r="AP147" i="31"/>
  <c r="AO148" i="31"/>
  <c r="AB136" i="31"/>
  <c r="AC130" i="31"/>
  <c r="AD129" i="31"/>
  <c r="P111" i="31"/>
  <c r="P216" i="31" s="1"/>
  <c r="O112" i="31"/>
  <c r="O217" i="31" s="1"/>
  <c r="Q116" i="31"/>
  <c r="Q113" i="31"/>
  <c r="Q107" i="31"/>
  <c r="Q212" i="31" s="1"/>
  <c r="P105" i="31"/>
  <c r="O106" i="31"/>
  <c r="O211" i="31" s="1"/>
  <c r="P108" i="31"/>
  <c r="P213" i="31" s="1"/>
  <c r="O109" i="31"/>
  <c r="O214" i="31" s="1"/>
  <c r="BM204" i="31"/>
  <c r="BM203" i="31"/>
  <c r="BN187" i="31"/>
  <c r="Q208" i="31"/>
  <c r="Q120" i="31"/>
  <c r="Q119" i="31"/>
  <c r="Q224" i="31" s="1"/>
  <c r="R103" i="31"/>
  <c r="Q110" i="31"/>
  <c r="Q215" i="31" s="1"/>
  <c r="Q104" i="31"/>
  <c r="BA180" i="31"/>
  <c r="BA181" i="31" s="1"/>
  <c r="BB166" i="31"/>
  <c r="BA174" i="31"/>
  <c r="BA176" i="31"/>
  <c r="BA171" i="31"/>
  <c r="BA173" i="31"/>
  <c r="BA177" i="31"/>
  <c r="BA170" i="31"/>
  <c r="H84" i="17" l="1"/>
  <c r="AM151" i="31"/>
  <c r="O20" i="17"/>
  <c r="H85" i="17"/>
  <c r="P299" i="31"/>
  <c r="AN151" i="31"/>
  <c r="AZ169" i="31"/>
  <c r="D127" i="33"/>
  <c r="O230" i="31"/>
  <c r="I84" i="17"/>
  <c r="L307" i="31"/>
  <c r="BM206" i="31"/>
  <c r="Q225" i="31"/>
  <c r="Q121" i="31"/>
  <c r="Q226" i="31" s="1"/>
  <c r="BA185" i="31"/>
  <c r="BA168" i="31"/>
  <c r="Q209" i="31"/>
  <c r="Q122" i="31"/>
  <c r="BB182" i="31"/>
  <c r="BB183" i="31"/>
  <c r="BB184" i="31" s="1"/>
  <c r="AP162" i="31"/>
  <c r="AO163" i="31"/>
  <c r="BB167" i="31"/>
  <c r="BB179" i="31"/>
  <c r="P219" i="31"/>
  <c r="P220" i="31"/>
  <c r="O301" i="31"/>
  <c r="P19" i="17"/>
  <c r="BA175" i="31"/>
  <c r="AB127" i="31"/>
  <c r="AC126" i="31"/>
  <c r="BM202" i="31"/>
  <c r="Q117" i="31"/>
  <c r="Q221" i="31"/>
  <c r="P118" i="31"/>
  <c r="P223" i="31" s="1"/>
  <c r="P222" i="31"/>
  <c r="BM196" i="31"/>
  <c r="BN188" i="31"/>
  <c r="BN191" i="31"/>
  <c r="BN194" i="31"/>
  <c r="BN200" i="31"/>
  <c r="BN197" i="31"/>
  <c r="BN201" i="31"/>
  <c r="BN192" i="31"/>
  <c r="BN198" i="31"/>
  <c r="BN195" i="31"/>
  <c r="AO150" i="31"/>
  <c r="BA172" i="31"/>
  <c r="AP164" i="31"/>
  <c r="BM199" i="31"/>
  <c r="BA178" i="31"/>
  <c r="Q114" i="31"/>
  <c r="Q115" i="31" s="1"/>
  <c r="Q218" i="31"/>
  <c r="BN189" i="31"/>
  <c r="BN190" i="31" s="1"/>
  <c r="BM205" i="31"/>
  <c r="P106" i="31"/>
  <c r="P211" i="31" s="1"/>
  <c r="P210" i="31"/>
  <c r="AB133" i="31"/>
  <c r="AC132" i="31"/>
  <c r="BM193" i="31"/>
  <c r="AE138" i="31"/>
  <c r="AD139" i="31"/>
  <c r="AE141" i="31"/>
  <c r="AD142" i="31"/>
  <c r="AP160" i="31"/>
  <c r="AQ159" i="31"/>
  <c r="AM154" i="31"/>
  <c r="AN153" i="31"/>
  <c r="AP157" i="31"/>
  <c r="AQ156" i="31"/>
  <c r="AQ147" i="31"/>
  <c r="AP148" i="31"/>
  <c r="AC136" i="31"/>
  <c r="AD130" i="31"/>
  <c r="AE129" i="31"/>
  <c r="Q111" i="31"/>
  <c r="Q216" i="31" s="1"/>
  <c r="P112" i="31"/>
  <c r="P217" i="31" s="1"/>
  <c r="R107" i="31"/>
  <c r="R212" i="31" s="1"/>
  <c r="R116" i="31"/>
  <c r="R113" i="31"/>
  <c r="Q105" i="31"/>
  <c r="Q210" i="31" s="1"/>
  <c r="Q108" i="31"/>
  <c r="Q213" i="31" s="1"/>
  <c r="P109" i="31"/>
  <c r="P214" i="31" s="1"/>
  <c r="BN204" i="31"/>
  <c r="BN203" i="31"/>
  <c r="BO187" i="31"/>
  <c r="BC166" i="31"/>
  <c r="BB180" i="31"/>
  <c r="BB181" i="31" s="1"/>
  <c r="BB177" i="31"/>
  <c r="BB176" i="31"/>
  <c r="BB174" i="31"/>
  <c r="BB173" i="31"/>
  <c r="BB171" i="31"/>
  <c r="BB170" i="31"/>
  <c r="R208" i="31"/>
  <c r="R119" i="31"/>
  <c r="R224" i="31" s="1"/>
  <c r="S103" i="31"/>
  <c r="R120" i="31"/>
  <c r="R110" i="31"/>
  <c r="R215" i="31" s="1"/>
  <c r="R104" i="31"/>
  <c r="E51" i="17" l="1"/>
  <c r="E52" i="17" s="1"/>
  <c r="P20" i="17"/>
  <c r="I85" i="17"/>
  <c r="AO151" i="31"/>
  <c r="BA169" i="31"/>
  <c r="BN206" i="31"/>
  <c r="Q228" i="31"/>
  <c r="R225" i="31"/>
  <c r="R121" i="31"/>
  <c r="BB185" i="31"/>
  <c r="BB168" i="31"/>
  <c r="BB169" i="31" s="1"/>
  <c r="R209" i="31"/>
  <c r="R122" i="31"/>
  <c r="BC182" i="31"/>
  <c r="BC183" i="31"/>
  <c r="BC184" i="31" s="1"/>
  <c r="AQ162" i="31"/>
  <c r="AP163" i="31"/>
  <c r="Q299" i="31"/>
  <c r="BC167" i="31"/>
  <c r="BC179" i="31"/>
  <c r="Q219" i="31"/>
  <c r="Q220" i="31"/>
  <c r="BB175" i="31"/>
  <c r="R117" i="31"/>
  <c r="R221" i="31"/>
  <c r="BN196" i="31"/>
  <c r="BO188" i="31"/>
  <c r="BO191" i="31"/>
  <c r="BO200" i="31"/>
  <c r="BO194" i="31"/>
  <c r="BO197" i="31"/>
  <c r="BO201" i="31"/>
  <c r="BO192" i="31"/>
  <c r="BO198" i="31"/>
  <c r="BO195" i="31"/>
  <c r="BN199" i="31"/>
  <c r="Q118" i="31"/>
  <c r="Q223" i="31" s="1"/>
  <c r="Q222" i="31"/>
  <c r="AP150" i="31"/>
  <c r="BB178" i="31"/>
  <c r="AQ164" i="31"/>
  <c r="AD132" i="31"/>
  <c r="AC133" i="31"/>
  <c r="BN193" i="31"/>
  <c r="AD126" i="31"/>
  <c r="AC127" i="31"/>
  <c r="BB172" i="31"/>
  <c r="BN205" i="31"/>
  <c r="R114" i="31"/>
  <c r="R115" i="31" s="1"/>
  <c r="R218" i="31"/>
  <c r="BO189" i="31"/>
  <c r="BO190" i="31" s="1"/>
  <c r="BN202" i="31"/>
  <c r="AF141" i="31"/>
  <c r="AE142" i="31"/>
  <c r="AE139" i="31"/>
  <c r="AF138" i="31"/>
  <c r="AQ160" i="31"/>
  <c r="AR159" i="31"/>
  <c r="AQ157" i="31"/>
  <c r="AR156" i="31"/>
  <c r="AN154" i="31"/>
  <c r="AO153" i="31"/>
  <c r="AR147" i="31"/>
  <c r="AQ148" i="31"/>
  <c r="AD136" i="31"/>
  <c r="AF129" i="31"/>
  <c r="AE130" i="31"/>
  <c r="S107" i="31"/>
  <c r="S212" i="31" s="1"/>
  <c r="S116" i="31"/>
  <c r="S113" i="31"/>
  <c r="R111" i="31"/>
  <c r="R216" i="31" s="1"/>
  <c r="Q112" i="31"/>
  <c r="Q217" i="31" s="1"/>
  <c r="R105" i="31"/>
  <c r="R210" i="31" s="1"/>
  <c r="Q106" i="31"/>
  <c r="Q211" i="31" s="1"/>
  <c r="R108" i="31"/>
  <c r="R213" i="31" s="1"/>
  <c r="Q109" i="31"/>
  <c r="Q214" i="31" s="1"/>
  <c r="BC180" i="31"/>
  <c r="BC181" i="31" s="1"/>
  <c r="BD166" i="31"/>
  <c r="BC177" i="31"/>
  <c r="BC176" i="31"/>
  <c r="BC174" i="31"/>
  <c r="BC173" i="31"/>
  <c r="BC171" i="31"/>
  <c r="BC170" i="31"/>
  <c r="BP187" i="31"/>
  <c r="BO203" i="31"/>
  <c r="BO204" i="31"/>
  <c r="S208" i="31"/>
  <c r="S119" i="31"/>
  <c r="S224" i="31" s="1"/>
  <c r="T103" i="31"/>
  <c r="S104" i="31"/>
  <c r="S120" i="31"/>
  <c r="S110" i="31"/>
  <c r="S215" i="31" s="1"/>
  <c r="AP151" i="31" l="1"/>
  <c r="Q230" i="31"/>
  <c r="S225" i="31"/>
  <c r="S121" i="31"/>
  <c r="BO206" i="31"/>
  <c r="BC168" i="31"/>
  <c r="BC169" i="31" s="1"/>
  <c r="BC185" i="31"/>
  <c r="S209" i="31"/>
  <c r="S122" i="31"/>
  <c r="BD182" i="31"/>
  <c r="BD183" i="31"/>
  <c r="BD184" i="31" s="1"/>
  <c r="AR162" i="31"/>
  <c r="AQ163" i="31"/>
  <c r="R299" i="31"/>
  <c r="BD167" i="31"/>
  <c r="BD179" i="31"/>
  <c r="R219" i="31"/>
  <c r="R220" i="31"/>
  <c r="F51" i="17"/>
  <c r="F52" i="17" s="1"/>
  <c r="BP189" i="31"/>
  <c r="BP190" i="31" s="1"/>
  <c r="BC175" i="31"/>
  <c r="BO202" i="31"/>
  <c r="R118" i="31"/>
  <c r="R223" i="31" s="1"/>
  <c r="R222" i="31"/>
  <c r="S114" i="31"/>
  <c r="S115" i="31" s="1"/>
  <c r="S218" i="31"/>
  <c r="AE126" i="31"/>
  <c r="AD127" i="31"/>
  <c r="AQ150" i="31"/>
  <c r="BO196" i="31"/>
  <c r="AD133" i="31"/>
  <c r="AE132" i="31"/>
  <c r="BO193" i="31"/>
  <c r="BP197" i="31"/>
  <c r="BP194" i="31"/>
  <c r="BP188" i="31"/>
  <c r="BP191" i="31"/>
  <c r="BP200" i="31"/>
  <c r="BP201" i="31"/>
  <c r="BP192" i="31"/>
  <c r="BP198" i="31"/>
  <c r="BP195" i="31"/>
  <c r="BO205" i="31"/>
  <c r="BC172" i="31"/>
  <c r="BC178" i="31"/>
  <c r="S117" i="31"/>
  <c r="S221" i="31"/>
  <c r="AR164" i="31"/>
  <c r="BO199" i="31"/>
  <c r="AF139" i="31"/>
  <c r="AG138" i="31"/>
  <c r="AG141" i="31"/>
  <c r="AF142" i="31"/>
  <c r="AS159" i="31"/>
  <c r="AR160" i="31"/>
  <c r="AS156" i="31"/>
  <c r="AR157" i="31"/>
  <c r="AO154" i="31"/>
  <c r="AP153" i="31"/>
  <c r="AS147" i="31"/>
  <c r="AR148" i="31"/>
  <c r="AE136" i="31"/>
  <c r="AF130" i="31"/>
  <c r="AG129" i="31"/>
  <c r="T116" i="31"/>
  <c r="T113" i="31"/>
  <c r="T107" i="31"/>
  <c r="T212" i="31" s="1"/>
  <c r="S111" i="31"/>
  <c r="S216" i="31" s="1"/>
  <c r="R112" i="31"/>
  <c r="R217" i="31" s="1"/>
  <c r="S105" i="31"/>
  <c r="S210" i="31" s="1"/>
  <c r="R106" i="31"/>
  <c r="R211" i="31" s="1"/>
  <c r="S108" i="31"/>
  <c r="S213" i="31" s="1"/>
  <c r="R109" i="31"/>
  <c r="R214" i="31" s="1"/>
  <c r="BD180" i="31"/>
  <c r="BD181" i="31" s="1"/>
  <c r="BD177" i="31"/>
  <c r="BD176" i="31"/>
  <c r="BD174" i="31"/>
  <c r="BD173" i="31"/>
  <c r="BD171" i="31"/>
  <c r="BD170" i="31"/>
  <c r="BE166" i="31"/>
  <c r="BP204" i="31"/>
  <c r="BP203" i="31"/>
  <c r="BQ187" i="31"/>
  <c r="T208" i="31"/>
  <c r="T120" i="31"/>
  <c r="T119" i="31"/>
  <c r="T224" i="31" s="1"/>
  <c r="T110" i="31"/>
  <c r="T215" i="31" s="1"/>
  <c r="T104" i="31"/>
  <c r="U103" i="31"/>
  <c r="AQ151" i="31" l="1"/>
  <c r="T225" i="31"/>
  <c r="T121" i="31"/>
  <c r="S299" i="31"/>
  <c r="BD185" i="31"/>
  <c r="BD168" i="31"/>
  <c r="BD169" i="31" s="1"/>
  <c r="T209" i="31"/>
  <c r="T122" i="31"/>
  <c r="BP206" i="31"/>
  <c r="AS162" i="31"/>
  <c r="AR163" i="31"/>
  <c r="BE182" i="31"/>
  <c r="BE183" i="31"/>
  <c r="BE184" i="31" s="1"/>
  <c r="BE167" i="31"/>
  <c r="BE179" i="31"/>
  <c r="S219" i="31"/>
  <c r="S220" i="31"/>
  <c r="G51" i="17"/>
  <c r="G52" i="17" s="1"/>
  <c r="BP193" i="31"/>
  <c r="BP205" i="31"/>
  <c r="AR150" i="31"/>
  <c r="BP202" i="31"/>
  <c r="BD172" i="31"/>
  <c r="BD178" i="31"/>
  <c r="T114" i="31"/>
  <c r="T115" i="31" s="1"/>
  <c r="T218" i="31"/>
  <c r="AS164" i="31"/>
  <c r="BP196" i="31"/>
  <c r="AE133" i="31"/>
  <c r="AF132" i="31"/>
  <c r="BD175" i="31"/>
  <c r="BQ191" i="31"/>
  <c r="BQ197" i="31"/>
  <c r="BQ200" i="31"/>
  <c r="BQ194" i="31"/>
  <c r="BQ188" i="31"/>
  <c r="BQ201" i="31"/>
  <c r="BQ192" i="31"/>
  <c r="BQ198" i="31"/>
  <c r="BQ195" i="31"/>
  <c r="T117" i="31"/>
  <c r="T221" i="31"/>
  <c r="BQ189" i="31"/>
  <c r="BQ190" i="31" s="1"/>
  <c r="S118" i="31"/>
  <c r="S223" i="31" s="1"/>
  <c r="S222" i="31"/>
  <c r="BP199" i="31"/>
  <c r="AE127" i="31"/>
  <c r="AF126" i="31"/>
  <c r="AH141" i="31"/>
  <c r="AG142" i="31"/>
  <c r="AG139" i="31"/>
  <c r="AH138" i="31"/>
  <c r="AT159" i="31"/>
  <c r="AS160" i="31"/>
  <c r="AP154" i="31"/>
  <c r="AQ153" i="31"/>
  <c r="AT156" i="31"/>
  <c r="AS157" i="31"/>
  <c r="AT147" i="31"/>
  <c r="AS148" i="31"/>
  <c r="AF136" i="31"/>
  <c r="AH129" i="31"/>
  <c r="AG130" i="31"/>
  <c r="T111" i="31"/>
  <c r="T216" i="31" s="1"/>
  <c r="S112" i="31"/>
  <c r="S217" i="31" s="1"/>
  <c r="U116" i="31"/>
  <c r="U113" i="31"/>
  <c r="U107" i="31"/>
  <c r="U212" i="31" s="1"/>
  <c r="T105" i="31"/>
  <c r="T210" i="31" s="1"/>
  <c r="S106" i="31"/>
  <c r="S211" i="31" s="1"/>
  <c r="T108" i="31"/>
  <c r="T213" i="31" s="1"/>
  <c r="S109" i="31"/>
  <c r="S214" i="31" s="1"/>
  <c r="BQ204" i="31"/>
  <c r="BQ203" i="31"/>
  <c r="BR187" i="31"/>
  <c r="BE180" i="31"/>
  <c r="BE181" i="31" s="1"/>
  <c r="BF166" i="31"/>
  <c r="BE176" i="31"/>
  <c r="BE171" i="31"/>
  <c r="BE173" i="31"/>
  <c r="BE177" i="31"/>
  <c r="BE170" i="31"/>
  <c r="BE174" i="31"/>
  <c r="U208" i="31"/>
  <c r="U120" i="31"/>
  <c r="U119" i="31"/>
  <c r="U224" i="31" s="1"/>
  <c r="V103" i="31"/>
  <c r="U110" i="31"/>
  <c r="U215" i="31" s="1"/>
  <c r="U104" i="31"/>
  <c r="CW73" i="17"/>
  <c r="CW74" i="17"/>
  <c r="CW75" i="17"/>
  <c r="CW72" i="17"/>
  <c r="CW61" i="17"/>
  <c r="CW94" i="17" s="1"/>
  <c r="CW62" i="17"/>
  <c r="CW95" i="17" s="1"/>
  <c r="CW63" i="17"/>
  <c r="CW96" i="17" s="1"/>
  <c r="CW64" i="17"/>
  <c r="CW97" i="17" s="1"/>
  <c r="CW65" i="17"/>
  <c r="CW98" i="17" s="1"/>
  <c r="CW66" i="17"/>
  <c r="CW99" i="17" s="1"/>
  <c r="CW67" i="17"/>
  <c r="CW100" i="17" s="1"/>
  <c r="CW58" i="17"/>
  <c r="CW92" i="17" s="1"/>
  <c r="CW48" i="17"/>
  <c r="CW82" i="17" s="1"/>
  <c r="CW49" i="17"/>
  <c r="CW83" i="17" s="1"/>
  <c r="CW50" i="17"/>
  <c r="CW84" i="17" s="1"/>
  <c r="CW46" i="17"/>
  <c r="CW81" i="17" s="1"/>
  <c r="CW39" i="17"/>
  <c r="CW41" i="17"/>
  <c r="CW38" i="17"/>
  <c r="E31" i="17"/>
  <c r="F93" i="17"/>
  <c r="Q16" i="17"/>
  <c r="E81" i="17" s="1"/>
  <c r="Q48" i="17"/>
  <c r="F81" i="17" s="1"/>
  <c r="AR151" i="31" l="1"/>
  <c r="U225" i="31"/>
  <c r="U121" i="31"/>
  <c r="T299" i="31"/>
  <c r="BE168" i="31"/>
  <c r="BE169" i="31" s="1"/>
  <c r="BE185" i="31"/>
  <c r="U209" i="31"/>
  <c r="U122" i="31"/>
  <c r="BQ206" i="31"/>
  <c r="BF182" i="31"/>
  <c r="BF183" i="31"/>
  <c r="BF184" i="31" s="1"/>
  <c r="AT162" i="31"/>
  <c r="AS163" i="31"/>
  <c r="BF167" i="31"/>
  <c r="BF179" i="31"/>
  <c r="T219" i="31"/>
  <c r="H51" i="17"/>
  <c r="H52" i="17" s="1"/>
  <c r="E93" i="17"/>
  <c r="T220" i="31"/>
  <c r="BE175" i="31"/>
  <c r="BE172" i="31"/>
  <c r="T118" i="31"/>
  <c r="T223" i="31" s="1"/>
  <c r="T222" i="31"/>
  <c r="BQ199" i="31"/>
  <c r="BQ205" i="31"/>
  <c r="AT164" i="31"/>
  <c r="BQ196" i="31"/>
  <c r="BR188" i="31"/>
  <c r="BR191" i="31"/>
  <c r="BR194" i="31"/>
  <c r="BR197" i="31"/>
  <c r="BR200" i="31"/>
  <c r="BR201" i="31"/>
  <c r="BR192" i="31"/>
  <c r="BR198" i="31"/>
  <c r="BR195" i="31"/>
  <c r="U114" i="31"/>
  <c r="U115" i="31" s="1"/>
  <c r="U218" i="31"/>
  <c r="AG126" i="31"/>
  <c r="AF127" i="31"/>
  <c r="BQ193" i="31"/>
  <c r="AG132" i="31"/>
  <c r="AF133" i="31"/>
  <c r="BE178" i="31"/>
  <c r="U117" i="31"/>
  <c r="U221" i="31"/>
  <c r="BR189" i="31"/>
  <c r="BR190" i="31" s="1"/>
  <c r="BQ202" i="31"/>
  <c r="AS150" i="31"/>
  <c r="AS151" i="31" s="1"/>
  <c r="AH139" i="31"/>
  <c r="AI138" i="31"/>
  <c r="AH142" i="31"/>
  <c r="AI141" i="31"/>
  <c r="AT160" i="31"/>
  <c r="AU159" i="31"/>
  <c r="AT157" i="31"/>
  <c r="AU156" i="31"/>
  <c r="AR153" i="31"/>
  <c r="AQ154" i="31"/>
  <c r="AU147" i="31"/>
  <c r="AT148" i="31"/>
  <c r="AG136" i="31"/>
  <c r="AI129" i="31"/>
  <c r="AH130" i="31"/>
  <c r="U111" i="31"/>
  <c r="U216" i="31" s="1"/>
  <c r="T112" i="31"/>
  <c r="T217" i="31" s="1"/>
  <c r="V107" i="31"/>
  <c r="V212" i="31" s="1"/>
  <c r="V116" i="31"/>
  <c r="V113" i="31"/>
  <c r="U105" i="31"/>
  <c r="U210" i="31" s="1"/>
  <c r="T106" i="31"/>
  <c r="T211" i="31" s="1"/>
  <c r="U108" i="31"/>
  <c r="U213" i="31" s="1"/>
  <c r="T109" i="31"/>
  <c r="T214" i="31" s="1"/>
  <c r="V208" i="31"/>
  <c r="V120" i="31"/>
  <c r="W103" i="31"/>
  <c r="V119" i="31"/>
  <c r="V224" i="31" s="1"/>
  <c r="V110" i="31"/>
  <c r="V215" i="31" s="1"/>
  <c r="V104" i="31"/>
  <c r="BF180" i="31"/>
  <c r="BF181" i="31" s="1"/>
  <c r="BG166" i="31"/>
  <c r="BF177" i="31"/>
  <c r="BF176" i="31"/>
  <c r="BF174" i="31"/>
  <c r="BF173" i="31"/>
  <c r="BF171" i="31"/>
  <c r="BF170" i="31"/>
  <c r="BR204" i="31"/>
  <c r="BR203" i="31"/>
  <c r="BS187" i="31"/>
  <c r="Q8" i="17"/>
  <c r="E73" i="17" s="1"/>
  <c r="E96" i="17" s="1"/>
  <c r="F71" i="17"/>
  <c r="G71" i="17" s="1"/>
  <c r="H71" i="17" s="1"/>
  <c r="I71" i="17" s="1"/>
  <c r="F203" i="17"/>
  <c r="G203" i="17" s="1"/>
  <c r="H203" i="17" s="1"/>
  <c r="I203" i="17" s="1"/>
  <c r="C36" i="17"/>
  <c r="V225" i="31" l="1"/>
  <c r="V121" i="31"/>
  <c r="V226" i="31" s="1"/>
  <c r="BF168" i="31"/>
  <c r="BF169" i="31" s="1"/>
  <c r="BF185" i="31"/>
  <c r="U299" i="31"/>
  <c r="V209" i="31"/>
  <c r="V122" i="31"/>
  <c r="BR206" i="31"/>
  <c r="AU162" i="31"/>
  <c r="AT163" i="31"/>
  <c r="BG182" i="31"/>
  <c r="BG183" i="31"/>
  <c r="BG184" i="31" s="1"/>
  <c r="BG167" i="31"/>
  <c r="BG179" i="31"/>
  <c r="U219" i="31"/>
  <c r="U220" i="31"/>
  <c r="I51" i="17"/>
  <c r="I52" i="17" s="1"/>
  <c r="BR199" i="31"/>
  <c r="AT150" i="31"/>
  <c r="AT151" i="31" s="1"/>
  <c r="BF172" i="31"/>
  <c r="BF178" i="31"/>
  <c r="V117" i="31"/>
  <c r="V221" i="31"/>
  <c r="U118" i="31"/>
  <c r="U223" i="31" s="1"/>
  <c r="U222" i="31"/>
  <c r="BR193" i="31"/>
  <c r="BS191" i="31"/>
  <c r="BS188" i="31"/>
  <c r="BS194" i="31"/>
  <c r="BS197" i="31"/>
  <c r="BS200" i="31"/>
  <c r="BS201" i="31"/>
  <c r="BS192" i="31"/>
  <c r="BS198" i="31"/>
  <c r="BS195" i="31"/>
  <c r="V114" i="31"/>
  <c r="V115" i="31" s="1"/>
  <c r="V218" i="31"/>
  <c r="BR205" i="31"/>
  <c r="BS189" i="31"/>
  <c r="BS190" i="31" s="1"/>
  <c r="AG133" i="31"/>
  <c r="AH132" i="31"/>
  <c r="AG127" i="31"/>
  <c r="AH126" i="31"/>
  <c r="BR202" i="31"/>
  <c r="BF175" i="31"/>
  <c r="AU164" i="31"/>
  <c r="BR196" i="31"/>
  <c r="AJ141" i="31"/>
  <c r="AI142" i="31"/>
  <c r="AI139" i="31"/>
  <c r="AJ138" i="31"/>
  <c r="AU160" i="31"/>
  <c r="AV159" i="31"/>
  <c r="AR154" i="31"/>
  <c r="AS153" i="31"/>
  <c r="AU157" i="31"/>
  <c r="AV156" i="31"/>
  <c r="AV147" i="31"/>
  <c r="AU148" i="31"/>
  <c r="AH136" i="31"/>
  <c r="AI130" i="31"/>
  <c r="AJ129" i="31"/>
  <c r="V111" i="31"/>
  <c r="V216" i="31" s="1"/>
  <c r="U112" i="31"/>
  <c r="U217" i="31" s="1"/>
  <c r="W107" i="31"/>
  <c r="W212" i="31" s="1"/>
  <c r="W116" i="31"/>
  <c r="W113" i="31"/>
  <c r="V105" i="31"/>
  <c r="V210" i="31" s="1"/>
  <c r="U106" i="31"/>
  <c r="U211" i="31" s="1"/>
  <c r="V108" i="31"/>
  <c r="V213" i="31" s="1"/>
  <c r="U109" i="31"/>
  <c r="U214" i="31" s="1"/>
  <c r="W208" i="31"/>
  <c r="X103" i="31"/>
  <c r="W119" i="31"/>
  <c r="W224" i="31" s="1"/>
  <c r="W110" i="31"/>
  <c r="W215" i="31" s="1"/>
  <c r="W104" i="31"/>
  <c r="W120" i="31"/>
  <c r="BS203" i="31"/>
  <c r="BT187" i="31"/>
  <c r="BS204" i="31"/>
  <c r="BH166" i="31"/>
  <c r="BG180" i="31"/>
  <c r="BG181" i="31" s="1"/>
  <c r="BG177" i="31"/>
  <c r="BG176" i="31"/>
  <c r="BG174" i="31"/>
  <c r="BG173" i="31"/>
  <c r="BG171" i="31"/>
  <c r="BG170" i="31"/>
  <c r="I194" i="17"/>
  <c r="K38" i="17"/>
  <c r="J194" i="17"/>
  <c r="Q46" i="17"/>
  <c r="F79" i="17" s="1"/>
  <c r="H198" i="17"/>
  <c r="F38" i="17"/>
  <c r="O198" i="17"/>
  <c r="L198" i="17"/>
  <c r="M198" i="17"/>
  <c r="P194" i="17"/>
  <c r="E194" i="17"/>
  <c r="Q14" i="17"/>
  <c r="E79" i="17" s="1"/>
  <c r="N38" i="17"/>
  <c r="H1" i="13"/>
  <c r="CW60" i="17"/>
  <c r="CU60" i="17" s="1"/>
  <c r="V228" i="31" l="1"/>
  <c r="V299" i="31"/>
  <c r="W225" i="31"/>
  <c r="W121" i="31"/>
  <c r="BG168" i="31"/>
  <c r="BG169" i="31" s="1"/>
  <c r="BG185" i="31"/>
  <c r="W209" i="31"/>
  <c r="W122" i="31"/>
  <c r="BS206" i="31"/>
  <c r="BH182" i="31"/>
  <c r="BH183" i="31"/>
  <c r="BH184" i="31" s="1"/>
  <c r="AV162" i="31"/>
  <c r="AU163" i="31"/>
  <c r="BH167" i="31"/>
  <c r="BH179" i="31"/>
  <c r="V219" i="31"/>
  <c r="V220" i="31"/>
  <c r="J51" i="17"/>
  <c r="J52" i="17" s="1"/>
  <c r="P13" i="32"/>
  <c r="E38" i="32" s="1"/>
  <c r="BT189" i="31"/>
  <c r="BT190" i="31" s="1"/>
  <c r="AH127" i="31"/>
  <c r="AI126" i="31"/>
  <c r="BG172" i="31"/>
  <c r="BG178" i="31"/>
  <c r="AU150" i="31"/>
  <c r="AU151" i="31" s="1"/>
  <c r="BS193" i="31"/>
  <c r="W117" i="31"/>
  <c r="W221" i="31"/>
  <c r="BS199" i="31"/>
  <c r="BS205" i="31"/>
  <c r="AV164" i="31"/>
  <c r="BS202" i="31"/>
  <c r="BG175" i="31"/>
  <c r="BT197" i="31"/>
  <c r="BT188" i="31"/>
  <c r="BT194" i="31"/>
  <c r="BT191" i="31"/>
  <c r="BT200" i="31"/>
  <c r="BT201" i="31"/>
  <c r="BT192" i="31"/>
  <c r="BT198" i="31"/>
  <c r="BT195" i="31"/>
  <c r="W114" i="31"/>
  <c r="W115" i="31" s="1"/>
  <c r="W218" i="31"/>
  <c r="AH133" i="31"/>
  <c r="AI132" i="31"/>
  <c r="BS196" i="31"/>
  <c r="V118" i="31"/>
  <c r="V223" i="31" s="1"/>
  <c r="V222" i="31"/>
  <c r="AK138" i="31"/>
  <c r="AJ139" i="31"/>
  <c r="AK141" i="31"/>
  <c r="AJ142" i="31"/>
  <c r="AW159" i="31"/>
  <c r="AV160" i="31"/>
  <c r="AW156" i="31"/>
  <c r="AV157" i="31"/>
  <c r="AS154" i="31"/>
  <c r="AT153" i="31"/>
  <c r="AW147" i="31"/>
  <c r="AV148" i="31"/>
  <c r="AI136" i="31"/>
  <c r="AK129" i="31"/>
  <c r="AJ130" i="31"/>
  <c r="W111" i="31"/>
  <c r="W216" i="31" s="1"/>
  <c r="V112" i="31"/>
  <c r="V217" i="31" s="1"/>
  <c r="X116" i="31"/>
  <c r="X113" i="31"/>
  <c r="X107" i="31"/>
  <c r="X212" i="31" s="1"/>
  <c r="W105" i="31"/>
  <c r="W210" i="31" s="1"/>
  <c r="V106" i="31"/>
  <c r="V211" i="31" s="1"/>
  <c r="W108" i="31"/>
  <c r="W213" i="31" s="1"/>
  <c r="V109" i="31"/>
  <c r="V214" i="31" s="1"/>
  <c r="BH180" i="31"/>
  <c r="BH181" i="31" s="1"/>
  <c r="BH177" i="31"/>
  <c r="BH176" i="31"/>
  <c r="BH174" i="31"/>
  <c r="BH173" i="31"/>
  <c r="BH171" i="31"/>
  <c r="BH170" i="31"/>
  <c r="BI166" i="31"/>
  <c r="X208" i="31"/>
  <c r="X120" i="31"/>
  <c r="X119" i="31"/>
  <c r="X224" i="31" s="1"/>
  <c r="X110" i="31"/>
  <c r="X215" i="31" s="1"/>
  <c r="X104" i="31"/>
  <c r="Y103" i="31"/>
  <c r="BT204" i="31"/>
  <c r="BT203" i="31"/>
  <c r="BU187" i="31"/>
  <c r="K198" i="17"/>
  <c r="I38" i="17"/>
  <c r="I198" i="17"/>
  <c r="K194" i="17"/>
  <c r="H38" i="17"/>
  <c r="H194" i="17"/>
  <c r="M194" i="17"/>
  <c r="O38" i="17"/>
  <c r="F194" i="17"/>
  <c r="O194" i="17"/>
  <c r="E198" i="17"/>
  <c r="E38" i="17"/>
  <c r="P198" i="17"/>
  <c r="L194" i="17"/>
  <c r="L38" i="17"/>
  <c r="P38" i="17"/>
  <c r="J198" i="17"/>
  <c r="J38" i="17"/>
  <c r="N194" i="17"/>
  <c r="M38" i="17"/>
  <c r="F198" i="17"/>
  <c r="N198" i="17"/>
  <c r="G194" i="17"/>
  <c r="G38" i="17"/>
  <c r="G198" i="17"/>
  <c r="V230" i="31" l="1"/>
  <c r="X225" i="31"/>
  <c r="X121" i="31"/>
  <c r="BT206" i="31"/>
  <c r="BH185" i="31"/>
  <c r="BH168" i="31"/>
  <c r="BH169" i="31" s="1"/>
  <c r="X209" i="31"/>
  <c r="X122" i="31"/>
  <c r="BI182" i="31"/>
  <c r="BI183" i="31"/>
  <c r="BI184" i="31" s="1"/>
  <c r="AW162" i="31"/>
  <c r="AV163" i="31"/>
  <c r="W299" i="31"/>
  <c r="BI167" i="31"/>
  <c r="BI179" i="31"/>
  <c r="W219" i="31"/>
  <c r="W220" i="31"/>
  <c r="K51" i="17"/>
  <c r="K52" i="17" s="1"/>
  <c r="Q13" i="17"/>
  <c r="E78" i="17" s="1"/>
  <c r="BH175" i="31"/>
  <c r="BU194" i="31"/>
  <c r="BU200" i="31"/>
  <c r="BU188" i="31"/>
  <c r="BU191" i="31"/>
  <c r="BU197" i="31"/>
  <c r="BU201" i="31"/>
  <c r="BU192" i="31"/>
  <c r="BU198" i="31"/>
  <c r="BU195" i="31"/>
  <c r="AW164" i="31"/>
  <c r="BT199" i="31"/>
  <c r="BT196" i="31"/>
  <c r="AV150" i="31"/>
  <c r="AV151" i="31" s="1"/>
  <c r="BH172" i="31"/>
  <c r="BH178" i="31"/>
  <c r="X114" i="31"/>
  <c r="X115" i="31" s="1"/>
  <c r="X218" i="31"/>
  <c r="BU189" i="31"/>
  <c r="BU190" i="31" s="1"/>
  <c r="AI133" i="31"/>
  <c r="AJ132" i="31"/>
  <c r="BT193" i="31"/>
  <c r="W118" i="31"/>
  <c r="W223" i="31" s="1"/>
  <c r="W222" i="31"/>
  <c r="AI127" i="31"/>
  <c r="AJ126" i="31"/>
  <c r="BT205" i="31"/>
  <c r="X117" i="31"/>
  <c r="X221" i="31"/>
  <c r="BT202" i="31"/>
  <c r="AL141" i="31"/>
  <c r="AK142" i="31"/>
  <c r="AL138" i="31"/>
  <c r="AK139" i="31"/>
  <c r="AX159" i="31"/>
  <c r="AW160" i="31"/>
  <c r="AU153" i="31"/>
  <c r="AT154" i="31"/>
  <c r="AX156" i="31"/>
  <c r="AW157" i="31"/>
  <c r="AX147" i="31"/>
  <c r="AW148" i="31"/>
  <c r="AJ136" i="31"/>
  <c r="AL129" i="31"/>
  <c r="AK130" i="31"/>
  <c r="X111" i="31"/>
  <c r="X216" i="31" s="1"/>
  <c r="W112" i="31"/>
  <c r="W217" i="31" s="1"/>
  <c r="Y116" i="31"/>
  <c r="Y113" i="31"/>
  <c r="Y107" i="31"/>
  <c r="Y212" i="31" s="1"/>
  <c r="X105" i="31"/>
  <c r="X210" i="31" s="1"/>
  <c r="W106" i="31"/>
  <c r="W211" i="31" s="1"/>
  <c r="X108" i="31"/>
  <c r="X213" i="31" s="1"/>
  <c r="W109" i="31"/>
  <c r="W214" i="31" s="1"/>
  <c r="BI180" i="31"/>
  <c r="BI181" i="31" s="1"/>
  <c r="BJ166" i="31"/>
  <c r="BI173" i="31"/>
  <c r="BI177" i="31"/>
  <c r="BI170" i="31"/>
  <c r="BI174" i="31"/>
  <c r="BI176" i="31"/>
  <c r="BI171" i="31"/>
  <c r="BU204" i="31"/>
  <c r="BU203" i="31"/>
  <c r="BV187" i="31"/>
  <c r="BW187" i="31" s="1"/>
  <c r="Y208" i="31"/>
  <c r="Y119" i="31"/>
  <c r="Y224" i="31" s="1"/>
  <c r="Y120" i="31"/>
  <c r="Z103" i="31"/>
  <c r="Y110" i="31"/>
  <c r="Y215" i="31" s="1"/>
  <c r="Y104" i="31"/>
  <c r="D21" i="17"/>
  <c r="CW59" i="17"/>
  <c r="D19" i="17"/>
  <c r="CW52" i="17"/>
  <c r="D26" i="17"/>
  <c r="D58" i="17" s="1"/>
  <c r="D91" i="17" s="1"/>
  <c r="CW51" i="17"/>
  <c r="CU51" i="17" s="1"/>
  <c r="BW188" i="31" l="1"/>
  <c r="BW191" i="31"/>
  <c r="BW194" i="31"/>
  <c r="BW197" i="31"/>
  <c r="BW200" i="31"/>
  <c r="BW203" i="31"/>
  <c r="CW93" i="17"/>
  <c r="CU93" i="17" s="1"/>
  <c r="CU59" i="17"/>
  <c r="BI168" i="31"/>
  <c r="BI169" i="31" s="1"/>
  <c r="Y225" i="31"/>
  <c r="Y121" i="31"/>
  <c r="D22" i="17"/>
  <c r="BI185" i="31"/>
  <c r="Y209" i="31"/>
  <c r="Y122" i="31"/>
  <c r="BU206" i="31"/>
  <c r="AX162" i="31"/>
  <c r="AW163" i="31"/>
  <c r="X299" i="31"/>
  <c r="BJ182" i="31"/>
  <c r="BJ183" i="31"/>
  <c r="BJ184" i="31" s="1"/>
  <c r="BJ167" i="31"/>
  <c r="BJ179" i="31"/>
  <c r="X219" i="31"/>
  <c r="X220" i="31"/>
  <c r="L51" i="17"/>
  <c r="L52" i="17" s="1"/>
  <c r="D51" i="17"/>
  <c r="D84" i="17" s="1"/>
  <c r="D53" i="17"/>
  <c r="D86" i="17" s="1"/>
  <c r="D10" i="17"/>
  <c r="D20" i="17"/>
  <c r="Q45" i="17"/>
  <c r="F78" i="17" s="1"/>
  <c r="BV189" i="31"/>
  <c r="BU199" i="31"/>
  <c r="BI175" i="31"/>
  <c r="Y114" i="31"/>
  <c r="Y115" i="31" s="1"/>
  <c r="Y218" i="31"/>
  <c r="X118" i="31"/>
  <c r="X223" i="31" s="1"/>
  <c r="X222" i="31"/>
  <c r="BU193" i="31"/>
  <c r="AX164" i="31"/>
  <c r="BU205" i="31"/>
  <c r="Y117" i="31"/>
  <c r="Y221" i="31"/>
  <c r="AW150" i="31"/>
  <c r="AW151" i="31" s="1"/>
  <c r="BU202" i="31"/>
  <c r="BV188" i="31"/>
  <c r="BV191" i="31"/>
  <c r="BV194" i="31"/>
  <c r="BV197" i="31"/>
  <c r="BV200" i="31"/>
  <c r="BV201" i="31"/>
  <c r="BW201" i="31" s="1"/>
  <c r="BW202" i="31" s="1"/>
  <c r="BV192" i="31"/>
  <c r="BW192" i="31" s="1"/>
  <c r="BW193" i="31" s="1"/>
  <c r="BV198" i="31"/>
  <c r="BW198" i="31" s="1"/>
  <c r="BW199" i="31" s="1"/>
  <c r="BV195" i="31"/>
  <c r="BW195" i="31" s="1"/>
  <c r="BW196" i="31" s="1"/>
  <c r="AJ127" i="31"/>
  <c r="AK126" i="31"/>
  <c r="AJ133" i="31"/>
  <c r="AK132" i="31"/>
  <c r="BI172" i="31"/>
  <c r="BI178" i="31"/>
  <c r="BU196" i="31"/>
  <c r="AM138" i="31"/>
  <c r="AL139" i="31"/>
  <c r="AM141" i="31"/>
  <c r="AL142" i="31"/>
  <c r="AY159" i="31"/>
  <c r="AX160" i="31"/>
  <c r="AX157" i="31"/>
  <c r="AY156" i="31"/>
  <c r="AU154" i="31"/>
  <c r="AV153" i="31"/>
  <c r="AY147" i="31"/>
  <c r="AX148" i="31"/>
  <c r="AK136" i="31"/>
  <c r="AL130" i="31"/>
  <c r="AM129" i="31"/>
  <c r="Z107" i="31"/>
  <c r="Z212" i="31" s="1"/>
  <c r="Z116" i="31"/>
  <c r="Z113" i="31"/>
  <c r="Y111" i="31"/>
  <c r="Y216" i="31" s="1"/>
  <c r="X112" i="31"/>
  <c r="X217" i="31" s="1"/>
  <c r="Y105" i="31"/>
  <c r="Y210" i="31" s="1"/>
  <c r="X106" i="31"/>
  <c r="X211" i="31" s="1"/>
  <c r="Y108" i="31"/>
  <c r="Y213" i="31" s="1"/>
  <c r="X109" i="31"/>
  <c r="X214" i="31" s="1"/>
  <c r="BV204" i="31"/>
  <c r="BW204" i="31" s="1"/>
  <c r="BW205" i="31" s="1"/>
  <c r="BV203" i="31"/>
  <c r="Z208" i="31"/>
  <c r="Z120" i="31"/>
  <c r="AA103" i="31"/>
  <c r="Z119" i="31"/>
  <c r="Z224" i="31" s="1"/>
  <c r="Z110" i="31"/>
  <c r="Z215" i="31" s="1"/>
  <c r="Z104" i="31"/>
  <c r="BJ180" i="31"/>
  <c r="BJ181" i="31" s="1"/>
  <c r="BK166" i="31"/>
  <c r="BJ177" i="31"/>
  <c r="BJ176" i="31"/>
  <c r="BJ174" i="31"/>
  <c r="BJ173" i="31"/>
  <c r="BJ171" i="31"/>
  <c r="BJ170" i="31"/>
  <c r="Q59" i="17"/>
  <c r="F92" i="17" s="1"/>
  <c r="F89" i="17"/>
  <c r="BW206" i="31" l="1"/>
  <c r="BV190" i="31"/>
  <c r="BW189" i="31"/>
  <c r="BW190" i="31" s="1"/>
  <c r="D54" i="17"/>
  <c r="E89" i="17"/>
  <c r="Z225" i="31"/>
  <c r="Z121" i="31"/>
  <c r="BJ168" i="31"/>
  <c r="BJ169" i="31" s="1"/>
  <c r="BJ185" i="31"/>
  <c r="Z209" i="31"/>
  <c r="Z122" i="31"/>
  <c r="BV206" i="31"/>
  <c r="Y299" i="31"/>
  <c r="BK182" i="31"/>
  <c r="BK183" i="31"/>
  <c r="BK184" i="31" s="1"/>
  <c r="AY162" i="31"/>
  <c r="AX163" i="31"/>
  <c r="BK167" i="31"/>
  <c r="BK179" i="31"/>
  <c r="Y219" i="31"/>
  <c r="Y220" i="31"/>
  <c r="E91" i="17"/>
  <c r="E92" i="17"/>
  <c r="D52" i="17"/>
  <c r="D85" i="17" s="1"/>
  <c r="M51" i="17"/>
  <c r="M52" i="17" s="1"/>
  <c r="D42" i="17"/>
  <c r="D75" i="17" s="1"/>
  <c r="BJ178" i="31"/>
  <c r="BV193" i="31"/>
  <c r="BV205" i="31"/>
  <c r="BV202" i="31"/>
  <c r="BJ175" i="31"/>
  <c r="Z114" i="31"/>
  <c r="Z115" i="31" s="1"/>
  <c r="Z218" i="31"/>
  <c r="AK127" i="31"/>
  <c r="AL126" i="31"/>
  <c r="BV196" i="31"/>
  <c r="Y118" i="31"/>
  <c r="Y223" i="31" s="1"/>
  <c r="Y222" i="31"/>
  <c r="AX150" i="31"/>
  <c r="AX151" i="31" s="1"/>
  <c r="BJ172" i="31"/>
  <c r="Z117" i="31"/>
  <c r="Z221" i="31"/>
  <c r="AY164" i="31"/>
  <c r="AL132" i="31"/>
  <c r="AK133" i="31"/>
  <c r="BV199" i="31"/>
  <c r="AN141" i="31"/>
  <c r="AM142" i="31"/>
  <c r="AM139" i="31"/>
  <c r="AN138" i="31"/>
  <c r="AY160" i="31"/>
  <c r="AZ159" i="31"/>
  <c r="AV154" i="31"/>
  <c r="AW153" i="31"/>
  <c r="AY157" i="31"/>
  <c r="AZ156" i="31"/>
  <c r="AZ147" i="31"/>
  <c r="AY148" i="31"/>
  <c r="AL136" i="31"/>
  <c r="AN129" i="31"/>
  <c r="AM130" i="31"/>
  <c r="AA107" i="31"/>
  <c r="AA212" i="31" s="1"/>
  <c r="AA116" i="31"/>
  <c r="AA113" i="31"/>
  <c r="Z111" i="31"/>
  <c r="Z216" i="31" s="1"/>
  <c r="Y112" i="31"/>
  <c r="Y217" i="31" s="1"/>
  <c r="Z105" i="31"/>
  <c r="Z210" i="31" s="1"/>
  <c r="Y106" i="31"/>
  <c r="Y211" i="31" s="1"/>
  <c r="Z108" i="31"/>
  <c r="Z213" i="31" s="1"/>
  <c r="Y109" i="31"/>
  <c r="Y214" i="31" s="1"/>
  <c r="BK180" i="31"/>
  <c r="BK181" i="31" s="1"/>
  <c r="BL166" i="31"/>
  <c r="BK177" i="31"/>
  <c r="BK176" i="31"/>
  <c r="BK174" i="31"/>
  <c r="BK173" i="31"/>
  <c r="BK171" i="31"/>
  <c r="BK170" i="31"/>
  <c r="AA208" i="31"/>
  <c r="AB103" i="31"/>
  <c r="AA110" i="31"/>
  <c r="AA215" i="31" s="1"/>
  <c r="AA104" i="31"/>
  <c r="AA120" i="31"/>
  <c r="AA119" i="31"/>
  <c r="AA224" i="31" s="1"/>
  <c r="D87" i="17" l="1"/>
  <c r="H178" i="4"/>
  <c r="BK185" i="31"/>
  <c r="AA225" i="31"/>
  <c r="AA121" i="31"/>
  <c r="BK168" i="31"/>
  <c r="BK169" i="31" s="1"/>
  <c r="AA209" i="31"/>
  <c r="AA122" i="31"/>
  <c r="AZ162" i="31"/>
  <c r="AY163" i="31"/>
  <c r="BL182" i="31"/>
  <c r="BL183" i="31"/>
  <c r="BL184" i="31" s="1"/>
  <c r="Z299" i="31"/>
  <c r="BL167" i="31"/>
  <c r="BL179" i="31"/>
  <c r="Z219" i="31"/>
  <c r="N51" i="17"/>
  <c r="N52" i="17" s="1"/>
  <c r="Z220" i="31"/>
  <c r="BK175" i="31"/>
  <c r="AY150" i="31"/>
  <c r="AY151" i="31" s="1"/>
  <c r="AM126" i="31"/>
  <c r="AL127" i="31"/>
  <c r="AA114" i="31"/>
  <c r="AA115" i="31" s="1"/>
  <c r="AA218" i="31"/>
  <c r="BK172" i="31"/>
  <c r="BK178" i="31"/>
  <c r="AA117" i="31"/>
  <c r="AA221" i="31"/>
  <c r="AZ164" i="31"/>
  <c r="AM132" i="31"/>
  <c r="AL133" i="31"/>
  <c r="Z118" i="31"/>
  <c r="Z223" i="31" s="1"/>
  <c r="Z222" i="31"/>
  <c r="AO138" i="31"/>
  <c r="AN139" i="31"/>
  <c r="AO141" i="31"/>
  <c r="AN142" i="31"/>
  <c r="BA159" i="31"/>
  <c r="AZ160" i="31"/>
  <c r="AZ157" i="31"/>
  <c r="BA156" i="31"/>
  <c r="AW154" i="31"/>
  <c r="AX153" i="31"/>
  <c r="BA147" i="31"/>
  <c r="AZ148" i="31"/>
  <c r="AM136" i="31"/>
  <c r="AO129" i="31"/>
  <c r="AN130" i="31"/>
  <c r="AA111" i="31"/>
  <c r="AA216" i="31" s="1"/>
  <c r="Z112" i="31"/>
  <c r="Z217" i="31" s="1"/>
  <c r="AB116" i="31"/>
  <c r="AB113" i="31"/>
  <c r="AB107" i="31"/>
  <c r="AB212" i="31" s="1"/>
  <c r="AA105" i="31"/>
  <c r="AA210" i="31" s="1"/>
  <c r="Z106" i="31"/>
  <c r="Z211" i="31" s="1"/>
  <c r="AA108" i="31"/>
  <c r="AA213" i="31" s="1"/>
  <c r="Z109" i="31"/>
  <c r="Z214" i="31" s="1"/>
  <c r="BL180" i="31"/>
  <c r="BL181" i="31" s="1"/>
  <c r="BL177" i="31"/>
  <c r="BL176" i="31"/>
  <c r="BL174" i="31"/>
  <c r="BL173" i="31"/>
  <c r="BL171" i="31"/>
  <c r="BL170" i="31"/>
  <c r="BM166" i="31"/>
  <c r="AB208" i="31"/>
  <c r="AB120" i="31"/>
  <c r="AB119" i="31"/>
  <c r="AB224" i="31" s="1"/>
  <c r="AB110" i="31"/>
  <c r="AB215" i="31" s="1"/>
  <c r="AB104" i="31"/>
  <c r="AC103" i="31"/>
  <c r="E8" i="39" l="1"/>
  <c r="AB225" i="31"/>
  <c r="AB121" i="31"/>
  <c r="BL168" i="31"/>
  <c r="BL169" i="31" s="1"/>
  <c r="AA299" i="31"/>
  <c r="BL185" i="31"/>
  <c r="AB209" i="31"/>
  <c r="AB122" i="31"/>
  <c r="BM182" i="31"/>
  <c r="BM183" i="31"/>
  <c r="BM184" i="31" s="1"/>
  <c r="BA162" i="31"/>
  <c r="AZ163" i="31"/>
  <c r="BM167" i="31"/>
  <c r="BM179" i="31"/>
  <c r="AA219" i="31"/>
  <c r="O51" i="17"/>
  <c r="O52" i="17" s="1"/>
  <c r="AA220" i="31"/>
  <c r="AB117" i="31"/>
  <c r="AB221" i="31"/>
  <c r="BL172" i="31"/>
  <c r="BL178" i="31"/>
  <c r="AA118" i="31"/>
  <c r="AA223" i="31" s="1"/>
  <c r="AA222" i="31"/>
  <c r="BA164" i="31"/>
  <c r="AM133" i="31"/>
  <c r="AN132" i="31"/>
  <c r="AM127" i="31"/>
  <c r="AN126" i="31"/>
  <c r="BL175" i="31"/>
  <c r="AB114" i="31"/>
  <c r="AB115" i="31" s="1"/>
  <c r="AB218" i="31"/>
  <c r="AZ150" i="31"/>
  <c r="AP141" i="31"/>
  <c r="AO142" i="31"/>
  <c r="AO139" i="31"/>
  <c r="AP138" i="31"/>
  <c r="BB159" i="31"/>
  <c r="BA160" i="31"/>
  <c r="BB156" i="31"/>
  <c r="BA157" i="31"/>
  <c r="AY153" i="31"/>
  <c r="AX154" i="31"/>
  <c r="BB147" i="31"/>
  <c r="BA148" i="31"/>
  <c r="AN136" i="31"/>
  <c r="AP129" i="31"/>
  <c r="AO130" i="31"/>
  <c r="AB111" i="31"/>
  <c r="AB216" i="31" s="1"/>
  <c r="AA112" i="31"/>
  <c r="AA217" i="31" s="1"/>
  <c r="AC116" i="31"/>
  <c r="AC113" i="31"/>
  <c r="AC107" i="31"/>
  <c r="AC212" i="31" s="1"/>
  <c r="AB105" i="31"/>
  <c r="AB210" i="31" s="1"/>
  <c r="AA106" i="31"/>
  <c r="AA211" i="31" s="1"/>
  <c r="AB108" i="31"/>
  <c r="AA109" i="31"/>
  <c r="AA214" i="31" s="1"/>
  <c r="BM180" i="31"/>
  <c r="BM181" i="31" s="1"/>
  <c r="BN166" i="31"/>
  <c r="BM177" i="31"/>
  <c r="BM170" i="31"/>
  <c r="BM174" i="31"/>
  <c r="BM176" i="31"/>
  <c r="BM171" i="31"/>
  <c r="BM173" i="31"/>
  <c r="AC208" i="31"/>
  <c r="AC119" i="31"/>
  <c r="AC224" i="31" s="1"/>
  <c r="AC120" i="31"/>
  <c r="AD103" i="31"/>
  <c r="AE103" i="31" s="1"/>
  <c r="AC110" i="31"/>
  <c r="AC215" i="31" s="1"/>
  <c r="AC104" i="31"/>
  <c r="AE208" i="31" l="1"/>
  <c r="AE110" i="31"/>
  <c r="AE215" i="31" s="1"/>
  <c r="AE119" i="31"/>
  <c r="AE224" i="31" s="1"/>
  <c r="AE104" i="31"/>
  <c r="AE209" i="31" s="1"/>
  <c r="AB213" i="31"/>
  <c r="AB109" i="31"/>
  <c r="AB214" i="31" s="1"/>
  <c r="AZ151" i="31"/>
  <c r="AC225" i="31"/>
  <c r="AC121" i="31"/>
  <c r="BM168" i="31"/>
  <c r="BM169" i="31" s="1"/>
  <c r="BM185" i="31"/>
  <c r="AC209" i="31"/>
  <c r="AC122" i="31"/>
  <c r="BN182" i="31"/>
  <c r="BN183" i="31"/>
  <c r="BN184" i="31" s="1"/>
  <c r="BB162" i="31"/>
  <c r="BA163" i="31"/>
  <c r="BN167" i="31"/>
  <c r="BN179" i="31"/>
  <c r="AB219" i="31"/>
  <c r="AB220" i="31"/>
  <c r="P51" i="17"/>
  <c r="BB164" i="31"/>
  <c r="AC117" i="31"/>
  <c r="AC221" i="31"/>
  <c r="AO132" i="31"/>
  <c r="AN133" i="31"/>
  <c r="BM172" i="31"/>
  <c r="BM178" i="31"/>
  <c r="AO126" i="31"/>
  <c r="AN127" i="31"/>
  <c r="AB118" i="31"/>
  <c r="AB223" i="31" s="1"/>
  <c r="AB222" i="31"/>
  <c r="BM175" i="31"/>
  <c r="AC114" i="31"/>
  <c r="AC115" i="31" s="1"/>
  <c r="AC218" i="31"/>
  <c r="BA150" i="31"/>
  <c r="AQ138" i="31"/>
  <c r="AP139" i="31"/>
  <c r="AQ141" i="31"/>
  <c r="AP142" i="31"/>
  <c r="BC159" i="31"/>
  <c r="BB160" i="31"/>
  <c r="AZ153" i="31"/>
  <c r="AY154" i="31"/>
  <c r="BC156" i="31"/>
  <c r="BB157" i="31"/>
  <c r="BC147" i="31"/>
  <c r="BB148" i="31"/>
  <c r="AO136" i="31"/>
  <c r="AE116" i="31"/>
  <c r="AE221" i="31" s="1"/>
  <c r="AE107" i="31"/>
  <c r="AF103" i="31"/>
  <c r="AE113" i="31"/>
  <c r="AE218" i="31" s="1"/>
  <c r="AQ129" i="31"/>
  <c r="AP130" i="31"/>
  <c r="AD107" i="31"/>
  <c r="AD212" i="31" s="1"/>
  <c r="AD116" i="31"/>
  <c r="AD113" i="31"/>
  <c r="AC111" i="31"/>
  <c r="AC216" i="31" s="1"/>
  <c r="AB112" i="31"/>
  <c r="AB217" i="31" s="1"/>
  <c r="AC105" i="31"/>
  <c r="AC210" i="31" s="1"/>
  <c r="AB106" i="31"/>
  <c r="AB211" i="31" s="1"/>
  <c r="AC108" i="31"/>
  <c r="AD208" i="31"/>
  <c r="AD119" i="31"/>
  <c r="AD224" i="31" s="1"/>
  <c r="AD120" i="31"/>
  <c r="AD121" i="31" s="1"/>
  <c r="AD226" i="31" s="1"/>
  <c r="AD110" i="31"/>
  <c r="AD215" i="31" s="1"/>
  <c r="AD104" i="31"/>
  <c r="BN180" i="31"/>
  <c r="BN181" i="31" s="1"/>
  <c r="BO166" i="31"/>
  <c r="BN177" i="31"/>
  <c r="BN176" i="31"/>
  <c r="BN174" i="31"/>
  <c r="BN173" i="31"/>
  <c r="BN171" i="31"/>
  <c r="BN170" i="31"/>
  <c r="AF208" i="31" l="1"/>
  <c r="AF110" i="31"/>
  <c r="AF215" i="31" s="1"/>
  <c r="AF104" i="31"/>
  <c r="AF209" i="31" s="1"/>
  <c r="AF119" i="31"/>
  <c r="AF224" i="31" s="1"/>
  <c r="AC213" i="31"/>
  <c r="AC109" i="31"/>
  <c r="AC214" i="31" s="1"/>
  <c r="Q51" i="17"/>
  <c r="F84" i="17" s="1"/>
  <c r="P52" i="17"/>
  <c r="BA151" i="31"/>
  <c r="AD228" i="31"/>
  <c r="BN168" i="31"/>
  <c r="BN169" i="31" s="1"/>
  <c r="BN185" i="31"/>
  <c r="AE212" i="31"/>
  <c r="AE122" i="31"/>
  <c r="AD209" i="31"/>
  <c r="AD122" i="31"/>
  <c r="BO182" i="31"/>
  <c r="BO183" i="31"/>
  <c r="BO184" i="31" s="1"/>
  <c r="BC162" i="31"/>
  <c r="BB163" i="31"/>
  <c r="BO167" i="31"/>
  <c r="BO179" i="31"/>
  <c r="AC219" i="31"/>
  <c r="Q42" i="17"/>
  <c r="F75" i="17" s="1"/>
  <c r="AD117" i="31"/>
  <c r="AD222" i="31" s="1"/>
  <c r="AD221" i="31"/>
  <c r="AO127" i="31"/>
  <c r="AP126" i="31"/>
  <c r="BN175" i="31"/>
  <c r="AE120" i="31"/>
  <c r="AD225" i="31"/>
  <c r="BC164" i="31"/>
  <c r="BB150" i="31"/>
  <c r="AO133" i="31"/>
  <c r="AP132" i="31"/>
  <c r="AC220" i="31"/>
  <c r="AC118" i="31"/>
  <c r="AC223" i="31" s="1"/>
  <c r="AC222" i="31"/>
  <c r="BN172" i="31"/>
  <c r="BN178" i="31"/>
  <c r="AD114" i="31"/>
  <c r="AD115" i="31" s="1"/>
  <c r="AD218" i="31"/>
  <c r="AR141" i="31"/>
  <c r="AQ142" i="31"/>
  <c r="AQ139" i="31"/>
  <c r="AR138" i="31"/>
  <c r="BC160" i="31"/>
  <c r="BD159" i="31"/>
  <c r="BC157" i="31"/>
  <c r="BD156" i="31"/>
  <c r="BA153" i="31"/>
  <c r="AZ154" i="31"/>
  <c r="BD147" i="31"/>
  <c r="BC148" i="31"/>
  <c r="AP136" i="31"/>
  <c r="AF113" i="31"/>
  <c r="AF218" i="31" s="1"/>
  <c r="AG103" i="31"/>
  <c r="AG113" i="31" s="1"/>
  <c r="AG218" i="31" s="1"/>
  <c r="AF107" i="31"/>
  <c r="AF116" i="31"/>
  <c r="AF221" i="31" s="1"/>
  <c r="AQ130" i="31"/>
  <c r="AR129" i="31"/>
  <c r="AD111" i="31"/>
  <c r="AD216" i="31" s="1"/>
  <c r="AC112" i="31"/>
  <c r="AC217" i="31" s="1"/>
  <c r="AD105" i="31"/>
  <c r="AD210" i="31" s="1"/>
  <c r="AC106" i="31"/>
  <c r="AC211" i="31" s="1"/>
  <c r="AD108" i="31"/>
  <c r="BO180" i="31"/>
  <c r="BO181" i="31" s="1"/>
  <c r="BP166" i="31"/>
  <c r="BO177" i="31"/>
  <c r="BO176" i="31"/>
  <c r="BO174" i="31"/>
  <c r="BO173" i="31"/>
  <c r="BO171" i="31"/>
  <c r="BO170" i="31"/>
  <c r="AD213" i="31" l="1"/>
  <c r="AD109" i="31"/>
  <c r="AD214" i="31" s="1"/>
  <c r="BB151" i="31"/>
  <c r="AE117" i="31"/>
  <c r="AE222" i="31" s="1"/>
  <c r="Q52" i="17"/>
  <c r="AE225" i="31"/>
  <c r="AE121" i="31"/>
  <c r="AE226" i="31" s="1"/>
  <c r="BO168" i="31"/>
  <c r="BO169" i="31" s="1"/>
  <c r="BO185" i="31"/>
  <c r="AF212" i="31"/>
  <c r="AF122" i="31"/>
  <c r="BP182" i="31"/>
  <c r="BP183" i="31"/>
  <c r="BP184" i="31" s="1"/>
  <c r="BD162" i="31"/>
  <c r="BC163" i="31"/>
  <c r="BP167" i="31"/>
  <c r="BP179" i="31"/>
  <c r="AD219" i="31"/>
  <c r="AD220" i="31"/>
  <c r="AD118" i="31"/>
  <c r="AD223" i="31" s="1"/>
  <c r="AG119" i="31"/>
  <c r="AG224" i="31" s="1"/>
  <c r="AF120" i="31"/>
  <c r="AE114" i="31"/>
  <c r="AE115" i="31" s="1"/>
  <c r="BO175" i="31"/>
  <c r="BC150" i="31"/>
  <c r="BO172" i="31"/>
  <c r="BO178" i="31"/>
  <c r="BD164" i="31"/>
  <c r="AP133" i="31"/>
  <c r="AQ132" i="31"/>
  <c r="AQ126" i="31"/>
  <c r="AP127" i="31"/>
  <c r="AG104" i="31"/>
  <c r="AG110" i="31"/>
  <c r="AG107" i="31"/>
  <c r="AG212" i="31" s="1"/>
  <c r="AG208" i="31"/>
  <c r="AG116" i="31"/>
  <c r="AG221" i="31" s="1"/>
  <c r="AS138" i="31"/>
  <c r="AR139" i="31"/>
  <c r="AS141" i="31"/>
  <c r="AR142" i="31"/>
  <c r="BD160" i="31"/>
  <c r="BE159" i="31"/>
  <c r="BD157" i="31"/>
  <c r="BE156" i="31"/>
  <c r="BA154" i="31"/>
  <c r="BB153" i="31"/>
  <c r="BE147" i="31"/>
  <c r="BD148" i="31"/>
  <c r="AQ136" i="31"/>
  <c r="AH103" i="31"/>
  <c r="AH107" i="31" s="1"/>
  <c r="AH212" i="31" s="1"/>
  <c r="AS129" i="31"/>
  <c r="AR130" i="31"/>
  <c r="AE111" i="31"/>
  <c r="AE112" i="31" s="1"/>
  <c r="AE217" i="31" s="1"/>
  <c r="AD112" i="31"/>
  <c r="AD217" i="31" s="1"/>
  <c r="AF117" i="31"/>
  <c r="AE105" i="31"/>
  <c r="AE106" i="31" s="1"/>
  <c r="AE211" i="31" s="1"/>
  <c r="AD106" i="31"/>
  <c r="AD211" i="31" s="1"/>
  <c r="AE108" i="31"/>
  <c r="AE109" i="31" s="1"/>
  <c r="AE214" i="31" s="1"/>
  <c r="BP180" i="31"/>
  <c r="BP181" i="31" s="1"/>
  <c r="BP177" i="31"/>
  <c r="BP176" i="31"/>
  <c r="BP174" i="31"/>
  <c r="BP173" i="31"/>
  <c r="BP171" i="31"/>
  <c r="BP170" i="31"/>
  <c r="BQ166" i="31"/>
  <c r="BC151" i="31" l="1"/>
  <c r="AE118" i="31"/>
  <c r="AE223" i="31" s="1"/>
  <c r="AD230" i="31"/>
  <c r="AE228" i="31"/>
  <c r="F85" i="17"/>
  <c r="AF114" i="31"/>
  <c r="AF115" i="31" s="1"/>
  <c r="AF220" i="31" s="1"/>
  <c r="AF225" i="31"/>
  <c r="AF121" i="31"/>
  <c r="AF226" i="31" s="1"/>
  <c r="BP168" i="31"/>
  <c r="BP169" i="31" s="1"/>
  <c r="BP185" i="31"/>
  <c r="AG209" i="31"/>
  <c r="AG122" i="31"/>
  <c r="BE162" i="31"/>
  <c r="BD163" i="31"/>
  <c r="BQ182" i="31"/>
  <c r="BQ183" i="31"/>
  <c r="BQ184" i="31" s="1"/>
  <c r="BQ167" i="31"/>
  <c r="BQ179" i="31"/>
  <c r="AE219" i="31"/>
  <c r="AE220" i="31"/>
  <c r="AG120" i="31"/>
  <c r="AH120" i="31" s="1"/>
  <c r="BP175" i="31"/>
  <c r="AF111" i="31"/>
  <c r="AE216" i="31"/>
  <c r="AF118" i="31"/>
  <c r="AF223" i="31" s="1"/>
  <c r="AF222" i="31"/>
  <c r="BE164" i="31"/>
  <c r="AF105" i="31"/>
  <c r="AF106" i="31" s="1"/>
  <c r="AF211" i="31" s="1"/>
  <c r="AE210" i="31"/>
  <c r="BP172" i="31"/>
  <c r="BP178" i="31"/>
  <c r="AF108" i="31"/>
  <c r="AF109" i="31" s="1"/>
  <c r="AF214" i="31" s="1"/>
  <c r="AE213" i="31"/>
  <c r="AG215" i="31"/>
  <c r="AR126" i="31"/>
  <c r="AQ127" i="31"/>
  <c r="AQ133" i="31"/>
  <c r="AR132" i="31"/>
  <c r="BD150" i="31"/>
  <c r="AH113" i="31"/>
  <c r="AH218" i="31" s="1"/>
  <c r="AH119" i="31"/>
  <c r="AH224" i="31" s="1"/>
  <c r="AH116" i="31"/>
  <c r="AH221" i="31" s="1"/>
  <c r="AH104" i="31"/>
  <c r="AH208" i="31"/>
  <c r="AH110" i="31"/>
  <c r="AH215" i="31" s="1"/>
  <c r="AT141" i="31"/>
  <c r="AS142" i="31"/>
  <c r="AT138" i="31"/>
  <c r="AS139" i="31"/>
  <c r="BF159" i="31"/>
  <c r="BE160" i="31"/>
  <c r="BC153" i="31"/>
  <c r="BB154" i="31"/>
  <c r="BF156" i="31"/>
  <c r="BE157" i="31"/>
  <c r="BF147" i="31"/>
  <c r="BE148" i="31"/>
  <c r="AG117" i="31"/>
  <c r="AI103" i="31"/>
  <c r="AI116" i="31" s="1"/>
  <c r="AI221" i="31" s="1"/>
  <c r="AR136" i="31"/>
  <c r="AS130" i="31"/>
  <c r="AT129" i="31"/>
  <c r="BQ180" i="31"/>
  <c r="BQ181" i="31" s="1"/>
  <c r="BR166" i="31"/>
  <c r="BQ174" i="31"/>
  <c r="BQ176" i="31"/>
  <c r="BQ171" i="31"/>
  <c r="BQ173" i="31"/>
  <c r="BQ170" i="31"/>
  <c r="BQ177" i="31"/>
  <c r="AE230" i="31" l="1"/>
  <c r="AF216" i="31"/>
  <c r="AF112" i="31"/>
  <c r="AF217" i="31" s="1"/>
  <c r="AF230" i="31" s="1"/>
  <c r="AG114" i="31"/>
  <c r="AG115" i="31" s="1"/>
  <c r="AG220" i="31" s="1"/>
  <c r="AF219" i="31"/>
  <c r="BD151" i="31"/>
  <c r="AF228" i="31"/>
  <c r="AG225" i="31"/>
  <c r="AG121" i="31"/>
  <c r="AG226" i="31" s="1"/>
  <c r="AH225" i="31"/>
  <c r="AH121" i="31"/>
  <c r="AH226" i="31" s="1"/>
  <c r="BQ168" i="31"/>
  <c r="BQ169" i="31" s="1"/>
  <c r="BQ185" i="31"/>
  <c r="AH209" i="31"/>
  <c r="AH122" i="31"/>
  <c r="BR182" i="31"/>
  <c r="BR183" i="31"/>
  <c r="BR184" i="31" s="1"/>
  <c r="BF162" i="31"/>
  <c r="BE163" i="31"/>
  <c r="BR167" i="31"/>
  <c r="BR179" i="31"/>
  <c r="BW221" i="31" s="1"/>
  <c r="AI104" i="31"/>
  <c r="AI113" i="31"/>
  <c r="AI218" i="31" s="1"/>
  <c r="AI110" i="31"/>
  <c r="AI215" i="31" s="1"/>
  <c r="AI119" i="31"/>
  <c r="AI224" i="31" s="1"/>
  <c r="BF164" i="31"/>
  <c r="BQ175" i="31"/>
  <c r="AG108" i="31"/>
  <c r="AF213" i="31"/>
  <c r="AI208" i="31"/>
  <c r="BQ172" i="31"/>
  <c r="AG118" i="31"/>
  <c r="AG223" i="31" s="1"/>
  <c r="AG222" i="31"/>
  <c r="AG105" i="31"/>
  <c r="AG106" i="31" s="1"/>
  <c r="AF210" i="31"/>
  <c r="BQ178" i="31"/>
  <c r="AG111" i="31"/>
  <c r="AS132" i="31"/>
  <c r="AR133" i="31"/>
  <c r="AS126" i="31"/>
  <c r="AR127" i="31"/>
  <c r="BE150" i="31"/>
  <c r="AH114" i="31"/>
  <c r="AH115" i="31" s="1"/>
  <c r="AI107" i="31"/>
  <c r="AT139" i="31"/>
  <c r="AU138" i="31"/>
  <c r="AU141" i="31"/>
  <c r="AT142" i="31"/>
  <c r="BG159" i="31"/>
  <c r="BF160" i="31"/>
  <c r="BF157" i="31"/>
  <c r="BG156" i="31"/>
  <c r="BC154" i="31"/>
  <c r="BD153" i="31"/>
  <c r="AH117" i="31"/>
  <c r="AH222" i="31" s="1"/>
  <c r="BG147" i="31"/>
  <c r="BF148" i="31"/>
  <c r="AJ103" i="31"/>
  <c r="AI120" i="31"/>
  <c r="AS136" i="31"/>
  <c r="AU129" i="31"/>
  <c r="AT130" i="31"/>
  <c r="BS166" i="31"/>
  <c r="BR177" i="31"/>
  <c r="BR176" i="31"/>
  <c r="BW218" i="31" s="1"/>
  <c r="BR174" i="31"/>
  <c r="BR173" i="31"/>
  <c r="BW215" i="31" s="1"/>
  <c r="BR171" i="31"/>
  <c r="BR170" i="31"/>
  <c r="BR180" i="31"/>
  <c r="BR181" i="31" s="1"/>
  <c r="AG219" i="31" l="1"/>
  <c r="AJ208" i="31"/>
  <c r="AJ110" i="31"/>
  <c r="AJ215" i="31" s="1"/>
  <c r="AJ104" i="31"/>
  <c r="AJ209" i="31" s="1"/>
  <c r="AJ119" i="31"/>
  <c r="AJ224" i="31" s="1"/>
  <c r="BR168" i="31"/>
  <c r="BE151" i="31"/>
  <c r="AG228" i="31"/>
  <c r="AH228" i="31"/>
  <c r="AI225" i="31"/>
  <c r="AI121" i="31"/>
  <c r="BR185" i="31"/>
  <c r="AI209" i="31"/>
  <c r="AI122" i="31"/>
  <c r="BG162" i="31"/>
  <c r="BF163" i="31"/>
  <c r="BS182" i="31"/>
  <c r="BS183" i="31"/>
  <c r="BS184" i="31" s="1"/>
  <c r="BS167" i="31"/>
  <c r="BS179" i="31"/>
  <c r="AH219" i="31"/>
  <c r="AH220" i="31"/>
  <c r="BG164" i="31"/>
  <c r="BR169" i="31"/>
  <c r="BR175" i="31"/>
  <c r="AH118" i="31"/>
  <c r="AH223" i="31" s="1"/>
  <c r="AI212" i="31"/>
  <c r="AG216" i="31"/>
  <c r="AH111" i="31"/>
  <c r="AG112" i="31"/>
  <c r="AG217" i="31" s="1"/>
  <c r="AG210" i="31"/>
  <c r="AH105" i="31"/>
  <c r="AG211" i="31"/>
  <c r="BF150" i="31"/>
  <c r="BF151" i="31" s="1"/>
  <c r="AI114" i="31"/>
  <c r="AI115" i="31" s="1"/>
  <c r="AT132" i="31"/>
  <c r="AS133" i="31"/>
  <c r="BR172" i="31"/>
  <c r="BR178" i="31"/>
  <c r="AT126" i="31"/>
  <c r="AS127" i="31"/>
  <c r="AG213" i="31"/>
  <c r="AH108" i="31"/>
  <c r="AI108" i="31" s="1"/>
  <c r="AG109" i="31"/>
  <c r="AG214" i="31" s="1"/>
  <c r="AI117" i="31"/>
  <c r="AI222" i="31" s="1"/>
  <c r="AV141" i="31"/>
  <c r="AU142" i="31"/>
  <c r="AU139" i="31"/>
  <c r="AV138" i="31"/>
  <c r="BG160" i="31"/>
  <c r="BH159" i="31"/>
  <c r="BG157" i="31"/>
  <c r="BH156" i="31"/>
  <c r="BE153" i="31"/>
  <c r="BD154" i="31"/>
  <c r="BH147" i="31"/>
  <c r="BG148" i="31"/>
  <c r="AT136" i="31"/>
  <c r="AJ120" i="31"/>
  <c r="AJ107" i="31"/>
  <c r="AJ113" i="31"/>
  <c r="AJ218" i="31" s="1"/>
  <c r="AK103" i="31"/>
  <c r="AJ116" i="31"/>
  <c r="AJ221" i="31" s="1"/>
  <c r="AV129" i="31"/>
  <c r="AU130" i="31"/>
  <c r="BS180" i="31"/>
  <c r="BS181" i="31" s="1"/>
  <c r="BT166" i="31"/>
  <c r="BS177" i="31"/>
  <c r="BS176" i="31"/>
  <c r="BS174" i="31"/>
  <c r="BS173" i="31"/>
  <c r="BS171" i="31"/>
  <c r="BS170" i="31"/>
  <c r="AK208" i="31" l="1"/>
  <c r="AK104" i="31"/>
  <c r="AK209" i="31" s="1"/>
  <c r="AK110" i="31"/>
  <c r="AK215" i="31" s="1"/>
  <c r="AK119" i="31"/>
  <c r="AK224" i="31" s="1"/>
  <c r="AG230" i="31"/>
  <c r="AJ122" i="31"/>
  <c r="AJ225" i="31"/>
  <c r="AJ121" i="31"/>
  <c r="AJ226" i="31" s="1"/>
  <c r="BS168" i="31"/>
  <c r="BS169" i="31" s="1"/>
  <c r="BS185" i="31"/>
  <c r="BT182" i="31"/>
  <c r="BT183" i="31"/>
  <c r="BT184" i="31" s="1"/>
  <c r="BH162" i="31"/>
  <c r="BG163" i="31"/>
  <c r="BT167" i="31"/>
  <c r="BT168" i="31" s="1"/>
  <c r="BT179" i="31"/>
  <c r="AI219" i="31"/>
  <c r="AI220" i="31"/>
  <c r="AI118" i="31"/>
  <c r="AI223" i="31" s="1"/>
  <c r="AI213" i="31"/>
  <c r="AI109" i="31"/>
  <c r="AI214" i="31" s="1"/>
  <c r="BS172" i="31"/>
  <c r="AT133" i="31"/>
  <c r="AU132" i="31"/>
  <c r="AH210" i="31"/>
  <c r="AH106" i="31"/>
  <c r="AH211" i="31" s="1"/>
  <c r="AI105" i="31"/>
  <c r="AJ108" i="31"/>
  <c r="AJ212" i="31"/>
  <c r="BS175" i="31"/>
  <c r="BH164" i="31"/>
  <c r="BS178" i="31"/>
  <c r="AH216" i="31"/>
  <c r="AH112" i="31"/>
  <c r="AH217" i="31" s="1"/>
  <c r="AI111" i="31"/>
  <c r="BG150" i="31"/>
  <c r="BG151" i="31" s="1"/>
  <c r="AJ114" i="31"/>
  <c r="AJ115" i="31" s="1"/>
  <c r="AH213" i="31"/>
  <c r="AH109" i="31"/>
  <c r="AH214" i="31" s="1"/>
  <c r="AU126" i="31"/>
  <c r="AT127" i="31"/>
  <c r="AJ117" i="31"/>
  <c r="AJ222" i="31" s="1"/>
  <c r="AK120" i="31"/>
  <c r="AW138" i="31"/>
  <c r="AV139" i="31"/>
  <c r="AW141" i="31"/>
  <c r="AV142" i="31"/>
  <c r="BI159" i="31"/>
  <c r="BH160" i="31"/>
  <c r="BH157" i="31"/>
  <c r="BI156" i="31"/>
  <c r="BF153" i="31"/>
  <c r="BE154" i="31"/>
  <c r="BI147" i="31"/>
  <c r="BH148" i="31"/>
  <c r="AK107" i="31"/>
  <c r="AL103" i="31"/>
  <c r="AK116" i="31"/>
  <c r="AK113" i="31"/>
  <c r="AU136" i="31"/>
  <c r="AV130" i="31"/>
  <c r="AW129" i="31"/>
  <c r="BT180" i="31"/>
  <c r="BT181" i="31" s="1"/>
  <c r="BT177" i="31"/>
  <c r="BT176" i="31"/>
  <c r="BT174" i="31"/>
  <c r="BT173" i="31"/>
  <c r="BT171" i="31"/>
  <c r="BT170" i="31"/>
  <c r="BU166" i="31"/>
  <c r="AL208" i="31" l="1"/>
  <c r="AL119" i="31"/>
  <c r="AL224" i="31" s="1"/>
  <c r="AL110" i="31"/>
  <c r="AL215" i="31" s="1"/>
  <c r="AL104" i="31"/>
  <c r="AL209" i="31" s="1"/>
  <c r="AJ213" i="31"/>
  <c r="AJ109" i="31"/>
  <c r="AJ214" i="31" s="1"/>
  <c r="AH230" i="31"/>
  <c r="AJ228" i="31"/>
  <c r="AK122" i="31"/>
  <c r="AK225" i="31"/>
  <c r="AK121" i="31"/>
  <c r="AK226" i="31" s="1"/>
  <c r="BT185" i="31"/>
  <c r="BU182" i="31"/>
  <c r="BU183" i="31"/>
  <c r="BU184" i="31" s="1"/>
  <c r="BI162" i="31"/>
  <c r="BH163" i="31"/>
  <c r="BU167" i="31"/>
  <c r="BU168" i="31" s="1"/>
  <c r="BU179" i="31"/>
  <c r="AJ219" i="31"/>
  <c r="AJ220" i="31"/>
  <c r="AJ118" i="31"/>
  <c r="AJ223" i="31" s="1"/>
  <c r="BT172" i="31"/>
  <c r="BT178" i="31"/>
  <c r="AI210" i="31"/>
  <c r="AJ105" i="31"/>
  <c r="AJ106" i="31" s="1"/>
  <c r="AJ211" i="31" s="1"/>
  <c r="AI106" i="31"/>
  <c r="AI211" i="31" s="1"/>
  <c r="AV132" i="31"/>
  <c r="AU133" i="31"/>
  <c r="BI164" i="31"/>
  <c r="BT175" i="31"/>
  <c r="AU127" i="31"/>
  <c r="AV126" i="31"/>
  <c r="BT169" i="31"/>
  <c r="AK114" i="31"/>
  <c r="AK115" i="31" s="1"/>
  <c r="AK218" i="31"/>
  <c r="AK117" i="31"/>
  <c r="AK222" i="31" s="1"/>
  <c r="AK221" i="31"/>
  <c r="AK108" i="31"/>
  <c r="AK212" i="31"/>
  <c r="AI216" i="31"/>
  <c r="AI112" i="31"/>
  <c r="AI217" i="31" s="1"/>
  <c r="AJ111" i="31"/>
  <c r="AJ112" i="31" s="1"/>
  <c r="AJ217" i="31" s="1"/>
  <c r="BH150" i="31"/>
  <c r="BH151" i="31" s="1"/>
  <c r="AX141" i="31"/>
  <c r="AW142" i="31"/>
  <c r="AW139" i="31"/>
  <c r="AX138" i="31"/>
  <c r="BJ159" i="31"/>
  <c r="BI160" i="31"/>
  <c r="BG153" i="31"/>
  <c r="BF154" i="31"/>
  <c r="BJ156" i="31"/>
  <c r="BI157" i="31"/>
  <c r="BJ147" i="31"/>
  <c r="BI148" i="31"/>
  <c r="AV136" i="31"/>
  <c r="AM103" i="31"/>
  <c r="AL107" i="31"/>
  <c r="AL113" i="31"/>
  <c r="AL116" i="31"/>
  <c r="AL120" i="31"/>
  <c r="AL121" i="31" s="1"/>
  <c r="AL226" i="31" s="1"/>
  <c r="AX129" i="31"/>
  <c r="AW130" i="31"/>
  <c r="BU180" i="31"/>
  <c r="BU181" i="31" s="1"/>
  <c r="BV166" i="31"/>
  <c r="BU176" i="31"/>
  <c r="BU171" i="31"/>
  <c r="BU173" i="31"/>
  <c r="BU177" i="31"/>
  <c r="BU170" i="31"/>
  <c r="BU174" i="31"/>
  <c r="AM208" i="31" l="1"/>
  <c r="AM119" i="31"/>
  <c r="AM224" i="31" s="1"/>
  <c r="AM104" i="31"/>
  <c r="AM209" i="31" s="1"/>
  <c r="AM110" i="31"/>
  <c r="AM215" i="31" s="1"/>
  <c r="AK213" i="31"/>
  <c r="AK109" i="31"/>
  <c r="AK214" i="31" s="1"/>
  <c r="AJ230" i="31"/>
  <c r="AL228" i="31"/>
  <c r="AK228" i="31"/>
  <c r="AL122" i="31"/>
  <c r="BU185" i="31"/>
  <c r="BJ162" i="31"/>
  <c r="BI163" i="31"/>
  <c r="BV182" i="31"/>
  <c r="BV183" i="31"/>
  <c r="BV184" i="31" s="1"/>
  <c r="BV167" i="31"/>
  <c r="BV179" i="31"/>
  <c r="AK219" i="31"/>
  <c r="AK220" i="31"/>
  <c r="AL114" i="31"/>
  <c r="AL115" i="31" s="1"/>
  <c r="AL218" i="31"/>
  <c r="AW126" i="31"/>
  <c r="AV127" i="31"/>
  <c r="BI150" i="31"/>
  <c r="BI151" i="31" s="1"/>
  <c r="AK105" i="31"/>
  <c r="AK106" i="31" s="1"/>
  <c r="AK211" i="31" s="1"/>
  <c r="AJ210" i="31"/>
  <c r="AL108" i="31"/>
  <c r="AL212" i="31"/>
  <c r="AV133" i="31"/>
  <c r="AW132" i="31"/>
  <c r="AM120" i="31"/>
  <c r="AM225" i="31" s="1"/>
  <c r="AL225" i="31"/>
  <c r="BJ164" i="31"/>
  <c r="AK111" i="31"/>
  <c r="AK112" i="31" s="1"/>
  <c r="AK217" i="31" s="1"/>
  <c r="AJ216" i="31"/>
  <c r="BU178" i="31"/>
  <c r="BU175" i="31"/>
  <c r="BU172" i="31"/>
  <c r="AK118" i="31"/>
  <c r="AK223" i="31" s="1"/>
  <c r="AL117" i="31"/>
  <c r="AL222" i="31" s="1"/>
  <c r="AL221" i="31"/>
  <c r="BU169" i="31"/>
  <c r="AY138" i="31"/>
  <c r="AX139" i="31"/>
  <c r="AX142" i="31"/>
  <c r="AY141" i="31"/>
  <c r="BK159" i="31"/>
  <c r="BJ160" i="31"/>
  <c r="BJ157" i="31"/>
  <c r="BK156" i="31"/>
  <c r="BG154" i="31"/>
  <c r="BH153" i="31"/>
  <c r="BK147" i="31"/>
  <c r="BJ148" i="31"/>
  <c r="AW136" i="31"/>
  <c r="AM107" i="31"/>
  <c r="AM212" i="31" s="1"/>
  <c r="AM116" i="31"/>
  <c r="AM221" i="31" s="1"/>
  <c r="AM113" i="31"/>
  <c r="AM218" i="31" s="1"/>
  <c r="AN103" i="31"/>
  <c r="AY129" i="31"/>
  <c r="AX130" i="31"/>
  <c r="BV180" i="31"/>
  <c r="BV181" i="31" s="1"/>
  <c r="BW166" i="31"/>
  <c r="BV177" i="31"/>
  <c r="BV176" i="31"/>
  <c r="BV174" i="31"/>
  <c r="BV173" i="31"/>
  <c r="BV171" i="31"/>
  <c r="BV170" i="31"/>
  <c r="AN104" i="31" l="1"/>
  <c r="AN209" i="31" s="1"/>
  <c r="AN119" i="31"/>
  <c r="AN224" i="31" s="1"/>
  <c r="AL213" i="31"/>
  <c r="AL109" i="31"/>
  <c r="AL214" i="31" s="1"/>
  <c r="AK230" i="31"/>
  <c r="AM122" i="31"/>
  <c r="AM121" i="31"/>
  <c r="AM226" i="31" s="1"/>
  <c r="BV168" i="31"/>
  <c r="BV169" i="31" s="1"/>
  <c r="BV185" i="31"/>
  <c r="BW182" i="31"/>
  <c r="BW183" i="31"/>
  <c r="BW184" i="31" s="1"/>
  <c r="BK162" i="31"/>
  <c r="BJ163" i="31"/>
  <c r="BW167" i="31"/>
  <c r="BW168" i="31" s="1"/>
  <c r="BW179" i="31"/>
  <c r="AL219" i="31"/>
  <c r="AL220" i="31"/>
  <c r="BV175" i="31"/>
  <c r="AM117" i="31"/>
  <c r="AM222" i="31" s="1"/>
  <c r="AX132" i="31"/>
  <c r="AW133" i="31"/>
  <c r="BK164" i="31"/>
  <c r="BJ150" i="31"/>
  <c r="BJ151" i="31" s="1"/>
  <c r="BV172" i="31"/>
  <c r="BV178" i="31"/>
  <c r="AL111" i="31"/>
  <c r="AL112" i="31" s="1"/>
  <c r="AL217" i="31" s="1"/>
  <c r="AK216" i="31"/>
  <c r="AX126" i="31"/>
  <c r="AW127" i="31"/>
  <c r="AL105" i="31"/>
  <c r="AL106" i="31" s="1"/>
  <c r="AL211" i="31" s="1"/>
  <c r="AK210" i="31"/>
  <c r="AM108" i="31"/>
  <c r="AL118" i="31"/>
  <c r="AL223" i="31" s="1"/>
  <c r="AM114" i="31"/>
  <c r="AZ141" i="31"/>
  <c r="AY142" i="31"/>
  <c r="AY139" i="31"/>
  <c r="AZ138" i="31"/>
  <c r="BL159" i="31"/>
  <c r="BK160" i="31"/>
  <c r="BI153" i="31"/>
  <c r="BH154" i="31"/>
  <c r="BK157" i="31"/>
  <c r="BL156" i="31"/>
  <c r="BL147" i="31"/>
  <c r="BK148" i="31"/>
  <c r="AX136" i="31"/>
  <c r="AO103" i="31"/>
  <c r="AO119" i="31" s="1"/>
  <c r="AN208" i="31"/>
  <c r="AN107" i="31"/>
  <c r="AN212" i="31" s="1"/>
  <c r="AN116" i="31"/>
  <c r="AN221" i="31" s="1"/>
  <c r="AN113" i="31"/>
  <c r="AN218" i="31" s="1"/>
  <c r="AN110" i="31"/>
  <c r="AN215" i="31" s="1"/>
  <c r="AN120" i="31"/>
  <c r="AZ129" i="31"/>
  <c r="AY130" i="31"/>
  <c r="BW177" i="31"/>
  <c r="BW176" i="31"/>
  <c r="BW174" i="31"/>
  <c r="BW173" i="31"/>
  <c r="BW171" i="31"/>
  <c r="BW170" i="31"/>
  <c r="BW180" i="31"/>
  <c r="BW181" i="31" s="1"/>
  <c r="AM213" i="31" l="1"/>
  <c r="AM109" i="31"/>
  <c r="AM214" i="31" s="1"/>
  <c r="AN121" i="31"/>
  <c r="AN226" i="31" s="1"/>
  <c r="AN225" i="31"/>
  <c r="AM115" i="31"/>
  <c r="AM220" i="31" s="1"/>
  <c r="AM219" i="31"/>
  <c r="AL230" i="31"/>
  <c r="AM228" i="31"/>
  <c r="BW185" i="31"/>
  <c r="AN122" i="31"/>
  <c r="BL162" i="31"/>
  <c r="BK163" i="31"/>
  <c r="AO120" i="31"/>
  <c r="AO225" i="31" s="1"/>
  <c r="BL164" i="31"/>
  <c r="BW169" i="31"/>
  <c r="AM105" i="31"/>
  <c r="AL210" i="31"/>
  <c r="BW175" i="31"/>
  <c r="AM118" i="31"/>
  <c r="AM223" i="31" s="1"/>
  <c r="AX127" i="31"/>
  <c r="AY126" i="31"/>
  <c r="BK150" i="31"/>
  <c r="BK151" i="31" s="1"/>
  <c r="BW172" i="31"/>
  <c r="BW178" i="31"/>
  <c r="AM111" i="31"/>
  <c r="AL216" i="31"/>
  <c r="AY132" i="31"/>
  <c r="AX133" i="31"/>
  <c r="AZ139" i="31"/>
  <c r="BA138" i="31"/>
  <c r="BA141" i="31"/>
  <c r="AZ142" i="31"/>
  <c r="BM159" i="31"/>
  <c r="BL160" i="31"/>
  <c r="BL157" i="31"/>
  <c r="BM156" i="31"/>
  <c r="BI154" i="31"/>
  <c r="BJ153" i="31"/>
  <c r="BM147" i="31"/>
  <c r="BL148" i="31"/>
  <c r="AN117" i="31"/>
  <c r="AN222" i="31" s="1"/>
  <c r="AY136" i="31"/>
  <c r="AN114" i="31"/>
  <c r="AP103" i="31"/>
  <c r="AP119" i="31" s="1"/>
  <c r="AO116" i="31"/>
  <c r="AO221" i="31" s="1"/>
  <c r="AO208" i="31"/>
  <c r="AO104" i="31"/>
  <c r="AO209" i="31" s="1"/>
  <c r="AO113" i="31"/>
  <c r="AO218" i="31" s="1"/>
  <c r="AO224" i="31"/>
  <c r="AO110" i="31"/>
  <c r="AO215" i="31" s="1"/>
  <c r="AO107" i="31"/>
  <c r="AO212" i="31" s="1"/>
  <c r="AN108" i="31"/>
  <c r="AN213" i="31" s="1"/>
  <c r="BA129" i="31"/>
  <c r="AZ130" i="31"/>
  <c r="AM216" i="31" l="1"/>
  <c r="AM112" i="31"/>
  <c r="AM217" i="31" s="1"/>
  <c r="AM210" i="31"/>
  <c r="AM106" i="31"/>
  <c r="AM211" i="31" s="1"/>
  <c r="AN115" i="31"/>
  <c r="AN220" i="31" s="1"/>
  <c r="AN219" i="31"/>
  <c r="AO121" i="31"/>
  <c r="AO226" i="31" s="1"/>
  <c r="AO122" i="31"/>
  <c r="AP120" i="31"/>
  <c r="AP225" i="31" s="1"/>
  <c r="BM162" i="31"/>
  <c r="BL163" i="31"/>
  <c r="AN105" i="31"/>
  <c r="AO105" i="31" s="1"/>
  <c r="AO210" i="31" s="1"/>
  <c r="AN111" i="31"/>
  <c r="AN112" i="31" s="1"/>
  <c r="AN109" i="31"/>
  <c r="AN214" i="31" s="1"/>
  <c r="BM164" i="31"/>
  <c r="BL150" i="31"/>
  <c r="BL151" i="31" s="1"/>
  <c r="AN118" i="31"/>
  <c r="AN223" i="31" s="1"/>
  <c r="AZ132" i="31"/>
  <c r="AY133" i="31"/>
  <c r="AY127" i="31"/>
  <c r="AZ126" i="31"/>
  <c r="BB141" i="31"/>
  <c r="BA142" i="31"/>
  <c r="BB138" i="31"/>
  <c r="BA139" i="31"/>
  <c r="BM160" i="31"/>
  <c r="BN159" i="31"/>
  <c r="BK153" i="31"/>
  <c r="BJ154" i="31"/>
  <c r="BN156" i="31"/>
  <c r="BM157" i="31"/>
  <c r="BN147" i="31"/>
  <c r="BM148" i="31"/>
  <c r="AO117" i="31"/>
  <c r="AO222" i="31" s="1"/>
  <c r="AO108" i="31"/>
  <c r="AO213" i="31" s="1"/>
  <c r="AZ136" i="31"/>
  <c r="AO114" i="31"/>
  <c r="AQ103" i="31"/>
  <c r="AQ119" i="31" s="1"/>
  <c r="AP110" i="31"/>
  <c r="AP215" i="31" s="1"/>
  <c r="AP107" i="31"/>
  <c r="AP212" i="31" s="1"/>
  <c r="AP208" i="31"/>
  <c r="AP104" i="31"/>
  <c r="AP209" i="31" s="1"/>
  <c r="AP113" i="31"/>
  <c r="AP218" i="31" s="1"/>
  <c r="AP116" i="31"/>
  <c r="AP221" i="31" s="1"/>
  <c r="AP224" i="31"/>
  <c r="BB129" i="31"/>
  <c r="BA130" i="31"/>
  <c r="AM230" i="31" l="1"/>
  <c r="AO115" i="31"/>
  <c r="AO220" i="31" s="1"/>
  <c r="AO219" i="31"/>
  <c r="AN106" i="31"/>
  <c r="AN211" i="31" s="1"/>
  <c r="AN210" i="31"/>
  <c r="AO111" i="31"/>
  <c r="AO216" i="31" s="1"/>
  <c r="AN216" i="31"/>
  <c r="AP121" i="31"/>
  <c r="AP226" i="31" s="1"/>
  <c r="AP122" i="31"/>
  <c r="BN162" i="31"/>
  <c r="BM163" i="31"/>
  <c r="AN217" i="31"/>
  <c r="BA126" i="31"/>
  <c r="AZ127" i="31"/>
  <c r="BA132" i="31"/>
  <c r="AZ133" i="31"/>
  <c r="BN164" i="31"/>
  <c r="AO106" i="31"/>
  <c r="AO211" i="31" s="1"/>
  <c r="AO109" i="31"/>
  <c r="AO214" i="31" s="1"/>
  <c r="BM150" i="31"/>
  <c r="BM151" i="31" s="1"/>
  <c r="BB139" i="31"/>
  <c r="BC138" i="31"/>
  <c r="AP117" i="31"/>
  <c r="AP222" i="31" s="1"/>
  <c r="BC141" i="31"/>
  <c r="BB142" i="31"/>
  <c r="BN160" i="31"/>
  <c r="BO159" i="31"/>
  <c r="BN157" i="31"/>
  <c r="BO156" i="31"/>
  <c r="BL153" i="31"/>
  <c r="BK154" i="31"/>
  <c r="AO118" i="31"/>
  <c r="AO223" i="31" s="1"/>
  <c r="BO147" i="31"/>
  <c r="BN148" i="31"/>
  <c r="AR103" i="31"/>
  <c r="AR119" i="31" s="1"/>
  <c r="AQ208" i="31"/>
  <c r="AQ110" i="31"/>
  <c r="AQ215" i="31" s="1"/>
  <c r="AQ116" i="31"/>
  <c r="AQ221" i="31" s="1"/>
  <c r="AQ224" i="31"/>
  <c r="AQ104" i="31"/>
  <c r="AQ209" i="31" s="1"/>
  <c r="AQ107" i="31"/>
  <c r="AQ212" i="31" s="1"/>
  <c r="AQ113" i="31"/>
  <c r="AQ218" i="31" s="1"/>
  <c r="AQ120" i="31"/>
  <c r="AP108" i="31"/>
  <c r="AP213" i="31" s="1"/>
  <c r="BA136" i="31"/>
  <c r="AP105" i="31"/>
  <c r="AP210" i="31" s="1"/>
  <c r="AP114" i="31"/>
  <c r="AP111" i="31"/>
  <c r="AP216" i="31" s="1"/>
  <c r="BB130" i="31"/>
  <c r="BC129" i="31"/>
  <c r="AO112" i="31" l="1"/>
  <c r="AO217" i="31" s="1"/>
  <c r="AP115" i="31"/>
  <c r="AP220" i="31" s="1"/>
  <c r="AP219" i="31"/>
  <c r="AQ121" i="31"/>
  <c r="AQ226" i="31" s="1"/>
  <c r="AQ225" i="31"/>
  <c r="AQ122" i="31"/>
  <c r="BO162" i="31"/>
  <c r="BN163" i="31"/>
  <c r="AP112" i="31"/>
  <c r="AP217" i="31" s="1"/>
  <c r="BO164" i="31"/>
  <c r="BA133" i="31"/>
  <c r="BB132" i="31"/>
  <c r="BA127" i="31"/>
  <c r="BB126" i="31"/>
  <c r="AP109" i="31"/>
  <c r="AP214" i="31" s="1"/>
  <c r="BN150" i="31"/>
  <c r="BN151" i="31" s="1"/>
  <c r="AP106" i="31"/>
  <c r="AP211" i="31" s="1"/>
  <c r="AR120" i="31"/>
  <c r="AR225" i="31" s="1"/>
  <c r="AP118" i="31"/>
  <c r="AP223" i="31" s="1"/>
  <c r="BC139" i="31"/>
  <c r="BD138" i="31"/>
  <c r="BD141" i="31"/>
  <c r="BC142" i="31"/>
  <c r="BP159" i="31"/>
  <c r="BO160" i="31"/>
  <c r="BM153" i="31"/>
  <c r="BL154" i="31"/>
  <c r="BO157" i="31"/>
  <c r="BP156" i="31"/>
  <c r="BP147" i="31"/>
  <c r="BO148" i="31"/>
  <c r="AQ114" i="31"/>
  <c r="AQ108" i="31"/>
  <c r="AQ213" i="31" s="1"/>
  <c r="AQ111" i="31"/>
  <c r="AQ216" i="31" s="1"/>
  <c r="AQ117" i="31"/>
  <c r="AQ222" i="31" s="1"/>
  <c r="AQ105" i="31"/>
  <c r="AQ210" i="31" s="1"/>
  <c r="BB136" i="31"/>
  <c r="AS103" i="31"/>
  <c r="AS119" i="31" s="1"/>
  <c r="AR113" i="31"/>
  <c r="AR218" i="31" s="1"/>
  <c r="AR104" i="31"/>
  <c r="AR209" i="31" s="1"/>
  <c r="AR208" i="31"/>
  <c r="AR107" i="31"/>
  <c r="AR212" i="31" s="1"/>
  <c r="AR224" i="31"/>
  <c r="AR110" i="31"/>
  <c r="AR215" i="31" s="1"/>
  <c r="AR116" i="31"/>
  <c r="AR221" i="31" s="1"/>
  <c r="BD129" i="31"/>
  <c r="BC130" i="31"/>
  <c r="AQ115" i="31" l="1"/>
  <c r="AQ220" i="31" s="1"/>
  <c r="AQ219" i="31"/>
  <c r="AR121" i="31"/>
  <c r="AR226" i="31" s="1"/>
  <c r="AR122" i="31"/>
  <c r="BP162" i="31"/>
  <c r="BO163" i="31"/>
  <c r="AQ109" i="31"/>
  <c r="AQ214" i="31" s="1"/>
  <c r="BC126" i="31"/>
  <c r="BB127" i="31"/>
  <c r="BO150" i="31"/>
  <c r="BO151" i="31" s="1"/>
  <c r="AQ106" i="31"/>
  <c r="AQ211" i="31" s="1"/>
  <c r="BC132" i="31"/>
  <c r="BB133" i="31"/>
  <c r="AQ118" i="31"/>
  <c r="AQ223" i="31" s="1"/>
  <c r="AQ112" i="31"/>
  <c r="AQ217" i="31" s="1"/>
  <c r="BP164" i="31"/>
  <c r="BD142" i="31"/>
  <c r="BE141" i="31"/>
  <c r="BD139" i="31"/>
  <c r="BE138" i="31"/>
  <c r="BP160" i="31"/>
  <c r="BQ159" i="31"/>
  <c r="BP157" i="31"/>
  <c r="BQ156" i="31"/>
  <c r="BM154" i="31"/>
  <c r="BN153" i="31"/>
  <c r="BQ147" i="31"/>
  <c r="BP148" i="31"/>
  <c r="AR117" i="31"/>
  <c r="AR222" i="31" s="1"/>
  <c r="AR114" i="31"/>
  <c r="BC136" i="31"/>
  <c r="AR111" i="31"/>
  <c r="AR216" i="31" s="1"/>
  <c r="AR105" i="31"/>
  <c r="AR210" i="31" s="1"/>
  <c r="AR108" i="31"/>
  <c r="AR213" i="31" s="1"/>
  <c r="AT103" i="31"/>
  <c r="AT119" i="31" s="1"/>
  <c r="AS110" i="31"/>
  <c r="AS215" i="31" s="1"/>
  <c r="AS116" i="31"/>
  <c r="AS221" i="31" s="1"/>
  <c r="AS208" i="31"/>
  <c r="AS224" i="31"/>
  <c r="AS113" i="31"/>
  <c r="AS218" i="31" s="1"/>
  <c r="AS104" i="31"/>
  <c r="AS107" i="31"/>
  <c r="AS212" i="31" s="1"/>
  <c r="AS120" i="31"/>
  <c r="AS121" i="31" s="1"/>
  <c r="AS226" i="31" s="1"/>
  <c r="BD130" i="31"/>
  <c r="BE129" i="31"/>
  <c r="AR115" i="31" l="1"/>
  <c r="AR220" i="31" s="1"/>
  <c r="AR219" i="31"/>
  <c r="AS209" i="31"/>
  <c r="AS122" i="31"/>
  <c r="BQ162" i="31"/>
  <c r="BP163" i="31"/>
  <c r="AT120" i="31"/>
  <c r="AS225" i="31"/>
  <c r="AR106" i="31"/>
  <c r="AR211" i="31" s="1"/>
  <c r="BP150" i="31"/>
  <c r="BP151" i="31" s="1"/>
  <c r="BD126" i="31"/>
  <c r="BC127" i="31"/>
  <c r="AR109" i="31"/>
  <c r="AR214" i="31" s="1"/>
  <c r="BQ164" i="31"/>
  <c r="AR112" i="31"/>
  <c r="AR217" i="31" s="1"/>
  <c r="BC133" i="31"/>
  <c r="BD132" i="31"/>
  <c r="BF138" i="31"/>
  <c r="BE139" i="31"/>
  <c r="BF141" i="31"/>
  <c r="BE142" i="31"/>
  <c r="AS117" i="31"/>
  <c r="BR159" i="31"/>
  <c r="BQ160" i="31"/>
  <c r="BN154" i="31"/>
  <c r="BO153" i="31"/>
  <c r="BR156" i="31"/>
  <c r="BQ157" i="31"/>
  <c r="AR118" i="31"/>
  <c r="AR223" i="31" s="1"/>
  <c r="BR147" i="31"/>
  <c r="BQ148" i="31"/>
  <c r="AS114" i="31"/>
  <c r="AS115" i="31" s="1"/>
  <c r="AS220" i="31" s="1"/>
  <c r="AS111" i="31"/>
  <c r="AU103" i="31"/>
  <c r="AU119" i="31" s="1"/>
  <c r="AT116" i="31"/>
  <c r="AT221" i="31" s="1"/>
  <c r="AT224" i="31"/>
  <c r="AT104" i="31"/>
  <c r="AT113" i="31"/>
  <c r="AT218" i="31" s="1"/>
  <c r="AT110" i="31"/>
  <c r="AT215" i="31" s="1"/>
  <c r="AT107" i="31"/>
  <c r="AT212" i="31" s="1"/>
  <c r="AT208" i="31"/>
  <c r="BD136" i="31"/>
  <c r="AS108" i="31"/>
  <c r="AS105" i="31"/>
  <c r="BE130" i="31"/>
  <c r="BF129" i="31"/>
  <c r="AT225" i="31" l="1"/>
  <c r="AT121" i="31"/>
  <c r="AT226" i="31" s="1"/>
  <c r="AT209" i="31"/>
  <c r="AT122" i="31"/>
  <c r="BR162" i="31"/>
  <c r="BQ163" i="31"/>
  <c r="BR164" i="31"/>
  <c r="AS106" i="31"/>
  <c r="AS211" i="31" s="1"/>
  <c r="AS210" i="31"/>
  <c r="AS112" i="31"/>
  <c r="AS217" i="31" s="1"/>
  <c r="AS216" i="31"/>
  <c r="AS118" i="31"/>
  <c r="AS223" i="31" s="1"/>
  <c r="AS222" i="31"/>
  <c r="BD133" i="31"/>
  <c r="BE132" i="31"/>
  <c r="BQ150" i="31"/>
  <c r="BQ151" i="31" s="1"/>
  <c r="AS109" i="31"/>
  <c r="AS214" i="31" s="1"/>
  <c r="AS213" i="31"/>
  <c r="AS219" i="31"/>
  <c r="BD127" i="31"/>
  <c r="BE126" i="31"/>
  <c r="BF142" i="31"/>
  <c r="BG141" i="31"/>
  <c r="BF139" i="31"/>
  <c r="BG138" i="31"/>
  <c r="BS159" i="31"/>
  <c r="BR160" i="31"/>
  <c r="BS156" i="31"/>
  <c r="BR157" i="31"/>
  <c r="BP153" i="31"/>
  <c r="BO154" i="31"/>
  <c r="BS147" i="31"/>
  <c r="BR148" i="31"/>
  <c r="AT117" i="31"/>
  <c r="AT108" i="31"/>
  <c r="BE136" i="31"/>
  <c r="AT111" i="31"/>
  <c r="AT114" i="31"/>
  <c r="AT115" i="31" s="1"/>
  <c r="AV103" i="31"/>
  <c r="AV119" i="31" s="1"/>
  <c r="AU113" i="31"/>
  <c r="AU218" i="31" s="1"/>
  <c r="AU116" i="31"/>
  <c r="AU221" i="31" s="1"/>
  <c r="AU107" i="31"/>
  <c r="AU212" i="31" s="1"/>
  <c r="AU208" i="31"/>
  <c r="AU110" i="31"/>
  <c r="AU215" i="31" s="1"/>
  <c r="AU104" i="31"/>
  <c r="AU224" i="31"/>
  <c r="AT105" i="31"/>
  <c r="AU120" i="31"/>
  <c r="BG129" i="31"/>
  <c r="BF130" i="31"/>
  <c r="AU225" i="31" l="1"/>
  <c r="AU121" i="31"/>
  <c r="AU226" i="31" s="1"/>
  <c r="AU209" i="31"/>
  <c r="AU122" i="31"/>
  <c r="BS162" i="31"/>
  <c r="BR163" i="31"/>
  <c r="AT106" i="31"/>
  <c r="AT211" i="31" s="1"/>
  <c r="AT210" i="31"/>
  <c r="BE127" i="31"/>
  <c r="BF126" i="31"/>
  <c r="BR150" i="31"/>
  <c r="BR151" i="31" s="1"/>
  <c r="AT220" i="31"/>
  <c r="AT219" i="31"/>
  <c r="BS164" i="31"/>
  <c r="AT109" i="31"/>
  <c r="AT214" i="31" s="1"/>
  <c r="AT213" i="31"/>
  <c r="BF132" i="31"/>
  <c r="BE133" i="31"/>
  <c r="AT112" i="31"/>
  <c r="AT217" i="31" s="1"/>
  <c r="AT216" i="31"/>
  <c r="AT118" i="31"/>
  <c r="AT223" i="31" s="1"/>
  <c r="AT222" i="31"/>
  <c r="BG139" i="31"/>
  <c r="BH138" i="31"/>
  <c r="BG142" i="31"/>
  <c r="BH141" i="31"/>
  <c r="BT159" i="31"/>
  <c r="BS160" i="31"/>
  <c r="BQ153" i="31"/>
  <c r="BP154" i="31"/>
  <c r="BS157" i="31"/>
  <c r="BT156" i="31"/>
  <c r="BT147" i="31"/>
  <c r="BS148" i="31"/>
  <c r="AV120" i="31"/>
  <c r="AU111" i="31"/>
  <c r="AU114" i="31"/>
  <c r="AU115" i="31" s="1"/>
  <c r="BF136" i="31"/>
  <c r="AW103" i="31"/>
  <c r="AW119" i="31" s="1"/>
  <c r="AV116" i="31"/>
  <c r="AV221" i="31" s="1"/>
  <c r="AV208" i="31"/>
  <c r="AV104" i="31"/>
  <c r="AV113" i="31"/>
  <c r="AV218" i="31" s="1"/>
  <c r="AV224" i="31"/>
  <c r="AV110" i="31"/>
  <c r="AV215" i="31" s="1"/>
  <c r="AV107" i="31"/>
  <c r="AV212" i="31" s="1"/>
  <c r="AU105" i="31"/>
  <c r="AU117" i="31"/>
  <c r="AU222" i="31" s="1"/>
  <c r="AU108" i="31"/>
  <c r="BG130" i="31"/>
  <c r="BH129" i="31"/>
  <c r="AV225" i="31" l="1"/>
  <c r="AV121" i="31"/>
  <c r="AV226" i="31" s="1"/>
  <c r="AV209" i="31"/>
  <c r="AV122" i="31"/>
  <c r="BT162" i="31"/>
  <c r="BS163" i="31"/>
  <c r="AU109" i="31"/>
  <c r="AU214" i="31" s="1"/>
  <c r="AU213" i="31"/>
  <c r="BF133" i="31"/>
  <c r="BG132" i="31"/>
  <c r="AU106" i="31"/>
  <c r="AU211" i="31" s="1"/>
  <c r="AU210" i="31"/>
  <c r="AW120" i="31"/>
  <c r="AU220" i="31"/>
  <c r="AU219" i="31"/>
  <c r="BT164" i="31"/>
  <c r="AU112" i="31"/>
  <c r="AU217" i="31" s="1"/>
  <c r="AU216" i="31"/>
  <c r="BS150" i="31"/>
  <c r="BS151" i="31" s="1"/>
  <c r="BG126" i="31"/>
  <c r="BF127" i="31"/>
  <c r="AV117" i="31"/>
  <c r="AV222" i="31" s="1"/>
  <c r="BI138" i="31"/>
  <c r="BH139" i="31"/>
  <c r="BI141" i="31"/>
  <c r="BH142" i="31"/>
  <c r="BT160" i="31"/>
  <c r="BU159" i="31"/>
  <c r="BT157" i="31"/>
  <c r="BU156" i="31"/>
  <c r="BQ154" i="31"/>
  <c r="BR153" i="31"/>
  <c r="BU147" i="31"/>
  <c r="BT148" i="31"/>
  <c r="AU118" i="31"/>
  <c r="AU223" i="31" s="1"/>
  <c r="AV108" i="31"/>
  <c r="AV105" i="31"/>
  <c r="AV111" i="31"/>
  <c r="AV114" i="31"/>
  <c r="AV115" i="31" s="1"/>
  <c r="AX103" i="31"/>
  <c r="AW110" i="31"/>
  <c r="AW215" i="31" s="1"/>
  <c r="AW116" i="31"/>
  <c r="AW221" i="31" s="1"/>
  <c r="AW104" i="31"/>
  <c r="AW107" i="31"/>
  <c r="AW212" i="31" s="1"/>
  <c r="AW113" i="31"/>
  <c r="AW218" i="31" s="1"/>
  <c r="AW208" i="31"/>
  <c r="AW224" i="31"/>
  <c r="BG136" i="31"/>
  <c r="BI129" i="31"/>
  <c r="BH130" i="31"/>
  <c r="AW225" i="31" l="1"/>
  <c r="AW121" i="31"/>
  <c r="AW226" i="31" s="1"/>
  <c r="AW209" i="31"/>
  <c r="AW122" i="31"/>
  <c r="BU162" i="31"/>
  <c r="BT163" i="31"/>
  <c r="AV118" i="31"/>
  <c r="AV223" i="31" s="1"/>
  <c r="BG133" i="31"/>
  <c r="BH132" i="31"/>
  <c r="AV112" i="31"/>
  <c r="AV217" i="31" s="1"/>
  <c r="AV216" i="31"/>
  <c r="BG127" i="31"/>
  <c r="BH126" i="31"/>
  <c r="AV106" i="31"/>
  <c r="AV211" i="31" s="1"/>
  <c r="AV210" i="31"/>
  <c r="BU164" i="31"/>
  <c r="AV220" i="31"/>
  <c r="AV219" i="31"/>
  <c r="AV109" i="31"/>
  <c r="AV214" i="31" s="1"/>
  <c r="AV213" i="31"/>
  <c r="BT150" i="31"/>
  <c r="BT151" i="31" s="1"/>
  <c r="AW117" i="31"/>
  <c r="BJ141" i="31"/>
  <c r="BI142" i="31"/>
  <c r="BI139" i="31"/>
  <c r="BJ138" i="31"/>
  <c r="BU160" i="31"/>
  <c r="BV159" i="31"/>
  <c r="BR154" i="31"/>
  <c r="BS153" i="31"/>
  <c r="BV156" i="31"/>
  <c r="BU157" i="31"/>
  <c r="BV147" i="31"/>
  <c r="BU148" i="31"/>
  <c r="AW114" i="31"/>
  <c r="AW115" i="31" s="1"/>
  <c r="BH136" i="31"/>
  <c r="AW108" i="31"/>
  <c r="AY103" i="31"/>
  <c r="AX107" i="31"/>
  <c r="AX212" i="31" s="1"/>
  <c r="AX119" i="31"/>
  <c r="AX224" i="31" s="1"/>
  <c r="AX104" i="31"/>
  <c r="AX116" i="31"/>
  <c r="AX221" i="31" s="1"/>
  <c r="AX208" i="31"/>
  <c r="AX110" i="31"/>
  <c r="AX215" i="31" s="1"/>
  <c r="AX113" i="31"/>
  <c r="AX218" i="31" s="1"/>
  <c r="AX120" i="31"/>
  <c r="AX121" i="31" s="1"/>
  <c r="AX226" i="31" s="1"/>
  <c r="AW111" i="31"/>
  <c r="AW105" i="31"/>
  <c r="BJ129" i="31"/>
  <c r="BI130" i="31"/>
  <c r="AX209" i="31" l="1"/>
  <c r="AX122" i="31"/>
  <c r="BV162" i="31"/>
  <c r="BU163" i="31"/>
  <c r="AW109" i="31"/>
  <c r="AW214" i="31" s="1"/>
  <c r="AW213" i="31"/>
  <c r="AW106" i="31"/>
  <c r="AW211" i="31" s="1"/>
  <c r="AW210" i="31"/>
  <c r="AW118" i="31"/>
  <c r="AW223" i="31" s="1"/>
  <c r="AW222" i="31"/>
  <c r="BH127" i="31"/>
  <c r="BI126" i="31"/>
  <c r="AY120" i="31"/>
  <c r="AY225" i="31" s="1"/>
  <c r="AX225" i="31"/>
  <c r="AW220" i="31"/>
  <c r="AW219" i="31"/>
  <c r="AW112" i="31"/>
  <c r="AW217" i="31" s="1"/>
  <c r="AW216" i="31"/>
  <c r="BV164" i="31"/>
  <c r="BU150" i="31"/>
  <c r="BU151" i="31" s="1"/>
  <c r="BH133" i="31"/>
  <c r="BI132" i="31"/>
  <c r="BJ139" i="31"/>
  <c r="BK138" i="31"/>
  <c r="BJ142" i="31"/>
  <c r="BK141" i="31"/>
  <c r="BW159" i="31"/>
  <c r="BV160" i="31"/>
  <c r="BS154" i="31"/>
  <c r="BT153" i="31"/>
  <c r="BV157" i="31"/>
  <c r="BW156" i="31"/>
  <c r="BW147" i="31"/>
  <c r="BV148" i="31"/>
  <c r="AX117" i="31"/>
  <c r="AZ103" i="31"/>
  <c r="AY119" i="31"/>
  <c r="AY224" i="31" s="1"/>
  <c r="AY116" i="31"/>
  <c r="AY221" i="31" s="1"/>
  <c r="AY110" i="31"/>
  <c r="AY215" i="31" s="1"/>
  <c r="AY208" i="31"/>
  <c r="AY104" i="31"/>
  <c r="AY209" i="31" s="1"/>
  <c r="AY107" i="31"/>
  <c r="AY212" i="31" s="1"/>
  <c r="AY113" i="31"/>
  <c r="AY218" i="31" s="1"/>
  <c r="BI136" i="31"/>
  <c r="AX114" i="31"/>
  <c r="AX115" i="31" s="1"/>
  <c r="AX105" i="31"/>
  <c r="AX108" i="31"/>
  <c r="AX111" i="31"/>
  <c r="BJ130" i="31"/>
  <c r="BK129" i="31"/>
  <c r="AY121" i="31" l="1"/>
  <c r="AY226" i="31" s="1"/>
  <c r="U306" i="31" s="1"/>
  <c r="AY122" i="31"/>
  <c r="BW162" i="31"/>
  <c r="BV163" i="31"/>
  <c r="AX220" i="31"/>
  <c r="AX219" i="31"/>
  <c r="AX118" i="31"/>
  <c r="AX223" i="31" s="1"/>
  <c r="AX222" i="31"/>
  <c r="AX106" i="31"/>
  <c r="AX211" i="31" s="1"/>
  <c r="AX210" i="31"/>
  <c r="AX112" i="31"/>
  <c r="AX217" i="31" s="1"/>
  <c r="AX216" i="31"/>
  <c r="BV150" i="31"/>
  <c r="BV151" i="31" s="1"/>
  <c r="AX109" i="31"/>
  <c r="AX214" i="31" s="1"/>
  <c r="AX213" i="31"/>
  <c r="BW164" i="31"/>
  <c r="BJ132" i="31"/>
  <c r="BI133" i="31"/>
  <c r="BJ126" i="31"/>
  <c r="BI127" i="31"/>
  <c r="BL141" i="31"/>
  <c r="BK142" i="31"/>
  <c r="BL138" i="31"/>
  <c r="BK139" i="31"/>
  <c r="BW160" i="31"/>
  <c r="BT154" i="31"/>
  <c r="BU153" i="31"/>
  <c r="BW157" i="31"/>
  <c r="BW148" i="31"/>
  <c r="AY117" i="31"/>
  <c r="AY222" i="31" s="1"/>
  <c r="AY108" i="31"/>
  <c r="AY213" i="31" s="1"/>
  <c r="AY105" i="31"/>
  <c r="AY210" i="31" s="1"/>
  <c r="BJ136" i="31"/>
  <c r="BA103" i="31"/>
  <c r="AZ113" i="31"/>
  <c r="AZ104" i="31"/>
  <c r="AZ209" i="31" s="1"/>
  <c r="AZ110" i="31"/>
  <c r="AZ107" i="31"/>
  <c r="AZ212" i="31" s="1"/>
  <c r="AZ208" i="31"/>
  <c r="AZ119" i="31"/>
  <c r="AZ224" i="31" s="1"/>
  <c r="AZ116" i="31"/>
  <c r="AY114" i="31"/>
  <c r="AY111" i="31"/>
  <c r="AY216" i="31" s="1"/>
  <c r="AZ120" i="31"/>
  <c r="BK130" i="31"/>
  <c r="BL129" i="31"/>
  <c r="AY228" i="31" l="1"/>
  <c r="AY115" i="31"/>
  <c r="AY220" i="31" s="1"/>
  <c r="AY219" i="31"/>
  <c r="AZ121" i="31"/>
  <c r="AZ225" i="31"/>
  <c r="AZ122" i="31"/>
  <c r="BW163" i="31"/>
  <c r="AY109" i="31"/>
  <c r="AY214" i="31" s="1"/>
  <c r="BA120" i="31"/>
  <c r="BA225" i="31" s="1"/>
  <c r="AY118" i="31"/>
  <c r="AY223" i="31" s="1"/>
  <c r="BJ127" i="31"/>
  <c r="BK126" i="31"/>
  <c r="BJ133" i="31"/>
  <c r="BK132" i="31"/>
  <c r="AY112" i="31"/>
  <c r="AY217" i="31" s="1"/>
  <c r="AY106" i="31"/>
  <c r="AY211" i="31" s="1"/>
  <c r="BW150" i="31"/>
  <c r="BW151" i="31" s="1"/>
  <c r="BL139" i="31"/>
  <c r="BM138" i="31"/>
  <c r="BM141" i="31"/>
  <c r="BL142" i="31"/>
  <c r="BU154" i="31"/>
  <c r="BV153" i="31"/>
  <c r="BB103" i="31"/>
  <c r="BA113" i="31"/>
  <c r="AZ218" i="31" s="1"/>
  <c r="BA110" i="31"/>
  <c r="AZ215" i="31" s="1"/>
  <c r="BA116" i="31"/>
  <c r="AZ221" i="31" s="1"/>
  <c r="BA119" i="31"/>
  <c r="BA224" i="31" s="1"/>
  <c r="BA107" i="31"/>
  <c r="BA212" i="31" s="1"/>
  <c r="BA208" i="31"/>
  <c r="BA104" i="31"/>
  <c r="BA209" i="31" s="1"/>
  <c r="AZ111" i="31"/>
  <c r="AZ216" i="31" s="1"/>
  <c r="AZ108" i="31"/>
  <c r="AZ213" i="31" s="1"/>
  <c r="AZ105" i="31"/>
  <c r="AZ210" i="31" s="1"/>
  <c r="BK136" i="31"/>
  <c r="AZ117" i="31"/>
  <c r="AZ222" i="31" s="1"/>
  <c r="AZ114" i="31"/>
  <c r="BM129" i="31"/>
  <c r="BL130" i="31"/>
  <c r="AY230" i="31" l="1"/>
  <c r="AZ226" i="31"/>
  <c r="AZ115" i="31"/>
  <c r="AZ220" i="31" s="1"/>
  <c r="AZ219" i="31"/>
  <c r="BA121" i="31"/>
  <c r="BA122" i="31"/>
  <c r="AZ112" i="31"/>
  <c r="AZ217" i="31" s="1"/>
  <c r="AZ106" i="31"/>
  <c r="AZ211" i="31" s="1"/>
  <c r="BK133" i="31"/>
  <c r="BL132" i="31"/>
  <c r="AZ118" i="31"/>
  <c r="AZ223" i="31" s="1"/>
  <c r="AZ109" i="31"/>
  <c r="AZ214" i="31" s="1"/>
  <c r="BL126" i="31"/>
  <c r="BK127" i="31"/>
  <c r="BN141" i="31"/>
  <c r="BM142" i="31"/>
  <c r="BN138" i="31"/>
  <c r="BM139" i="31"/>
  <c r="BV154" i="31"/>
  <c r="BW153" i="31"/>
  <c r="BA117" i="31"/>
  <c r="BA222" i="31" s="1"/>
  <c r="BL136" i="31"/>
  <c r="BA108" i="31"/>
  <c r="BA213" i="31" s="1"/>
  <c r="BA114" i="31"/>
  <c r="BA219" i="31" s="1"/>
  <c r="BC103" i="31"/>
  <c r="BB113" i="31"/>
  <c r="BA218" i="31" s="1"/>
  <c r="BB110" i="31"/>
  <c r="BA215" i="31" s="1"/>
  <c r="BB208" i="31"/>
  <c r="BB104" i="31"/>
  <c r="BB209" i="31" s="1"/>
  <c r="BB116" i="31"/>
  <c r="BA221" i="31" s="1"/>
  <c r="BB107" i="31"/>
  <c r="BB212" i="31" s="1"/>
  <c r="BB119" i="31"/>
  <c r="BB224" i="31" s="1"/>
  <c r="BA111" i="31"/>
  <c r="BA216" i="31" s="1"/>
  <c r="BA105" i="31"/>
  <c r="BA210" i="31" s="1"/>
  <c r="BB120" i="31"/>
  <c r="BB225" i="31" s="1"/>
  <c r="BN129" i="31"/>
  <c r="BM130" i="31"/>
  <c r="AZ230" i="31" l="1"/>
  <c r="BA226" i="31"/>
  <c r="BA115" i="31"/>
  <c r="BA220" i="31" s="1"/>
  <c r="BB121" i="31"/>
  <c r="BB226" i="31" s="1"/>
  <c r="BB122" i="31"/>
  <c r="BA109" i="31"/>
  <c r="BA214" i="31" s="1"/>
  <c r="BA112" i="31"/>
  <c r="BA217" i="31" s="1"/>
  <c r="BA118" i="31"/>
  <c r="BA223" i="31" s="1"/>
  <c r="BM126" i="31"/>
  <c r="BL127" i="31"/>
  <c r="BM132" i="31"/>
  <c r="BL133" i="31"/>
  <c r="BA106" i="31"/>
  <c r="BA211" i="31" s="1"/>
  <c r="BB117" i="31"/>
  <c r="BB222" i="31" s="1"/>
  <c r="BN139" i="31"/>
  <c r="BO138" i="31"/>
  <c r="BN142" i="31"/>
  <c r="BO141" i="31"/>
  <c r="BW154" i="31"/>
  <c r="BC120" i="31"/>
  <c r="BC225" i="31" s="1"/>
  <c r="BB105" i="31"/>
  <c r="BB210" i="31" s="1"/>
  <c r="BB108" i="31"/>
  <c r="BB213" i="31" s="1"/>
  <c r="BB111" i="31"/>
  <c r="BB216" i="31" s="1"/>
  <c r="BD103" i="31"/>
  <c r="BC110" i="31"/>
  <c r="BB215" i="31" s="1"/>
  <c r="BC116" i="31"/>
  <c r="BB221" i="31" s="1"/>
  <c r="BC104" i="31"/>
  <c r="BC209" i="31" s="1"/>
  <c r="BC107" i="31"/>
  <c r="BC212" i="31" s="1"/>
  <c r="BC113" i="31"/>
  <c r="BB218" i="31" s="1"/>
  <c r="BC208" i="31"/>
  <c r="BC119" i="31"/>
  <c r="BC224" i="31" s="1"/>
  <c r="BB114" i="31"/>
  <c r="BB219" i="31" s="1"/>
  <c r="BM136" i="31"/>
  <c r="BN130" i="31"/>
  <c r="BO129" i="31"/>
  <c r="BA230" i="31" l="1"/>
  <c r="BB115" i="31"/>
  <c r="BB220" i="31" s="1"/>
  <c r="BC121" i="31"/>
  <c r="BC226" i="31" s="1"/>
  <c r="BC122" i="31"/>
  <c r="BB106" i="31"/>
  <c r="BB211" i="31" s="1"/>
  <c r="BN132" i="31"/>
  <c r="BM133" i="31"/>
  <c r="BB112" i="31"/>
  <c r="BB217" i="31" s="1"/>
  <c r="BM127" i="31"/>
  <c r="BN126" i="31"/>
  <c r="BB109" i="31"/>
  <c r="BB214" i="31" s="1"/>
  <c r="BC117" i="31"/>
  <c r="BC222" i="31" s="1"/>
  <c r="BB118" i="31"/>
  <c r="BB223" i="31" s="1"/>
  <c r="BP138" i="31"/>
  <c r="BO139" i="31"/>
  <c r="BP141" i="31"/>
  <c r="BO142" i="31"/>
  <c r="BN136" i="31"/>
  <c r="BC114" i="31"/>
  <c r="BC219" i="31" s="1"/>
  <c r="BC111" i="31"/>
  <c r="BC216" i="31" s="1"/>
  <c r="BC105" i="31"/>
  <c r="BC210" i="31" s="1"/>
  <c r="BC108" i="31"/>
  <c r="BC213" i="31" s="1"/>
  <c r="BE103" i="31"/>
  <c r="BD107" i="31"/>
  <c r="BD212" i="31" s="1"/>
  <c r="BD208" i="31"/>
  <c r="BD104" i="31"/>
  <c r="BD209" i="31" s="1"/>
  <c r="BD116" i="31"/>
  <c r="BC221" i="31" s="1"/>
  <c r="BD119" i="31"/>
  <c r="BD224" i="31" s="1"/>
  <c r="BD113" i="31"/>
  <c r="BC218" i="31" s="1"/>
  <c r="BD110" i="31"/>
  <c r="BC215" i="31" s="1"/>
  <c r="BD120" i="31"/>
  <c r="BP129" i="31"/>
  <c r="BO130" i="31"/>
  <c r="BC115" i="31" l="1"/>
  <c r="BC220" i="31" s="1"/>
  <c r="BD121" i="31"/>
  <c r="BD226" i="31" s="1"/>
  <c r="BD225" i="31"/>
  <c r="BD122" i="31"/>
  <c r="BC118" i="31"/>
  <c r="BC223" i="31" s="1"/>
  <c r="BN127" i="31"/>
  <c r="BO126" i="31"/>
  <c r="BN133" i="31"/>
  <c r="BO132" i="31"/>
  <c r="BC106" i="31"/>
  <c r="BC211" i="31" s="1"/>
  <c r="BE120" i="31"/>
  <c r="BE225" i="31" s="1"/>
  <c r="BC112" i="31"/>
  <c r="BC217" i="31" s="1"/>
  <c r="BC109" i="31"/>
  <c r="BC214" i="31" s="1"/>
  <c r="BQ141" i="31"/>
  <c r="BP142" i="31"/>
  <c r="BP139" i="31"/>
  <c r="BQ138" i="31"/>
  <c r="BF103" i="31"/>
  <c r="BE107" i="31"/>
  <c r="BE212" i="31" s="1"/>
  <c r="BE119" i="31"/>
  <c r="BE224" i="31" s="1"/>
  <c r="BE104" i="31"/>
  <c r="BE209" i="31" s="1"/>
  <c r="BE113" i="31"/>
  <c r="BD218" i="31" s="1"/>
  <c r="BE116" i="31"/>
  <c r="BD221" i="31" s="1"/>
  <c r="BE208" i="31"/>
  <c r="BE110" i="31"/>
  <c r="BD215" i="31" s="1"/>
  <c r="BD117" i="31"/>
  <c r="BD222" i="31" s="1"/>
  <c r="BD111" i="31"/>
  <c r="BD216" i="31" s="1"/>
  <c r="BD105" i="31"/>
  <c r="BD210" i="31" s="1"/>
  <c r="BD114" i="31"/>
  <c r="BD219" i="31" s="1"/>
  <c r="BO136" i="31"/>
  <c r="BD108" i="31"/>
  <c r="BD213" i="31" s="1"/>
  <c r="BQ129" i="31"/>
  <c r="BP130" i="31"/>
  <c r="BD115" i="31" l="1"/>
  <c r="BD220" i="31" s="1"/>
  <c r="BE121" i="31"/>
  <c r="BE226" i="31" s="1"/>
  <c r="BE122" i="31"/>
  <c r="BF120" i="31"/>
  <c r="BD109" i="31"/>
  <c r="BD214" i="31" s="1"/>
  <c r="BD106" i="31"/>
  <c r="BD211" i="31" s="1"/>
  <c r="BO127" i="31"/>
  <c r="BP126" i="31"/>
  <c r="BD112" i="31"/>
  <c r="BD217" i="31" s="1"/>
  <c r="BP132" i="31"/>
  <c r="BO133" i="31"/>
  <c r="BQ139" i="31"/>
  <c r="BR138" i="31"/>
  <c r="BE117" i="31"/>
  <c r="BE222" i="31" s="1"/>
  <c r="BR141" i="31"/>
  <c r="BQ142" i="31"/>
  <c r="BD118" i="31"/>
  <c r="BD223" i="31" s="1"/>
  <c r="BE111" i="31"/>
  <c r="BE216" i="31" s="1"/>
  <c r="BE105" i="31"/>
  <c r="BE210" i="31" s="1"/>
  <c r="BP136" i="31"/>
  <c r="BE108" i="31"/>
  <c r="BE213" i="31" s="1"/>
  <c r="BE114" i="31"/>
  <c r="BE219" i="31" s="1"/>
  <c r="BG103" i="31"/>
  <c r="BF107" i="31"/>
  <c r="BF212" i="31" s="1"/>
  <c r="BF208" i="31"/>
  <c r="BF116" i="31"/>
  <c r="BE221" i="31" s="1"/>
  <c r="BF119" i="31"/>
  <c r="BF224" i="31" s="1"/>
  <c r="BF104" i="31"/>
  <c r="BF209" i="31" s="1"/>
  <c r="BF113" i="31"/>
  <c r="BE218" i="31" s="1"/>
  <c r="BF110" i="31"/>
  <c r="BE215" i="31" s="1"/>
  <c r="BR129" i="31"/>
  <c r="BQ130" i="31"/>
  <c r="BE115" i="31" l="1"/>
  <c r="BE220" i="31" s="1"/>
  <c r="BF225" i="31"/>
  <c r="BF121" i="31"/>
  <c r="BF226" i="31" s="1"/>
  <c r="BF122" i="31"/>
  <c r="BG120" i="31"/>
  <c r="BQ126" i="31"/>
  <c r="BP127" i="31"/>
  <c r="BE106" i="31"/>
  <c r="BE211" i="31" s="1"/>
  <c r="BE118" i="31"/>
  <c r="BE223" i="31" s="1"/>
  <c r="BE109" i="31"/>
  <c r="BE214" i="31" s="1"/>
  <c r="BE112" i="31"/>
  <c r="BE217" i="31" s="1"/>
  <c r="BQ132" i="31"/>
  <c r="BP133" i="31"/>
  <c r="BS141" i="31"/>
  <c r="BR142" i="31"/>
  <c r="BR139" i="31"/>
  <c r="BS138" i="31"/>
  <c r="BF117" i="31"/>
  <c r="BF222" i="31" s="1"/>
  <c r="BF111" i="31"/>
  <c r="BH103" i="31"/>
  <c r="BG116" i="31"/>
  <c r="BF221" i="31" s="1"/>
  <c r="BG208" i="31"/>
  <c r="BG110" i="31"/>
  <c r="BF215" i="31" s="1"/>
  <c r="BG113" i="31"/>
  <c r="BF218" i="31" s="1"/>
  <c r="BG104" i="31"/>
  <c r="BG119" i="31"/>
  <c r="BG224" i="31" s="1"/>
  <c r="BG107" i="31"/>
  <c r="BG212" i="31" s="1"/>
  <c r="BF114" i="31"/>
  <c r="BF105" i="31"/>
  <c r="BF210" i="31" s="1"/>
  <c r="BF108" i="31"/>
  <c r="BQ136" i="31"/>
  <c r="BS129" i="31"/>
  <c r="BR130" i="31"/>
  <c r="BF115" i="31" l="1"/>
  <c r="BF220" i="31" s="1"/>
  <c r="BF219" i="31"/>
  <c r="BG225" i="31"/>
  <c r="BG121" i="31"/>
  <c r="BG226" i="31" s="1"/>
  <c r="BG209" i="31"/>
  <c r="BG122" i="31"/>
  <c r="BF109" i="31"/>
  <c r="BF214" i="31" s="1"/>
  <c r="BF213" i="31"/>
  <c r="BF112" i="31"/>
  <c r="BF217" i="31" s="1"/>
  <c r="BF216" i="31"/>
  <c r="BR132" i="31"/>
  <c r="BQ133" i="31"/>
  <c r="BR126" i="31"/>
  <c r="BQ127" i="31"/>
  <c r="BF106" i="31"/>
  <c r="BF211" i="31" s="1"/>
  <c r="BS139" i="31"/>
  <c r="BT138" i="31"/>
  <c r="BG117" i="31"/>
  <c r="BS142" i="31"/>
  <c r="BT141" i="31"/>
  <c r="BF118" i="31"/>
  <c r="BF223" i="31" s="1"/>
  <c r="BG108" i="31"/>
  <c r="BG111" i="31"/>
  <c r="BG105" i="31"/>
  <c r="BG210" i="31" s="1"/>
  <c r="BR136" i="31"/>
  <c r="BG114" i="31"/>
  <c r="BI103" i="31"/>
  <c r="BH107" i="31"/>
  <c r="BH212" i="31" s="1"/>
  <c r="BH116" i="31"/>
  <c r="BG221" i="31" s="1"/>
  <c r="BH119" i="31"/>
  <c r="BH224" i="31" s="1"/>
  <c r="BH104" i="31"/>
  <c r="BH113" i="31"/>
  <c r="BG218" i="31" s="1"/>
  <c r="BH208" i="31"/>
  <c r="BH110" i="31"/>
  <c r="BG215" i="31" s="1"/>
  <c r="BH120" i="31"/>
  <c r="BH121" i="31" s="1"/>
  <c r="BH226" i="31" s="1"/>
  <c r="BT129" i="31"/>
  <c r="BS130" i="31"/>
  <c r="BG115" i="31" l="1"/>
  <c r="BG220" i="31" s="1"/>
  <c r="BG219" i="31"/>
  <c r="BH209" i="31"/>
  <c r="BH122" i="31"/>
  <c r="BG118" i="31"/>
  <c r="BG223" i="31" s="1"/>
  <c r="BG222" i="31"/>
  <c r="BI120" i="31"/>
  <c r="BH225" i="31"/>
  <c r="BG106" i="31"/>
  <c r="BG211" i="31" s="1"/>
  <c r="BR127" i="31"/>
  <c r="BS126" i="31"/>
  <c r="BS132" i="31"/>
  <c r="BR133" i="31"/>
  <c r="BG112" i="31"/>
  <c r="BG217" i="31" s="1"/>
  <c r="BG216" i="31"/>
  <c r="BG109" i="31"/>
  <c r="BG214" i="31" s="1"/>
  <c r="BG213" i="31"/>
  <c r="BH117" i="31"/>
  <c r="BU138" i="31"/>
  <c r="BT139" i="31"/>
  <c r="BU141" i="31"/>
  <c r="BT142" i="31"/>
  <c r="BH114" i="31"/>
  <c r="BH108" i="31"/>
  <c r="BH105" i="31"/>
  <c r="BJ103" i="31"/>
  <c r="BI116" i="31"/>
  <c r="BH221" i="31" s="1"/>
  <c r="BI113" i="31"/>
  <c r="BH218" i="31" s="1"/>
  <c r="BI119" i="31"/>
  <c r="BI224" i="31" s="1"/>
  <c r="BI104" i="31"/>
  <c r="BI107" i="31"/>
  <c r="BI212" i="31" s="1"/>
  <c r="BI208" i="31"/>
  <c r="BI110" i="31"/>
  <c r="BH215" i="31" s="1"/>
  <c r="BS136" i="31"/>
  <c r="BH111" i="31"/>
  <c r="BU129" i="31"/>
  <c r="BT130" i="31"/>
  <c r="BH115" i="31" l="1"/>
  <c r="BH220" i="31" s="1"/>
  <c r="BH219" i="31"/>
  <c r="BI225" i="31"/>
  <c r="BI121" i="31"/>
  <c r="BI226" i="31" s="1"/>
  <c r="BI209" i="31"/>
  <c r="BI122" i="31"/>
  <c r="BT126" i="31"/>
  <c r="BS127" i="31"/>
  <c r="BH118" i="31"/>
  <c r="BH223" i="31" s="1"/>
  <c r="BH222" i="31"/>
  <c r="BS133" i="31"/>
  <c r="BT132" i="31"/>
  <c r="BH106" i="31"/>
  <c r="BH211" i="31" s="1"/>
  <c r="BH210" i="31"/>
  <c r="BH112" i="31"/>
  <c r="BH217" i="31" s="1"/>
  <c r="BH216" i="31"/>
  <c r="BH109" i="31"/>
  <c r="BH214" i="31" s="1"/>
  <c r="BH213" i="31"/>
  <c r="BU142" i="31"/>
  <c r="BV141" i="31"/>
  <c r="BV138" i="31"/>
  <c r="BU139" i="31"/>
  <c r="BI117" i="31"/>
  <c r="BI222" i="31" s="1"/>
  <c r="BT136" i="31"/>
  <c r="BI105" i="31"/>
  <c r="BK103" i="31"/>
  <c r="BJ107" i="31"/>
  <c r="BJ212" i="31" s="1"/>
  <c r="BJ119" i="31"/>
  <c r="BJ224" i="31" s="1"/>
  <c r="BJ116" i="31"/>
  <c r="BI221" i="31" s="1"/>
  <c r="BJ113" i="31"/>
  <c r="BI218" i="31" s="1"/>
  <c r="BJ110" i="31"/>
  <c r="BI215" i="31" s="1"/>
  <c r="BJ208" i="31"/>
  <c r="BJ104" i="31"/>
  <c r="BI111" i="31"/>
  <c r="BI114" i="31"/>
  <c r="BI108" i="31"/>
  <c r="BJ120" i="31"/>
  <c r="BV129" i="31"/>
  <c r="BU130" i="31"/>
  <c r="BI115" i="31" l="1"/>
  <c r="BI220" i="31" s="1"/>
  <c r="BI219" i="31"/>
  <c r="BJ225" i="31"/>
  <c r="BJ121" i="31"/>
  <c r="BJ226" i="31" s="1"/>
  <c r="BJ209" i="31"/>
  <c r="BJ122" i="31"/>
  <c r="BU126" i="31"/>
  <c r="BT127" i="31"/>
  <c r="BI112" i="31"/>
  <c r="BI217" i="31" s="1"/>
  <c r="BI216" i="31"/>
  <c r="BU132" i="31"/>
  <c r="BT133" i="31"/>
  <c r="BI109" i="31"/>
  <c r="BI214" i="31" s="1"/>
  <c r="BI213" i="31"/>
  <c r="BI106" i="31"/>
  <c r="BI211" i="31" s="1"/>
  <c r="BI210" i="31"/>
  <c r="BK120" i="31"/>
  <c r="BW138" i="31"/>
  <c r="BV139" i="31"/>
  <c r="BW141" i="31"/>
  <c r="BV142" i="31"/>
  <c r="BJ117" i="31"/>
  <c r="BI118" i="31"/>
  <c r="BI223" i="31" s="1"/>
  <c r="BJ105" i="31"/>
  <c r="BJ111" i="31"/>
  <c r="BJ108" i="31"/>
  <c r="BJ114" i="31"/>
  <c r="BL103" i="31"/>
  <c r="BK113" i="31"/>
  <c r="BJ218" i="31" s="1"/>
  <c r="BK107" i="31"/>
  <c r="BK212" i="31" s="1"/>
  <c r="BK208" i="31"/>
  <c r="BK110" i="31"/>
  <c r="BJ215" i="31" s="1"/>
  <c r="BK116" i="31"/>
  <c r="BJ221" i="31" s="1"/>
  <c r="BK119" i="31"/>
  <c r="BK224" i="31" s="1"/>
  <c r="BK104" i="31"/>
  <c r="BU136" i="31"/>
  <c r="BW129" i="31"/>
  <c r="BV130" i="31"/>
  <c r="BJ115" i="31" l="1"/>
  <c r="BJ220" i="31" s="1"/>
  <c r="BJ219" i="31"/>
  <c r="BK225" i="31"/>
  <c r="BK121" i="31"/>
  <c r="BK226" i="31" s="1"/>
  <c r="V306" i="31" s="1"/>
  <c r="BK209" i="31"/>
  <c r="BK122" i="31"/>
  <c r="BJ109" i="31"/>
  <c r="BJ214" i="31" s="1"/>
  <c r="BJ213" i="31"/>
  <c r="BU127" i="31"/>
  <c r="BV126" i="31"/>
  <c r="BJ112" i="31"/>
  <c r="BJ217" i="31" s="1"/>
  <c r="BJ216" i="31"/>
  <c r="BJ118" i="31"/>
  <c r="BJ223" i="31" s="1"/>
  <c r="BJ222" i="31"/>
  <c r="BV132" i="31"/>
  <c r="BU133" i="31"/>
  <c r="BJ106" i="31"/>
  <c r="BJ211" i="31" s="1"/>
  <c r="BJ210" i="31"/>
  <c r="BW142" i="31"/>
  <c r="BW139" i="31"/>
  <c r="BK117" i="31"/>
  <c r="BK222" i="31" s="1"/>
  <c r="BV136" i="31"/>
  <c r="BK114" i="31"/>
  <c r="BK111" i="31"/>
  <c r="BK216" i="31" s="1"/>
  <c r="BM103" i="31"/>
  <c r="BL107" i="31"/>
  <c r="BL212" i="31" s="1"/>
  <c r="BL119" i="31"/>
  <c r="BL224" i="31" s="1"/>
  <c r="BL116" i="31"/>
  <c r="BK221" i="31" s="1"/>
  <c r="BL104" i="31"/>
  <c r="BL113" i="31"/>
  <c r="BK218" i="31" s="1"/>
  <c r="BL208" i="31"/>
  <c r="BL110" i="31"/>
  <c r="BK215" i="31" s="1"/>
  <c r="BK105" i="31"/>
  <c r="BK108" i="31"/>
  <c r="BL120" i="31"/>
  <c r="BW130" i="31"/>
  <c r="BK115" i="31" l="1"/>
  <c r="BK220" i="31" s="1"/>
  <c r="BK219" i="31"/>
  <c r="BK228" i="31"/>
  <c r="BL225" i="31"/>
  <c r="BL121" i="31"/>
  <c r="BL226" i="31" s="1"/>
  <c r="BL209" i="31"/>
  <c r="BL122" i="31"/>
  <c r="BK112" i="31"/>
  <c r="BK217" i="31" s="1"/>
  <c r="BK109" i="31"/>
  <c r="BK214" i="31" s="1"/>
  <c r="BK213" i="31"/>
  <c r="BW126" i="31"/>
  <c r="BV127" i="31"/>
  <c r="BW132" i="31"/>
  <c r="BV133" i="31"/>
  <c r="BK106" i="31"/>
  <c r="BK211" i="31" s="1"/>
  <c r="BK210" i="31"/>
  <c r="BL117" i="31"/>
  <c r="BK118" i="31"/>
  <c r="BK223" i="31" s="1"/>
  <c r="BM120" i="31"/>
  <c r="BL114" i="31"/>
  <c r="BL105" i="31"/>
  <c r="BN103" i="31"/>
  <c r="BM113" i="31"/>
  <c r="BL218" i="31" s="1"/>
  <c r="BM110" i="31"/>
  <c r="BL215" i="31" s="1"/>
  <c r="BM107" i="31"/>
  <c r="BM212" i="31" s="1"/>
  <c r="BM208" i="31"/>
  <c r="BM104" i="31"/>
  <c r="BM119" i="31"/>
  <c r="BM224" i="31" s="1"/>
  <c r="BM116" i="31"/>
  <c r="BL221" i="31" s="1"/>
  <c r="BL108" i="31"/>
  <c r="BL111" i="31"/>
  <c r="BW136" i="31"/>
  <c r="BL115" i="31" l="1"/>
  <c r="BL220" i="31" s="1"/>
  <c r="BL219" i="31"/>
  <c r="BK230" i="31"/>
  <c r="BL228" i="31"/>
  <c r="BM225" i="31"/>
  <c r="BM121" i="31"/>
  <c r="BM226" i="31" s="1"/>
  <c r="BM209" i="31"/>
  <c r="BM122" i="31"/>
  <c r="BL109" i="31"/>
  <c r="BL214" i="31" s="1"/>
  <c r="BL213" i="31"/>
  <c r="BL118" i="31"/>
  <c r="BL223" i="31" s="1"/>
  <c r="BL222" i="31"/>
  <c r="BW127" i="31"/>
  <c r="BL106" i="31"/>
  <c r="BL211" i="31" s="1"/>
  <c r="BL210" i="31"/>
  <c r="BW133" i="31"/>
  <c r="BL112" i="31"/>
  <c r="BL217" i="31" s="1"/>
  <c r="BL216" i="31"/>
  <c r="BM117" i="31"/>
  <c r="BM111" i="31"/>
  <c r="BM105" i="31"/>
  <c r="BM114" i="31"/>
  <c r="BO103" i="31"/>
  <c r="BN116" i="31"/>
  <c r="BM221" i="31" s="1"/>
  <c r="BN110" i="31"/>
  <c r="BM215" i="31" s="1"/>
  <c r="BN208" i="31"/>
  <c r="BN104" i="31"/>
  <c r="BN113" i="31"/>
  <c r="BM218" i="31" s="1"/>
  <c r="BN119" i="31"/>
  <c r="BN224" i="31" s="1"/>
  <c r="BN107" i="31"/>
  <c r="BN212" i="31" s="1"/>
  <c r="BM108" i="31"/>
  <c r="BN120" i="31"/>
  <c r="BM115" i="31" l="1"/>
  <c r="BM220" i="31" s="1"/>
  <c r="BM219" i="31"/>
  <c r="BL230" i="31"/>
  <c r="BN225" i="31"/>
  <c r="BN121" i="31"/>
  <c r="BN226" i="31" s="1"/>
  <c r="BN209" i="31"/>
  <c r="BN122" i="31"/>
  <c r="BN117" i="31"/>
  <c r="BN222" i="31" s="1"/>
  <c r="BM222" i="31"/>
  <c r="BM109" i="31"/>
  <c r="BM214" i="31" s="1"/>
  <c r="BM213" i="31"/>
  <c r="BM106" i="31"/>
  <c r="BM211" i="31" s="1"/>
  <c r="BM210" i="31"/>
  <c r="BM112" i="31"/>
  <c r="BM217" i="31" s="1"/>
  <c r="BM216" i="31"/>
  <c r="BM118" i="31"/>
  <c r="BM223" i="31" s="1"/>
  <c r="BO120" i="31"/>
  <c r="BN111" i="31"/>
  <c r="BN114" i="31"/>
  <c r="BN105" i="31"/>
  <c r="BP103" i="31"/>
  <c r="BO116" i="31"/>
  <c r="BN221" i="31" s="1"/>
  <c r="BO208" i="31"/>
  <c r="BO110" i="31"/>
  <c r="BN215" i="31" s="1"/>
  <c r="BO104" i="31"/>
  <c r="BO113" i="31"/>
  <c r="BN218" i="31" s="1"/>
  <c r="BO107" i="31"/>
  <c r="BO212" i="31" s="1"/>
  <c r="BO119" i="31"/>
  <c r="BO224" i="31" s="1"/>
  <c r="BN108" i="31"/>
  <c r="BN115" i="31" l="1"/>
  <c r="BN220" i="31" s="1"/>
  <c r="BN219" i="31"/>
  <c r="BO225" i="31"/>
  <c r="BO121" i="31"/>
  <c r="BO226" i="31" s="1"/>
  <c r="BO209" i="31"/>
  <c r="BO122" i="31"/>
  <c r="BN118" i="31"/>
  <c r="BN223" i="31" s="1"/>
  <c r="BN109" i="31"/>
  <c r="BN214" i="31" s="1"/>
  <c r="BN213" i="31"/>
  <c r="BN106" i="31"/>
  <c r="BN211" i="31" s="1"/>
  <c r="BN210" i="31"/>
  <c r="BN112" i="31"/>
  <c r="BN217" i="31" s="1"/>
  <c r="BN216" i="31"/>
  <c r="BO108" i="31"/>
  <c r="BO114" i="31"/>
  <c r="BO117" i="31"/>
  <c r="BO105" i="31"/>
  <c r="BQ103" i="31"/>
  <c r="BP116" i="31"/>
  <c r="BO221" i="31" s="1"/>
  <c r="BP113" i="31"/>
  <c r="BO218" i="31" s="1"/>
  <c r="BP208" i="31"/>
  <c r="BP110" i="31"/>
  <c r="BO215" i="31" s="1"/>
  <c r="BP107" i="31"/>
  <c r="BP212" i="31" s="1"/>
  <c r="BP119" i="31"/>
  <c r="BP224" i="31" s="1"/>
  <c r="BP104" i="31"/>
  <c r="BO111" i="31"/>
  <c r="BP120" i="31"/>
  <c r="BP121" i="31" s="1"/>
  <c r="BP226" i="31" s="1"/>
  <c r="BO115" i="31" l="1"/>
  <c r="BO220" i="31" s="1"/>
  <c r="BO219" i="31"/>
  <c r="BP209" i="31"/>
  <c r="BP122" i="31"/>
  <c r="BO112" i="31"/>
  <c r="BO217" i="31" s="1"/>
  <c r="BO216" i="31"/>
  <c r="BO106" i="31"/>
  <c r="BO211" i="31" s="1"/>
  <c r="BO210" i="31"/>
  <c r="BO109" i="31"/>
  <c r="BO214" i="31" s="1"/>
  <c r="BO213" i="31"/>
  <c r="BO118" i="31"/>
  <c r="BO223" i="31" s="1"/>
  <c r="BO222" i="31"/>
  <c r="BQ120" i="31"/>
  <c r="BP225" i="31"/>
  <c r="BP117" i="31"/>
  <c r="BP222" i="31" s="1"/>
  <c r="BP105" i="31"/>
  <c r="BP108" i="31"/>
  <c r="BP114" i="31"/>
  <c r="BP111" i="31"/>
  <c r="BR103" i="31"/>
  <c r="BQ116" i="31"/>
  <c r="BP221" i="31" s="1"/>
  <c r="BQ113" i="31"/>
  <c r="BP218" i="31" s="1"/>
  <c r="BQ208" i="31"/>
  <c r="BQ110" i="31"/>
  <c r="BP215" i="31" s="1"/>
  <c r="BQ119" i="31"/>
  <c r="BQ224" i="31" s="1"/>
  <c r="BQ107" i="31"/>
  <c r="BQ212" i="31" s="1"/>
  <c r="BQ104" i="31"/>
  <c r="BP115" i="31" l="1"/>
  <c r="BP220" i="31" s="1"/>
  <c r="BP219" i="31"/>
  <c r="BQ225" i="31"/>
  <c r="BQ121" i="31"/>
  <c r="BQ226" i="31" s="1"/>
  <c r="BQ209" i="31"/>
  <c r="BQ122" i="31"/>
  <c r="BP118" i="31"/>
  <c r="BP223" i="31" s="1"/>
  <c r="BP109" i="31"/>
  <c r="BP214" i="31" s="1"/>
  <c r="BP213" i="31"/>
  <c r="BP106" i="31"/>
  <c r="BP211" i="31" s="1"/>
  <c r="BP210" i="31"/>
  <c r="BP112" i="31"/>
  <c r="BP217" i="31" s="1"/>
  <c r="BP216" i="31"/>
  <c r="BQ117" i="31"/>
  <c r="BQ111" i="31"/>
  <c r="BS103" i="31"/>
  <c r="BR107" i="31"/>
  <c r="BR212" i="31" s="1"/>
  <c r="BR208" i="31"/>
  <c r="BR110" i="31"/>
  <c r="BQ215" i="31" s="1"/>
  <c r="BR116" i="31"/>
  <c r="BQ221" i="31" s="1"/>
  <c r="BR104" i="31"/>
  <c r="BR113" i="31"/>
  <c r="BQ218" i="31" s="1"/>
  <c r="BR119" i="31"/>
  <c r="BR224" i="31" s="1"/>
  <c r="BQ105" i="31"/>
  <c r="BQ108" i="31"/>
  <c r="BQ114" i="31"/>
  <c r="BR120" i="31"/>
  <c r="BQ115" i="31" l="1"/>
  <c r="BQ220" i="31" s="1"/>
  <c r="BQ219" i="31"/>
  <c r="BR225" i="31"/>
  <c r="BR121" i="31"/>
  <c r="BR226" i="31" s="1"/>
  <c r="BR209" i="31"/>
  <c r="BR122" i="31"/>
  <c r="BQ106" i="31"/>
  <c r="BQ211" i="31" s="1"/>
  <c r="BQ210" i="31"/>
  <c r="BQ112" i="31"/>
  <c r="BQ217" i="31" s="1"/>
  <c r="BQ216" i="31"/>
  <c r="BR117" i="31"/>
  <c r="BR222" i="31" s="1"/>
  <c r="BQ222" i="31"/>
  <c r="BQ109" i="31"/>
  <c r="BQ214" i="31" s="1"/>
  <c r="BQ213" i="31"/>
  <c r="BQ118" i="31"/>
  <c r="BQ223" i="31" s="1"/>
  <c r="BR105" i="31"/>
  <c r="BT103" i="31"/>
  <c r="BS116" i="31"/>
  <c r="BR221" i="31" s="1"/>
  <c r="BS104" i="31"/>
  <c r="BS119" i="31"/>
  <c r="BS224" i="31" s="1"/>
  <c r="BS113" i="31"/>
  <c r="BR218" i="31" s="1"/>
  <c r="BS107" i="31"/>
  <c r="BS212" i="31" s="1"/>
  <c r="BS208" i="31"/>
  <c r="BS110" i="31"/>
  <c r="BR215" i="31" s="1"/>
  <c r="BR111" i="31"/>
  <c r="BS120" i="31"/>
  <c r="BR108" i="31"/>
  <c r="BR114" i="31"/>
  <c r="BR115" i="31" l="1"/>
  <c r="BR220" i="31" s="1"/>
  <c r="BR219" i="31"/>
  <c r="BR228" i="31"/>
  <c r="BS225" i="31"/>
  <c r="BS121" i="31"/>
  <c r="BS226" i="31" s="1"/>
  <c r="BS209" i="31"/>
  <c r="BS122" i="31"/>
  <c r="BR118" i="31"/>
  <c r="BR223" i="31" s="1"/>
  <c r="BR112" i="31"/>
  <c r="BR217" i="31" s="1"/>
  <c r="BR216" i="31"/>
  <c r="BR106" i="31"/>
  <c r="BR211" i="31" s="1"/>
  <c r="BR210" i="31"/>
  <c r="BR109" i="31"/>
  <c r="BR214" i="31" s="1"/>
  <c r="BR213" i="31"/>
  <c r="BS117" i="31"/>
  <c r="BS222" i="31" s="1"/>
  <c r="BT120" i="31"/>
  <c r="BS114" i="31"/>
  <c r="BU103" i="31"/>
  <c r="BT113" i="31"/>
  <c r="BS218" i="31" s="1"/>
  <c r="BT107" i="31"/>
  <c r="BT212" i="31" s="1"/>
  <c r="BT208" i="31"/>
  <c r="BT110" i="31"/>
  <c r="BS215" i="31" s="1"/>
  <c r="BT116" i="31"/>
  <c r="BS221" i="31" s="1"/>
  <c r="BT119" i="31"/>
  <c r="BT224" i="31" s="1"/>
  <c r="BT104" i="31"/>
  <c r="BS111" i="31"/>
  <c r="BS105" i="31"/>
  <c r="BS108" i="31"/>
  <c r="BS115" i="31" l="1"/>
  <c r="BS220" i="31" s="1"/>
  <c r="BS219" i="31"/>
  <c r="BR230" i="31"/>
  <c r="BS228" i="31"/>
  <c r="BT225" i="31"/>
  <c r="BT121" i="31"/>
  <c r="BT226" i="31" s="1"/>
  <c r="BT209" i="31"/>
  <c r="BT122" i="31"/>
  <c r="BS118" i="31"/>
  <c r="BS223" i="31" s="1"/>
  <c r="BS106" i="31"/>
  <c r="BS211" i="31" s="1"/>
  <c r="BS210" i="31"/>
  <c r="BS109" i="31"/>
  <c r="BS214" i="31" s="1"/>
  <c r="BS213" i="31"/>
  <c r="BS112" i="31"/>
  <c r="BS217" i="31" s="1"/>
  <c r="BS216" i="31"/>
  <c r="BT117" i="31"/>
  <c r="BT222" i="31" s="1"/>
  <c r="BT105" i="31"/>
  <c r="BT108" i="31"/>
  <c r="BT114" i="31"/>
  <c r="BT111" i="31"/>
  <c r="BV103" i="31"/>
  <c r="BU119" i="31"/>
  <c r="BU224" i="31" s="1"/>
  <c r="BU110" i="31"/>
  <c r="BT215" i="31" s="1"/>
  <c r="BU113" i="31"/>
  <c r="BT218" i="31" s="1"/>
  <c r="BU116" i="31"/>
  <c r="BT221" i="31" s="1"/>
  <c r="BU104" i="31"/>
  <c r="BU107" i="31"/>
  <c r="BU212" i="31" s="1"/>
  <c r="BU208" i="31"/>
  <c r="BU120" i="31"/>
  <c r="BT115" i="31" l="1"/>
  <c r="BT220" i="31" s="1"/>
  <c r="BT219" i="31"/>
  <c r="BS230" i="31"/>
  <c r="BT228" i="31"/>
  <c r="BU225" i="31"/>
  <c r="BU121" i="31"/>
  <c r="BU226" i="31" s="1"/>
  <c r="BU209" i="31"/>
  <c r="BU122" i="31"/>
  <c r="BT118" i="31"/>
  <c r="BT223" i="31" s="1"/>
  <c r="BT106" i="31"/>
  <c r="BT211" i="31" s="1"/>
  <c r="BT210" i="31"/>
  <c r="BU117" i="31"/>
  <c r="BU222" i="31" s="1"/>
  <c r="BT112" i="31"/>
  <c r="BT217" i="31" s="1"/>
  <c r="BT216" i="31"/>
  <c r="BT109" i="31"/>
  <c r="BT214" i="31" s="1"/>
  <c r="BT213" i="31"/>
  <c r="BU105" i="31"/>
  <c r="BV120" i="31"/>
  <c r="BW103" i="31"/>
  <c r="BV208" i="31"/>
  <c r="BV110" i="31"/>
  <c r="BU215" i="31" s="1"/>
  <c r="BV107" i="31"/>
  <c r="BV212" i="31" s="1"/>
  <c r="BV116" i="31"/>
  <c r="BU221" i="31" s="1"/>
  <c r="BV119" i="31"/>
  <c r="BV224" i="31" s="1"/>
  <c r="BV104" i="31"/>
  <c r="BV113" i="31"/>
  <c r="BU218" i="31" s="1"/>
  <c r="BU114" i="31"/>
  <c r="BU108" i="31"/>
  <c r="BU111" i="31"/>
  <c r="BU115" i="31" l="1"/>
  <c r="BU220" i="31" s="1"/>
  <c r="BU219" i="31"/>
  <c r="BT230" i="31"/>
  <c r="BU228" i="31"/>
  <c r="BV225" i="31"/>
  <c r="BV121" i="31"/>
  <c r="BV226" i="31" s="1"/>
  <c r="BV209" i="31"/>
  <c r="BV122" i="31"/>
  <c r="BU118" i="31"/>
  <c r="BU223" i="31" s="1"/>
  <c r="BU109" i="31"/>
  <c r="BU214" i="31" s="1"/>
  <c r="BU213" i="31"/>
  <c r="BU106" i="31"/>
  <c r="BU211" i="31" s="1"/>
  <c r="BU210" i="31"/>
  <c r="BU112" i="31"/>
  <c r="BU217" i="31" s="1"/>
  <c r="BU216" i="31"/>
  <c r="BW208" i="31"/>
  <c r="BW119" i="31"/>
  <c r="BW224" i="31" s="1"/>
  <c r="BW110" i="31"/>
  <c r="BV215" i="31" s="1"/>
  <c r="BW116" i="31"/>
  <c r="BV221" i="31" s="1"/>
  <c r="BW113" i="31"/>
  <c r="BV218" i="31" s="1"/>
  <c r="BW104" i="31"/>
  <c r="BW107" i="31"/>
  <c r="BW212" i="31" s="1"/>
  <c r="BV114" i="31"/>
  <c r="BV108" i="31"/>
  <c r="BV117" i="31"/>
  <c r="BV222" i="31" s="1"/>
  <c r="BV105" i="31"/>
  <c r="BV111" i="31"/>
  <c r="BW120" i="31"/>
  <c r="BV115" i="31" l="1"/>
  <c r="BV220" i="31" s="1"/>
  <c r="BV219" i="31"/>
  <c r="BU230" i="31"/>
  <c r="BV228" i="31"/>
  <c r="BW225" i="31"/>
  <c r="BW121" i="31"/>
  <c r="BW226" i="31" s="1"/>
  <c r="BW209" i="31"/>
  <c r="BW122" i="31"/>
  <c r="BV118" i="31"/>
  <c r="BV223" i="31" s="1"/>
  <c r="BV106" i="31"/>
  <c r="BV211" i="31" s="1"/>
  <c r="BV210" i="31"/>
  <c r="BV109" i="31"/>
  <c r="BV214" i="31" s="1"/>
  <c r="BV213" i="31"/>
  <c r="BV112" i="31"/>
  <c r="BV217" i="31" s="1"/>
  <c r="BV216" i="31"/>
  <c r="BW117" i="31"/>
  <c r="BW222" i="31" s="1"/>
  <c r="BW105" i="31"/>
  <c r="BW111" i="31"/>
  <c r="BW114" i="31"/>
  <c r="BW108" i="31"/>
  <c r="BW115" i="31" l="1"/>
  <c r="BW220" i="31" s="1"/>
  <c r="BW219" i="31"/>
  <c r="BV230" i="31"/>
  <c r="BW228" i="31"/>
  <c r="BW118" i="31"/>
  <c r="BW223" i="31" s="1"/>
  <c r="BW106" i="31"/>
  <c r="BW211" i="31" s="1"/>
  <c r="BW210" i="31"/>
  <c r="BW109" i="31"/>
  <c r="BW214" i="31" s="1"/>
  <c r="BW213" i="31"/>
  <c r="BW112" i="31"/>
  <c r="BW217" i="31" s="1"/>
  <c r="BW216" i="31"/>
  <c r="BW230" i="31" l="1"/>
  <c r="F303" i="31" l="1"/>
  <c r="H303" i="31" s="1"/>
  <c r="J303" i="31" l="1"/>
  <c r="B28" i="28"/>
  <c r="B41" i="28" l="1"/>
  <c r="B29" i="28"/>
  <c r="L303" i="31"/>
  <c r="B30" i="28" l="1"/>
  <c r="B42" i="28"/>
  <c r="B43" i="28" l="1"/>
  <c r="B31" i="28"/>
  <c r="B44" i="28" l="1"/>
  <c r="S226" i="31" l="1"/>
  <c r="D220" i="31"/>
  <c r="N226" i="31"/>
  <c r="AA226" i="31"/>
  <c r="AI226" i="31"/>
  <c r="F226" i="31"/>
  <c r="D119" i="31"/>
  <c r="D224" i="31" s="1"/>
  <c r="R307" i="31" s="1"/>
  <c r="D121" i="31"/>
  <c r="AN230" i="31"/>
  <c r="U226" i="31"/>
  <c r="K226" i="31"/>
  <c r="AS230" i="31"/>
  <c r="W226" i="31"/>
  <c r="R226" i="31"/>
  <c r="Y226" i="31"/>
  <c r="T226" i="31"/>
  <c r="X226" i="31"/>
  <c r="E121" i="31"/>
  <c r="E226" i="31" s="1"/>
  <c r="AC226" i="31"/>
  <c r="I226" i="31"/>
  <c r="L226" i="31"/>
  <c r="G226" i="31"/>
  <c r="J226" i="31"/>
  <c r="P226" i="31"/>
  <c r="H226" i="31"/>
  <c r="AW230" i="31"/>
  <c r="AX230" i="31"/>
  <c r="Z226" i="31"/>
  <c r="AB226" i="31"/>
  <c r="J106" i="31"/>
  <c r="P230" i="31" l="1"/>
  <c r="S306" i="31"/>
  <c r="AB230" i="31"/>
  <c r="T306" i="31"/>
  <c r="BI228" i="31"/>
  <c r="BI230" i="31"/>
  <c r="BM228" i="31"/>
  <c r="BM230" i="31"/>
  <c r="BE228" i="31"/>
  <c r="BE230" i="31"/>
  <c r="W228" i="31"/>
  <c r="W230" i="31"/>
  <c r="F228" i="31"/>
  <c r="F230" i="31"/>
  <c r="BC228" i="31"/>
  <c r="BC230" i="31"/>
  <c r="Z228" i="31"/>
  <c r="Z230" i="31"/>
  <c r="BG228" i="31"/>
  <c r="BG230" i="31"/>
  <c r="U228" i="31"/>
  <c r="U230" i="31"/>
  <c r="AX228" i="31"/>
  <c r="BO228" i="31"/>
  <c r="BO230" i="31"/>
  <c r="AS228" i="31"/>
  <c r="X228" i="31"/>
  <c r="X230" i="31"/>
  <c r="BP228" i="31"/>
  <c r="BP230" i="31"/>
  <c r="T228" i="31"/>
  <c r="T230" i="31"/>
  <c r="AV228" i="31"/>
  <c r="AV230" i="31"/>
  <c r="G228" i="31"/>
  <c r="G230" i="31"/>
  <c r="AR228" i="31"/>
  <c r="AR230" i="31"/>
  <c r="AC228" i="31"/>
  <c r="AC230" i="31"/>
  <c r="J228" i="31"/>
  <c r="BA228" i="31"/>
  <c r="BQ228" i="31"/>
  <c r="BQ230" i="31"/>
  <c r="E228" i="31"/>
  <c r="E230" i="31"/>
  <c r="AT228" i="31"/>
  <c r="AT230" i="31"/>
  <c r="AI228" i="31"/>
  <c r="AI230" i="31"/>
  <c r="K228" i="31"/>
  <c r="K230" i="31"/>
  <c r="AP228" i="31"/>
  <c r="AP230" i="31"/>
  <c r="AA228" i="31"/>
  <c r="AA230" i="31"/>
  <c r="BD228" i="31"/>
  <c r="BD230" i="31"/>
  <c r="BH228" i="31"/>
  <c r="BH230" i="31"/>
  <c r="AU228" i="31"/>
  <c r="AU230" i="31"/>
  <c r="BJ228" i="31"/>
  <c r="BJ230" i="31"/>
  <c r="AQ228" i="31"/>
  <c r="AQ230" i="31"/>
  <c r="N228" i="31"/>
  <c r="N230" i="31"/>
  <c r="L228" i="31"/>
  <c r="L230" i="31"/>
  <c r="AO228" i="31"/>
  <c r="AO230" i="31"/>
  <c r="AW228" i="31"/>
  <c r="I228" i="31"/>
  <c r="I230" i="31"/>
  <c r="Y228" i="31"/>
  <c r="Y230" i="31"/>
  <c r="BN228" i="31"/>
  <c r="BN230" i="31"/>
  <c r="H228" i="31"/>
  <c r="H230" i="31"/>
  <c r="BB228" i="31"/>
  <c r="BB230" i="31"/>
  <c r="R228" i="31"/>
  <c r="R230" i="31"/>
  <c r="BF228" i="31"/>
  <c r="BF230" i="31"/>
  <c r="S228" i="31"/>
  <c r="S230" i="31"/>
  <c r="AZ228" i="31"/>
  <c r="AB228" i="31"/>
  <c r="AN228" i="31"/>
  <c r="P228" i="31"/>
  <c r="D299" i="31"/>
  <c r="D226" i="31"/>
  <c r="G298" i="31"/>
  <c r="F298" i="31"/>
  <c r="O298" i="31"/>
  <c r="R298" i="31"/>
  <c r="N298" i="31"/>
  <c r="I298" i="31"/>
  <c r="P298" i="31"/>
  <c r="T298" i="31"/>
  <c r="H298" i="31"/>
  <c r="W298" i="31"/>
  <c r="S298" i="31"/>
  <c r="L298" i="31"/>
  <c r="K298" i="31"/>
  <c r="U298" i="31"/>
  <c r="Q298" i="31"/>
  <c r="AA298" i="31"/>
  <c r="Y298" i="31"/>
  <c r="V298" i="31"/>
  <c r="M298" i="31"/>
  <c r="E298" i="31"/>
  <c r="Z298" i="31"/>
  <c r="X298" i="31"/>
  <c r="J211" i="31"/>
  <c r="J230" i="31" s="1"/>
  <c r="D230" i="31" l="1"/>
  <c r="R305" i="31" s="1"/>
  <c r="E304" i="31" s="1"/>
  <c r="R306" i="31"/>
  <c r="S305" i="31"/>
  <c r="V305" i="31"/>
  <c r="U305" i="31"/>
  <c r="K304" i="31" s="1"/>
  <c r="T305" i="31"/>
  <c r="I304" i="31" s="1"/>
  <c r="L66" i="4"/>
  <c r="H144" i="4"/>
  <c r="I66" i="4"/>
  <c r="N66" i="4"/>
  <c r="J66" i="4"/>
  <c r="I144" i="4"/>
  <c r="O66" i="4"/>
  <c r="Q66" i="4"/>
  <c r="O144" i="4"/>
  <c r="J144" i="4"/>
  <c r="M144" i="4"/>
  <c r="P144" i="4"/>
  <c r="Q144" i="4"/>
  <c r="K144" i="4"/>
  <c r="R144" i="4"/>
  <c r="L144" i="4"/>
  <c r="N144" i="4"/>
  <c r="K66" i="4"/>
  <c r="H66" i="4"/>
  <c r="P66" i="4"/>
  <c r="G144" i="4"/>
  <c r="D298" i="31"/>
  <c r="D228" i="31"/>
  <c r="J298" i="31"/>
  <c r="R66" i="4"/>
  <c r="M66" i="4" l="1"/>
  <c r="G66" i="4"/>
  <c r="I222" i="4"/>
  <c r="F13" i="39" s="1"/>
  <c r="G304" i="31"/>
  <c r="M304" i="31"/>
  <c r="D8" i="39"/>
  <c r="S144" i="4"/>
  <c r="E19" i="17"/>
  <c r="S66" i="4" l="1"/>
  <c r="G222" i="4" s="1"/>
  <c r="D13" i="39" s="1"/>
  <c r="J222" i="4"/>
  <c r="G13" i="39" s="1"/>
  <c r="K222" i="4"/>
  <c r="H13" i="39" s="1"/>
  <c r="Q19" i="17"/>
  <c r="H222" i="4"/>
  <c r="E13" i="39" s="1"/>
  <c r="E84" i="17" l="1"/>
  <c r="E37" i="32" l="1"/>
  <c r="F37" i="32" s="1"/>
  <c r="G37" i="32" s="1"/>
  <c r="H37" i="32" s="1"/>
  <c r="F120" i="32"/>
  <c r="G120" i="32" s="1"/>
  <c r="H120" i="32" s="1"/>
  <c r="I120" i="32" s="1"/>
  <c r="C35" i="32"/>
  <c r="C45" i="32"/>
  <c r="E47" i="32" l="1"/>
  <c r="F47" i="32" s="1"/>
  <c r="G47" i="32" s="1"/>
  <c r="H47" i="32" s="1"/>
  <c r="CI71" i="4" l="1"/>
  <c r="CW184" i="36" l="1"/>
  <c r="D95" i="36" s="1"/>
  <c r="I14" i="4" l="1"/>
  <c r="I22" i="4" s="1"/>
  <c r="I226" i="36"/>
  <c r="J31" i="36"/>
  <c r="U229" i="36"/>
  <c r="J32" i="36"/>
  <c r="G10" i="17" l="1"/>
  <c r="F5" i="32"/>
  <c r="I229" i="36"/>
  <c r="I31" i="36" l="1"/>
  <c r="T24" i="36"/>
  <c r="T25" i="36"/>
  <c r="G118" i="36" s="1"/>
  <c r="H226" i="36"/>
  <c r="T229" i="36"/>
  <c r="J226" i="36"/>
  <c r="J229" i="36" s="1"/>
  <c r="V229" i="36"/>
  <c r="K31" i="36"/>
  <c r="K32" i="36"/>
  <c r="J14" i="4"/>
  <c r="J22" i="4" s="1"/>
  <c r="H229" i="36" l="1"/>
  <c r="H228" i="36" s="1"/>
  <c r="I228" i="36" s="1"/>
  <c r="J228" i="36" s="1"/>
  <c r="K228" i="36" s="1"/>
  <c r="L228" i="36" s="1"/>
  <c r="M228" i="36" s="1"/>
  <c r="N228" i="36" s="1"/>
  <c r="O228" i="36" s="1"/>
  <c r="P228" i="36" s="1"/>
  <c r="Q228" i="36" s="1"/>
  <c r="R228" i="36" s="1"/>
  <c r="S228" i="36" s="1"/>
  <c r="T228" i="36" s="1"/>
  <c r="U228" i="36" s="1"/>
  <c r="V228" i="36" s="1"/>
  <c r="W228" i="36" s="1"/>
  <c r="X228" i="36" s="1"/>
  <c r="Y228" i="36" s="1"/>
  <c r="Z228" i="36" s="1"/>
  <c r="AA228" i="36" s="1"/>
  <c r="AB228" i="36" s="1"/>
  <c r="AC228" i="36" s="1"/>
  <c r="AD228" i="36" s="1"/>
  <c r="F226" i="36"/>
  <c r="I32" i="36"/>
  <c r="T32" i="36" s="1"/>
  <c r="F10" i="17"/>
  <c r="I33" i="36"/>
  <c r="J33" i="36" s="1"/>
  <c r="K33" i="36" s="1"/>
  <c r="L33" i="36" s="1"/>
  <c r="M33" i="36" s="1"/>
  <c r="N33" i="36" s="1"/>
  <c r="O33" i="36" s="1"/>
  <c r="P33" i="36" s="1"/>
  <c r="Q33" i="36" s="1"/>
  <c r="R33" i="36" s="1"/>
  <c r="S33" i="36" s="1"/>
  <c r="E5" i="32"/>
  <c r="T31" i="36"/>
  <c r="H34" i="36" s="1"/>
  <c r="H10" i="17"/>
  <c r="H14" i="4"/>
  <c r="T26" i="36"/>
  <c r="G119" i="36" s="1"/>
  <c r="G125" i="36" s="1"/>
  <c r="H169" i="36"/>
  <c r="H171" i="36" s="1"/>
  <c r="I171" i="36" s="1"/>
  <c r="J171" i="36" s="1"/>
  <c r="K171" i="36" s="1"/>
  <c r="L171" i="36" s="1"/>
  <c r="G5" i="32"/>
  <c r="T33" i="36" l="1"/>
  <c r="T34" i="36"/>
  <c r="G124" i="36"/>
  <c r="H67" i="36"/>
  <c r="I67" i="36" s="1"/>
  <c r="J67" i="36" s="1"/>
  <c r="K67" i="36" s="1"/>
  <c r="L67" i="36" s="1"/>
  <c r="M67" i="36" s="1"/>
  <c r="N67" i="36" s="1"/>
  <c r="O67" i="36" s="1"/>
  <c r="P67" i="36" s="1"/>
  <c r="Q67" i="36" s="1"/>
  <c r="R67" i="36" s="1"/>
  <c r="S67" i="36" s="1"/>
  <c r="H15" i="4"/>
  <c r="I15" i="4" s="1"/>
  <c r="J15" i="4" s="1"/>
  <c r="K15" i="4" s="1"/>
  <c r="L15" i="4" s="1"/>
  <c r="M15" i="4" s="1"/>
  <c r="N15" i="4" s="1"/>
  <c r="O15" i="4" s="1"/>
  <c r="P15" i="4" s="1"/>
  <c r="Q15" i="4" s="1"/>
  <c r="H22" i="4"/>
  <c r="S14" i="4"/>
  <c r="S22" i="4" s="1"/>
  <c r="G128" i="36"/>
  <c r="H128" i="36"/>
  <c r="CS20" i="36" s="1"/>
  <c r="K51" i="28"/>
  <c r="L52" i="28" s="1"/>
  <c r="O52" i="28" s="1"/>
  <c r="P5" i="32"/>
  <c r="D38" i="32" s="1"/>
  <c r="Q10" i="17"/>
  <c r="G126" i="36" l="1"/>
  <c r="H126" i="36" s="1"/>
  <c r="L126" i="36" s="1"/>
  <c r="P126" i="36" s="1"/>
  <c r="T126" i="36" s="1"/>
  <c r="D5" i="39"/>
  <c r="R15" i="4"/>
  <c r="S15" i="4" s="1"/>
  <c r="G170" i="4"/>
  <c r="L51" i="28"/>
  <c r="O51" i="28" s="1"/>
  <c r="CS19" i="36"/>
  <c r="CT3" i="36" s="1"/>
  <c r="P301" i="31"/>
  <c r="F307" i="31"/>
  <c r="E75" i="17"/>
  <c r="CW1" i="4" l="1"/>
  <c r="CV1" i="4"/>
  <c r="CV11" i="17"/>
  <c r="CT23" i="36"/>
  <c r="CT185" i="36" s="1"/>
  <c r="G93" i="4"/>
  <c r="H93" i="4" s="1"/>
  <c r="I93" i="4" s="1"/>
  <c r="J93" i="4" s="1"/>
  <c r="K93" i="4" s="1"/>
  <c r="L93" i="4" s="1"/>
  <c r="M93" i="4" s="1"/>
  <c r="N93" i="4" s="1"/>
  <c r="O93" i="4" s="1"/>
  <c r="P93" i="4" s="1"/>
  <c r="Q93" i="4" s="1"/>
  <c r="R93" i="4" s="1"/>
  <c r="S93" i="4" s="1"/>
  <c r="H171" i="4" s="1"/>
  <c r="G171" i="4"/>
  <c r="D301" i="31"/>
  <c r="Q301" i="31"/>
  <c r="S301" i="31"/>
  <c r="E5" i="4"/>
  <c r="E50" i="4"/>
  <c r="E28" i="4"/>
  <c r="G139" i="36"/>
  <c r="G141" i="36" s="1"/>
  <c r="E18" i="4"/>
  <c r="E51" i="4"/>
  <c r="R301" i="31"/>
  <c r="E7" i="4"/>
  <c r="AA301" i="31"/>
  <c r="E62" i="4"/>
  <c r="V301" i="31"/>
  <c r="D307" i="31"/>
  <c r="E30" i="4"/>
  <c r="E47" i="4"/>
  <c r="E19" i="4"/>
  <c r="T301" i="31"/>
  <c r="E6" i="4"/>
  <c r="CW11" i="17"/>
  <c r="Y301" i="31"/>
  <c r="E13" i="4"/>
  <c r="W301" i="31"/>
  <c r="U301" i="31"/>
  <c r="E37" i="4"/>
  <c r="X301" i="31"/>
  <c r="E14" i="4"/>
  <c r="E42" i="4"/>
  <c r="Z301" i="31"/>
  <c r="E9" i="4"/>
  <c r="E20" i="4"/>
  <c r="G140" i="36"/>
  <c r="M140" i="36" s="1"/>
  <c r="E40" i="4"/>
  <c r="E61" i="4"/>
  <c r="E44" i="4"/>
  <c r="E34" i="4"/>
  <c r="E25" i="4"/>
  <c r="E29" i="4"/>
  <c r="E48" i="4"/>
  <c r="E66" i="4"/>
  <c r="E49" i="4"/>
  <c r="E41" i="4"/>
  <c r="E15" i="4"/>
  <c r="E52" i="4"/>
  <c r="CS3" i="36"/>
  <c r="E21" i="4"/>
  <c r="G158" i="4"/>
  <c r="E36" i="4"/>
  <c r="E43" i="4"/>
  <c r="E31" i="4"/>
  <c r="E17" i="4"/>
  <c r="E10" i="4"/>
  <c r="E8" i="4"/>
  <c r="E16" i="4"/>
  <c r="E57" i="4"/>
  <c r="E56" i="4"/>
  <c r="E35" i="4"/>
  <c r="E63" i="4"/>
  <c r="E55" i="4"/>
  <c r="E106" i="4" l="1"/>
  <c r="CV79" i="4"/>
  <c r="CW79" i="4"/>
  <c r="E169" i="4"/>
  <c r="E175" i="4"/>
  <c r="E92" i="4"/>
  <c r="CU11" i="17"/>
  <c r="D11" i="17" s="1"/>
  <c r="D43" i="17" s="1"/>
  <c r="D76" i="17" s="1"/>
  <c r="E181" i="4"/>
  <c r="E127" i="4"/>
  <c r="E177" i="4"/>
  <c r="E109" i="4"/>
  <c r="E200" i="4"/>
  <c r="E93" i="4"/>
  <c r="E112" i="4"/>
  <c r="E114" i="4"/>
  <c r="E171" i="4"/>
  <c r="E172" i="4"/>
  <c r="E212" i="4"/>
  <c r="E197" i="4"/>
  <c r="E140" i="4"/>
  <c r="G148" i="36"/>
  <c r="G150" i="36" s="1"/>
  <c r="E185" i="4"/>
  <c r="E86" i="4"/>
  <c r="E118" i="4"/>
  <c r="CW43" i="17"/>
  <c r="E115" i="4"/>
  <c r="E205" i="4"/>
  <c r="E110" i="4"/>
  <c r="E99" i="4"/>
  <c r="E125" i="4"/>
  <c r="E138" i="4"/>
  <c r="E133" i="4"/>
  <c r="E121" i="4"/>
  <c r="E98" i="4"/>
  <c r="E107" i="4"/>
  <c r="E88" i="4"/>
  <c r="E108" i="4"/>
  <c r="E83" i="4"/>
  <c r="E128" i="4"/>
  <c r="E134" i="4"/>
  <c r="E119" i="4"/>
  <c r="E126" i="4"/>
  <c r="E91" i="4"/>
  <c r="E184" i="4"/>
  <c r="E97" i="4"/>
  <c r="E141" i="4"/>
  <c r="E84" i="4"/>
  <c r="E217" i="4"/>
  <c r="E218" i="4"/>
  <c r="E203" i="4"/>
  <c r="E188" i="4"/>
  <c r="E85" i="4"/>
  <c r="E191" i="4"/>
  <c r="E190" i="4"/>
  <c r="E208" i="4"/>
  <c r="E193" i="4"/>
  <c r="E174" i="4"/>
  <c r="E207" i="4"/>
  <c r="E163" i="4"/>
  <c r="E219" i="4"/>
  <c r="CV43" i="17"/>
  <c r="CU43" i="17" s="1"/>
  <c r="E192" i="4"/>
  <c r="E165" i="4"/>
  <c r="E170" i="4"/>
  <c r="E173" i="4"/>
  <c r="E135" i="4"/>
  <c r="E216" i="4"/>
  <c r="E123" i="4"/>
  <c r="H158" i="4"/>
  <c r="E204" i="4"/>
  <c r="E199" i="4"/>
  <c r="E120" i="4"/>
  <c r="E122" i="4"/>
  <c r="E176" i="4"/>
  <c r="E139" i="4"/>
  <c r="E213" i="4"/>
  <c r="E103" i="4"/>
  <c r="E201" i="4"/>
  <c r="E186" i="4"/>
  <c r="E164" i="4"/>
  <c r="E96" i="4"/>
  <c r="E87" i="4"/>
  <c r="G149" i="36"/>
  <c r="R149" i="36" s="1"/>
  <c r="E130" i="4"/>
  <c r="E129" i="4"/>
  <c r="E113" i="4"/>
  <c r="E211" i="4"/>
  <c r="E166" i="4"/>
  <c r="E94" i="4"/>
  <c r="E206" i="4"/>
  <c r="E196" i="4"/>
  <c r="E198" i="4"/>
  <c r="E161" i="4"/>
  <c r="E95" i="4"/>
  <c r="E162" i="4"/>
  <c r="M159" i="36"/>
  <c r="M161" i="36" s="1"/>
  <c r="J161" i="36" s="1"/>
  <c r="L226" i="4"/>
  <c r="C226" i="4" s="1"/>
  <c r="E20" i="17"/>
  <c r="Q20" i="17" s="1"/>
  <c r="E85" i="17" s="1"/>
  <c r="CX23" i="36"/>
  <c r="CY23" i="36"/>
  <c r="H141" i="36"/>
  <c r="L141" i="36"/>
  <c r="Q141" i="36"/>
  <c r="M141" i="36"/>
  <c r="R141" i="36"/>
  <c r="N141" i="36"/>
  <c r="K141" i="36"/>
  <c r="J141" i="36"/>
  <c r="O141" i="36"/>
  <c r="S141" i="36"/>
  <c r="I141" i="36"/>
  <c r="P141" i="36"/>
  <c r="Q150" i="36"/>
  <c r="O150" i="36"/>
  <c r="R150" i="36"/>
  <c r="I150" i="36"/>
  <c r="N150" i="36"/>
  <c r="M150" i="36"/>
  <c r="J150" i="36"/>
  <c r="L150" i="36"/>
  <c r="P150" i="36"/>
  <c r="K150" i="36"/>
  <c r="S150" i="36"/>
  <c r="H150" i="36"/>
  <c r="CX3" i="36"/>
  <c r="CY3" i="36"/>
  <c r="D6" i="39"/>
  <c r="E6" i="39"/>
  <c r="H68" i="4"/>
  <c r="CU1" i="4"/>
  <c r="E1" i="4" s="1"/>
  <c r="P140" i="36"/>
  <c r="H140" i="36"/>
  <c r="I72" i="4"/>
  <c r="G142" i="36"/>
  <c r="S142" i="36" s="1"/>
  <c r="K140" i="36"/>
  <c r="R140" i="36"/>
  <c r="L140" i="36"/>
  <c r="J140" i="36"/>
  <c r="T140" i="36"/>
  <c r="H159" i="36" s="1"/>
  <c r="S140" i="36"/>
  <c r="Q140" i="36"/>
  <c r="M75" i="4"/>
  <c r="J69" i="4"/>
  <c r="L74" i="4"/>
  <c r="G71" i="4"/>
  <c r="Q71" i="4"/>
  <c r="H72" i="4"/>
  <c r="I140" i="36"/>
  <c r="N140" i="36"/>
  <c r="O140" i="36"/>
  <c r="Q72" i="4"/>
  <c r="Q69" i="4"/>
  <c r="M73" i="4"/>
  <c r="M71" i="4"/>
  <c r="Q74" i="4"/>
  <c r="J74" i="4"/>
  <c r="R72" i="4"/>
  <c r="K74" i="4"/>
  <c r="I73" i="4"/>
  <c r="O71" i="4"/>
  <c r="M74" i="4"/>
  <c r="R68" i="4"/>
  <c r="O74" i="4"/>
  <c r="N74" i="4"/>
  <c r="N73" i="4"/>
  <c r="O72" i="4"/>
  <c r="M72" i="4"/>
  <c r="N72" i="4"/>
  <c r="Q73" i="4"/>
  <c r="J73" i="4"/>
  <c r="I74" i="4"/>
  <c r="H74" i="4"/>
  <c r="P73" i="4"/>
  <c r="R74" i="4"/>
  <c r="J72" i="4"/>
  <c r="K72" i="4"/>
  <c r="L73" i="4"/>
  <c r="P74" i="4"/>
  <c r="O73" i="4"/>
  <c r="L72" i="4"/>
  <c r="P72" i="4"/>
  <c r="L69" i="4"/>
  <c r="R73" i="4"/>
  <c r="N75" i="4"/>
  <c r="P75" i="4"/>
  <c r="G73" i="4"/>
  <c r="G74" i="4"/>
  <c r="G72" i="4"/>
  <c r="K68" i="4"/>
  <c r="R69" i="4"/>
  <c r="N68" i="4"/>
  <c r="L68" i="4"/>
  <c r="Q68" i="4"/>
  <c r="L71" i="4"/>
  <c r="G69" i="4"/>
  <c r="H73" i="4"/>
  <c r="M69" i="4"/>
  <c r="P71" i="4"/>
  <c r="K71" i="4"/>
  <c r="I71" i="4"/>
  <c r="P68" i="4"/>
  <c r="N71" i="4"/>
  <c r="M68" i="4"/>
  <c r="N69" i="4"/>
  <c r="J71" i="4"/>
  <c r="K69" i="4"/>
  <c r="P69" i="4"/>
  <c r="I68" i="4"/>
  <c r="H71" i="4"/>
  <c r="H69" i="4"/>
  <c r="G68" i="4"/>
  <c r="O68" i="4"/>
  <c r="K73" i="4"/>
  <c r="J68" i="4"/>
  <c r="R71" i="4"/>
  <c r="O69" i="4"/>
  <c r="I69" i="4"/>
  <c r="L75" i="4"/>
  <c r="G75" i="4"/>
  <c r="J75" i="4"/>
  <c r="O75" i="4"/>
  <c r="K75" i="4"/>
  <c r="I75" i="4"/>
  <c r="H75" i="4"/>
  <c r="Q75" i="4"/>
  <c r="R75" i="4"/>
  <c r="CS185" i="36"/>
  <c r="I158" i="4"/>
  <c r="CT186" i="36"/>
  <c r="M158" i="36"/>
  <c r="M160" i="36" s="1"/>
  <c r="J160" i="36" s="1"/>
  <c r="I232" i="4" l="1"/>
  <c r="K149" i="4"/>
  <c r="H149" i="4"/>
  <c r="L149" i="4"/>
  <c r="CU79" i="4"/>
  <c r="E79" i="4" s="1"/>
  <c r="J149" i="4"/>
  <c r="P149" i="4"/>
  <c r="Q149" i="4"/>
  <c r="J232" i="4"/>
  <c r="N149" i="4"/>
  <c r="I149" i="4"/>
  <c r="O149" i="4"/>
  <c r="K232" i="4"/>
  <c r="L217" i="4" s="1"/>
  <c r="R149" i="4"/>
  <c r="J153" i="4"/>
  <c r="J229" i="4"/>
  <c r="L196" i="4" s="1"/>
  <c r="M147" i="4"/>
  <c r="I146" i="4"/>
  <c r="K227" i="4"/>
  <c r="L185" i="4" s="1"/>
  <c r="I228" i="4"/>
  <c r="I227" i="4"/>
  <c r="I147" i="4"/>
  <c r="M149" i="4"/>
  <c r="R153" i="4"/>
  <c r="L153" i="4"/>
  <c r="J227" i="4"/>
  <c r="L184" i="4" s="1"/>
  <c r="K153" i="4"/>
  <c r="P153" i="4"/>
  <c r="R150" i="4"/>
  <c r="N153" i="4"/>
  <c r="Q152" i="4"/>
  <c r="O153" i="4"/>
  <c r="G149" i="4"/>
  <c r="I229" i="4"/>
  <c r="P151" i="4"/>
  <c r="J225" i="4"/>
  <c r="L169" i="4" s="1"/>
  <c r="I153" i="4"/>
  <c r="K229" i="4"/>
  <c r="L197" i="4" s="1"/>
  <c r="G153" i="4"/>
  <c r="M153" i="4"/>
  <c r="H153" i="4"/>
  <c r="Q153" i="4"/>
  <c r="G147" i="4"/>
  <c r="O146" i="4"/>
  <c r="P147" i="4"/>
  <c r="H146" i="4"/>
  <c r="P146" i="4"/>
  <c r="G146" i="4"/>
  <c r="O147" i="4"/>
  <c r="L146" i="4"/>
  <c r="H147" i="4"/>
  <c r="N146" i="4"/>
  <c r="Q146" i="4"/>
  <c r="N147" i="4"/>
  <c r="J147" i="4"/>
  <c r="K147" i="4"/>
  <c r="Q149" i="36"/>
  <c r="L147" i="4"/>
  <c r="J146" i="4"/>
  <c r="M146" i="4"/>
  <c r="K149" i="36"/>
  <c r="Q147" i="4"/>
  <c r="K146" i="4"/>
  <c r="R147" i="4"/>
  <c r="R146" i="4"/>
  <c r="H150" i="4"/>
  <c r="M151" i="4"/>
  <c r="G152" i="4"/>
  <c r="R151" i="4"/>
  <c r="I224" i="4"/>
  <c r="I157" i="4" s="1"/>
  <c r="O151" i="4"/>
  <c r="G151" i="4"/>
  <c r="L152" i="4"/>
  <c r="O152" i="4"/>
  <c r="I151" i="4"/>
  <c r="H152" i="4"/>
  <c r="I231" i="4"/>
  <c r="G150" i="4"/>
  <c r="L149" i="36"/>
  <c r="J149" i="36"/>
  <c r="H151" i="4"/>
  <c r="J151" i="4"/>
  <c r="S149" i="36"/>
  <c r="J224" i="4"/>
  <c r="K224" i="4"/>
  <c r="J152" i="4"/>
  <c r="J231" i="4"/>
  <c r="J150" i="4"/>
  <c r="P150" i="4"/>
  <c r="J159" i="36"/>
  <c r="J162" i="36" s="1"/>
  <c r="Q151" i="4"/>
  <c r="O150" i="4"/>
  <c r="K231" i="4"/>
  <c r="L212" i="4" s="1"/>
  <c r="G151" i="36"/>
  <c r="H151" i="36" s="1"/>
  <c r="R152" i="4"/>
  <c r="K225" i="4"/>
  <c r="L170" i="4" s="1"/>
  <c r="Q150" i="4"/>
  <c r="I150" i="4"/>
  <c r="M150" i="4"/>
  <c r="I225" i="4"/>
  <c r="P152" i="4"/>
  <c r="M152" i="4"/>
  <c r="K150" i="4"/>
  <c r="N150" i="4"/>
  <c r="L150" i="4"/>
  <c r="I152" i="4"/>
  <c r="K152" i="4"/>
  <c r="L151" i="4"/>
  <c r="K151" i="4"/>
  <c r="N152" i="4"/>
  <c r="N149" i="36"/>
  <c r="O149" i="36"/>
  <c r="N151" i="4"/>
  <c r="P149" i="36"/>
  <c r="H149" i="36"/>
  <c r="M149" i="36"/>
  <c r="I149" i="36"/>
  <c r="CT187" i="36"/>
  <c r="O159" i="36" s="1"/>
  <c r="L159" i="36" s="1"/>
  <c r="S73" i="4"/>
  <c r="G39" i="4" s="1"/>
  <c r="H39" i="4" s="1"/>
  <c r="I230" i="4"/>
  <c r="S75" i="4"/>
  <c r="G54" i="4" s="1"/>
  <c r="H54" i="4" s="1"/>
  <c r="S72" i="4"/>
  <c r="G33" i="4" s="1"/>
  <c r="H33" i="4" s="1"/>
  <c r="S71" i="4"/>
  <c r="G27" i="4" s="1"/>
  <c r="H27" i="4" s="1"/>
  <c r="S74" i="4"/>
  <c r="G46" i="4" s="1"/>
  <c r="H46" i="4" s="1"/>
  <c r="S69" i="4"/>
  <c r="G12" i="4" s="1"/>
  <c r="H12" i="4" s="1"/>
  <c r="S68" i="4"/>
  <c r="G224" i="4" s="1"/>
  <c r="CW23" i="36"/>
  <c r="D36" i="36" s="1"/>
  <c r="CW3" i="36"/>
  <c r="D2" i="36" s="1"/>
  <c r="I168" i="4"/>
  <c r="T141" i="36"/>
  <c r="H160" i="36" s="1"/>
  <c r="T150" i="36"/>
  <c r="I160" i="36" s="1"/>
  <c r="F6" i="39"/>
  <c r="S143" i="36"/>
  <c r="H142" i="36"/>
  <c r="H143" i="36" s="1"/>
  <c r="J142" i="36"/>
  <c r="J143" i="36" s="1"/>
  <c r="M142" i="36"/>
  <c r="M143" i="36" s="1"/>
  <c r="T142" i="36"/>
  <c r="H161" i="36" s="1"/>
  <c r="Q142" i="36"/>
  <c r="Q143" i="36" s="1"/>
  <c r="L142" i="36"/>
  <c r="L143" i="36" s="1"/>
  <c r="R142" i="36"/>
  <c r="R143" i="36" s="1"/>
  <c r="N142" i="36"/>
  <c r="N143" i="36" s="1"/>
  <c r="K142" i="36"/>
  <c r="K143" i="36" s="1"/>
  <c r="I142" i="36"/>
  <c r="I143" i="36" s="1"/>
  <c r="P142" i="36"/>
  <c r="P143" i="36" s="1"/>
  <c r="O142" i="36"/>
  <c r="O143" i="36" s="1"/>
  <c r="CS186" i="36"/>
  <c r="K230" i="4"/>
  <c r="L204" i="4" s="1"/>
  <c r="N158" i="36"/>
  <c r="N160" i="36" s="1"/>
  <c r="K160" i="36" s="1"/>
  <c r="N159" i="36"/>
  <c r="K159" i="36" s="1"/>
  <c r="J158" i="4"/>
  <c r="J230" i="4"/>
  <c r="L203" i="4" s="1"/>
  <c r="S149" i="4" l="1"/>
  <c r="H227" i="4" s="1"/>
  <c r="L229" i="4"/>
  <c r="C229" i="4" s="1"/>
  <c r="I195" i="4" s="1"/>
  <c r="S153" i="4"/>
  <c r="H231" i="4" s="1"/>
  <c r="Q151" i="36"/>
  <c r="Q152" i="36" s="1"/>
  <c r="L151" i="36"/>
  <c r="L152" i="36" s="1"/>
  <c r="I43" i="17" s="1"/>
  <c r="L225" i="4"/>
  <c r="C225" i="4" s="1"/>
  <c r="S146" i="4"/>
  <c r="G82" i="4" s="1"/>
  <c r="H82" i="4" s="1"/>
  <c r="S147" i="4"/>
  <c r="G90" i="4" s="1"/>
  <c r="H90" i="4" s="1"/>
  <c r="J151" i="36"/>
  <c r="J152" i="36" s="1"/>
  <c r="S151" i="36"/>
  <c r="S152" i="36" s="1"/>
  <c r="O151" i="36"/>
  <c r="O152" i="36" s="1"/>
  <c r="L157" i="4"/>
  <c r="L224" i="4"/>
  <c r="C224" i="4" s="1"/>
  <c r="I160" i="4" s="1"/>
  <c r="S152" i="4"/>
  <c r="G124" i="4" s="1"/>
  <c r="H124" i="4" s="1"/>
  <c r="J157" i="4"/>
  <c r="H152" i="36"/>
  <c r="E43" i="17" s="1"/>
  <c r="T149" i="36"/>
  <c r="I159" i="36" s="1"/>
  <c r="S150" i="4"/>
  <c r="G111" i="4" s="1"/>
  <c r="H111" i="4" s="1"/>
  <c r="L168" i="4"/>
  <c r="S151" i="4"/>
  <c r="H229" i="4" s="1"/>
  <c r="R151" i="36"/>
  <c r="R152" i="36" s="1"/>
  <c r="K151" i="36"/>
  <c r="K152" i="36" s="1"/>
  <c r="M151" i="36"/>
  <c r="M152" i="36" s="1"/>
  <c r="N151" i="36"/>
  <c r="N152" i="36" s="1"/>
  <c r="K43" i="17" s="1"/>
  <c r="P151" i="36"/>
  <c r="P152" i="36" s="1"/>
  <c r="M43" i="17" s="1"/>
  <c r="I151" i="36"/>
  <c r="I152" i="36" s="1"/>
  <c r="F43" i="17" s="1"/>
  <c r="CS187" i="36"/>
  <c r="O158" i="36"/>
  <c r="O160" i="36" s="1"/>
  <c r="L160" i="36" s="1"/>
  <c r="G229" i="4"/>
  <c r="K158" i="4"/>
  <c r="K228" i="4" s="1"/>
  <c r="L191" i="4" s="1"/>
  <c r="L227" i="4"/>
  <c r="C227" i="4" s="1"/>
  <c r="I183" i="4" s="1"/>
  <c r="L230" i="4"/>
  <c r="C230" i="4" s="1"/>
  <c r="G228" i="4"/>
  <c r="G4" i="4"/>
  <c r="H4" i="4" s="1"/>
  <c r="G230" i="4"/>
  <c r="G231" i="4"/>
  <c r="G225" i="4"/>
  <c r="G227" i="4"/>
  <c r="P11" i="17"/>
  <c r="L210" i="4"/>
  <c r="L189" i="4"/>
  <c r="L202" i="4"/>
  <c r="I202" i="4"/>
  <c r="L183" i="4"/>
  <c r="L195" i="4"/>
  <c r="P12" i="17"/>
  <c r="P17" i="17" s="1"/>
  <c r="P32" i="17" s="1"/>
  <c r="Q32" i="17" s="1"/>
  <c r="G6" i="39"/>
  <c r="I11" i="17"/>
  <c r="I12" i="17"/>
  <c r="I17" i="17" s="1"/>
  <c r="I32" i="17" s="1"/>
  <c r="G11" i="17"/>
  <c r="G12" i="17"/>
  <c r="G17" i="17" s="1"/>
  <c r="G32" i="17" s="1"/>
  <c r="L11" i="17"/>
  <c r="L12" i="17"/>
  <c r="L17" i="17" s="1"/>
  <c r="L32" i="17" s="1"/>
  <c r="N11" i="17"/>
  <c r="N12" i="17"/>
  <c r="N17" i="17" s="1"/>
  <c r="N32" i="17" s="1"/>
  <c r="M11" i="17"/>
  <c r="M12" i="17"/>
  <c r="M17" i="17" s="1"/>
  <c r="M32" i="17" s="1"/>
  <c r="K11" i="17"/>
  <c r="K12" i="17"/>
  <c r="K17" i="17" s="1"/>
  <c r="K32" i="17" s="1"/>
  <c r="O11" i="17"/>
  <c r="O12" i="17"/>
  <c r="O17" i="17" s="1"/>
  <c r="O32" i="17" s="1"/>
  <c r="T143" i="36"/>
  <c r="H162" i="36" s="1"/>
  <c r="F12" i="17"/>
  <c r="F17" i="17" s="1"/>
  <c r="F32" i="17" s="1"/>
  <c r="F11" i="17"/>
  <c r="J11" i="17"/>
  <c r="J12" i="17"/>
  <c r="J17" i="17" s="1"/>
  <c r="J32" i="17" s="1"/>
  <c r="H11" i="17"/>
  <c r="H12" i="17"/>
  <c r="H17" i="17" s="1"/>
  <c r="H32" i="17" s="1"/>
  <c r="E11" i="17"/>
  <c r="E12" i="17"/>
  <c r="G76" i="17"/>
  <c r="G77" i="17"/>
  <c r="O161" i="36"/>
  <c r="L161" i="36" s="1"/>
  <c r="N161" i="36"/>
  <c r="K161" i="36" s="1"/>
  <c r="K162" i="36" s="1"/>
  <c r="L211" i="4"/>
  <c r="J228" i="4"/>
  <c r="L190" i="4" s="1"/>
  <c r="J44" i="17" l="1"/>
  <c r="J49" i="17" s="1"/>
  <c r="J64" i="17" s="1"/>
  <c r="G82" i="17"/>
  <c r="G97" i="17" s="1"/>
  <c r="G132" i="4"/>
  <c r="H132" i="4" s="1"/>
  <c r="G105" i="4"/>
  <c r="H105" i="4" s="1"/>
  <c r="H224" i="4"/>
  <c r="N44" i="17"/>
  <c r="N49" i="17" s="1"/>
  <c r="N64" i="17" s="1"/>
  <c r="N43" i="17"/>
  <c r="H225" i="4"/>
  <c r="P44" i="17"/>
  <c r="P49" i="17" s="1"/>
  <c r="P64" i="17" s="1"/>
  <c r="Q64" i="17" s="1"/>
  <c r="F97" i="17" s="1"/>
  <c r="H43" i="17"/>
  <c r="P43" i="17"/>
  <c r="E44" i="17"/>
  <c r="E49" i="17" s="1"/>
  <c r="E64" i="17" s="1"/>
  <c r="H230" i="4"/>
  <c r="L43" i="17"/>
  <c r="H228" i="4"/>
  <c r="I44" i="17"/>
  <c r="I49" i="17" s="1"/>
  <c r="I64" i="17" s="1"/>
  <c r="O43" i="17"/>
  <c r="G117" i="4"/>
  <c r="H117" i="4" s="1"/>
  <c r="O44" i="17"/>
  <c r="O49" i="17" s="1"/>
  <c r="O64" i="17" s="1"/>
  <c r="L44" i="17"/>
  <c r="L49" i="17" s="1"/>
  <c r="L64" i="17" s="1"/>
  <c r="K44" i="17"/>
  <c r="K49" i="17" s="1"/>
  <c r="K64" i="17" s="1"/>
  <c r="J43" i="17"/>
  <c r="L162" i="36"/>
  <c r="M44" i="17"/>
  <c r="M49" i="17" s="1"/>
  <c r="M64" i="17" s="1"/>
  <c r="F44" i="17"/>
  <c r="F49" i="17" s="1"/>
  <c r="F64" i="17" s="1"/>
  <c r="T151" i="36"/>
  <c r="I161" i="36" s="1"/>
  <c r="I162" i="36" s="1"/>
  <c r="K233" i="4"/>
  <c r="I87" i="17" s="1"/>
  <c r="L231" i="4"/>
  <c r="C231" i="4" s="1"/>
  <c r="I210" i="4" s="1"/>
  <c r="L228" i="4"/>
  <c r="C228" i="4" s="1"/>
  <c r="I189" i="4" s="1"/>
  <c r="H44" i="17"/>
  <c r="H49" i="17" s="1"/>
  <c r="H64" i="17" s="1"/>
  <c r="H6" i="39"/>
  <c r="Q11" i="17"/>
  <c r="E17" i="17"/>
  <c r="E32" i="17" s="1"/>
  <c r="Q12" i="17"/>
  <c r="E77" i="17" s="1"/>
  <c r="G43" i="17"/>
  <c r="G44" i="17"/>
  <c r="G49" i="17" s="1"/>
  <c r="H76" i="17"/>
  <c r="H77" i="17"/>
  <c r="H82" i="17" s="1"/>
  <c r="H97" i="17" s="1"/>
  <c r="CW106" i="17" l="1"/>
  <c r="I77" i="17"/>
  <c r="I82" i="17" s="1"/>
  <c r="I97" i="17" s="1"/>
  <c r="I76" i="17"/>
  <c r="S87" i="17" s="1"/>
  <c r="T152" i="36"/>
  <c r="CV23" i="17"/>
  <c r="CW23" i="17"/>
  <c r="E76" i="17"/>
  <c r="CV106" i="17"/>
  <c r="Q17" i="17"/>
  <c r="E97" i="17" s="1"/>
  <c r="G64" i="17"/>
  <c r="Q43" i="17"/>
  <c r="CV55" i="17" s="1"/>
  <c r="Q44" i="17"/>
  <c r="F77" i="17" s="1"/>
  <c r="E55" i="17"/>
  <c r="CU106" i="17" l="1"/>
  <c r="CU23" i="17"/>
  <c r="D23" i="17" s="1"/>
  <c r="E82" i="17"/>
  <c r="CW55" i="17"/>
  <c r="CU55" i="17" s="1"/>
  <c r="D55" i="17" s="1"/>
  <c r="F76" i="17"/>
  <c r="Q49" i="17"/>
  <c r="F82" i="17" s="1"/>
  <c r="K103" i="4" l="1"/>
  <c r="M103" i="4"/>
  <c r="Q103" i="4"/>
  <c r="J103" i="4"/>
  <c r="L103" i="4"/>
  <c r="N103" i="4"/>
  <c r="R103" i="4"/>
  <c r="H103" i="4"/>
  <c r="I103" i="4"/>
  <c r="P103" i="4"/>
  <c r="O103" i="4"/>
  <c r="X194" i="4" l="1"/>
  <c r="G103" i="4"/>
  <c r="G102" i="4" s="1"/>
  <c r="X190" i="4"/>
  <c r="G148" i="4" l="1"/>
  <c r="S103" i="4"/>
  <c r="H181" i="4" s="1"/>
  <c r="I182" i="4"/>
  <c r="J182" i="4"/>
  <c r="AC114" i="4" l="1"/>
  <c r="AF114" i="4"/>
  <c r="AG114" i="4"/>
  <c r="AE114" i="4"/>
  <c r="AD114" i="4"/>
  <c r="Y114" i="4"/>
  <c r="AH114" i="4"/>
  <c r="AA114" i="4"/>
  <c r="Z114" i="4"/>
  <c r="AB114" i="4"/>
  <c r="AF149" i="4"/>
  <c r="O148" i="4" s="1"/>
  <c r="AG149" i="4"/>
  <c r="P148" i="4" s="1"/>
  <c r="AH149" i="4"/>
  <c r="Q148" i="4" s="1"/>
  <c r="AI149" i="4"/>
  <c r="R148" i="4" s="1"/>
  <c r="Y149" i="4"/>
  <c r="Z149" i="4"/>
  <c r="I148" i="4" s="1"/>
  <c r="AA149" i="4"/>
  <c r="J148" i="4" s="1"/>
  <c r="AB149" i="4"/>
  <c r="K148" i="4" s="1"/>
  <c r="AD149" i="4"/>
  <c r="M148" i="4" s="1"/>
  <c r="AE149" i="4"/>
  <c r="N148" i="4" s="1"/>
  <c r="AC149" i="4"/>
  <c r="L148" i="4" s="1"/>
  <c r="AJ114" i="4" l="1"/>
  <c r="X193" i="4" s="1"/>
  <c r="R102" i="4"/>
  <c r="R104" i="4" s="1"/>
  <c r="I102" i="4"/>
  <c r="I104" i="4" s="1"/>
  <c r="Q102" i="4"/>
  <c r="Q104" i="4" s="1"/>
  <c r="M102" i="4"/>
  <c r="M104" i="4" s="1"/>
  <c r="N102" i="4"/>
  <c r="N104" i="4" s="1"/>
  <c r="P102" i="4"/>
  <c r="P104" i="4" s="1"/>
  <c r="K102" i="4"/>
  <c r="K104" i="4" s="1"/>
  <c r="J102" i="4"/>
  <c r="J104" i="4" s="1"/>
  <c r="H102" i="4"/>
  <c r="H104" i="4" s="1"/>
  <c r="O102" i="4"/>
  <c r="O104" i="4" s="1"/>
  <c r="L102" i="4"/>
  <c r="L104" i="4" s="1"/>
  <c r="AJ149" i="4"/>
  <c r="X227" i="4" s="1"/>
  <c r="H148" i="4"/>
  <c r="X184" i="4"/>
  <c r="S148" i="4" l="1"/>
  <c r="H226" i="4" s="1"/>
  <c r="S102" i="4"/>
  <c r="H180" i="4" s="1"/>
  <c r="G104" i="4"/>
  <c r="G101" i="4" l="1"/>
  <c r="H101" i="4" s="1"/>
  <c r="S104" i="4"/>
  <c r="H182" i="4" l="1"/>
  <c r="W190" i="4" l="1"/>
  <c r="R26" i="4" l="1"/>
  <c r="Q26" i="4"/>
  <c r="P26" i="4"/>
  <c r="K26" i="4"/>
  <c r="J26" i="4"/>
  <c r="L26" i="4"/>
  <c r="AJ35" i="4"/>
  <c r="O26" i="4"/>
  <c r="N26" i="4"/>
  <c r="M26" i="4"/>
  <c r="W193" i="4" l="1"/>
  <c r="S24" i="4"/>
  <c r="H26" i="4"/>
  <c r="I26" i="4"/>
  <c r="G180" i="4" l="1"/>
  <c r="D11" i="39" s="1"/>
  <c r="S26" i="4"/>
  <c r="G182" i="4" l="1"/>
  <c r="I70" i="4" l="1"/>
  <c r="AF71" i="4"/>
  <c r="O70" i="4" s="1"/>
  <c r="H70" i="4"/>
  <c r="AB71" i="4"/>
  <c r="K70" i="4" s="1"/>
  <c r="AA71" i="4"/>
  <c r="J70" i="4" s="1"/>
  <c r="AD71" i="4"/>
  <c r="M70" i="4" s="1"/>
  <c r="G70" i="4"/>
  <c r="AG71" i="4"/>
  <c r="P70" i="4" s="1"/>
  <c r="AC71" i="4"/>
  <c r="L70" i="4" s="1"/>
  <c r="AE71" i="4"/>
  <c r="N70" i="4" s="1"/>
  <c r="AH71" i="4"/>
  <c r="Q70" i="4" s="1"/>
  <c r="AI71" i="4"/>
  <c r="R70" i="4" s="1"/>
  <c r="S70" i="4" l="1"/>
  <c r="AJ71" i="4"/>
  <c r="G226" i="4" l="1"/>
  <c r="K182" i="4"/>
  <c r="L216" i="4" l="1"/>
  <c r="J233" i="4"/>
  <c r="H87" i="17" l="1"/>
  <c r="L232" i="4" l="1"/>
  <c r="C232" i="4" s="1"/>
  <c r="I215" i="4" s="1"/>
  <c r="L215" i="4" l="1"/>
  <c r="I233" i="4" l="1"/>
  <c r="G87" i="17" s="1"/>
  <c r="F124" i="33"/>
  <c r="G104" i="33" s="1"/>
  <c r="E124" i="33"/>
  <c r="E104" i="33" l="1"/>
  <c r="E62" i="33"/>
  <c r="F62" i="33"/>
  <c r="F64" i="33" s="1"/>
  <c r="H60" i="4" s="1"/>
  <c r="H64" i="4" l="1"/>
  <c r="H65" i="4" s="1"/>
  <c r="H77" i="4"/>
  <c r="F22" i="17" s="1"/>
  <c r="G23" i="17" s="1"/>
  <c r="H76" i="4"/>
  <c r="E64" i="33"/>
  <c r="G124" i="33"/>
  <c r="I104" i="33" l="1"/>
  <c r="G62" i="33"/>
  <c r="G60" i="4"/>
  <c r="F21" i="17"/>
  <c r="H67" i="4"/>
  <c r="E6" i="32" s="1"/>
  <c r="E7" i="32" s="1"/>
  <c r="I124" i="33" l="1"/>
  <c r="K124" i="33"/>
  <c r="G64" i="4"/>
  <c r="G77" i="4"/>
  <c r="G76" i="4"/>
  <c r="H62" i="33"/>
  <c r="H64" i="33" s="1"/>
  <c r="J60" i="4" s="1"/>
  <c r="K104" i="33"/>
  <c r="G64" i="33"/>
  <c r="F112" i="32"/>
  <c r="F111" i="32"/>
  <c r="F113" i="32" s="1"/>
  <c r="L124" i="33" l="1"/>
  <c r="I60" i="4"/>
  <c r="E22" i="17"/>
  <c r="F23" i="17" s="1"/>
  <c r="K62" i="33"/>
  <c r="K64" i="33" s="1"/>
  <c r="M60" i="4" s="1"/>
  <c r="Q104" i="33"/>
  <c r="J77" i="4"/>
  <c r="H22" i="17" s="1"/>
  <c r="I23" i="17" s="1"/>
  <c r="J76" i="4"/>
  <c r="J64" i="4"/>
  <c r="J65" i="4" s="1"/>
  <c r="M124" i="33"/>
  <c r="J124" i="33"/>
  <c r="G65" i="4"/>
  <c r="N124" i="33"/>
  <c r="M104" i="33"/>
  <c r="I62" i="33"/>
  <c r="N62" i="33" l="1"/>
  <c r="N64" i="33" s="1"/>
  <c r="P60" i="4" s="1"/>
  <c r="W104" i="33"/>
  <c r="E21" i="17"/>
  <c r="G67" i="4"/>
  <c r="D6" i="32" s="1"/>
  <c r="O104" i="33"/>
  <c r="J62" i="33"/>
  <c r="J64" i="33" s="1"/>
  <c r="L60" i="4" s="1"/>
  <c r="M62" i="33"/>
  <c r="M64" i="33" s="1"/>
  <c r="O60" i="4" s="1"/>
  <c r="U104" i="33"/>
  <c r="M77" i="4"/>
  <c r="K22" i="17" s="1"/>
  <c r="L23" i="17" s="1"/>
  <c r="M76" i="4"/>
  <c r="M64" i="4"/>
  <c r="M65" i="4" s="1"/>
  <c r="I64" i="33"/>
  <c r="H21" i="17"/>
  <c r="J67" i="4"/>
  <c r="G6" i="32" s="1"/>
  <c r="G7" i="32" s="1"/>
  <c r="I64" i="4"/>
  <c r="I76" i="4"/>
  <c r="I77" i="4"/>
  <c r="L62" i="33"/>
  <c r="L64" i="33" s="1"/>
  <c r="N60" i="4" s="1"/>
  <c r="S104" i="33"/>
  <c r="G22" i="17" l="1"/>
  <c r="H23" i="17" s="1"/>
  <c r="O77" i="4"/>
  <c r="M22" i="17" s="1"/>
  <c r="N23" i="17" s="1"/>
  <c r="O76" i="4"/>
  <c r="O64" i="4"/>
  <c r="O65" i="4" s="1"/>
  <c r="H111" i="32"/>
  <c r="H113" i="32" s="1"/>
  <c r="H112" i="32"/>
  <c r="I65" i="4"/>
  <c r="L64" i="4"/>
  <c r="L65" i="4" s="1"/>
  <c r="L77" i="4"/>
  <c r="J22" i="17" s="1"/>
  <c r="K23" i="17" s="1"/>
  <c r="L76" i="4"/>
  <c r="D7" i="32"/>
  <c r="K21" i="17"/>
  <c r="M67" i="4"/>
  <c r="J6" i="32" s="1"/>
  <c r="J7" i="32" s="1"/>
  <c r="N77" i="4"/>
  <c r="L22" i="17" s="1"/>
  <c r="M23" i="17" s="1"/>
  <c r="N76" i="4"/>
  <c r="N64" i="4"/>
  <c r="N65" i="4" s="1"/>
  <c r="O124" i="33"/>
  <c r="K60" i="4"/>
  <c r="P64" i="4"/>
  <c r="P65" i="4" s="1"/>
  <c r="P77" i="4"/>
  <c r="N22" i="17" s="1"/>
  <c r="O23" i="17" s="1"/>
  <c r="P76" i="4"/>
  <c r="J21" i="17" l="1"/>
  <c r="L67" i="4"/>
  <c r="I6" i="32" s="1"/>
  <c r="I7" i="32" s="1"/>
  <c r="G21" i="17"/>
  <c r="I67" i="4"/>
  <c r="F6" i="32" s="1"/>
  <c r="N21" i="17"/>
  <c r="P67" i="4"/>
  <c r="M6" i="32" s="1"/>
  <c r="M7" i="32" s="1"/>
  <c r="D8" i="32"/>
  <c r="E8" i="32" s="1"/>
  <c r="E111" i="32"/>
  <c r="E113" i="32" s="1"/>
  <c r="E112" i="32"/>
  <c r="K112" i="32"/>
  <c r="K111" i="32"/>
  <c r="K113" i="32" s="1"/>
  <c r="M21" i="17"/>
  <c r="O67" i="4"/>
  <c r="L6" i="32" s="1"/>
  <c r="L7" i="32" s="1"/>
  <c r="Y104" i="33"/>
  <c r="O62" i="33"/>
  <c r="E113" i="33"/>
  <c r="K64" i="4"/>
  <c r="K77" i="4"/>
  <c r="K76" i="4"/>
  <c r="N67" i="4"/>
  <c r="K6" i="32" s="1"/>
  <c r="K7" i="32" s="1"/>
  <c r="L21" i="17"/>
  <c r="E79" i="33" l="1"/>
  <c r="E81" i="33" s="1"/>
  <c r="N111" i="32"/>
  <c r="N113" i="32" s="1"/>
  <c r="N112" i="32"/>
  <c r="O64" i="33"/>
  <c r="L112" i="32"/>
  <c r="L111" i="32"/>
  <c r="L113" i="32" s="1"/>
  <c r="P62" i="33"/>
  <c r="P64" i="33" s="1"/>
  <c r="R60" i="4" s="1"/>
  <c r="AA104" i="33"/>
  <c r="M112" i="32"/>
  <c r="M111" i="32"/>
  <c r="M113" i="32" s="1"/>
  <c r="I22" i="17"/>
  <c r="J23" i="17" s="1"/>
  <c r="J112" i="32"/>
  <c r="J111" i="32"/>
  <c r="J113" i="32" s="1"/>
  <c r="F7" i="32"/>
  <c r="K65" i="4"/>
  <c r="Q62" i="33" l="1"/>
  <c r="R124" i="33"/>
  <c r="Q60" i="4"/>
  <c r="Q64" i="33"/>
  <c r="AC104" i="33"/>
  <c r="E70" i="33"/>
  <c r="K67" i="4"/>
  <c r="H6" i="32" s="1"/>
  <c r="I21" i="17"/>
  <c r="R77" i="4"/>
  <c r="P22" i="17" s="1"/>
  <c r="R64" i="4"/>
  <c r="R65" i="4" s="1"/>
  <c r="R76" i="4"/>
  <c r="G111" i="32"/>
  <c r="G113" i="32" s="1"/>
  <c r="F8" i="32"/>
  <c r="G8" i="32" s="1"/>
  <c r="G112" i="32"/>
  <c r="F70" i="33" l="1"/>
  <c r="F72" i="33" s="1"/>
  <c r="H138" i="4" s="1"/>
  <c r="H7" i="32"/>
  <c r="E72" i="33"/>
  <c r="P21" i="17"/>
  <c r="R67" i="4"/>
  <c r="O6" i="32" s="1"/>
  <c r="O7" i="32" s="1"/>
  <c r="Q77" i="4"/>
  <c r="Q76" i="4"/>
  <c r="S76" i="4" s="1"/>
  <c r="Q64" i="4"/>
  <c r="S60" i="4"/>
  <c r="G216" i="4" s="1"/>
  <c r="D14" i="39" s="1"/>
  <c r="G70" i="33"/>
  <c r="AE104" i="33"/>
  <c r="G59" i="4" l="1"/>
  <c r="H59" i="4" s="1"/>
  <c r="G232" i="4"/>
  <c r="G233" i="4" s="1"/>
  <c r="O22" i="17"/>
  <c r="P23" i="17" s="1"/>
  <c r="S77" i="4"/>
  <c r="H155" i="4"/>
  <c r="F54" i="17" s="1"/>
  <c r="G55" i="17" s="1"/>
  <c r="H154" i="4"/>
  <c r="H142" i="4"/>
  <c r="H143" i="4" s="1"/>
  <c r="Q65" i="4"/>
  <c r="S64" i="4"/>
  <c r="H70" i="33"/>
  <c r="H8" i="32"/>
  <c r="I8" i="32" s="1"/>
  <c r="J8" i="32" s="1"/>
  <c r="K8" i="32" s="1"/>
  <c r="L8" i="32" s="1"/>
  <c r="M8" i="32" s="1"/>
  <c r="I112" i="32"/>
  <c r="I111" i="32"/>
  <c r="I113" i="32" s="1"/>
  <c r="P111" i="32"/>
  <c r="P113" i="32" s="1"/>
  <c r="P112" i="32"/>
  <c r="G138" i="4"/>
  <c r="G72" i="33"/>
  <c r="I138" i="4" s="1"/>
  <c r="AG104" i="33"/>
  <c r="I142" i="4" l="1"/>
  <c r="I143" i="4" s="1"/>
  <c r="I155" i="4"/>
  <c r="G54" i="17" s="1"/>
  <c r="I154" i="4"/>
  <c r="Q67" i="4"/>
  <c r="N6" i="32" s="1"/>
  <c r="O21" i="17"/>
  <c r="U124" i="33"/>
  <c r="G220" i="4"/>
  <c r="S65" i="4"/>
  <c r="S67" i="4" s="1"/>
  <c r="G223" i="4" s="1"/>
  <c r="Q23" i="17"/>
  <c r="E88" i="17" s="1"/>
  <c r="Q22" i="17"/>
  <c r="E87" i="17" s="1"/>
  <c r="H72" i="33"/>
  <c r="J138" i="4" s="1"/>
  <c r="AI104" i="33"/>
  <c r="G142" i="4"/>
  <c r="G155" i="4"/>
  <c r="E54" i="17" s="1"/>
  <c r="F55" i="17" s="1"/>
  <c r="G154" i="4"/>
  <c r="H145" i="4"/>
  <c r="E14" i="32" s="1"/>
  <c r="E15" i="32" s="1"/>
  <c r="F53" i="17"/>
  <c r="H55" i="17" l="1"/>
  <c r="I70" i="33"/>
  <c r="Q21" i="17"/>
  <c r="G143" i="4"/>
  <c r="N7" i="32"/>
  <c r="P6" i="32"/>
  <c r="V124" i="33"/>
  <c r="J70" i="33" s="1"/>
  <c r="D9" i="39"/>
  <c r="D15" i="39" s="1"/>
  <c r="G221" i="4"/>
  <c r="AK104" i="33"/>
  <c r="J142" i="4"/>
  <c r="J143" i="4" s="1"/>
  <c r="J154" i="4"/>
  <c r="J155" i="4"/>
  <c r="H54" i="17" s="1"/>
  <c r="I55" i="17" s="1"/>
  <c r="R111" i="32"/>
  <c r="R113" i="32" s="1"/>
  <c r="R112" i="32"/>
  <c r="G53" i="17"/>
  <c r="I145" i="4"/>
  <c r="F14" i="32" s="1"/>
  <c r="F15" i="32" s="1"/>
  <c r="E86" i="17" l="1"/>
  <c r="AM104" i="33"/>
  <c r="J72" i="33"/>
  <c r="L138" i="4" s="1"/>
  <c r="D39" i="32"/>
  <c r="D40" i="32" s="1"/>
  <c r="P7" i="32"/>
  <c r="S112" i="32"/>
  <c r="S111" i="32"/>
  <c r="S113" i="32" s="1"/>
  <c r="I72" i="33"/>
  <c r="W124" i="33"/>
  <c r="K70" i="33" s="1"/>
  <c r="N8" i="32"/>
  <c r="O8" i="32" s="1"/>
  <c r="O111" i="32"/>
  <c r="O113" i="32" s="1"/>
  <c r="O112" i="32"/>
  <c r="E53" i="17"/>
  <c r="G145" i="4"/>
  <c r="D14" i="32" s="1"/>
  <c r="H53" i="17"/>
  <c r="J145" i="4"/>
  <c r="G14" i="32" s="1"/>
  <c r="G15" i="32" s="1"/>
  <c r="T112" i="32" l="1"/>
  <c r="T111" i="32"/>
  <c r="T113" i="32" s="1"/>
  <c r="L154" i="4"/>
  <c r="L155" i="4"/>
  <c r="J54" i="17" s="1"/>
  <c r="L142" i="4"/>
  <c r="L143" i="4" s="1"/>
  <c r="X124" i="33"/>
  <c r="L70" i="33" s="1"/>
  <c r="AO104" i="33"/>
  <c r="K72" i="33"/>
  <c r="M138" i="4" s="1"/>
  <c r="D48" i="32"/>
  <c r="E27" i="28" s="1"/>
  <c r="D43" i="32"/>
  <c r="D42" i="32"/>
  <c r="D41" i="32"/>
  <c r="E116" i="32"/>
  <c r="D15" i="32"/>
  <c r="K138" i="4"/>
  <c r="C27" i="28" l="1"/>
  <c r="G27" i="28"/>
  <c r="Y124" i="33"/>
  <c r="M70" i="33" s="1"/>
  <c r="AQ104" i="33"/>
  <c r="L72" i="33"/>
  <c r="N138" i="4" s="1"/>
  <c r="D16" i="32"/>
  <c r="E16" i="32" s="1"/>
  <c r="F16" i="32" s="1"/>
  <c r="G16" i="32" s="1"/>
  <c r="Q112" i="32"/>
  <c r="Q111" i="32"/>
  <c r="Q113" i="32" s="1"/>
  <c r="L145" i="4"/>
  <c r="I14" i="32" s="1"/>
  <c r="I15" i="32" s="1"/>
  <c r="J53" i="17"/>
  <c r="M154" i="4"/>
  <c r="M142" i="4"/>
  <c r="M143" i="4" s="1"/>
  <c r="M155" i="4"/>
  <c r="K54" i="17" s="1"/>
  <c r="L55" i="17" s="1"/>
  <c r="K154" i="4"/>
  <c r="K142" i="4"/>
  <c r="K155" i="4"/>
  <c r="I54" i="17" s="1"/>
  <c r="J55" i="17" s="1"/>
  <c r="E117" i="32"/>
  <c r="E119" i="32" s="1"/>
  <c r="E118" i="32"/>
  <c r="C40" i="28"/>
  <c r="D40" i="28" s="1"/>
  <c r="D50" i="32"/>
  <c r="K55" i="17" l="1"/>
  <c r="F27" i="28"/>
  <c r="I27" i="28"/>
  <c r="I25" i="17"/>
  <c r="P25" i="17"/>
  <c r="K25" i="17"/>
  <c r="M25" i="17"/>
  <c r="H25" i="17"/>
  <c r="J25" i="17"/>
  <c r="E25" i="17"/>
  <c r="F25" i="17"/>
  <c r="O25" i="17"/>
  <c r="G25" i="17"/>
  <c r="N25" i="17"/>
  <c r="L25" i="17"/>
  <c r="V112" i="32"/>
  <c r="V111" i="32"/>
  <c r="V113" i="32" s="1"/>
  <c r="K143" i="4"/>
  <c r="Z124" i="33"/>
  <c r="N70" i="33" s="1"/>
  <c r="K53" i="17"/>
  <c r="M145" i="4"/>
  <c r="J14" i="32" s="1"/>
  <c r="J15" i="32" s="1"/>
  <c r="N155" i="4"/>
  <c r="L54" i="17" s="1"/>
  <c r="M55" i="17" s="1"/>
  <c r="N154" i="4"/>
  <c r="N142" i="4"/>
  <c r="N143" i="4" s="1"/>
  <c r="AS104" i="33"/>
  <c r="M72" i="33"/>
  <c r="O138" i="4" s="1"/>
  <c r="H27" i="28" l="1"/>
  <c r="K27" i="28"/>
  <c r="N72" i="33"/>
  <c r="P138" i="4" s="1"/>
  <c r="AU104" i="33"/>
  <c r="AA124" i="33"/>
  <c r="O70" i="33" s="1"/>
  <c r="K145" i="4"/>
  <c r="H14" i="32" s="1"/>
  <c r="I53" i="17"/>
  <c r="L53" i="17"/>
  <c r="N145" i="4"/>
  <c r="K14" i="32" s="1"/>
  <c r="K15" i="32" s="1"/>
  <c r="O142" i="4"/>
  <c r="O154" i="4"/>
  <c r="O155" i="4"/>
  <c r="M54" i="17" s="1"/>
  <c r="N55" i="17" s="1"/>
  <c r="W112" i="32"/>
  <c r="W111" i="32"/>
  <c r="W113" i="32" s="1"/>
  <c r="Q25" i="17"/>
  <c r="M27" i="28" l="1"/>
  <c r="J27" i="28"/>
  <c r="N27" i="28" s="1"/>
  <c r="O27" i="28" s="1"/>
  <c r="AB124" i="33"/>
  <c r="G113" i="33" s="1"/>
  <c r="F79" i="33" s="1"/>
  <c r="H15" i="32"/>
  <c r="P154" i="4"/>
  <c r="P142" i="4"/>
  <c r="P143" i="4" s="1"/>
  <c r="P155" i="4"/>
  <c r="N54" i="17" s="1"/>
  <c r="O55" i="17" s="1"/>
  <c r="X111" i="32"/>
  <c r="X113" i="32" s="1"/>
  <c r="X112" i="32"/>
  <c r="AW104" i="33"/>
  <c r="O72" i="33"/>
  <c r="Q138" i="4" s="1"/>
  <c r="O143" i="4"/>
  <c r="E88" i="43" l="1"/>
  <c r="O42" i="43" s="1"/>
  <c r="O44" i="43" s="1"/>
  <c r="O45" i="43" s="1"/>
  <c r="O47" i="43" s="1"/>
  <c r="D49" i="32"/>
  <c r="P70" i="33"/>
  <c r="F81" i="33"/>
  <c r="U112" i="32"/>
  <c r="U111" i="32"/>
  <c r="U113" i="32" s="1"/>
  <c r="H16" i="32"/>
  <c r="I16" i="32" s="1"/>
  <c r="J16" i="32" s="1"/>
  <c r="K16" i="32" s="1"/>
  <c r="AY104" i="33"/>
  <c r="N53" i="17"/>
  <c r="P145" i="4"/>
  <c r="M14" i="32" s="1"/>
  <c r="M15" i="32" s="1"/>
  <c r="Q155" i="4"/>
  <c r="O54" i="17" s="1"/>
  <c r="P55" i="17" s="1"/>
  <c r="G88" i="17" s="1"/>
  <c r="H88" i="17" s="1"/>
  <c r="I88" i="17" s="1"/>
  <c r="Q142" i="4"/>
  <c r="Q143" i="4" s="1"/>
  <c r="Q154" i="4"/>
  <c r="O145" i="4"/>
  <c r="L14" i="32" s="1"/>
  <c r="M53" i="17"/>
  <c r="F42" i="43" l="1"/>
  <c r="F44" i="43" s="1"/>
  <c r="F45" i="43" s="1"/>
  <c r="F47" i="43" s="1"/>
  <c r="H42" i="43"/>
  <c r="H44" i="43" s="1"/>
  <c r="H45" i="43" s="1"/>
  <c r="H47" i="43" s="1"/>
  <c r="I42" i="43"/>
  <c r="I44" i="43" s="1"/>
  <c r="I45" i="43" s="1"/>
  <c r="I47" i="43" s="1"/>
  <c r="E42" i="43"/>
  <c r="E44" i="43" s="1"/>
  <c r="E45" i="43" s="1"/>
  <c r="E47" i="43" s="1"/>
  <c r="L42" i="43"/>
  <c r="L44" i="43" s="1"/>
  <c r="L45" i="43" s="1"/>
  <c r="L47" i="43" s="1"/>
  <c r="J42" i="43"/>
  <c r="J44" i="43" s="1"/>
  <c r="J45" i="43" s="1"/>
  <c r="J47" i="43" s="1"/>
  <c r="K42" i="43"/>
  <c r="K44" i="43" s="1"/>
  <c r="K45" i="43" s="1"/>
  <c r="K47" i="43" s="1"/>
  <c r="M42" i="43"/>
  <c r="M44" i="43" s="1"/>
  <c r="M45" i="43" s="1"/>
  <c r="M47" i="43" s="1"/>
  <c r="P42" i="43"/>
  <c r="P44" i="43" s="1"/>
  <c r="P45" i="43" s="1"/>
  <c r="P47" i="43" s="1"/>
  <c r="G42" i="43"/>
  <c r="G44" i="43" s="1"/>
  <c r="G45" i="43" s="1"/>
  <c r="G47" i="43" s="1"/>
  <c r="N42" i="43"/>
  <c r="N44" i="43" s="1"/>
  <c r="N45" i="43" s="1"/>
  <c r="N47" i="43" s="1"/>
  <c r="G26" i="17"/>
  <c r="G29" i="17" s="1"/>
  <c r="G33" i="17" s="1"/>
  <c r="D16" i="39"/>
  <c r="D17" i="39" s="1"/>
  <c r="D18" i="39" s="1"/>
  <c r="N26" i="17"/>
  <c r="N29" i="17" s="1"/>
  <c r="N33" i="17" s="1"/>
  <c r="L26" i="17"/>
  <c r="L29" i="17" s="1"/>
  <c r="L33" i="17" s="1"/>
  <c r="F26" i="17"/>
  <c r="F29" i="17" s="1"/>
  <c r="F33" i="17" s="1"/>
  <c r="D51" i="32"/>
  <c r="E26" i="17"/>
  <c r="P26" i="17"/>
  <c r="P29" i="17" s="1"/>
  <c r="P33" i="17" s="1"/>
  <c r="Q33" i="17" s="1"/>
  <c r="H26" i="17"/>
  <c r="H29" i="17" s="1"/>
  <c r="H33" i="17" s="1"/>
  <c r="I26" i="17"/>
  <c r="I29" i="17" s="1"/>
  <c r="I33" i="17" s="1"/>
  <c r="O26" i="17"/>
  <c r="O29" i="17" s="1"/>
  <c r="O33" i="17" s="1"/>
  <c r="M26" i="17"/>
  <c r="M29" i="17" s="1"/>
  <c r="M33" i="17" s="1"/>
  <c r="J26" i="17"/>
  <c r="J29" i="17" s="1"/>
  <c r="J33" i="17" s="1"/>
  <c r="K26" i="17"/>
  <c r="K29" i="17" s="1"/>
  <c r="K33" i="17" s="1"/>
  <c r="L15" i="32"/>
  <c r="Z112" i="32"/>
  <c r="Z111" i="32"/>
  <c r="Z113" i="32" s="1"/>
  <c r="Q145" i="4"/>
  <c r="N14" i="32" s="1"/>
  <c r="N15" i="32" s="1"/>
  <c r="O53" i="17"/>
  <c r="P72" i="33"/>
  <c r="Q70" i="33"/>
  <c r="Q47" i="43" l="1"/>
  <c r="Q42" i="43"/>
  <c r="Q44" i="43" s="1"/>
  <c r="E90" i="43" s="1"/>
  <c r="E29" i="17"/>
  <c r="E33" i="17" s="1"/>
  <c r="E34" i="17" s="1"/>
  <c r="Q26" i="17"/>
  <c r="AA111" i="32"/>
  <c r="AA113" i="32" s="1"/>
  <c r="AA112" i="32"/>
  <c r="R138" i="4"/>
  <c r="Q72" i="33"/>
  <c r="L16" i="32"/>
  <c r="M16" i="32" s="1"/>
  <c r="N16" i="32" s="1"/>
  <c r="Y112" i="32"/>
  <c r="Y111" i="32"/>
  <c r="Y113" i="32" s="1"/>
  <c r="E90" i="17" l="1"/>
  <c r="Q29" i="17"/>
  <c r="E196" i="17"/>
  <c r="F7" i="17"/>
  <c r="F31" i="17" s="1"/>
  <c r="F34" i="17" s="1"/>
  <c r="E195" i="17"/>
  <c r="Q45" i="43"/>
  <c r="E91" i="43" s="1"/>
  <c r="R155" i="4"/>
  <c r="P54" i="17" s="1"/>
  <c r="R142" i="4"/>
  <c r="R154" i="4"/>
  <c r="S154" i="4" s="1"/>
  <c r="S138" i="4"/>
  <c r="H216" i="4" s="1"/>
  <c r="E14" i="39" s="1"/>
  <c r="F195" i="17" l="1"/>
  <c r="G7" i="17"/>
  <c r="F196" i="17"/>
  <c r="E98" i="17"/>
  <c r="E99" i="17" s="1"/>
  <c r="E94" i="17"/>
  <c r="R143" i="4"/>
  <c r="S142" i="4"/>
  <c r="Q54" i="17"/>
  <c r="F87" i="17" s="1"/>
  <c r="R55" i="17"/>
  <c r="Q55" i="17"/>
  <c r="F88" i="17" s="1"/>
  <c r="S155" i="4"/>
  <c r="G137" i="4"/>
  <c r="H137" i="4" s="1"/>
  <c r="H232" i="4"/>
  <c r="H233" i="4" s="1"/>
  <c r="G31" i="17" l="1"/>
  <c r="G34" i="17" s="1"/>
  <c r="G196" i="17" s="1"/>
  <c r="R87" i="17"/>
  <c r="E205" i="17"/>
  <c r="E204" i="17"/>
  <c r="F72" i="17"/>
  <c r="S143" i="4"/>
  <c r="S145" i="4" s="1"/>
  <c r="H223" i="4" s="1"/>
  <c r="H220" i="4"/>
  <c r="R145" i="4"/>
  <c r="O14" i="32" s="1"/>
  <c r="P53" i="17"/>
  <c r="G195" i="17" l="1"/>
  <c r="H7" i="17"/>
  <c r="H31" i="17" s="1"/>
  <c r="H34" i="17" s="1"/>
  <c r="H196" i="17" s="1"/>
  <c r="O15" i="32"/>
  <c r="P14" i="32"/>
  <c r="H221" i="4"/>
  <c r="E9" i="39"/>
  <c r="E15" i="39" s="1"/>
  <c r="Q53" i="17"/>
  <c r="H195" i="17" l="1"/>
  <c r="I7" i="17"/>
  <c r="I31" i="17" s="1"/>
  <c r="I34" i="17" s="1"/>
  <c r="J7" i="17" s="1"/>
  <c r="J31" i="17" s="1"/>
  <c r="J34" i="17" s="1"/>
  <c r="F86" i="17"/>
  <c r="P15" i="32"/>
  <c r="E39" i="32"/>
  <c r="E40" i="32" s="1"/>
  <c r="AB111" i="32"/>
  <c r="AB113" i="32" s="1"/>
  <c r="AB112" i="32"/>
  <c r="O16" i="32"/>
  <c r="I195" i="17" l="1"/>
  <c r="I196" i="17"/>
  <c r="K7" i="17"/>
  <c r="K31" i="17" s="1"/>
  <c r="K34" i="17" s="1"/>
  <c r="J196" i="17"/>
  <c r="J195" i="17"/>
  <c r="E41" i="32"/>
  <c r="E48" i="32"/>
  <c r="E28" i="28" s="1"/>
  <c r="E42" i="32"/>
  <c r="F116" i="32"/>
  <c r="C28" i="28" l="1"/>
  <c r="G28" i="28"/>
  <c r="K196" i="17"/>
  <c r="K195" i="17"/>
  <c r="L7" i="17"/>
  <c r="L31" i="17" s="1"/>
  <c r="L34" i="17" s="1"/>
  <c r="F118" i="32"/>
  <c r="F119" i="32"/>
  <c r="F117" i="32"/>
  <c r="E50" i="32"/>
  <c r="C41" i="28"/>
  <c r="D41" i="28" s="1"/>
  <c r="E40" i="28" s="1"/>
  <c r="F28" i="28" l="1"/>
  <c r="I28" i="28"/>
  <c r="L196" i="17"/>
  <c r="L195" i="17"/>
  <c r="M7" i="17"/>
  <c r="M31" i="17" s="1"/>
  <c r="M34" i="17" s="1"/>
  <c r="L57" i="17"/>
  <c r="I57" i="17"/>
  <c r="G57" i="17"/>
  <c r="F57" i="17"/>
  <c r="E57" i="17"/>
  <c r="J57" i="17"/>
  <c r="N57" i="17"/>
  <c r="O57" i="17"/>
  <c r="H57" i="17"/>
  <c r="P57" i="17"/>
  <c r="M57" i="17"/>
  <c r="K57" i="17"/>
  <c r="H28" i="28" l="1"/>
  <c r="K28" i="28"/>
  <c r="N7" i="17"/>
  <c r="N31" i="17" s="1"/>
  <c r="N34" i="17" s="1"/>
  <c r="M196" i="17"/>
  <c r="M195" i="17"/>
  <c r="Q57" i="17"/>
  <c r="G81" i="33"/>
  <c r="I216" i="4" s="1"/>
  <c r="F14" i="39" s="1"/>
  <c r="J28" i="28" l="1"/>
  <c r="N28" i="28" s="1"/>
  <c r="M28" i="28"/>
  <c r="N195" i="17"/>
  <c r="O7" i="17"/>
  <c r="O31" i="17" s="1"/>
  <c r="O34" i="17" s="1"/>
  <c r="N196" i="17"/>
  <c r="I220" i="4"/>
  <c r="F90" i="17"/>
  <c r="O28" i="28" l="1"/>
  <c r="P7" i="17"/>
  <c r="O195" i="17"/>
  <c r="O196" i="17"/>
  <c r="I221" i="4"/>
  <c r="F9" i="39"/>
  <c r="F15" i="39" s="1"/>
  <c r="P27" i="28" l="1"/>
  <c r="E49" i="32" s="1"/>
  <c r="F88" i="43"/>
  <c r="F90" i="43" s="1"/>
  <c r="F91" i="43" s="1"/>
  <c r="P31" i="17"/>
  <c r="Q7" i="17"/>
  <c r="G86" i="17"/>
  <c r="I223" i="4"/>
  <c r="F39" i="32" s="1"/>
  <c r="F40" i="32" s="1"/>
  <c r="E16" i="39" l="1"/>
  <c r="E17" i="39" s="1"/>
  <c r="E18" i="39" s="1"/>
  <c r="G58" i="17"/>
  <c r="G61" i="17" s="1"/>
  <c r="G65" i="17" s="1"/>
  <c r="H58" i="17"/>
  <c r="H61" i="17" s="1"/>
  <c r="H65" i="17" s="1"/>
  <c r="O58" i="17"/>
  <c r="O61" i="17" s="1"/>
  <c r="O65" i="17" s="1"/>
  <c r="F58" i="17"/>
  <c r="F61" i="17" s="1"/>
  <c r="F65" i="17" s="1"/>
  <c r="I58" i="17"/>
  <c r="I61" i="17" s="1"/>
  <c r="I65" i="17" s="1"/>
  <c r="J58" i="17"/>
  <c r="J61" i="17" s="1"/>
  <c r="J65" i="17" s="1"/>
  <c r="K58" i="17"/>
  <c r="K61" i="17" s="1"/>
  <c r="K65" i="17" s="1"/>
  <c r="L58" i="17"/>
  <c r="L61" i="17" s="1"/>
  <c r="L65" i="17" s="1"/>
  <c r="M58" i="17"/>
  <c r="M61" i="17" s="1"/>
  <c r="M65" i="17" s="1"/>
  <c r="N58" i="17"/>
  <c r="N61" i="17" s="1"/>
  <c r="N65" i="17" s="1"/>
  <c r="P58" i="17"/>
  <c r="P61" i="17" s="1"/>
  <c r="P65" i="17" s="1"/>
  <c r="Q65" i="17" s="1"/>
  <c r="F98" i="17" s="1"/>
  <c r="E58" i="17"/>
  <c r="E51" i="32"/>
  <c r="Q31" i="17"/>
  <c r="Q34" i="17" s="1"/>
  <c r="P34" i="17"/>
  <c r="F42" i="32"/>
  <c r="F48" i="32"/>
  <c r="E29" i="28" s="1"/>
  <c r="F43" i="32"/>
  <c r="F41" i="32"/>
  <c r="G116" i="32"/>
  <c r="E61" i="17" l="1"/>
  <c r="E65" i="17" s="1"/>
  <c r="Q58" i="17"/>
  <c r="P196" i="17"/>
  <c r="P195" i="17"/>
  <c r="E39" i="17"/>
  <c r="E63" i="17" s="1"/>
  <c r="C29" i="28"/>
  <c r="F29" i="28"/>
  <c r="G29" i="28"/>
  <c r="I29" i="28" s="1"/>
  <c r="G117" i="32"/>
  <c r="G118" i="32"/>
  <c r="G119" i="32"/>
  <c r="C42" i="28"/>
  <c r="D42" i="28" s="1"/>
  <c r="F40" i="28" s="1"/>
  <c r="F50" i="32"/>
  <c r="E66" i="17" l="1"/>
  <c r="F39" i="17" s="1"/>
  <c r="F63" i="17" s="1"/>
  <c r="F66" i="17" s="1"/>
  <c r="F91" i="17"/>
  <c r="Q61" i="17"/>
  <c r="F94" i="17" s="1"/>
  <c r="H29" i="28"/>
  <c r="K29" i="28"/>
  <c r="G90" i="17"/>
  <c r="E199" i="17" l="1"/>
  <c r="E200" i="17"/>
  <c r="F199" i="17"/>
  <c r="G39" i="17"/>
  <c r="G63" i="17" s="1"/>
  <c r="G66" i="17" s="1"/>
  <c r="F200" i="17"/>
  <c r="J29" i="28"/>
  <c r="N29" i="28" s="1"/>
  <c r="M29" i="28"/>
  <c r="O29" i="28" l="1"/>
  <c r="G88" i="43" s="1"/>
  <c r="G90" i="43" s="1"/>
  <c r="G91" i="43" s="1"/>
  <c r="G199" i="17"/>
  <c r="G200" i="17"/>
  <c r="H39" i="17"/>
  <c r="H63" i="17" s="1"/>
  <c r="H66" i="17" s="1"/>
  <c r="Q27" i="28" l="1"/>
  <c r="F49" i="32" s="1"/>
  <c r="G91" i="17" s="1"/>
  <c r="G94" i="17" s="1"/>
  <c r="G98" i="17" s="1"/>
  <c r="I39" i="17"/>
  <c r="I63" i="17" s="1"/>
  <c r="I66" i="17" s="1"/>
  <c r="H199" i="17"/>
  <c r="H200" i="17"/>
  <c r="F51" i="32" l="1"/>
  <c r="F16" i="39"/>
  <c r="F17" i="39" s="1"/>
  <c r="F18" i="39" s="1"/>
  <c r="I199" i="17"/>
  <c r="J39" i="17"/>
  <c r="J63" i="17" s="1"/>
  <c r="J66" i="17" s="1"/>
  <c r="I200" i="17"/>
  <c r="K39" i="17" l="1"/>
  <c r="K63" i="17" s="1"/>
  <c r="K66" i="17" s="1"/>
  <c r="J200" i="17"/>
  <c r="J199" i="17"/>
  <c r="L39" i="17" l="1"/>
  <c r="L63" i="17" s="1"/>
  <c r="L66" i="17" s="1"/>
  <c r="K200" i="17"/>
  <c r="K199" i="17"/>
  <c r="H81" i="33"/>
  <c r="J216" i="4" s="1"/>
  <c r="G14" i="39" s="1"/>
  <c r="L200" i="17" l="1"/>
  <c r="M39" i="17"/>
  <c r="M63" i="17" s="1"/>
  <c r="M66" i="17" s="1"/>
  <c r="L199" i="17"/>
  <c r="J220" i="4"/>
  <c r="M200" i="17" l="1"/>
  <c r="M199" i="17"/>
  <c r="N39" i="17"/>
  <c r="N63" i="17" s="1"/>
  <c r="N66" i="17" s="1"/>
  <c r="J221" i="4"/>
  <c r="G9" i="39"/>
  <c r="G15" i="39" s="1"/>
  <c r="N199" i="17" l="1"/>
  <c r="N200" i="17"/>
  <c r="O39" i="17"/>
  <c r="O63" i="17" s="1"/>
  <c r="O66" i="17" s="1"/>
  <c r="J223" i="4"/>
  <c r="G39" i="32" s="1"/>
  <c r="G40" i="32" s="1"/>
  <c r="H86" i="17"/>
  <c r="O199" i="17" l="1"/>
  <c r="P39" i="17"/>
  <c r="O200" i="17"/>
  <c r="H116" i="32"/>
  <c r="G48" i="32"/>
  <c r="E30" i="28" s="1"/>
  <c r="G42" i="32"/>
  <c r="G43" i="32"/>
  <c r="G41" i="32"/>
  <c r="P63" i="17" l="1"/>
  <c r="Q39" i="17"/>
  <c r="G30" i="28"/>
  <c r="I30" i="28" s="1"/>
  <c r="F30" i="28"/>
  <c r="C30" i="28"/>
  <c r="C43" i="28"/>
  <c r="D43" i="28" s="1"/>
  <c r="G40" i="28" s="1"/>
  <c r="G50" i="32"/>
  <c r="H117" i="32"/>
  <c r="H118" i="32"/>
  <c r="H119" i="32"/>
  <c r="P66" i="17" l="1"/>
  <c r="Q63" i="17"/>
  <c r="H30" i="28"/>
  <c r="K30" i="28"/>
  <c r="H90" i="17"/>
  <c r="Q66" i="17" l="1"/>
  <c r="F96" i="17"/>
  <c r="F99" i="17" s="1"/>
  <c r="P200" i="17"/>
  <c r="P199" i="17"/>
  <c r="J30" i="28"/>
  <c r="N30" i="28" s="1"/>
  <c r="M30" i="28"/>
  <c r="O30" i="28" l="1"/>
  <c r="R27" i="28" s="1"/>
  <c r="G49" i="32" s="1"/>
  <c r="F205" i="17"/>
  <c r="F204" i="17"/>
  <c r="G72" i="17"/>
  <c r="G96" i="17" s="1"/>
  <c r="G99" i="17" s="1"/>
  <c r="H88" i="43"/>
  <c r="H90" i="43" s="1"/>
  <c r="H91" i="43" s="1"/>
  <c r="D124" i="33"/>
  <c r="I79" i="33"/>
  <c r="I81" i="33" s="1"/>
  <c r="K216" i="4" s="1"/>
  <c r="H14" i="39" s="1"/>
  <c r="H91" i="17" l="1"/>
  <c r="H94" i="17" s="1"/>
  <c r="H98" i="17" s="1"/>
  <c r="G16" i="39"/>
  <c r="G17" i="39" s="1"/>
  <c r="G18" i="39" s="1"/>
  <c r="G51" i="32"/>
  <c r="H72" i="17"/>
  <c r="H96" i="17" s="1"/>
  <c r="G204" i="17"/>
  <c r="G205" i="17"/>
  <c r="K220" i="4"/>
  <c r="D113" i="33"/>
  <c r="D104" i="33"/>
  <c r="H99" i="17" l="1"/>
  <c r="H9" i="39"/>
  <c r="H15" i="39" s="1"/>
  <c r="K221" i="4"/>
  <c r="I72" i="17" l="1"/>
  <c r="I96" i="17" s="1"/>
  <c r="H204" i="17"/>
  <c r="H205" i="17"/>
  <c r="K223" i="4"/>
  <c r="H39" i="32" s="1"/>
  <c r="H40" i="32" s="1"/>
  <c r="I86" i="17"/>
  <c r="H43" i="32" l="1"/>
  <c r="H41" i="32"/>
  <c r="H48" i="32"/>
  <c r="E31" i="28" s="1"/>
  <c r="I116" i="32"/>
  <c r="H42" i="32"/>
  <c r="F31" i="28" l="1"/>
  <c r="C31" i="28"/>
  <c r="G31" i="28"/>
  <c r="I31" i="28" s="1"/>
  <c r="I119" i="32"/>
  <c r="I117" i="32"/>
  <c r="I118" i="32"/>
  <c r="H50" i="32"/>
  <c r="C44" i="28"/>
  <c r="D44" i="28" s="1"/>
  <c r="H40" i="28" s="1"/>
  <c r="K31" i="28" l="1"/>
  <c r="H31" i="28"/>
  <c r="I90" i="17"/>
  <c r="J31" i="28" l="1"/>
  <c r="N31" i="28" s="1"/>
  <c r="M31" i="28"/>
  <c r="O31" i="28" l="1"/>
  <c r="S27" i="28" s="1"/>
  <c r="H49" i="32" s="1"/>
  <c r="I88" i="43"/>
  <c r="I90" i="43" s="1"/>
  <c r="I91" i="43" s="1"/>
  <c r="I91" i="17" l="1"/>
  <c r="I94" i="17" s="1"/>
  <c r="I98" i="17" s="1"/>
  <c r="I99" i="17" s="1"/>
  <c r="H16" i="39"/>
  <c r="H17" i="39" s="1"/>
  <c r="H18" i="39" s="1"/>
  <c r="H51" i="32"/>
  <c r="I204" i="17" l="1"/>
  <c r="I20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3" authorId="0" shapeId="0" xr:uid="{2B337F3A-1DFD-4678-9640-CB8B79EDEF10}">
      <text>
        <r>
          <rPr>
            <sz val="14"/>
            <color indexed="81"/>
            <rFont val="Courier New"/>
            <family val="3"/>
          </rPr>
          <t>Zweck des Arbeitsblattes "Deckblatt|Cover"
- Willkommen und Auswahl der Sprache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2" authorId="0" shapeId="0" xr:uid="{ECE97BA8-4734-487F-BEEE-22B557E6C93E}">
      <text>
        <r>
          <rPr>
            <sz val="14"/>
            <color indexed="81"/>
            <rFont val="Courier New"/>
            <family val="3"/>
          </rPr>
          <t xml:space="preserve">Zweck des Arbeitsblattes "7 Kapital|Financing":  Berechnung der entstehende Kosten (Zins und Tilgung) bei Kapitalbeschaffung
</t>
        </r>
        <r>
          <rPr>
            <sz val="14"/>
            <color indexed="10"/>
            <rFont val="Courier New"/>
            <family val="3"/>
          </rPr>
          <t>█</t>
        </r>
        <r>
          <rPr>
            <sz val="14"/>
            <color indexed="81"/>
            <rFont val="Courier New"/>
            <family val="3"/>
          </rPr>
          <t xml:space="preserve"> rote Zellen:       Eingabe fehlt/außerhalb erlaubter Grenze/vor Startmonat im Startjahr
</t>
        </r>
        <r>
          <rPr>
            <sz val="14"/>
            <color indexed="42"/>
            <rFont val="Courier New"/>
            <family val="3"/>
          </rPr>
          <t>█</t>
        </r>
        <r>
          <rPr>
            <sz val="14"/>
            <color indexed="81"/>
            <rFont val="Courier New"/>
            <family val="3"/>
          </rPr>
          <t xml:space="preserve"> grünliche Zellen:  Eingabe möglich (Farbe verschwindet nach Eingabe)
░ gepunktete Zellen: Eingabe vorgegeben
Drittmittel:         Laufzeit über tilgungsfreie Monate festlegen; Tilgung mit 1 Jahr abschließen
Langfristkredite:    Menü zeigt Auswahlmöglichkeiten verschiedener Kapitaldienste
ab dem 3. Jahr:      Titel bei Kapitalquellen gilt für alle Folgejahre
Kapitaldienste Tab 7.1, 7.2, 7.3 und Spalte Aufgaben/Kommentar sind bei Druck/Speichern im pdf-Format unsichtbar</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1" authorId="0" shapeId="0" xr:uid="{58D0B9CF-2002-41FC-A5E5-33F278432B75}">
      <text>
        <r>
          <rPr>
            <sz val="18"/>
            <color indexed="81"/>
            <rFont val="Courier New"/>
            <family val="3"/>
          </rPr>
          <t xml:space="preserve">Zweck des Arbeitsblattes "8 Uebersicht|Summery" 
Für den schnellen Überblick der Finanzlage der Gründung sind die Jahreswerte der Planungstabellen in einer graphischen Übersicht auf einer Seite zusammengestellt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2" authorId="0" shapeId="0" xr:uid="{71527E7C-7055-418E-8F97-508987C2097B}">
      <text>
        <r>
          <rPr>
            <sz val="14"/>
            <color indexed="81"/>
            <rFont val="Courier New"/>
            <family val="3"/>
          </rPr>
          <t xml:space="preserve">Zweck des Blattes "0 Daten|Data": Festlegung der Unternehmensform mit den daraus folgenden Bedingungen für </t>
        </r>
        <r>
          <rPr>
            <b/>
            <sz val="14"/>
            <color indexed="81"/>
            <rFont val="Courier New"/>
            <family val="3"/>
          </rPr>
          <t>Eingaben (</t>
        </r>
        <r>
          <rPr>
            <sz val="14"/>
            <color indexed="81"/>
            <rFont val="Courier New"/>
            <family val="3"/>
          </rPr>
          <t xml:space="preserve">mit/ohne MwSt), </t>
        </r>
        <r>
          <rPr>
            <b/>
            <sz val="14"/>
            <color indexed="81"/>
            <rFont val="Courier New"/>
            <family val="3"/>
          </rPr>
          <t>Unternehmersentgeld/Privatentnahmen</t>
        </r>
        <r>
          <rPr>
            <sz val="14"/>
            <color indexed="81"/>
            <rFont val="Courier New"/>
            <family val="3"/>
          </rPr>
          <t xml:space="preserve"> und </t>
        </r>
        <r>
          <rPr>
            <b/>
            <sz val="14"/>
            <color indexed="81"/>
            <rFont val="Courier New"/>
            <family val="3"/>
          </rPr>
          <t xml:space="preserve">Steueraufkommen
</t>
        </r>
      </text>
    </comment>
    <comment ref="A5" authorId="0" shapeId="0" xr:uid="{0D21FD42-2277-4A57-AB6D-09ACDF1696AB}">
      <text>
        <r>
          <rPr>
            <sz val="14"/>
            <color indexed="81"/>
            <rFont val="Courier New"/>
            <family val="3"/>
          </rPr>
          <t xml:space="preserve">Unternehmensform &amp; Steuerpflicht
Unternehmens- und Rechtsform legen die Einkünfte für die Gründer*in fest (Unternehmerlohn oder Privatentnahmen)
-Steuerpflicht entfällt bei Wahl Kleinunternehmensregelung (Jahresumsatz &lt; 25.000 EUR; Stand 2026 hinterlegt)
-Freiberufler*in zahlen keine Gewerbesteuer; Stand 2026 hinterlegt; (bestimmte Leistungen in Humanmedizin, für Bildung und Kultur usw. sind umsatzsteuerfrei; muß selbst berücksichtigt werden)
</t>
        </r>
        <r>
          <rPr>
            <sz val="14"/>
            <color indexed="10"/>
            <rFont val="Courier New"/>
            <family val="3"/>
          </rPr>
          <t>█</t>
        </r>
        <r>
          <rPr>
            <sz val="14"/>
            <color indexed="81"/>
            <rFont val="Courier New"/>
            <family val="3"/>
          </rPr>
          <t xml:space="preserve"> rote Zellen:  Eingabe zwingend     </t>
        </r>
        <r>
          <rPr>
            <sz val="14"/>
            <color indexed="31"/>
            <rFont val="Courier New"/>
            <family val="3"/>
          </rPr>
          <t>█</t>
        </r>
        <r>
          <rPr>
            <sz val="14"/>
            <color indexed="81"/>
            <rFont val="Courier New"/>
            <family val="3"/>
          </rPr>
          <t xml:space="preserve"> lila Zellen:  bitte auswählen; hinterlegt sind die Default-Werte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2" authorId="0" shapeId="0" xr:uid="{727D5D26-9B51-4FC9-8F56-647F7D768E5C}">
      <text>
        <r>
          <rPr>
            <sz val="14"/>
            <color indexed="81"/>
            <rFont val="Courier New"/>
            <family val="3"/>
          </rPr>
          <t xml:space="preserve">Zweck des Arbeitsblattes "1 Privat Kosten|Cost": 
Abschätzung des Minimalgewinns bei Personengesellschaften und der Steuerlast (Werte 2026) für Geschäftsführer
Allgemein:
</t>
        </r>
        <r>
          <rPr>
            <sz val="14"/>
            <color indexed="42"/>
            <rFont val="Courier New"/>
            <family val="3"/>
          </rPr>
          <t>█</t>
        </r>
        <r>
          <rPr>
            <sz val="14"/>
            <color indexed="81"/>
            <rFont val="Courier New"/>
            <family val="3"/>
          </rPr>
          <t xml:space="preserve"> hellgrünliche Zellen in Spalten Monat/Jahr für Eingabe frei
</t>
        </r>
        <r>
          <rPr>
            <sz val="14"/>
            <color indexed="50"/>
            <rFont val="Courier New"/>
            <family val="3"/>
          </rPr>
          <t>█</t>
        </r>
        <r>
          <rPr>
            <sz val="14"/>
            <color indexed="81"/>
            <rFont val="Courier New"/>
            <family val="3"/>
          </rPr>
          <t xml:space="preserve"> grünliche Zeilentitel "Sonstiges" kann überschrieben werden
Tab 1.3
Zelle "Jahressteigerung": dient Vereinfachung; Formel in 1. Zeile überschreibbar                       
</t>
        </r>
        <r>
          <rPr>
            <sz val="14"/>
            <color indexed="10"/>
            <rFont val="Courier New"/>
            <family val="3"/>
          </rPr>
          <t xml:space="preserve">█ </t>
        </r>
        <r>
          <rPr>
            <sz val="14"/>
            <color indexed="81"/>
            <rFont val="Courier New"/>
            <family val="3"/>
          </rPr>
          <t>rote Zellen:              Eingabe entsprechend der Unternehmensform anpassen
Spalte Aufgaben/Kommentar ist bei Druck/Speichern_als_pdf nicht sichtbar</t>
        </r>
      </text>
    </comment>
    <comment ref="A25" authorId="0" shapeId="0" xr:uid="{B3F4F732-B8F3-4A71-8FAA-105267D51E77}">
      <text>
        <r>
          <rPr>
            <sz val="14"/>
            <color indexed="81"/>
            <rFont val="Courier New"/>
            <family val="3"/>
          </rPr>
          <t>Hinweis auf Altersvorsorge
Wenn bewußt in den Folgejahren abgelehnt, dann den Zeilentitel mit Dropdown-Liste ändern
Jahre ohne Einzahlung sind möglich.</t>
        </r>
      </text>
    </comment>
    <comment ref="A26" authorId="0" shapeId="0" xr:uid="{C5E9DB37-A01B-4E4D-887E-88EA9DFEEF68}">
      <text>
        <r>
          <rPr>
            <sz val="14"/>
            <color indexed="81"/>
            <rFont val="Courier New"/>
            <family val="3"/>
          </rPr>
          <t xml:space="preserve">Hinweis auf notwendige Krankenversicherung
Wenn bewußt abgelehnt (z.B. bei nebenberuflicher Selbstständigkeit), dann den Zeilentitel mit Dropdown-Liste ändern. 
Zwischenjahre ohne Einzahlung niedrigen Werten überbrücken (z.B. 0,1)
Bei Bezug von Gehalt Unternehmen (Kapitalgesellschaft)ist der monatliche Default-Wert 300 EUR, bei einer Personengesellschaft 600 EUR. Das sind grobe Richtwerte. Nachfragen bei der Krankenkasse ist sinnvoll! Der angezeigte Wert kann überschrieben werden.
</t>
        </r>
      </text>
    </comment>
    <comment ref="A71" authorId="0" shapeId="0" xr:uid="{19FC9113-2E9A-44F6-89C1-5B0E3287B88A}">
      <text>
        <r>
          <rPr>
            <sz val="14"/>
            <color indexed="81"/>
            <rFont val="Courier New"/>
            <family val="3"/>
          </rPr>
          <t>Hinweis auf Altersvorsorge
Wenn bewußt in den Folgejahren abgelehnt, dann den Zeilentitel mit Dropdown-Liste ändern
Jahre ohne Einzahlung sind möglich.</t>
        </r>
      </text>
    </comment>
    <comment ref="A72" authorId="0" shapeId="0" xr:uid="{EA4C6B4D-7CAE-4D11-9E4F-65F16BE01443}">
      <text>
        <r>
          <rPr>
            <sz val="14"/>
            <color indexed="81"/>
            <rFont val="Courier New"/>
            <family val="3"/>
          </rPr>
          <t xml:space="preserve">Hinweis auf notwendige Krankenversicherung
Wenn bewußt abgelehnt (z.B. bei nebenberuflicher Selbstständigkeit), dann den Zeilentitel mit Dropdown-Liste ändern. 
Zwischenjahre ohne Einzahlung niedrigen Werten überbrücken (z.B. 0,1)
Bei Bezug von Gehalt Unternehmen (Kapitalgesellschaft)ist der monatliche Default-Wert 300 EUR, bei einer Personengesellschaft 600 EUR. Das sind grobe Richtwerte. Nachfragen bei der Krankenkasse ist sinnvoll! Der angezeigte Wert kann überschrieben werden.
</t>
        </r>
      </text>
    </comment>
    <comment ref="A94" authorId="0" shapeId="0" xr:uid="{7E9B915D-2DC3-4C52-BE42-3C7D9B303C36}">
      <text>
        <r>
          <rPr>
            <sz val="14"/>
            <color indexed="81"/>
            <rFont val="Courier New"/>
            <family val="3"/>
          </rPr>
          <t xml:space="preserve">Tab 1.3
Zelle "Jahressteigerung": dient Vereinfachung; Formel in 1. Zeile überschreibbar                       
</t>
        </r>
        <r>
          <rPr>
            <sz val="14"/>
            <color indexed="81"/>
            <rFont val="Courier New"/>
            <family val="3"/>
          </rPr>
          <t xml:space="preserve">
</t>
        </r>
      </text>
    </comment>
    <comment ref="A97" authorId="0" shapeId="0" xr:uid="{9F801EE3-293F-4D2C-8D82-6EDBB726E54B}">
      <text>
        <r>
          <rPr>
            <sz val="14"/>
            <color indexed="81"/>
            <rFont val="Courier New"/>
            <family val="3"/>
          </rPr>
          <t xml:space="preserve"> Zeile 97 </t>
        </r>
        <r>
          <rPr>
            <sz val="14"/>
            <color indexed="10"/>
            <rFont val="Courier New"/>
            <family val="3"/>
          </rPr>
          <t>█</t>
        </r>
        <r>
          <rPr>
            <sz val="14"/>
            <color indexed="81"/>
            <rFont val="Courier New"/>
            <family val="3"/>
          </rPr>
          <t xml:space="preserve"> rot</t>
        </r>
        <r>
          <rPr>
            <sz val="14"/>
            <color indexed="10"/>
            <rFont val="Courier New"/>
            <family val="3"/>
          </rPr>
          <t xml:space="preserve"> </t>
        </r>
        <r>
          <rPr>
            <sz val="14"/>
            <color indexed="81"/>
            <rFont val="Courier New"/>
            <family val="3"/>
          </rPr>
          <t>zeigt, dass gemäß Unternehmensform in Arbeitsblatt "Daten|Data" Privatentnahmen erforderlich sind</t>
        </r>
        <r>
          <rPr>
            <sz val="9"/>
            <color indexed="81"/>
            <rFont val="Segoe UI"/>
            <family val="2"/>
          </rPr>
          <t xml:space="preserve">
</t>
        </r>
        <r>
          <rPr>
            <sz val="14"/>
            <color indexed="81"/>
            <rFont val="Courier New"/>
            <family val="3"/>
          </rPr>
          <t>Weitere Hinweise stehen unterhalb der Tabelle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2" authorId="0" shapeId="0" xr:uid="{FBDFD548-58CC-46B5-87E2-3298CE935C80}">
      <text>
        <r>
          <rPr>
            <sz val="14"/>
            <color indexed="81"/>
            <rFont val="Courier New"/>
            <family val="3"/>
          </rPr>
          <t xml:space="preserve">Zweck des Arbeitsblattes "2 Umsatz|Sales" ist Planung des Umsatzes entsprechend der Geschäftsart
</t>
        </r>
        <r>
          <rPr>
            <sz val="14"/>
            <color indexed="42"/>
            <rFont val="Courier New"/>
            <family val="3"/>
          </rPr>
          <t>█</t>
        </r>
        <r>
          <rPr>
            <sz val="14"/>
            <color indexed="81"/>
            <rFont val="Courier New"/>
            <family val="3"/>
          </rPr>
          <t xml:space="preserve"> Grünliche Zellen sind für Eingabe; Zeilentitel durch Formeln sind überschreibbar. MwSt-Satz für Gruppe wählbar über Dropdown-Liste.
</t>
        </r>
        <r>
          <rPr>
            <sz val="14"/>
            <color indexed="10"/>
            <rFont val="Courier New"/>
            <family val="3"/>
          </rPr>
          <t>█</t>
        </r>
        <r>
          <rPr>
            <sz val="14"/>
            <color indexed="81"/>
            <rFont val="Courier New"/>
            <family val="3"/>
          </rPr>
          <t xml:space="preserve"> rote Zellen geben Hinweis auf </t>
        </r>
        <r>
          <rPr>
            <b/>
            <sz val="14"/>
            <color indexed="81"/>
            <rFont val="Courier New"/>
            <family val="3"/>
          </rPr>
          <t>falsche/fehlende Eingaben</t>
        </r>
        <r>
          <rPr>
            <sz val="14"/>
            <color indexed="81"/>
            <rFont val="Courier New"/>
            <family val="3"/>
          </rPr>
          <t xml:space="preserve"> /</t>
        </r>
        <r>
          <rPr>
            <sz val="14"/>
            <color indexed="10"/>
            <rFont val="Courier New"/>
            <family val="3"/>
          </rPr>
          <t xml:space="preserve"> </t>
        </r>
        <r>
          <rPr>
            <b/>
            <sz val="14"/>
            <color indexed="81"/>
            <rFont val="Courier New"/>
            <family val="3"/>
          </rPr>
          <t>Umsatz zu hoch bei Kleinunternehmerregelung</t>
        </r>
        <r>
          <rPr>
            <sz val="14"/>
            <color indexed="10"/>
            <rFont val="Courier New"/>
            <family val="3"/>
          </rPr>
          <t xml:space="preserve"> </t>
        </r>
        <r>
          <rPr>
            <sz val="14"/>
            <color indexed="81"/>
            <rFont val="Courier New"/>
            <family val="3"/>
          </rPr>
          <t xml:space="preserve">(25.000 € Stand 2026)
</t>
        </r>
        <r>
          <rPr>
            <sz val="14"/>
            <color indexed="13"/>
            <rFont val="Courier New"/>
            <family val="3"/>
          </rPr>
          <t>█</t>
        </r>
        <r>
          <rPr>
            <sz val="14"/>
            <color indexed="81"/>
            <rFont val="Courier New"/>
            <family val="3"/>
          </rPr>
          <t xml:space="preserve"> gelbliche Zellen zeigen Einträge vor Gründungsbeginn </t>
        </r>
        <r>
          <rPr>
            <sz val="14"/>
            <color indexed="10"/>
            <rFont val="Courier New"/>
            <family val="3"/>
          </rPr>
          <t xml:space="preserve">
░ </t>
        </r>
        <r>
          <rPr>
            <sz val="14"/>
            <color indexed="81"/>
            <rFont val="Courier New"/>
            <family val="3"/>
          </rPr>
          <t>schraffierte Zellen sind entsprechend der Geschäftsart nicht auszufüllen</t>
        </r>
        <r>
          <rPr>
            <sz val="14"/>
            <color indexed="10"/>
            <rFont val="Courier New"/>
            <family val="3"/>
          </rPr>
          <t xml:space="preserve">
</t>
        </r>
        <r>
          <rPr>
            <sz val="14"/>
            <color indexed="81"/>
            <rFont val="Courier New"/>
            <family val="3"/>
          </rPr>
          <t xml:space="preserve">Alle anderen Zellen sind gesperrt.
In </t>
        </r>
        <r>
          <rPr>
            <u/>
            <sz val="14"/>
            <color indexed="81"/>
            <rFont val="Courier New"/>
            <family val="3"/>
          </rPr>
          <t>Tab 2.1</t>
        </r>
        <r>
          <rPr>
            <sz val="14"/>
            <color indexed="81"/>
            <rFont val="Courier New"/>
            <family val="3"/>
          </rPr>
          <t xml:space="preserve"> (Startjahr) wird die Geschäftsartart und deren Mehrwertsteuersatz für die nachfolgenden Jahre festgelegt 
Zeile 5  | Spalte D (Zellendropdown) |    Spalte E       |    Monatsspalten  |
         |         Auswahl           |      leer         |       leer        |
         |         Umsatz            |
         |      Dienstleistung       |    Stundensatz    |      Stunden      |       
         |         Handel            |      Menge        |  Verkaufspreis    |
         |       Fertigung           |      Stück        |   Stückkosten     |
         |        Handwerk           |    Stundensatz    |      Stunden      |        
Aus den eingegebenen Werten wird der Monats- und Jahresumsatz der Gruppe No.1 berechnet.
Der jeweilige Anteil an Nebenkostend am Umsatz kann in % des Umsatzes eingegeben werden. Die Gesamtkosten werden in Tab 4.1 angezeigt
und müssen dort über den Einkauf abgeglichen werden. Dies ermöglicht auch eine Vorratshaltung.
In den Grafiken unterscheiden sich die Geschäftsarten farblich.
Im Anhang zeigen die Tabellen 2a-1.1, 2a-2.1 und 2b-1 die Steuerlast und die Tabelle 2c der Umsatz nach Geschäftsart.
Spalte Aufgaben/Kommentar ist bei Druck/Speichern im pdf-Format nicht sichtbar
</t>
        </r>
      </text>
    </comment>
    <comment ref="A15" authorId="0" shapeId="0" xr:uid="{ECD515FB-E788-4820-9BDD-8C84C0C02CBA}">
      <text>
        <r>
          <rPr>
            <sz val="14"/>
            <color indexed="81"/>
            <rFont val="Courier New"/>
            <family val="3"/>
          </rPr>
          <t>Gruppe Zeile No.2 wie bei Gruppe Zeile No.1: Eine andere oder die gleiche Geschäftsart wird wie bei No.1 gewählt (Zellendropdown)
Der jeweilige Anteil an Nebenkosten am Umsatz kann in % des Umsatzes eingegeben werden. Die Gesamtkosten werden in Tab 4.1 angezeigt und müssen dort über den Einkauf abgeglichen werden.</t>
        </r>
      </text>
    </comment>
    <comment ref="A36" authorId="0" shapeId="0" xr:uid="{84F37AB0-4850-4C80-8EB1-9F4AB2D6A645}">
      <text>
        <r>
          <rPr>
            <sz val="14"/>
            <color indexed="42"/>
            <rFont val="Courier New"/>
            <family val="3"/>
          </rPr>
          <t>█</t>
        </r>
        <r>
          <rPr>
            <sz val="14"/>
            <color indexed="81"/>
            <rFont val="Courier New"/>
            <family val="3"/>
          </rPr>
          <t xml:space="preserve"> Grünliche Zellen sind für Eingabe; Zeilentitel durch Formeln dienen nur als Hinweis und sind überschreibbar.
</t>
        </r>
        <r>
          <rPr>
            <sz val="14"/>
            <color indexed="10"/>
            <rFont val="Courier New"/>
            <family val="3"/>
          </rPr>
          <t>█</t>
        </r>
        <r>
          <rPr>
            <sz val="14"/>
            <color indexed="81"/>
            <rFont val="Courier New"/>
            <family val="3"/>
          </rPr>
          <t xml:space="preserve"> rote Zellen geben Hinweis auf falsche/fehlende Eingaben und Umsatz zu hoch bei Kleinunternehmerregelung (25.000 €)
░ schraffierte Zellen sind entsprechend der Geschäftsart nicht auszufüllen
Alle anderen Zellen sind gesperrt.
Tab 2.2 (2.Planjahr)   Die Geschäftsart wurde in Tabelle 2.1 festgelegt  
wie bei Tab 2.1 wird aus den eingegebenen Werten der Monats- und Jahresumsatz der Gruppen berechnet
Der jeweilige Anteil an Nebenkosten am Umsatz kann in % des Umsatz eingegeben werden.
Der Kostenanteil des Gruppen-Gesamtwert wird in Tab 4.2 angezeigt und kann dort über dem Einkauf abgeglichen werden. Dies ermöglicht auch eine Vorratshaltung
In den Grafiken unterscheiden sich die Einkunftsarten farblich. 
Spalte Aufgaben/Kommentar ist bei Druck/Speichern_als_pdf nicht sichtbar.</t>
        </r>
      </text>
    </comment>
    <comment ref="A95" authorId="0" shapeId="0" xr:uid="{CB259722-AE60-4017-B456-8C7C3035D261}">
      <text>
        <r>
          <rPr>
            <sz val="14"/>
            <color indexed="81"/>
            <rFont val="Courier New"/>
            <family val="3"/>
          </rPr>
          <t xml:space="preserve">Tab 2.3 Umsätze 3.-5.Planjahr. Hier werden nur Jahrewerte eingegeben
wie bei den Monatstabellen wird aus den eingegebenen Werten der Jahresumsatz der Gruppen berechnet
Der jeweilige Anteil an Nebenkosten am Umsatz kann in % des Umsatz kann eingegeben werden.
Der Kostenanteil des Gruppen-Gesamtwert wird in Tab 4.3 angezeigt und kann dort über dem Einkauf abgeglichen werden.
Dies ermöglicht auch eine Vorratshaltung,
In den Grafiken unterscheiden sich die Einkunftsarten farblich. 
Spalte Aufgaben/Kommentar ist bei Druck/Speichern_als_pdf nicht sichtbar
</t>
        </r>
      </text>
    </comment>
    <comment ref="A124" authorId="0" shapeId="0" xr:uid="{EFB6833A-C519-4E13-89A7-E67A66F2067E}">
      <text>
        <r>
          <rPr>
            <sz val="14"/>
            <color indexed="81"/>
            <rFont val="Courier New"/>
            <family val="3"/>
          </rPr>
          <t>Umsatz bei Kleinunternehmerregelung ist auf jährlich 25.000 EUR begrenzt!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2" authorId="0" shapeId="0" xr:uid="{7BC7ACE7-D896-4ABE-A314-628A04773E40}">
      <text>
        <r>
          <rPr>
            <sz val="14"/>
            <color indexed="81"/>
            <rFont val="Courier New"/>
            <family val="3"/>
          </rPr>
          <t xml:space="preserve">Zweck der Arbeitsblattes "4 Betriebskosten|Operation Ex": Planung der Betriebskosten mit Hilfe der Tabellen-Checkliste für alle Planjahre
</t>
        </r>
        <r>
          <rPr>
            <sz val="14"/>
            <color indexed="42"/>
            <rFont val="Courier New"/>
            <family val="3"/>
          </rPr>
          <t>█</t>
        </r>
        <r>
          <rPr>
            <sz val="14"/>
            <color indexed="81"/>
            <rFont val="Courier New"/>
            <family val="3"/>
          </rPr>
          <t xml:space="preserve"> Grünliche Zellen sind für Eingabe; Zeilentitel durch Formeln sind überschreibbar. MwSt-Satz für jede Zeile wählbar über Dropdown-Liste.
</t>
        </r>
        <r>
          <rPr>
            <sz val="14"/>
            <color indexed="13"/>
            <rFont val="Courier New"/>
            <family val="3"/>
          </rPr>
          <t>█</t>
        </r>
        <r>
          <rPr>
            <sz val="14"/>
            <color indexed="81"/>
            <rFont val="Courier New"/>
            <family val="3"/>
          </rPr>
          <t xml:space="preserve"> gelbliche Zellen zeigen Einträge vor Gründungsbeginn 
░ schraffierte Zellen sind entsprechend der Geschäftsart nicht auszufüllen
Alle anderen Zellen sind gesperrt.
Besonderheiten in den Gruppen der Tab 4a-1 Betriebskosten (Startjahr) 
1 Allgemeine Kosten: Einkauf von Teilen, die nicht direkt zum Umsatz beitragen.
2 Herstellkosten sind alle für den Umsatz relevanten Kosten
  - Einkauf Material, das für Umsatz benötigt wird (getrennt für 7% und 19% MwSt)
    Der optional in "2 Umsatz|Sales" Tabelle 2a-1 eingegebene Materialeinkaufswert für Umsatz/Einheit (Zeilen 12 und 21) errechnet den
    Mindestbeschaffungswert.
  - Jeder Mehreinkauf führt zu Lagerbeständen, die später eingesetzt werden können. Unterschreitung des Bedarfs wird </t>
        </r>
        <r>
          <rPr>
            <sz val="14"/>
            <color indexed="10"/>
            <rFont val="Courier New"/>
            <family val="3"/>
          </rPr>
          <t>█</t>
        </r>
        <r>
          <rPr>
            <sz val="14"/>
            <color indexed="81"/>
            <rFont val="Courier New"/>
            <family val="3"/>
          </rPr>
          <t xml:space="preserve"> angezeigt/gewarnt.
  - Es werden die für die gewählte Geschäftsart typischen Kosten in den verschiedenen Zeilentitel aufgeführt; gegebenfalls auch unbestimmt
    mit "Sonstiges" gekennzeichnet. Die Titel der Zeilen 18 - 21 sind in Tabelle 4a-1 überschreibbar und werden für die Folgejahre übernommen.
Geringwertige Wirtschaftsgüter (GWG) sind im Kommentar am Zeilenanfang beschrieben
3 Personalkosten: Berechnung der Personalkosten erfolgt in der Nebenrechnungstabelle 4a-2. Siehe dort auch Hilfekommentar
Am Ende der Tabelle stehen:
Betriebskosten I unter Berücksichtigung von Zins und Tilgung aus Tabelle 7
Betriebskosten II unter Berücksichtigung der Abschreibungen
Spalte Aufgaben/Kommentar ist bei Druck/Speichern im pdf-Format unsichtbar</t>
        </r>
      </text>
    </comment>
    <comment ref="A8" authorId="0" shapeId="0" xr:uid="{DABB829E-8430-4ADD-B7E6-77D06C08A4B6}">
      <text>
        <r>
          <rPr>
            <sz val="14"/>
            <color indexed="81"/>
            <rFont val="Courier New"/>
            <family val="3"/>
          </rPr>
          <t xml:space="preserve">Geringwertige Wirtschaftsgüter müssen selbstständig nutzbar sein und über </t>
        </r>
        <r>
          <rPr>
            <b/>
            <u/>
            <sz val="14"/>
            <color indexed="81"/>
            <rFont val="Courier New"/>
            <family val="3"/>
          </rPr>
          <t>250 €</t>
        </r>
        <r>
          <rPr>
            <sz val="14"/>
            <color indexed="81"/>
            <rFont val="Courier New"/>
            <family val="3"/>
          </rPr>
          <t xml:space="preserve"> und unter </t>
        </r>
        <r>
          <rPr>
            <b/>
            <u/>
            <sz val="14"/>
            <color indexed="81"/>
            <rFont val="Courier New"/>
            <family val="3"/>
          </rPr>
          <t>800 €</t>
        </r>
        <r>
          <rPr>
            <sz val="14"/>
            <color indexed="81"/>
            <rFont val="Courier New"/>
            <family val="3"/>
          </rPr>
          <t xml:space="preserve"> (Direkktabschreibung) bzw. unter </t>
        </r>
        <r>
          <rPr>
            <b/>
            <u/>
            <sz val="14"/>
            <color indexed="81"/>
            <rFont val="Courier New"/>
            <family val="3"/>
          </rPr>
          <t>1.000 €</t>
        </r>
        <r>
          <rPr>
            <sz val="14"/>
            <color indexed="81"/>
            <rFont val="Courier New"/>
            <family val="3"/>
          </rPr>
          <t xml:space="preserve"> (Sammelabschreibung) Anschaffungswert liegen
Beispiele:
- Bestecke in Gaststätten, Hotels, Kantinen      
- Datenträger
- Einrichtungsgegenstände in Läden, Werkstätten, Büros, Hotels, Gaststätten
- Fässer/Flaschen
- Grundausstattung einer Kfz-Werkstatt mit Spezialwerkzeugen
- Kisten/Transportkästen
- Lampen (Steh-, Tisch- und Hängelampen)
- Möbel
- Regale (aus genormten Stahlregalteilen zusammengesetzt und nach ihrer betrieblichen Zweckbestimmung
  i.d.R. auf Dauer in dieser Zusammensetzung genutzt)
- Schreibtischkombinationsteile, die nicht fest miteinander verbunden sind
- Spezialbeleuchtungsanlagen in einem Schaufenster
- Trivial-Programme/Software (bis 800 EUR sind keine immateriellen Gegenstände und GWG-tauglich)
- Wäsche in Hotels
- Bibliothek (eines Rechtsanwalts); Bücher (einer Leih- oder Fachbücherei) 
</t>
        </r>
      </text>
    </comment>
    <comment ref="A16" authorId="0" shapeId="0" xr:uid="{091A7764-E13E-42CF-960D-2CDE4403898D}">
      <text>
        <r>
          <rPr>
            <sz val="14"/>
            <color indexed="81"/>
            <rFont val="Courier New"/>
            <family val="3"/>
          </rPr>
          <t xml:space="preserve">Geringwertige Wirtschaftsgüter müssen selbstständig nutzbar sein und über </t>
        </r>
        <r>
          <rPr>
            <b/>
            <u/>
            <sz val="14"/>
            <color indexed="81"/>
            <rFont val="Courier New"/>
            <family val="3"/>
          </rPr>
          <t>250 €</t>
        </r>
        <r>
          <rPr>
            <sz val="14"/>
            <color indexed="81"/>
            <rFont val="Courier New"/>
            <family val="3"/>
          </rPr>
          <t xml:space="preserve"> und unter </t>
        </r>
        <r>
          <rPr>
            <b/>
            <u/>
            <sz val="14"/>
            <color indexed="81"/>
            <rFont val="Courier New"/>
            <family val="3"/>
          </rPr>
          <t>800 €</t>
        </r>
        <r>
          <rPr>
            <sz val="14"/>
            <color indexed="81"/>
            <rFont val="Courier New"/>
            <family val="3"/>
          </rPr>
          <t xml:space="preserve"> (Direkktabschreibung) bzw. unter </t>
        </r>
        <r>
          <rPr>
            <b/>
            <u/>
            <sz val="14"/>
            <color indexed="81"/>
            <rFont val="Courier New"/>
            <family val="3"/>
          </rPr>
          <t>1.000 €</t>
        </r>
        <r>
          <rPr>
            <sz val="14"/>
            <color indexed="81"/>
            <rFont val="Courier New"/>
            <family val="3"/>
          </rPr>
          <t xml:space="preserve"> (Sammelabschreibung) Anschaffungswert liegen
Beispiele:
- Bestecke in Gaststätten, Hotels, Kantinen      
- Datenträger
- Einrichtungsgegenstände in Läden, Werkstätten, Büros, Hotels, Gaststätten
- Fässer/Flaschen
- Grundausstattung einer Kfz-Werkstatt mit Spezialwerkzeugen
- Kisten/Transportkästen
- Lampen (Steh-, Tisch- und Hängelampen)
- Möbel
- Regale (aus genormten Stahlregalteilen zusammengesetzt und nach ihrer betrieblichen Zweckbestimmung
  i.d.R. auf Dauer in dieser Zusammensetzung genutzt)
- Schreibtischkombinationsteile, die nicht fest miteinander verbunden sind
- Spezialbeleuchtungsanlagen in einem Schaufenster
- Trivial-Programme/Software (bis 800 EUR sind keine immateriellen Gegenstände und GWG-tauglich)
- Wäsche in Hotels
- Bibliothek (eines Rechtsanwalts); Bücher (einer Leih- oder Fachbücherei)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2" authorId="0" shapeId="0" xr:uid="{231A1E82-C6E1-4012-8B6C-9FCE7235FB10}">
      <text>
        <r>
          <rPr>
            <sz val="14"/>
            <color indexed="81"/>
            <rFont val="Courier New"/>
            <family val="3"/>
          </rPr>
          <t xml:space="preserve">Zweck der Arbeitsblattes "3 Invest": Planung der Investitionen für alle Planjahre
 </t>
        </r>
        <r>
          <rPr>
            <sz val="14"/>
            <color indexed="81"/>
            <rFont val="Courier New"/>
            <family val="3"/>
          </rPr>
          <t xml:space="preserve">
</t>
        </r>
        <r>
          <rPr>
            <sz val="14"/>
            <color indexed="42"/>
            <rFont val="Courier New"/>
            <family val="3"/>
          </rPr>
          <t>█</t>
        </r>
        <r>
          <rPr>
            <sz val="14"/>
            <color indexed="81"/>
            <rFont val="Courier New"/>
            <family val="3"/>
          </rPr>
          <t xml:space="preserve"> Grünliche Zellen sind für Eingabe; Zeilentitel (über Formeln) sind überschreibbar
</t>
        </r>
        <r>
          <rPr>
            <sz val="14"/>
            <color indexed="10"/>
            <rFont val="Courier New"/>
            <family val="3"/>
          </rPr>
          <t>█</t>
        </r>
        <r>
          <rPr>
            <sz val="14"/>
            <color indexed="81"/>
            <rFont val="Courier New"/>
            <family val="3"/>
          </rPr>
          <t xml:space="preserve"> rote Zellen geben Hinweis auf falsche/fehlende Eingaben 
</t>
        </r>
        <r>
          <rPr>
            <sz val="14"/>
            <color indexed="13"/>
            <rFont val="Courier New"/>
            <family val="3"/>
          </rPr>
          <t>█</t>
        </r>
        <r>
          <rPr>
            <sz val="14"/>
            <color indexed="81"/>
            <rFont val="Courier New"/>
            <family val="3"/>
          </rPr>
          <t xml:space="preserve"> gelbliche Zellen zeigen Einträge vor dem Gründungsmonat
░ schraffierte Zellen sind nicht auszufüllen
Alle anderen Zellen sind gesperrt.
Geringwertige Wirtschaftsgüter aus Sammelpool werden aus Tabelle "4 Btriebskosten|Operation Ex" übernommen.
Spalte Aufgaben/Kommentar ist bei Druck/Speichern im pdf-Format unsichtbar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2" authorId="0" shapeId="0" xr:uid="{80278978-2670-4986-8414-2852A9133FFD}">
      <text>
        <r>
          <rPr>
            <sz val="16"/>
            <color indexed="81"/>
            <rFont val="Courier New"/>
            <family val="3"/>
          </rPr>
          <t xml:space="preserve">Zweck der Arbeitsblattes "5 Rentabilität|Return": Berechnung der Rentabilität (Gewinn/Verlust) mit den eingegebenen Daten über die Planungszeit
Allgemein: </t>
        </r>
        <r>
          <rPr>
            <sz val="16"/>
            <color indexed="10"/>
            <rFont val="Courier New"/>
            <family val="3"/>
          </rPr>
          <t>Negative Zahlen</t>
        </r>
        <r>
          <rPr>
            <sz val="16"/>
            <color indexed="81"/>
            <rFont val="Courier New"/>
            <family val="3"/>
          </rPr>
          <t xml:space="preserve"> sind </t>
        </r>
        <r>
          <rPr>
            <sz val="16"/>
            <color indexed="10"/>
            <rFont val="Courier New"/>
            <family val="3"/>
          </rPr>
          <t>rot</t>
        </r>
        <r>
          <rPr>
            <sz val="16"/>
            <color indexed="81"/>
            <rFont val="Courier New"/>
            <family val="3"/>
          </rPr>
          <t xml:space="preserve"> und </t>
        </r>
        <r>
          <rPr>
            <sz val="16"/>
            <color indexed="53"/>
            <rFont val="Courier New"/>
            <family val="3"/>
          </rPr>
          <t>negative;</t>
        </r>
        <r>
          <rPr>
            <sz val="16"/>
            <color indexed="81"/>
            <rFont val="Courier New"/>
            <family val="3"/>
          </rPr>
          <t xml:space="preserve"> die dazugehörigen Balken in den Diagammen sind </t>
        </r>
        <r>
          <rPr>
            <sz val="16"/>
            <color indexed="53"/>
            <rFont val="Courier New"/>
            <family val="3"/>
          </rPr>
          <t>orange</t>
        </r>
        <r>
          <rPr>
            <sz val="16"/>
            <color indexed="81"/>
            <rFont val="Courier New"/>
            <family val="3"/>
          </rPr>
          <t xml:space="preserve"> gefärbt 
Monatlicher Gewinn/Verlust und die akkumulierte Rentabilität über die beiden ersten Jahre in Tab.5.1 und 5.2 
monatliche Grafik für ersten 2 Jahre
Jahres-Gewinn/Verlust und akkumulierte Rentabilität über 5 Planjahre in Tab 5.3 und Diagramm
Steuerlast in Tab 5.4 (Erklärung im dortigen Hilfe-Kommentar)
Spalte Aufgaben/Kommentar ist bei Druck/Speichern im pdf-Format unsichtbar</t>
        </r>
        <r>
          <rPr>
            <sz val="14"/>
            <color indexed="81"/>
            <rFont val="Courier New"/>
            <family val="3"/>
          </rPr>
          <t xml:space="preserve">
</t>
        </r>
      </text>
    </comment>
    <comment ref="A45" authorId="0" shapeId="0" xr:uid="{A89EEE64-46D7-41F2-A02D-2613B208CA8A}">
      <text>
        <r>
          <rPr>
            <sz val="16"/>
            <color indexed="81"/>
            <rFont val="Courier New"/>
            <family val="3"/>
          </rPr>
          <t xml:space="preserve">Zweck der Tabelle 5.4: Berechnung Einkommens-/Körperschafts- und Gewerbesteuer unter Berücksichtigung der Freibeträge der in "Daten|Data" gewählten Unternehmensform entsprechend den gesetzlich festgelegten Werte aus dem Jahr 2026 (ohne Gewähr)
Zur Berechnung der Gewerbesteuer muß der örtliche Hebesatz in die grünlich eingefärbte Zelle </t>
        </r>
        <r>
          <rPr>
            <sz val="16"/>
            <color indexed="42"/>
            <rFont val="Courier New"/>
            <family val="3"/>
          </rPr>
          <t xml:space="preserve">█ </t>
        </r>
        <r>
          <rPr>
            <sz val="16"/>
            <color indexed="81"/>
            <rFont val="Courier New"/>
            <family val="3"/>
          </rPr>
          <t>"I51" eingegeben werden. Auch hierfür keine Gewähr. 
Spalte Aufgaben/Kommentar ist bei Druck/Speichern_als_pdf nicht sichtbar</t>
        </r>
        <r>
          <rPr>
            <sz val="14"/>
            <color indexed="81"/>
            <rFont val="Courier New"/>
            <family val="3"/>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2" authorId="0" shapeId="0" xr:uid="{61252AE6-12AF-4A7E-B22F-8824682F6608}">
      <text>
        <r>
          <rPr>
            <sz val="12"/>
            <color indexed="81"/>
            <rFont val="Courier New"/>
            <family val="3"/>
          </rPr>
          <t>Zweck der Arbeitsblattes "5 GuV" ist Gewinn- und Verlustrechnung in üblicher Kurzform über die Planungszeit zu zeigen. 
Steuerlich stimmen die beiden Tabellen "5 GuV" und "5 Rendite|Profit" überein.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JuergenErlewein</author>
  </authors>
  <commentList>
    <comment ref="A2" authorId="0" shapeId="0" xr:uid="{82B84615-3753-4587-8CDC-929096A767CE}">
      <text>
        <r>
          <rPr>
            <sz val="16"/>
            <color indexed="81"/>
            <rFont val="Courier New"/>
            <family val="3"/>
          </rPr>
          <t xml:space="preserve">Zweck der Arbeitsblattes "6 Liquiditaet|Liquidity"
Berechnung der Liquidität aus den eingegebenen Werten um eventuell Gegenmaßnahmen zu ergreifen zu können                                
Negative Liquidität kann u.U. durch die nachfolgend aufgeführten Schritte kompensiert werden (gilt für alle Planjahre!)
Beeinflußt wird die Liquidität durch:
Umsatz                                   Steigerung nur, wenn Markt dafür vorhanden ist!
Gewinnmarge erhöhen                      Materialkostenanteil senken 
                                          - günstiger Einkauf.     Achtung! kann zu Qualitätsproblemen führen
                                          - Konstruktionsänderung. Achtung! bedeutet auch höhere Entwicklungskosten
Betriebskosten                           Löhne/Gehälter/Privatentnahmen senken, wenn machbar; alle Ausgaben auf Prüfstand stellen
Investitionen                            verschieben oder günstiger kaufen
Zahlungseingang gestellter Rechnungen    Einstellbar über Dropdown-Liste Zelle "G2" mit bis zu 4 Monaten Verzögerung
zusätzlicher Mittelzufluß                eigene/fremde Quellen (Tabelle "7 Kapital|Financing")
in diesem Arbeitsblatt:
Forderungsausgleich:                     Werte können in die grünlichen Zellen eingegeben werden
Sonstige Einzahlungen und Auszahlungen:  Werte können in die grünlichen Zellen eingegeben werden
weitere Hinweise:
Vorsteuerabgaben ans Finanzamt:          (wird automatisch am Jahresende ausgerbucht (Finanzamt) 
(Zeilentitel "Sonstige Einzahlungen" und "Sonstige Auszahlungens" können in allen 3 Tabellen überschrieben werden)
Spalte Aufgaben/Kommentar ist bei Druck/Speichern im pdf-Format unsichtbar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<sst xmlns="http://schemas.openxmlformats.org/spreadsheetml/2006/main" count="1754" uniqueCount="1095">
  <si>
    <t>Kostenart</t>
  </si>
  <si>
    <t>Jan.</t>
  </si>
  <si>
    <t>März</t>
  </si>
  <si>
    <t>April</t>
  </si>
  <si>
    <t>Mai</t>
  </si>
  <si>
    <t>Juni</t>
  </si>
  <si>
    <t>Juli</t>
  </si>
  <si>
    <t>Miete (oder vergleichbare Belastung)</t>
  </si>
  <si>
    <t xml:space="preserve">Heizung, Schornsteinfeger, Emission </t>
  </si>
  <si>
    <t>Strom, Wasser, Abwasser, Müll</t>
  </si>
  <si>
    <t>Telefon, Mobil, Fax, Internet</t>
  </si>
  <si>
    <t>Rundfunk / Fernsehen usw.</t>
  </si>
  <si>
    <t>Kredit (Zins u. Tilgung)</t>
  </si>
  <si>
    <t>Wohnungsreparaturen</t>
  </si>
  <si>
    <t>Lebensunterhalt / Haushaltsgeld</t>
  </si>
  <si>
    <t>Lebensmittel , auswärts Essen</t>
  </si>
  <si>
    <t>Kredit (Zins u. Tilgung) / Leasing</t>
  </si>
  <si>
    <t>Versicherung, Steuern, Reparaturen</t>
  </si>
  <si>
    <t>Benzin / Diesel / Reparaturen</t>
  </si>
  <si>
    <t>Versicherungen</t>
  </si>
  <si>
    <t>Unfallversicherung, Berufsunfähigkeit</t>
  </si>
  <si>
    <t>Hausratsversicherung, Haftpflicht</t>
  </si>
  <si>
    <t>Freizeit / Unterhaltung</t>
  </si>
  <si>
    <t xml:space="preserve">Hobby, Bücher, Geschenke </t>
  </si>
  <si>
    <t>Urlaub, Reisen, Sonstiges</t>
  </si>
  <si>
    <t>Verschiedenes</t>
  </si>
  <si>
    <t>Vereinsbeiträge, Spenden, Bausparen</t>
  </si>
  <si>
    <t>Beratung (Steuer, Recht usw.)</t>
  </si>
  <si>
    <t>Zahlungsverpflichtungen</t>
  </si>
  <si>
    <t>Unterhalt, Kredittilgung, Weiterbildung</t>
  </si>
  <si>
    <t>Wohnen</t>
  </si>
  <si>
    <t>PKW</t>
  </si>
  <si>
    <t>Summe</t>
  </si>
  <si>
    <t>Marktforschung</t>
  </si>
  <si>
    <t>Summe Betriebskosten I</t>
  </si>
  <si>
    <t>Bürokosten</t>
  </si>
  <si>
    <t>Briefpapier, Visitenkarte, Stempel</t>
  </si>
  <si>
    <t>Produktionskosten</t>
  </si>
  <si>
    <t>Haftpflicht</t>
  </si>
  <si>
    <t>Rechtschutzversicherung</t>
  </si>
  <si>
    <t>Einnahmeart</t>
  </si>
  <si>
    <t>Einnahmen / Einzahlungen</t>
  </si>
  <si>
    <t>Summe Liquiditätszugang</t>
  </si>
  <si>
    <t>Ausgaben / Auszahlungen</t>
  </si>
  <si>
    <t xml:space="preserve">Sonstige Auszahlungen </t>
  </si>
  <si>
    <t>Summe Liquiditätsabgang</t>
  </si>
  <si>
    <t>Liquiditätssaldo</t>
  </si>
  <si>
    <t>(+) Summe Liquiditätszugang</t>
  </si>
  <si>
    <t>(-) Summe Liquiditätsabgang</t>
  </si>
  <si>
    <t>Forderungsausgleich</t>
  </si>
  <si>
    <t>Kapitalquellen</t>
  </si>
  <si>
    <t>Zinssatz</t>
  </si>
  <si>
    <t>Eigenkapital</t>
  </si>
  <si>
    <t>Öffentliche Förderdarlehen</t>
  </si>
  <si>
    <t>L - Bank-Darlehen</t>
  </si>
  <si>
    <t xml:space="preserve">Bürgschaftsbank- Darlehen </t>
  </si>
  <si>
    <t>Haus -  Bank-Darlehen</t>
  </si>
  <si>
    <t>Privat -  Darlehen</t>
  </si>
  <si>
    <t>Konto / flüss. Mittel / Liquiditätssaldo</t>
  </si>
  <si>
    <t xml:space="preserve">Konto/flüss. Mittel/ Liquiditätssaldo/Startg. </t>
  </si>
  <si>
    <t>Jan</t>
  </si>
  <si>
    <t>Feb</t>
  </si>
  <si>
    <t>Mrz</t>
  </si>
  <si>
    <t>Apr</t>
  </si>
  <si>
    <t>Jun</t>
  </si>
  <si>
    <t>Jul</t>
  </si>
  <si>
    <t>Aug</t>
  </si>
  <si>
    <t>Sep</t>
  </si>
  <si>
    <t>Okt</t>
  </si>
  <si>
    <t>Nov</t>
  </si>
  <si>
    <t>Dez</t>
  </si>
  <si>
    <t>August</t>
  </si>
  <si>
    <t>Eigenleistung</t>
  </si>
  <si>
    <t>Eigenkaptial und -leistung</t>
  </si>
  <si>
    <t>Zins</t>
  </si>
  <si>
    <t>Januar</t>
  </si>
  <si>
    <t>Februar</t>
  </si>
  <si>
    <t>September</t>
  </si>
  <si>
    <t>Oktober</t>
  </si>
  <si>
    <t>November</t>
  </si>
  <si>
    <t>Dezember</t>
  </si>
  <si>
    <t>Zins Fremdkapital</t>
  </si>
  <si>
    <t>Tilgung Fremdkapital</t>
  </si>
  <si>
    <t>Belastung gesamt</t>
  </si>
  <si>
    <t>durchschn. Jahresbeträge</t>
  </si>
  <si>
    <t>Telefon:</t>
  </si>
  <si>
    <t>Mail:</t>
  </si>
  <si>
    <t xml:space="preserve">Mobil: </t>
  </si>
  <si>
    <t>Finanzbedingungen</t>
  </si>
  <si>
    <t>Nr.</t>
  </si>
  <si>
    <t>Kapitalgesellschaft</t>
  </si>
  <si>
    <t>Reisekostenpauschalen</t>
  </si>
  <si>
    <t>Anmerkungen</t>
  </si>
  <si>
    <t>Löhne, Gehälter mit Nebenkosten (s. Nebenrechnung)</t>
  </si>
  <si>
    <t>Reisekosten</t>
  </si>
  <si>
    <t>Übernachtungen</t>
  </si>
  <si>
    <t>Fachliteratur, Bücher</t>
  </si>
  <si>
    <t>Fahrtkosten</t>
  </si>
  <si>
    <t>Marketing  u. Werbung</t>
  </si>
  <si>
    <t>Flyer, Prospekte, Broschüren, Anzeigen</t>
  </si>
  <si>
    <t>Sonstiges, Messen, ...</t>
  </si>
  <si>
    <t>Leasingraten für Produktionsanlagen, -maschinen</t>
  </si>
  <si>
    <t>Abrechenbare Kilometerkosten</t>
  </si>
  <si>
    <t>Produktionsbedarf, geringwertige Wirtschaftsgüter</t>
  </si>
  <si>
    <t>Leasingraten Kfz</t>
  </si>
  <si>
    <t>KFZ Kosten / Betriebliche Nutzung</t>
  </si>
  <si>
    <t>FreiberuflerIn</t>
  </si>
  <si>
    <t>umsatzsteuerpflichtig</t>
  </si>
  <si>
    <t>Kleinunternehmerregelung</t>
  </si>
  <si>
    <t>Einzahlungen/Auszahlungen (MwSt-Satz s. Tab.2 und Tab.4)</t>
  </si>
  <si>
    <t>Abschreibungen</t>
  </si>
  <si>
    <t>Summe Sammelposten</t>
  </si>
  <si>
    <t>Ergebnis nach Steuern</t>
  </si>
  <si>
    <t>Gewerbesteuer (Übernahme aus Tab. 5c)</t>
  </si>
  <si>
    <t>Auswahl</t>
  </si>
  <si>
    <t>Wikipedia</t>
  </si>
  <si>
    <t>Einzelunternehmen</t>
  </si>
  <si>
    <t>Personengesellschaft</t>
  </si>
  <si>
    <t xml:space="preserve"> </t>
  </si>
  <si>
    <t>Gehaltssumme</t>
  </si>
  <si>
    <t>Tilgungsstart</t>
  </si>
  <si>
    <t>Betrag</t>
  </si>
  <si>
    <t>Akkumuliertes vorläufiges Ergebnis / Gewinn vor St. oder Verlust</t>
  </si>
  <si>
    <t>Summe Personalkosten</t>
  </si>
  <si>
    <t>negativ</t>
  </si>
  <si>
    <t>positiv</t>
  </si>
  <si>
    <t>1.</t>
  </si>
  <si>
    <t>2.</t>
  </si>
  <si>
    <t>3.</t>
  </si>
  <si>
    <t>4.</t>
  </si>
  <si>
    <t>5.</t>
  </si>
  <si>
    <t>Aufgaben und/oder Kommentar</t>
  </si>
  <si>
    <t>Webseite, lfd. Webseitenpflege</t>
  </si>
  <si>
    <t>Sonstige Einzahlungen, z.B. Gutscheine, Zuschüsse, ...</t>
  </si>
  <si>
    <t>Sonstige</t>
  </si>
  <si>
    <t>Unternehmensform:</t>
  </si>
  <si>
    <t>aktuelles Jahr</t>
  </si>
  <si>
    <t>Zahlungseingang</t>
  </si>
  <si>
    <t>Gründer</t>
  </si>
  <si>
    <t>Kapitaldienst Tilgung (aus Tab. 7b-1)</t>
  </si>
  <si>
    <t>Deutsch</t>
  </si>
  <si>
    <t>Sum</t>
  </si>
  <si>
    <t>Letter paper, business card, stamp</t>
  </si>
  <si>
    <t>Office expences</t>
  </si>
  <si>
    <t>Travel expenses</t>
  </si>
  <si>
    <t>Financial costs /  interest *)</t>
  </si>
  <si>
    <t>Leisure, entertainement</t>
  </si>
  <si>
    <t xml:space="preserve">Insurance </t>
  </si>
  <si>
    <t>Vehicle costs (operational use)</t>
  </si>
  <si>
    <t xml:space="preserve">Credit (interest &amp; repayment) </t>
  </si>
  <si>
    <t>Credit (interest &amp; repayment) / leasing</t>
  </si>
  <si>
    <t>Vehicle leasing rates</t>
  </si>
  <si>
    <t>Wages, salaries with additional costs (s. accillary account)</t>
  </si>
  <si>
    <t xml:space="preserve">Marketing &amp; advertising </t>
  </si>
  <si>
    <t>Market research</t>
  </si>
  <si>
    <t>Passenger car</t>
  </si>
  <si>
    <t>Production need, inferior assets</t>
  </si>
  <si>
    <t>Production costs</t>
  </si>
  <si>
    <t>Legal costs insurance</t>
  </si>
  <si>
    <t xml:space="preserve">Travelling allowances </t>
  </si>
  <si>
    <t>Electricity, water, waste water, garbage</t>
  </si>
  <si>
    <t>Sum operating costs I</t>
  </si>
  <si>
    <t>Sum office expences</t>
  </si>
  <si>
    <t xml:space="preserve">Sum personal costs </t>
  </si>
  <si>
    <t xml:space="preserve">Sum production costs </t>
  </si>
  <si>
    <t>Sum travel expenses</t>
  </si>
  <si>
    <t>Sum miscellaneous</t>
  </si>
  <si>
    <t>Sum insurances (operational)</t>
  </si>
  <si>
    <t>Phone, fax, internet, porto</t>
  </si>
  <si>
    <t>Accomodations</t>
  </si>
  <si>
    <t>Accident insurance, incapacity to work</t>
  </si>
  <si>
    <t>Association contributions, donations, building-savings</t>
  </si>
  <si>
    <t>Miscellaneous</t>
  </si>
  <si>
    <t>Insurances, taxes, repairs</t>
  </si>
  <si>
    <t>Insurances</t>
  </si>
  <si>
    <t>Website, current website maintenance</t>
  </si>
  <si>
    <t xml:space="preserve">Payment obligations </t>
  </si>
  <si>
    <t>Costs deductibles per kilometre</t>
  </si>
  <si>
    <t>Sum vehical costs / operational use)</t>
  </si>
  <si>
    <t xml:space="preserve">Sum marketing &amp; advertising </t>
  </si>
  <si>
    <t>Flyers, leaflets, booklets, ads</t>
  </si>
  <si>
    <t>Specialist literature, books</t>
  </si>
  <si>
    <t>Others, fairs ...</t>
  </si>
  <si>
    <t>Cost Type</t>
  </si>
  <si>
    <t>Telefon, Fax, Internet, Porto</t>
  </si>
  <si>
    <t>English</t>
  </si>
  <si>
    <t>No.</t>
  </si>
  <si>
    <t>May</t>
  </si>
  <si>
    <t>June</t>
  </si>
  <si>
    <t>July</t>
  </si>
  <si>
    <t>Mar</t>
  </si>
  <si>
    <t>Oct</t>
  </si>
  <si>
    <t>Dec</t>
  </si>
  <si>
    <t>To Do list / Comments</t>
  </si>
  <si>
    <t>No of Employees</t>
  </si>
  <si>
    <t>Payroll</t>
  </si>
  <si>
    <t>Name of enterprise *):</t>
  </si>
  <si>
    <t>Form of enterprise*):</t>
  </si>
  <si>
    <t>Name(s) of founder*):</t>
  </si>
  <si>
    <t>Partnership</t>
  </si>
  <si>
    <t xml:space="preserve">Capital company </t>
  </si>
  <si>
    <t>liable to tax on sales</t>
  </si>
  <si>
    <t>No</t>
  </si>
  <si>
    <t>current year</t>
  </si>
  <si>
    <t>Sum compound items</t>
  </si>
  <si>
    <t>Priliminary  result / earnings bevor taxes or loss</t>
  </si>
  <si>
    <t>Founding year*):</t>
  </si>
  <si>
    <t>Acc. priliminary  result / earnings bevor taxes or loss</t>
  </si>
  <si>
    <t xml:space="preserve">Payment receipt </t>
  </si>
  <si>
    <t>Account / liquid resources / liquidity balance / opening balance</t>
  </si>
  <si>
    <t>Receipts / payments-in</t>
  </si>
  <si>
    <t>Payments of outstanding bills</t>
  </si>
  <si>
    <t>Other pay offs</t>
  </si>
  <si>
    <t>Sum liquidity outflow</t>
  </si>
  <si>
    <t xml:space="preserve">Liquidity balance </t>
  </si>
  <si>
    <t>(-)Sum liquidity outflow</t>
  </si>
  <si>
    <t>Pay off in month</t>
  </si>
  <si>
    <t>Amount</t>
  </si>
  <si>
    <t>Capital resources</t>
  </si>
  <si>
    <t>Own capital</t>
  </si>
  <si>
    <t>Public loans</t>
  </si>
  <si>
    <t>L - Bank credit</t>
  </si>
  <si>
    <t>Quarantee bank credit</t>
  </si>
  <si>
    <t>House bank credit</t>
  </si>
  <si>
    <t>Privat loan</t>
  </si>
  <si>
    <t>Other</t>
  </si>
  <si>
    <t>Interest outside capital</t>
  </si>
  <si>
    <t>Average annual amount</t>
  </si>
  <si>
    <t>January</t>
  </si>
  <si>
    <t>March</t>
  </si>
  <si>
    <t>October</t>
  </si>
  <si>
    <t>December</t>
  </si>
  <si>
    <t>Value</t>
  </si>
  <si>
    <t>Cost Category</t>
  </si>
  <si>
    <t xml:space="preserve">Basis therefor are Total Expenses </t>
  </si>
  <si>
    <t>Founder/s</t>
  </si>
  <si>
    <t>Terms for Financing</t>
  </si>
  <si>
    <t>Comments</t>
  </si>
  <si>
    <t>Gesamtumsätze</t>
  </si>
  <si>
    <t>Gesamtumsätze akkumuliert</t>
  </si>
  <si>
    <t>Total Sales</t>
  </si>
  <si>
    <t>Total Sales accumulated</t>
  </si>
  <si>
    <t>Type of Income</t>
  </si>
  <si>
    <t>Selection</t>
  </si>
  <si>
    <t>Sonstige Einnahmen</t>
  </si>
  <si>
    <t>Other Income</t>
  </si>
  <si>
    <t xml:space="preserve">Type of enterprise: </t>
  </si>
  <si>
    <t xml:space="preserve">Phon: </t>
  </si>
  <si>
    <t xml:space="preserve">Mail: </t>
  </si>
  <si>
    <t>Professional Person</t>
  </si>
  <si>
    <t>Ferbruary</t>
  </si>
  <si>
    <t>Sepember</t>
  </si>
  <si>
    <t>Gewinn/Verlust vor Steuer</t>
  </si>
  <si>
    <t>Finanzplanung für Gründer und Gründerinnen leicht gemacht!</t>
  </si>
  <si>
    <t>Vorwort</t>
  </si>
  <si>
    <t>aus den eingebenen Zahlen eine anschauliche Grafik über den jeweiligen Zeithorizont erzeugt. Zusätzlich sind dann alle Grafiken nochmals zusammen</t>
  </si>
  <si>
    <t xml:space="preserve">Probieren Sie es! Mit den Tabellen ist die Finanzplanung für Ihr Unternehmen relativ einfach. </t>
  </si>
  <si>
    <t>Jegliche Haftung für die Richtigkeit der berechneten Werte ist ausgeschlossen.</t>
  </si>
  <si>
    <t>Finance planning for business founders made easy!</t>
  </si>
  <si>
    <t>Preface</t>
  </si>
  <si>
    <t>Any liability for the correctness of the calculated results is excluded.</t>
  </si>
  <si>
    <t>Try it out! With this excel sheet the financial planning for your business is quite simple</t>
  </si>
  <si>
    <t>or for the JobCenter a financial plan is required to prove the business concept.</t>
  </si>
  <si>
    <t xml:space="preserve">This excel sheet facilitates the finance planning for the business founder. It is recommended to fill in the sheets one after the other. </t>
  </si>
  <si>
    <t xml:space="preserve">The sheets are linked so that each plan amendment is visible in the result. In addition a graphic is generated from the entered data. Furthermore </t>
  </si>
  <si>
    <t>for the year</t>
  </si>
  <si>
    <t xml:space="preserve">Many business founders and foundresses have an aversion to financial planning. For them the finance planning is a closed book, an unknown terrain. </t>
  </si>
  <si>
    <t xml:space="preserve">This finance planning spreadsheet is useful for freelancers, sole proprietors or VAT-liable companies such as  private companies </t>
  </si>
  <si>
    <t xml:space="preserve">No bank will grant a loan for a startup without a description of the expected financial circumstances. Also for the Agency of Employment </t>
  </si>
  <si>
    <t>Leasing rate for production facityties , -machines</t>
  </si>
  <si>
    <t>Sum operating costs II</t>
  </si>
  <si>
    <r>
      <t>Finanzplanungstabellen</t>
    </r>
    <r>
      <rPr>
        <sz val="10"/>
        <rFont val="Verdana"/>
        <family val="2"/>
      </rPr>
      <t xml:space="preserve"> </t>
    </r>
    <r>
      <rPr>
        <sz val="10"/>
        <color rgb="FF000000"/>
        <rFont val="Verdana"/>
        <family val="2"/>
      </rPr>
      <t>sind für Freiberufler,  Einzelunternehmer, umsatzsteuerpflichtigen Unternehmen, wie Personengesellschaften (z.B. GbR, KG),</t>
    </r>
  </si>
  <si>
    <t>Raummiete</t>
  </si>
  <si>
    <t>Strom, Wasser, Heizung, sonst. Nebenkosten</t>
  </si>
  <si>
    <t>IT (Lizenzen, Windows, Office, Wartung)</t>
  </si>
  <si>
    <t>Sonstiges</t>
  </si>
  <si>
    <t>Geringw. Wirtschaftsgüter (Büromöbel, Einrichtungen,...)</t>
  </si>
  <si>
    <t>Others</t>
  </si>
  <si>
    <t>IT (licenses, windows, office, maintenace, ...)</t>
  </si>
  <si>
    <t>Space rent</t>
  </si>
  <si>
    <t>Instandhaltung und Reparaturen</t>
  </si>
  <si>
    <t>Electricity, water, heating, other costs</t>
  </si>
  <si>
    <t>Maintenace and repairs</t>
  </si>
  <si>
    <t>Beiträge (IHK, Berufsverbände, ...)</t>
  </si>
  <si>
    <t>Conributions (IHK,  trade organizations, ...)</t>
  </si>
  <si>
    <t>Versicherungen/Kfz-Steuer</t>
  </si>
  <si>
    <t>Fahrzeugkosten (Tanken und Reparatur)</t>
  </si>
  <si>
    <t>Insurance/tax on cars</t>
  </si>
  <si>
    <t xml:space="preserve">vehicle's costs (fuel and repairs) </t>
  </si>
  <si>
    <t>Bewirtungskosten</t>
  </si>
  <si>
    <t>entertainment expenses</t>
  </si>
  <si>
    <t>Rechts- und Beratungskosten</t>
  </si>
  <si>
    <t>Buchhaltung</t>
  </si>
  <si>
    <t>Steuerberatung, Abschluss, Prüfung</t>
  </si>
  <si>
    <t>Summe Rechts- und Beratungskosten</t>
  </si>
  <si>
    <t xml:space="preserve">Bookkeeping </t>
  </si>
  <si>
    <t>Tax consultancy, accounts, annual audit</t>
  </si>
  <si>
    <t>Legislation and consultancy fees</t>
  </si>
  <si>
    <t>Sum legislation and consultancy fees</t>
  </si>
  <si>
    <t>Finanzaufwand / Zinsen *)</t>
  </si>
  <si>
    <t>Schulungen</t>
  </si>
  <si>
    <t>Profesional training</t>
  </si>
  <si>
    <t>Summe Verschiedenes</t>
  </si>
  <si>
    <t>Versicherungen und Beiträge (betrieblich!)</t>
  </si>
  <si>
    <t>Insurances and Contributions</t>
  </si>
  <si>
    <t>Depreciation</t>
  </si>
  <si>
    <t>1.1</t>
  </si>
  <si>
    <t>1.2</t>
  </si>
  <si>
    <t>1.3</t>
  </si>
  <si>
    <t>1.4</t>
  </si>
  <si>
    <t>2.1</t>
  </si>
  <si>
    <t>2.2</t>
  </si>
  <si>
    <t>2.3</t>
  </si>
  <si>
    <t>2.4</t>
  </si>
  <si>
    <t>3.1</t>
  </si>
  <si>
    <t>3.2</t>
  </si>
  <si>
    <t xml:space="preserve">Vor der Finanzplanung haben Existenzgründer und Existenzgründerinnen in der Regel eine große Scheu. Für Viele ist die Finanzplanung ein Buch </t>
  </si>
  <si>
    <t>mit sieben Siegeln,ein bisher unbekanntes Terrain. Aber zu jeder Existenzgründung und zu jedem  Business-Plan gehört nun einmal auch eine grobe</t>
  </si>
  <si>
    <t>Finanzplanung mit Umsatzvorausschau, Rentabilitätsberechnung und Liquiditätsbetrachtung. Erst diese Daten – auch wenn es nur Prognosewerte sind -</t>
  </si>
  <si>
    <t>zeigen, ob das geplante Unternehmen voraussichtlich auch Gewinn abwirft und sich in den nächsten Jahren auch auf dem Markt durchsetzen kann.</t>
  </si>
  <si>
    <t>Die Tabellen sollen dem Gründer/der Gründerin die Finanzplanung erleichtern. Es wird empfohlen, die Tabellen, eine nach der anderen, auszufüllen.</t>
  </si>
  <si>
    <t>Nevertheless every business startup and every business plan must include a rough finance planning with sales projection, profitability calculation and</t>
  </si>
  <si>
    <t>liquidity assessment. These data show– even if there are only forecast values - , whether your planned project will produce a profit and will succeed</t>
  </si>
  <si>
    <t xml:space="preserve">in the market. </t>
  </si>
  <si>
    <t>Umsatz Produktgruppe 1</t>
  </si>
  <si>
    <t>Sales Product Line 1</t>
  </si>
  <si>
    <t>Umsatz Produktgruppe 2</t>
  </si>
  <si>
    <t>Sales Product Line 2</t>
  </si>
  <si>
    <t>Umsätze aus Nebenrechnung Gruppe 1</t>
  </si>
  <si>
    <t>Umsätze aus Nebenrechnung Gruppe 2</t>
  </si>
  <si>
    <t>Summe Nebenrechnung Gruppe1</t>
  </si>
  <si>
    <t>Sales out of Ancillary Account Line 1</t>
  </si>
  <si>
    <t>Sales out of Ancillary Account Line 2</t>
  </si>
  <si>
    <t>Sum Ancillary Account Line1</t>
  </si>
  <si>
    <t>Summe Nebenrechnung Gruppe2</t>
  </si>
  <si>
    <t>Sum Ancillary Account Line2</t>
  </si>
  <si>
    <t>Summe Umsatz Produktgrppe 2</t>
  </si>
  <si>
    <t>Sum Sales Product Line 2</t>
  </si>
  <si>
    <t>Summe Honorareinnahmen</t>
  </si>
  <si>
    <t>Summe Sonstige Einnehmen</t>
  </si>
  <si>
    <t>Sum Other Income</t>
  </si>
  <si>
    <t>Auszahlung in Monat</t>
  </si>
  <si>
    <t>Outpay in month</t>
  </si>
  <si>
    <t>Entertainment expenses</t>
  </si>
  <si>
    <t>for the years</t>
  </si>
  <si>
    <t>Umsatz</t>
  </si>
  <si>
    <t>akkumuliert</t>
  </si>
  <si>
    <t>Kapitaldienst Tilgung (aus Tab. 7b-2)</t>
  </si>
  <si>
    <t>Summe Sonstige Einnahmen</t>
  </si>
  <si>
    <t>Investmonat</t>
  </si>
  <si>
    <t>january</t>
  </si>
  <si>
    <t>Jürgen Erlewein</t>
  </si>
  <si>
    <t>juergen.erlewein@senioren-der-wirtschaft.de</t>
  </si>
  <si>
    <t>accumulated</t>
  </si>
  <si>
    <t>Choise</t>
  </si>
  <si>
    <t>im Blatt "Cockpit-Chart" zu sehen. Noch zu erledigende Arbeiten können in jeder Tabelle in die dafür vorgesehenen Kommentarzeilen geschrieben werden.</t>
  </si>
  <si>
    <t>all graphics are shown in the sheet “Cockpit Chart”. Open tasks for each table can be written in the provided field "Tasks or Comments".</t>
  </si>
  <si>
    <t>Ohne eine Darstellung der voraussichtlichen Finanzverhältnisse wird keine Bank dem Existenzgründer oder der Gründerin ein Darlehen geben oder einen</t>
  </si>
  <si>
    <t xml:space="preserve">     </t>
  </si>
  <si>
    <t xml:space="preserve">Kredit einräumen. Auch zur Erstellung der Tragfähigkeitsbescheinigung für die Agentur für Arbeit oder das Jobcenter ist eine Finanzplanung Voraussetzung.  </t>
  </si>
  <si>
    <t>Sum Income Consulting Services</t>
  </si>
  <si>
    <t>Accomodation expenses</t>
  </si>
  <si>
    <t>Rent (or comparable expenses</t>
  </si>
  <si>
    <t xml:space="preserve">Heating, chimny, sweep, emission </t>
  </si>
  <si>
    <t>Phone, mobil, fax, internet, postage</t>
  </si>
  <si>
    <t>Apartement repairs</t>
  </si>
  <si>
    <t xml:space="preserve">Living- and housekeeping expenses </t>
  </si>
  <si>
    <t>Food, eating out</t>
  </si>
  <si>
    <t>Clothing, cosmetics, miscellaneous</t>
  </si>
  <si>
    <t>Fuel, repairs</t>
  </si>
  <si>
    <t>Radio, TV etc.</t>
  </si>
  <si>
    <t>Hobby, books, gifts</t>
  </si>
  <si>
    <t>Holiday, travel, miscellaneous</t>
  </si>
  <si>
    <t>Insurance of contents</t>
  </si>
  <si>
    <t>Livelihood, credit repayment, education</t>
  </si>
  <si>
    <t>Consulting services (taxes, law etc.)</t>
  </si>
  <si>
    <t>Room rental</t>
  </si>
  <si>
    <t>Phone, fax, internet, postage</t>
  </si>
  <si>
    <t>Vehicle expenses for operational use</t>
  </si>
  <si>
    <t>Insurances / tax on cars</t>
  </si>
  <si>
    <t>Deductible cost per kilometre</t>
  </si>
  <si>
    <t xml:space="preserve">vehicle's cost (fuel and repairs) </t>
  </si>
  <si>
    <t>Office supply, paper, business cards, stamps</t>
  </si>
  <si>
    <t>Homepage, current website maintenance</t>
  </si>
  <si>
    <t>Others, exhibitions, ...</t>
  </si>
  <si>
    <t>Tax advice, annual accounts, accounts audit</t>
  </si>
  <si>
    <t>Business literature</t>
  </si>
  <si>
    <t>Training</t>
  </si>
  <si>
    <t>Sum Investment</t>
  </si>
  <si>
    <t>Profit/Loss before taxes</t>
  </si>
  <si>
    <t>Depreciation (from "3 Anschaffungen|Investment")</t>
  </si>
  <si>
    <t>Abschreibungen (aus "3 Anschaffungen|Investment")</t>
  </si>
  <si>
    <t>+  Monatswerte  -</t>
  </si>
  <si>
    <t>+   monthly values  -</t>
  </si>
  <si>
    <t>+  Jahreswerte  -</t>
  </si>
  <si>
    <t>+  annual values  -</t>
  </si>
  <si>
    <t>Other earnings e.g. vouchers, grants</t>
  </si>
  <si>
    <t>Sum liquidity access</t>
  </si>
  <si>
    <t>Expenses / outgoings</t>
  </si>
  <si>
    <t>(+) Sum liquidity access</t>
  </si>
  <si>
    <t>Own performance</t>
  </si>
  <si>
    <t>Repayment outside capital</t>
  </si>
  <si>
    <t>Total load</t>
  </si>
  <si>
    <t>KfW programm</t>
  </si>
  <si>
    <t>KfW  Programm</t>
  </si>
  <si>
    <t>Receipts / pay offs (VAT rate s. tab 2 and tab 4)</t>
  </si>
  <si>
    <t>Interest and amortizement (from tab 7b-1)</t>
  </si>
  <si>
    <t>Business tax (from tab 5c)</t>
  </si>
  <si>
    <t>Interest and amortizement (from tab 7b-2)</t>
  </si>
  <si>
    <t>NEU MIT GRAPHISCHER DARSTELLUNG DER ERGEBNISSE</t>
  </si>
  <si>
    <t>NEW WITH GRAFIC REPRESENTAION OF RESULTS</t>
  </si>
  <si>
    <t>Finanzplanung für GründerInnen leicht gemacht</t>
  </si>
  <si>
    <t>Financial Planning for Founders/Foundresses easy to work with</t>
  </si>
  <si>
    <t>Für Freiberufler, Einzelunternehmen, Einzelhandel, Personen-und Kapitalgesellschaften</t>
  </si>
  <si>
    <t>For Professionals, Individual Enterprises, Partnerships, Retail, Capital Companies</t>
  </si>
  <si>
    <t>In Tabellen-Schritten</t>
  </si>
  <si>
    <t>von der Umsatzprognose</t>
  </si>
  <si>
    <t>zum Liquiditätsplan</t>
  </si>
  <si>
    <t>with sales forecast</t>
  </si>
  <si>
    <t>to cash budget</t>
  </si>
  <si>
    <t>Vielfach bewährt für Tragfähigkeitsbescheinigungen</t>
  </si>
  <si>
    <t>Approved in many cases for "Tragfaehigkeitsbescheinigung"</t>
  </si>
  <si>
    <t>Step by step through spreadsheets</t>
  </si>
  <si>
    <t>and financing</t>
  </si>
  <si>
    <t>bis zur Finanzierung</t>
  </si>
  <si>
    <t>Anschaffungen</t>
  </si>
  <si>
    <t>Investment</t>
  </si>
  <si>
    <t>Jahr</t>
  </si>
  <si>
    <t>cell-offset causes 
reference error!
undo by (Str+Z)
or Undo-symbol</t>
  </si>
  <si>
    <t>Beteiligungen aus Tab 7a</t>
  </si>
  <si>
    <t>Paritcipations from tab 7a</t>
  </si>
  <si>
    <t>Financing (from tab 7a w/o equity ratio, participations)</t>
  </si>
  <si>
    <t>Startguthaben (Eigenkapital und -leistung und Beteiligungen aus Tab. 7a)</t>
  </si>
  <si>
    <t>Opening balance (own capital, personal contribution and participations from tab 7a)</t>
  </si>
  <si>
    <t>Zone 1</t>
  </si>
  <si>
    <t>Zone 2</t>
  </si>
  <si>
    <t>Zone 3</t>
  </si>
  <si>
    <t>Zone 4</t>
  </si>
  <si>
    <t>Zone 5</t>
  </si>
  <si>
    <t>EKSt</t>
  </si>
  <si>
    <t>Steuerfreibetrag</t>
  </si>
  <si>
    <t>Einstiegssteuersatz</t>
  </si>
  <si>
    <t>Grenzsteuersatz</t>
  </si>
  <si>
    <t>Spitzensteuersatz</t>
  </si>
  <si>
    <t>Reichensteuersatz</t>
  </si>
  <si>
    <t>Körperschaftsteuer</t>
  </si>
  <si>
    <t>Soli</t>
  </si>
  <si>
    <t>Year</t>
  </si>
  <si>
    <t>Month</t>
  </si>
  <si>
    <t>Sprache</t>
  </si>
  <si>
    <t>Monat</t>
  </si>
  <si>
    <t>mögliche Jahresauswahl</t>
  </si>
  <si>
    <t>mögliche Sprachsauswahl</t>
  </si>
  <si>
    <t>Language</t>
  </si>
  <si>
    <t>GewerbeSt-Meßzahl</t>
  </si>
  <si>
    <t>EBIT</t>
  </si>
  <si>
    <t>Zonen:</t>
  </si>
  <si>
    <t>Finanzplan für Gründung/Startup</t>
  </si>
  <si>
    <t>mit Monatsplanung für die ersten 2 Jahre</t>
  </si>
  <si>
    <t>Hex</t>
  </si>
  <si>
    <t>#FAF0F0</t>
  </si>
  <si>
    <t>#F5F7EF</t>
  </si>
  <si>
    <t xml:space="preserve">Farbgebung: </t>
  </si>
  <si>
    <r>
      <t>Unternehmensname</t>
    </r>
    <r>
      <rPr>
        <vertAlign val="superscript"/>
        <sz val="10"/>
        <rFont val="Verdana"/>
        <family val="2"/>
      </rPr>
      <t>*)</t>
    </r>
    <r>
      <rPr>
        <sz val="10"/>
        <rFont val="Verdana"/>
        <family val="2"/>
      </rPr>
      <t>:</t>
    </r>
  </si>
  <si>
    <r>
      <t>Unternehmensform</t>
    </r>
    <r>
      <rPr>
        <vertAlign val="superscript"/>
        <sz val="10"/>
        <rFont val="Verdana"/>
        <family val="2"/>
      </rPr>
      <t>*)</t>
    </r>
    <r>
      <rPr>
        <sz val="10"/>
        <rFont val="Verdana"/>
        <family val="2"/>
      </rPr>
      <t>:</t>
    </r>
  </si>
  <si>
    <r>
      <t>Gründungsjahr</t>
    </r>
    <r>
      <rPr>
        <vertAlign val="superscript"/>
        <sz val="10"/>
        <rFont val="Verdana"/>
        <family val="2"/>
      </rPr>
      <t>*)</t>
    </r>
    <r>
      <rPr>
        <sz val="10"/>
        <rFont val="Verdana"/>
        <family val="2"/>
      </rPr>
      <t>:</t>
    </r>
  </si>
  <si>
    <r>
      <t>Namen GründerIn(nen)</t>
    </r>
    <r>
      <rPr>
        <vertAlign val="superscript"/>
        <sz val="10"/>
        <rFont val="Verdana"/>
        <family val="2"/>
      </rPr>
      <t>*)</t>
    </r>
    <r>
      <rPr>
        <sz val="10"/>
        <rFont val="Verdana"/>
        <family val="2"/>
      </rPr>
      <t>:</t>
    </r>
  </si>
  <si>
    <t>#DDD9C4</t>
  </si>
  <si>
    <t xml:space="preserve">Überschrift </t>
  </si>
  <si>
    <t>e.K (eingetragener Kaufmann)</t>
  </si>
  <si>
    <t>OHG (Offene Handelsgesellschaft)</t>
  </si>
  <si>
    <t>UG (Unternehmergesellschaft)</t>
  </si>
  <si>
    <t>AG (Aktiengesellschaft)</t>
  </si>
  <si>
    <t>eG (eingetragende Genossenschaft)</t>
  </si>
  <si>
    <t>owner-proprietorship</t>
  </si>
  <si>
    <t>e.K (registered merchant)</t>
  </si>
  <si>
    <t>GbR (private partnership)</t>
  </si>
  <si>
    <t>OHG (ordinary partnership)</t>
  </si>
  <si>
    <t>UG (entrepreneurial company)</t>
  </si>
  <si>
    <t>AG (corporation)</t>
  </si>
  <si>
    <t>eG (registered cooperative)</t>
  </si>
  <si>
    <t>GmbH (Gesellschaft mit beschr. Haftung)</t>
  </si>
  <si>
    <r>
      <rPr>
        <vertAlign val="superscript"/>
        <sz val="10"/>
        <rFont val="Verdana"/>
        <family val="2"/>
      </rPr>
      <t>1)</t>
    </r>
    <r>
      <rPr>
        <sz val="10"/>
        <rFont val="Verdana"/>
        <family val="2"/>
      </rPr>
      <t xml:space="preserve"> Erläuterung zu Rechtsformen siehe z.B. </t>
    </r>
  </si>
  <si>
    <t>Steuerpflicht*):</t>
  </si>
  <si>
    <t xml:space="preserve">Tax liability*): </t>
  </si>
  <si>
    <t>Gründungsmonat*):</t>
  </si>
  <si>
    <t>Founding month*):</t>
  </si>
  <si>
    <t>with monthly shedule for the first 2 years</t>
  </si>
  <si>
    <t>rötlich/grünlich hinterlegte Felder bitte ausfüllen</t>
  </si>
  <si>
    <t>please fill in reddish/greenish cells</t>
  </si>
  <si>
    <t>Financial plan for Founding/Startup</t>
  </si>
  <si>
    <t>Unternehmensform*):</t>
  </si>
  <si>
    <t>Rechtsform 1):</t>
  </si>
  <si>
    <t>Fehler</t>
  </si>
  <si>
    <t>#FF0000</t>
  </si>
  <si>
    <t>rötlch</t>
  </si>
  <si>
    <t>grünlich</t>
  </si>
  <si>
    <r>
      <t>Adresse</t>
    </r>
    <r>
      <rPr>
        <sz val="10"/>
        <rFont val="Verdana"/>
        <family val="2"/>
      </rPr>
      <t>:</t>
    </r>
  </si>
  <si>
    <t>Adress:</t>
  </si>
  <si>
    <r>
      <t>Rechtsform *</t>
    </r>
    <r>
      <rPr>
        <vertAlign val="superscript"/>
        <sz val="10"/>
        <rFont val="Verdana"/>
        <family val="2"/>
      </rPr>
      <t>1)</t>
    </r>
    <r>
      <rPr>
        <sz val="10"/>
        <rFont val="Verdana"/>
        <family val="2"/>
      </rPr>
      <t>:</t>
    </r>
  </si>
  <si>
    <r>
      <t>Legal form *1</t>
    </r>
    <r>
      <rPr>
        <vertAlign val="superscript"/>
        <sz val="10"/>
        <rFont val="Verdana"/>
        <family val="2"/>
      </rPr>
      <t>)</t>
    </r>
    <r>
      <rPr>
        <sz val="10"/>
        <rFont val="Verdana"/>
        <family val="2"/>
      </rPr>
      <t xml:space="preserve">: </t>
    </r>
  </si>
  <si>
    <t>Small business regulation</t>
  </si>
  <si>
    <t>GbR (Gesellschaft d. bürgerlichen Rechts)</t>
  </si>
  <si>
    <r>
      <rPr>
        <vertAlign val="superscript"/>
        <sz val="10"/>
        <rFont val="Verdana"/>
        <family val="2"/>
      </rPr>
      <t>1)</t>
    </r>
    <r>
      <rPr>
        <sz val="10"/>
        <rFont val="Verdana"/>
        <family val="2"/>
      </rPr>
      <t xml:space="preserve"> Explanation to legal forms see e.g.</t>
    </r>
  </si>
  <si>
    <t>MwSt</t>
  </si>
  <si>
    <t>Aktuelle Versionsnummer:</t>
  </si>
  <si>
    <t>V 5.0 beta</t>
  </si>
  <si>
    <t>Hilfe</t>
  </si>
  <si>
    <t>Auswahl Sprache / Choose Language</t>
  </si>
  <si>
    <t xml:space="preserve">Sonstiges (z.B. Grundsteuern)  </t>
  </si>
  <si>
    <t xml:space="preserve">Miscellaneous (f.e. property tax)  </t>
  </si>
  <si>
    <t>Kleidung, Kosmetika, Sonstiges</t>
  </si>
  <si>
    <t>Keine Altersvorsorge</t>
  </si>
  <si>
    <t>Vorsorge: Renten / freiw. Versicherng</t>
  </si>
  <si>
    <t>Retirement provision</t>
  </si>
  <si>
    <t>Keine Krankenversicherung</t>
  </si>
  <si>
    <t>No Retirement provision</t>
  </si>
  <si>
    <t>Krankenversicherung u Medikamente</t>
  </si>
  <si>
    <t>Health insurance and medication</t>
  </si>
  <si>
    <t>no health insurance</t>
  </si>
  <si>
    <t xml:space="preserve">Sonstige Versicherungen  </t>
  </si>
  <si>
    <t xml:space="preserve">Other insurances  </t>
  </si>
  <si>
    <t xml:space="preserve">Sonstige private Kredite (Zins + Tilg.)  </t>
  </si>
  <si>
    <t xml:space="preserve">Other private credits (interest + anortization)  </t>
  </si>
  <si>
    <t xml:space="preserve">Sonstiges  </t>
  </si>
  <si>
    <t xml:space="preserve">Miscellaneous  </t>
  </si>
  <si>
    <t>Gesamtausgaben mit Einkommensteuer  1)</t>
  </si>
  <si>
    <t>Total expenses including income tax  1)</t>
  </si>
  <si>
    <t xml:space="preserve">1.3  Privatentnahmen (EUR) aller Gründer:innen für die Jahre </t>
  </si>
  <si>
    <t xml:space="preserve">1.3  Personal Drawings (EUR) of the Founder(s) for the years </t>
  </si>
  <si>
    <t>jährliche Anhebung</t>
  </si>
  <si>
    <t>Anual increase</t>
  </si>
  <si>
    <t>Namen der GründerInnen  1)</t>
  </si>
  <si>
    <t>Names of the Founder/s  1)</t>
  </si>
  <si>
    <t xml:space="preserve"> Einzelunternehmer (gem..Tabelle "0 Daten|Data") tragen in Tabelle 1.3 ihre  Privatentnahme (Mindestentnahme s.Zeile 90) ein. Werte aus Zeile 102 in die Tab. "6 Liquidität| Liquidity" übenrnommen</t>
  </si>
  <si>
    <t>Gesamtentnahmen aller Gründer:innen</t>
  </si>
  <si>
    <t>Total Drawings of Founder(s)</t>
  </si>
  <si>
    <t xml:space="preserve"> Einzelunternehmer (gem..Tabelle "0 Daten|Data") tragen in Tabelle 1.3 ihre Privatentnahme ein (Mindestentnahme s.Zeile 90). Werte aus Zeile 102 werden in Tab "6 Liquidität| Liquidity" übenrnommen</t>
  </si>
  <si>
    <t>founder(s) of an Individual Enterprise (as per tab "0 Daten|Data") fill  planned personal drawings in table 1.3 (minimum see line  90). Values of  line 90 are transmitted to tab "6 Liquidität|Liquidity".</t>
  </si>
  <si>
    <t xml:space="preserve">    Dazu müssen Sie die in Zeile 90 stehenden Werte in die Tabelle 1c händisch übertragen. In die Liquiditätstabelle wird der Wert aus Zeile 104 übernommen.</t>
  </si>
  <si>
    <t xml:space="preserve">    These data in line 104 will be transferred automatically to the table "6 Liquidität|Liquidity".</t>
  </si>
  <si>
    <t xml:space="preserve">      - Bei mehreren Gründern kann über Tabelle 1.3 eine Gesamtschau entwickelt und daraus eine "Aufteilung der Privatentnahmen" erzeugt werden</t>
  </si>
  <si>
    <t xml:space="preserve">    - If there are several founders they can also inscribe there planned individual personal drawings in table 1.3</t>
  </si>
  <si>
    <t>Grundlage dafür ist der unterrnehmerische Gewinn</t>
  </si>
  <si>
    <t xml:space="preserve"> (mit MwSt) </t>
  </si>
  <si>
    <t xml:space="preserve"> (with VAT) </t>
  </si>
  <si>
    <t xml:space="preserve"> (w/o VAT) </t>
  </si>
  <si>
    <t xml:space="preserve"> (ohne MwSt) </t>
  </si>
  <si>
    <t>steuerpflichtig</t>
  </si>
  <si>
    <t>taxable</t>
  </si>
  <si>
    <t>Referenz:</t>
  </si>
  <si>
    <t>Month invest</t>
  </si>
  <si>
    <t>Investitionenen</t>
  </si>
  <si>
    <t>Investition</t>
  </si>
  <si>
    <t>Abschreibungsjahre</t>
  </si>
  <si>
    <t xml:space="preserve"> (NH)</t>
  </si>
  <si>
    <t>(sust)</t>
  </si>
  <si>
    <t>Jahre Absch.</t>
  </si>
  <si>
    <t>years depr</t>
  </si>
  <si>
    <t>Summe Investitionen</t>
  </si>
  <si>
    <t>Pool-AFA</t>
  </si>
  <si>
    <t xml:space="preserve"> Compound Items</t>
  </si>
  <si>
    <t>Anual Capital Expenditures/Depreciation</t>
  </si>
  <si>
    <t xml:space="preserve">Anschaffungen/Abschreibungen </t>
  </si>
  <si>
    <t>Capital Expenditures/Depreciation</t>
  </si>
  <si>
    <t>Anschaffungen (EUR)</t>
  </si>
  <si>
    <t>Capital Expenditures (EUR)</t>
  </si>
  <si>
    <t>Expenditures</t>
  </si>
  <si>
    <t xml:space="preserve">Abschreibungen </t>
  </si>
  <si>
    <t>Berechnung der Abschreibung monatsweise; 1. Zeile Abschreibmonte; 2. Zeile Zuordnung Abschreibwert/Monat danach nächste Zeile bei den Investitionen</t>
  </si>
  <si>
    <t>Invest</t>
  </si>
  <si>
    <t>monat</t>
  </si>
  <si>
    <t>Abschr</t>
  </si>
  <si>
    <t>Sammel</t>
  </si>
  <si>
    <t xml:space="preserve">Jährliche Anschaffungen/Abschreibungen </t>
  </si>
  <si>
    <t>Gesamt</t>
  </si>
  <si>
    <t>Total</t>
  </si>
  <si>
    <t>Stk-Kost</t>
  </si>
  <si>
    <t>GWG (Geringwertige Wirtschaftsgüter)</t>
  </si>
  <si>
    <t>U.-Grenze GWG</t>
  </si>
  <si>
    <t>O.-Grenze GWG</t>
  </si>
  <si>
    <t>VAT</t>
  </si>
  <si>
    <t>Operation Costs II</t>
  </si>
  <si>
    <t>Betriebskosten II</t>
  </si>
  <si>
    <t>Versionsanzeige im Deckblatt</t>
  </si>
  <si>
    <t xml:space="preserve">Ausgabe </t>
  </si>
  <si>
    <t xml:space="preserve">Version </t>
  </si>
  <si>
    <t xml:space="preserve">Anzeige im Deckblatt: </t>
  </si>
  <si>
    <t xml:space="preserve"> for monthly planning the 1st 2 years</t>
  </si>
  <si>
    <t xml:space="preserve"> mit monatlicher Planung in den ersten 2 Jahren</t>
  </si>
  <si>
    <t>To do list and/or comments</t>
  </si>
  <si>
    <t>Anzahl Mitarbeiter</t>
  </si>
  <si>
    <t>Sozialabgaben</t>
  </si>
  <si>
    <t>Anzahl Mitarbeiter Minijob</t>
  </si>
  <si>
    <t>Lohn</t>
  </si>
  <si>
    <t>Anzahl Geschäftsführer</t>
  </si>
  <si>
    <t>No of Employees Minijob</t>
  </si>
  <si>
    <t>Help</t>
  </si>
  <si>
    <t>Social Costs</t>
  </si>
  <si>
    <t>Ziehen führt zu Fehler! Rückgängig mit {Str}+{Z} or {Undo}</t>
  </si>
  <si>
    <t>cell-offset causes reference error! Undo by {Crl}+{Z} or {Undol}</t>
  </si>
  <si>
    <t>No. of Executives</t>
  </si>
  <si>
    <t xml:space="preserve">Minjob </t>
  </si>
  <si>
    <t xml:space="preserve">Steuerabgabe </t>
  </si>
  <si>
    <t xml:space="preserve">tax </t>
  </si>
  <si>
    <t>Vorgabe</t>
  </si>
  <si>
    <t>Demand</t>
  </si>
  <si>
    <t xml:space="preserve">Verschieben von Zellen führt zu Bezugsfehlern! Rückgängig mit {Str}+{Z} oder Klick auf Undo-Symbol </t>
  </si>
  <si>
    <t>O</t>
  </si>
  <si>
    <t>MwSt gesamt</t>
  </si>
  <si>
    <t xml:space="preserve"> Bezugsfehler! Rückgängig{Str}+{Z} / KlickUndo-Symbol </t>
  </si>
  <si>
    <t xml:space="preserve"> die Jahre </t>
  </si>
  <si>
    <t xml:space="preserve"> the years </t>
  </si>
  <si>
    <t>Gehalt Geschäftsführer</t>
  </si>
  <si>
    <t>Salary Executive</t>
  </si>
  <si>
    <t>Salary 2</t>
  </si>
  <si>
    <t>Salary 3</t>
  </si>
  <si>
    <t>Gehalt 2</t>
  </si>
  <si>
    <t>Gehalt 3</t>
  </si>
  <si>
    <t>cell-offset causes reference error!undo by (Str+Z) or Undo-symbol</t>
  </si>
  <si>
    <t xml:space="preserve">Verschiebung rückgängig mit {Str}+{Z} oder [Undo] </t>
  </si>
  <si>
    <t>Grundnahrungsmittel und Übernachtung/Frühstück</t>
  </si>
  <si>
    <t xml:space="preserve">limit </t>
  </si>
  <si>
    <t xml:space="preserve">Grenze </t>
  </si>
  <si>
    <t>üblich 35%</t>
  </si>
  <si>
    <t>usual 35%</t>
  </si>
  <si>
    <t>Total sales from tab. 2.1 (w/o VAT)</t>
  </si>
  <si>
    <t>EBIT Vorläufiges Ergebnis / Gewinn vor Steuer</t>
  </si>
  <si>
    <t>EBIT Priliminary  result / earnings bevor taxes</t>
  </si>
  <si>
    <t>Akkumuliert: Vorläufiges Ergebnis / Gewinn vor Steuer</t>
  </si>
  <si>
    <t>Acc. priliminary  result / earnings bevor taxes</t>
  </si>
  <si>
    <t>MwSt-Sätze</t>
  </si>
  <si>
    <t>EBIT (Übernahme aus Tab 5.3)</t>
  </si>
  <si>
    <t>EBIT (from tab. 53)</t>
  </si>
  <si>
    <t>Hebesatz</t>
  </si>
  <si>
    <t>Collection rate</t>
  </si>
  <si>
    <t>Result after tax</t>
  </si>
  <si>
    <t>**) Gewerbesteuer; Berechnung ohne Garantie</t>
  </si>
  <si>
    <t xml:space="preserve">**) Industrial tax w/o guarantee! </t>
  </si>
  <si>
    <t>Die Höhe der Gewerbesteuer ist abhängig vom "Hebesatz" der jeweiligen Gemeinde.</t>
  </si>
  <si>
    <t>Industrial tax for municipalities in Baden-Württemberg</t>
  </si>
  <si>
    <t>Hebesätze  der Gemeinden in  Baden-Württemberg</t>
  </si>
  <si>
    <t>Industrial tax depends on the tax factor of the municipality where the company is located</t>
  </si>
  <si>
    <t>Ergebnis</t>
  </si>
  <si>
    <t>O.-G. Sammelpost.</t>
  </si>
  <si>
    <t>80% Gewinnentnahme zum Jahresende</t>
  </si>
  <si>
    <t>Regelsteuersatz</t>
  </si>
  <si>
    <r>
      <rPr>
        <b/>
        <u/>
        <sz val="10"/>
        <rFont val="Arial"/>
        <family val="2"/>
      </rPr>
      <t>Umsatzgrenze</t>
    </r>
    <r>
      <rPr>
        <sz val="10"/>
        <rFont val="Arial"/>
        <family val="2"/>
      </rPr>
      <t xml:space="preserve"> Kleinunternehmer (brutto) </t>
    </r>
  </si>
  <si>
    <t>Stand:</t>
  </si>
  <si>
    <t>% EKSt</t>
  </si>
  <si>
    <t>Berechnung der Einkommensteuer</t>
  </si>
  <si>
    <t xml:space="preserve">Steuersatz </t>
  </si>
  <si>
    <t xml:space="preserve">Tax rate </t>
  </si>
  <si>
    <t xml:space="preserve">Einkommensteuer </t>
  </si>
  <si>
    <t xml:space="preserve">Income tax </t>
  </si>
  <si>
    <t>Corporation tax</t>
  </si>
  <si>
    <t xml:space="preserve"> (keine Steuern)</t>
  </si>
  <si>
    <t xml:space="preserve">  (no tax)</t>
  </si>
  <si>
    <t>Ltd. (corporation)</t>
  </si>
  <si>
    <t>Freibetrag Gewerbesteuer</t>
  </si>
  <si>
    <t>Language changed</t>
  </si>
  <si>
    <t>Sprache gewechselt</t>
  </si>
  <si>
    <t>richtig auswählen</t>
  </si>
  <si>
    <t>select correct</t>
  </si>
  <si>
    <t>Services</t>
  </si>
  <si>
    <t>Rate of Interest</t>
  </si>
  <si>
    <t>tilgungsfrei (M)</t>
  </si>
  <si>
    <t>Interest only (M)</t>
  </si>
  <si>
    <t>5.1</t>
  </si>
  <si>
    <t>Tilgung Jahre</t>
  </si>
  <si>
    <t>Amortization (Y)</t>
  </si>
  <si>
    <t>5.2</t>
  </si>
  <si>
    <t>Drittmittel</t>
  </si>
  <si>
    <t>Third-party funds</t>
  </si>
  <si>
    <t>Eigenkapital, -Leistung</t>
  </si>
  <si>
    <t>Own-capital, -performance</t>
  </si>
  <si>
    <t>für Nachhaltigkeit</t>
  </si>
  <si>
    <t>for Sustainability</t>
  </si>
  <si>
    <t>Interest</t>
  </si>
  <si>
    <t>Tilgung</t>
  </si>
  <si>
    <t>Repayment</t>
  </si>
  <si>
    <t>Fremdmittel</t>
  </si>
  <si>
    <t>External funds</t>
  </si>
  <si>
    <t>Auszahlung</t>
  </si>
  <si>
    <t>Zinsstart</t>
  </si>
  <si>
    <t>Zinsbetrag</t>
  </si>
  <si>
    <t>Tilgungsbetrag</t>
  </si>
  <si>
    <t>Summe Fremdfinanzierung</t>
  </si>
  <si>
    <t>Sum External financing</t>
  </si>
  <si>
    <t>jährliche Zu- und Abgänge</t>
  </si>
  <si>
    <t>Anual In- and Outflow</t>
  </si>
  <si>
    <t>Kapital Zu- und Abgänge</t>
  </si>
  <si>
    <t>Capital In- and Outflow</t>
  </si>
  <si>
    <t>Kapital Zugänge (EUR)</t>
  </si>
  <si>
    <t>Capital Inflow (EUR)</t>
  </si>
  <si>
    <t>jährliche Zu- und Abgänge (EUR)</t>
  </si>
  <si>
    <t>Anual In- and Outflow (EUR)</t>
  </si>
  <si>
    <t>markierte Zellen sind nicht geschützt</t>
  </si>
  <si>
    <t>marked cells are not protected</t>
  </si>
  <si>
    <t xml:space="preserve"> für Umsatz</t>
  </si>
  <si>
    <t xml:space="preserve"> for sales</t>
  </si>
  <si>
    <t>Materialkostenanteil (% v.Umsatz) =</t>
  </si>
  <si>
    <t>material costs (% of sales) =</t>
  </si>
  <si>
    <t>Materialkosten gesamt</t>
  </si>
  <si>
    <t>total material costs</t>
  </si>
  <si>
    <t>Aufgabe / Kommentar</t>
  </si>
  <si>
    <t>Task / Annotations</t>
  </si>
  <si>
    <t xml:space="preserve"> für Einheit </t>
  </si>
  <si>
    <t xml:space="preserve"> for unit </t>
  </si>
  <si>
    <t>ohne MwSt</t>
  </si>
  <si>
    <t>w/o VAT</t>
  </si>
  <si>
    <t>mit MwSt</t>
  </si>
  <si>
    <t>with VAT</t>
  </si>
  <si>
    <t>Handel</t>
  </si>
  <si>
    <t>EUR</t>
  </si>
  <si>
    <t>Ek-W(%Ums) =</t>
  </si>
  <si>
    <t>PurV (%sale) =</t>
  </si>
  <si>
    <t>NbKo(%Ums) =</t>
  </si>
  <si>
    <t>Incid (%sale) =</t>
  </si>
  <si>
    <t>VbM(%Ums) =</t>
  </si>
  <si>
    <t>Cons (%sale) =</t>
  </si>
  <si>
    <t>Matrl (% sales) =</t>
  </si>
  <si>
    <t>Sales</t>
  </si>
  <si>
    <t>Dienstleistung</t>
  </si>
  <si>
    <t xml:space="preserve">Hourly rate = </t>
  </si>
  <si>
    <t>Stunden</t>
  </si>
  <si>
    <t>Hours</t>
  </si>
  <si>
    <t>Trade</t>
  </si>
  <si>
    <t>Verkaufspreis =</t>
  </si>
  <si>
    <t xml:space="preserve">Trading costs = </t>
  </si>
  <si>
    <t xml:space="preserve">Menge </t>
  </si>
  <si>
    <t xml:space="preserve">Vk.-Preis = </t>
  </si>
  <si>
    <t xml:space="preserve">TC = </t>
  </si>
  <si>
    <t>Production</t>
  </si>
  <si>
    <t>Stückkosten =</t>
  </si>
  <si>
    <t xml:space="preserve">Piece Cost = </t>
  </si>
  <si>
    <t xml:space="preserve">Stück </t>
  </si>
  <si>
    <t xml:space="preserve">Output </t>
  </si>
  <si>
    <t xml:space="preserve">Stk.-Kost = </t>
  </si>
  <si>
    <t xml:space="preserve">Pc = </t>
  </si>
  <si>
    <t>Handwerk</t>
  </si>
  <si>
    <t>Handcraft</t>
  </si>
  <si>
    <t>Stundensatz =</t>
  </si>
  <si>
    <t xml:space="preserve">Std.-Satz = </t>
  </si>
  <si>
    <t xml:space="preserve">h Rate = </t>
  </si>
  <si>
    <t>Summe Umsatz</t>
  </si>
  <si>
    <t>Sum Sales</t>
  </si>
  <si>
    <t>Jahresumsatz</t>
  </si>
  <si>
    <t>Annual sales</t>
  </si>
  <si>
    <t>Evaluation  taxvalue and Company objective</t>
  </si>
  <si>
    <t>Umsätze nach Geschäftszweck</t>
  </si>
  <si>
    <t xml:space="preserve">Sales depending </t>
  </si>
  <si>
    <t>Monatsumsatz der 2 ersten Jahre (EUR)</t>
  </si>
  <si>
    <t>Monthly Sales first 2 Years (EUR)</t>
  </si>
  <si>
    <t>Jahresumsatz (EUR)</t>
  </si>
  <si>
    <t>Anual Sales (EUR)</t>
  </si>
  <si>
    <t>Anual Sales</t>
  </si>
  <si>
    <t>Gesamteinnahmen</t>
  </si>
  <si>
    <t>Total  income</t>
  </si>
  <si>
    <t xml:space="preserve"> gesamt</t>
  </si>
  <si>
    <t xml:space="preserve"> total</t>
  </si>
  <si>
    <t>Annual sales (EUR)</t>
  </si>
  <si>
    <t>Jahresumsätze (EUR)</t>
  </si>
  <si>
    <t>davon Zukauf</t>
  </si>
  <si>
    <t>Hourly rate =</t>
  </si>
  <si>
    <t>select VAT</t>
  </si>
  <si>
    <t>Wahl MwSt</t>
  </si>
  <si>
    <t>Verwaltung (Büro)</t>
  </si>
  <si>
    <t>Administration (office)</t>
  </si>
  <si>
    <t>Instandhaltung</t>
  </si>
  <si>
    <t>Leasing Maschinen</t>
  </si>
  <si>
    <t>Prozesskosten</t>
  </si>
  <si>
    <t>Zoll</t>
  </si>
  <si>
    <t>Versand</t>
  </si>
  <si>
    <t>Items stock</t>
  </si>
  <si>
    <t>Stock consumables</t>
  </si>
  <si>
    <t>Produktion</t>
  </si>
  <si>
    <t>Umsatz nach gewählter Geschäftsart</t>
  </si>
  <si>
    <t>Sales according to selected business purpose</t>
  </si>
  <si>
    <t>Grundeinstellung</t>
  </si>
  <si>
    <t>Lagerware</t>
  </si>
  <si>
    <t>Lager</t>
  </si>
  <si>
    <t>Storage</t>
  </si>
  <si>
    <t>Maintenance</t>
  </si>
  <si>
    <t>Customs</t>
  </si>
  <si>
    <t>Leasing devices</t>
  </si>
  <si>
    <t>Shipment</t>
  </si>
  <si>
    <t>Hall, Storage</t>
  </si>
  <si>
    <t>Process costs</t>
  </si>
  <si>
    <t xml:space="preserve">Verbrauchsmaterial </t>
  </si>
  <si>
    <t>Halle/Lager</t>
  </si>
  <si>
    <t>Gruppe</t>
  </si>
  <si>
    <t>Facilities</t>
  </si>
  <si>
    <t>Leerstelle</t>
  </si>
  <si>
    <t>!</t>
  </si>
  <si>
    <t>Geschäftsart</t>
  </si>
  <si>
    <t>business type</t>
  </si>
  <si>
    <t>Adjust VAT</t>
  </si>
  <si>
    <t>Kontokorrent</t>
  </si>
  <si>
    <t>Current account</t>
  </si>
  <si>
    <t>Teile für Produktion</t>
  </si>
  <si>
    <t>Parts for production</t>
  </si>
  <si>
    <t>Monate nach Rechnungsstellung= Monat des Planumsatzes</t>
  </si>
  <si>
    <t>months after invoicing= month of planed sales</t>
  </si>
  <si>
    <t xml:space="preserve">MaKo(%Ums) = </t>
  </si>
  <si>
    <t>Monatsbeträge für 2025</t>
  </si>
  <si>
    <t>Monatsbeträge für 2026</t>
  </si>
  <si>
    <t>monatliche Zins- und Tilgungsraten für die Jahre 2025 - 2029</t>
  </si>
  <si>
    <t>Jahr 2025</t>
  </si>
  <si>
    <t>Jahr 2026</t>
  </si>
  <si>
    <t>Monthly amount for 2025</t>
  </si>
  <si>
    <t>Monthly amount for 2026</t>
  </si>
  <si>
    <t>Monthly Rate of Interest and Repayment for the Year 2025- 2029</t>
  </si>
  <si>
    <t>Nebenkosten</t>
  </si>
  <si>
    <t>Extra costs</t>
  </si>
  <si>
    <t xml:space="preserve">Summe </t>
  </si>
  <si>
    <t xml:space="preserve">Sum </t>
  </si>
  <si>
    <t>Prod:</t>
  </si>
  <si>
    <t>HW:</t>
  </si>
  <si>
    <t>Craft:</t>
  </si>
  <si>
    <t>Serv:</t>
  </si>
  <si>
    <t>DL:</t>
  </si>
  <si>
    <t>B2C:</t>
  </si>
  <si>
    <t xml:space="preserve">Notwendig nach Tab 2 für </t>
  </si>
  <si>
    <t>Necessary according to tab2</t>
  </si>
  <si>
    <t>bläulich</t>
  </si>
  <si>
    <t>#FCFDFE</t>
  </si>
  <si>
    <t xml:space="preserve">Incidentials (% of sales) </t>
  </si>
  <si>
    <t xml:space="preserve">Purchase price (% of sales) </t>
  </si>
  <si>
    <t xml:space="preserve">Material costs (% of sales) </t>
  </si>
  <si>
    <t xml:space="preserve">Consumable (% of sales) </t>
  </si>
  <si>
    <t xml:space="preserve">Nebenkosten (% v.Umsatz) </t>
  </si>
  <si>
    <t xml:space="preserve">Einkaufswert (% v.Umsatz) </t>
  </si>
  <si>
    <t xml:space="preserve">Materialkostenanteil (% v.Umsatz) </t>
  </si>
  <si>
    <t xml:space="preserve">Verbrauchsmaterial (% v.Umsatz) </t>
  </si>
  <si>
    <t>bräunlich</t>
  </si>
  <si>
    <r>
      <t xml:space="preserve">Ek-W(%Ums) </t>
    </r>
    <r>
      <rPr>
        <sz val="10"/>
        <rFont val="Calibri"/>
        <family val="2"/>
      </rPr>
      <t>=</t>
    </r>
  </si>
  <si>
    <r>
      <t xml:space="preserve">NbKo(%Ums) </t>
    </r>
    <r>
      <rPr>
        <sz val="10"/>
        <rFont val="Calibri"/>
        <family val="2"/>
      </rPr>
      <t>=</t>
    </r>
  </si>
  <si>
    <r>
      <t xml:space="preserve">VbM(%Ums) </t>
    </r>
    <r>
      <rPr>
        <sz val="10"/>
        <rFont val="Calibri"/>
        <family val="2"/>
      </rPr>
      <t>=</t>
    </r>
  </si>
  <si>
    <r>
      <t xml:space="preserve">MaKA(%Ums) </t>
    </r>
    <r>
      <rPr>
        <sz val="10"/>
        <rFont val="Calibri"/>
        <family val="2"/>
      </rPr>
      <t>=</t>
    </r>
  </si>
  <si>
    <t>Stundensätze</t>
  </si>
  <si>
    <t>houerly rates</t>
  </si>
  <si>
    <t>Sales of year</t>
  </si>
  <si>
    <t>Jahresumsätze</t>
  </si>
  <si>
    <t>#FFFFE7</t>
  </si>
  <si>
    <t>gelblich</t>
  </si>
  <si>
    <t>business purpose</t>
  </si>
  <si>
    <t xml:space="preserve"> für das Jahr</t>
  </si>
  <si>
    <t xml:space="preserve"> für die Jahre</t>
  </si>
  <si>
    <t>delay month</t>
  </si>
  <si>
    <t>Monat Versatz</t>
  </si>
  <si>
    <t>Vorsteuergrenzen</t>
  </si>
  <si>
    <t>jährlich</t>
  </si>
  <si>
    <t>monatlich</t>
  </si>
  <si>
    <t>quartalsweise</t>
  </si>
  <si>
    <t>Liquidity</t>
  </si>
  <si>
    <t>Liquidität</t>
  </si>
  <si>
    <t>Kleinunternehmer</t>
  </si>
  <si>
    <t xml:space="preserve"> zu hoch für </t>
  </si>
  <si>
    <t xml:space="preserve"> to high for </t>
  </si>
  <si>
    <t>höchstzulässige Ünerschreitung im lfd Jahr</t>
  </si>
  <si>
    <t>Umsatzplanwert</t>
  </si>
  <si>
    <t>ab:</t>
  </si>
  <si>
    <t>MwST-Satz</t>
  </si>
  <si>
    <t>VAT-rate</t>
  </si>
  <si>
    <t>VAT-Rates</t>
  </si>
  <si>
    <t>VAT credits from business expenses (with 1 month delay)</t>
  </si>
  <si>
    <t>auf Betriebsausgaben bezahlte MwSt</t>
  </si>
  <si>
    <t>Financing from tab 7a  (w/o equity ratio, participations)</t>
  </si>
  <si>
    <t>Finanzierung aus Tab. 7a (o. Eigenanteil/Beteiligungen)</t>
  </si>
  <si>
    <t>Kapitaldienst Tilgung (aus Tab.7.b-1)</t>
  </si>
  <si>
    <t>#EDEBDF</t>
  </si>
  <si>
    <t>auf Anschaffungen bezahlte MwSt im Januar FJ wirksan</t>
  </si>
  <si>
    <t>Total sales</t>
  </si>
  <si>
    <t>Kapitalzugang</t>
  </si>
  <si>
    <t>Capital inflow</t>
  </si>
  <si>
    <t xml:space="preserve">Tabellen sind miteinander verknüpft, so dass jederzeit die Auswirkung einer Planänderung auf das Ergebnis erkennbar ist.  Außerdem wird sofort </t>
  </si>
  <si>
    <t>Geringwertige Wirtschaftsgüter</t>
  </si>
  <si>
    <t>Low value assets</t>
  </si>
  <si>
    <t>Honorareinnahmen, Provisionen</t>
  </si>
  <si>
    <t>Income Consulting Services, Comission</t>
  </si>
  <si>
    <t>Sonstige Einnahmen (bitte benennen)</t>
  </si>
  <si>
    <t>Other Income (please declare)</t>
  </si>
  <si>
    <t>Invest-Monat</t>
  </si>
  <si>
    <t>Pool</t>
  </si>
  <si>
    <t>Direkt</t>
  </si>
  <si>
    <t>Anzahl</t>
  </si>
  <si>
    <t>Kommentar</t>
  </si>
  <si>
    <t>MwSt an-passen</t>
  </si>
  <si>
    <t>GWG</t>
  </si>
  <si>
    <t>GWG (Büromöbel, Einrichtungen,...)</t>
  </si>
  <si>
    <t xml:space="preserve">Anregungen und Verbesserungsvorschläge sind herzlich willkommen. </t>
  </si>
  <si>
    <t>Die Tabellen werden jährlich an steuerliche Änderungen angepasst, Fehler werden unterjährig korrigiert.</t>
  </si>
  <si>
    <t>The templates are updated annually to reflect tax changes; errors are corrected during the year.</t>
  </si>
  <si>
    <t>Krankenversicherung / Medikamente</t>
  </si>
  <si>
    <t>Health insurance / medication</t>
  </si>
  <si>
    <t>ausgewählte Sprache</t>
  </si>
  <si>
    <t>selected language</t>
  </si>
  <si>
    <t>Steuersätze EKSt 2026</t>
  </si>
  <si>
    <t>Freigrenze</t>
  </si>
  <si>
    <t>Abschreibungen GWG</t>
  </si>
  <si>
    <t>AfA</t>
  </si>
  <si>
    <t>Jahresinvest</t>
  </si>
  <si>
    <t>Personalkosten (nur Angestellte)  geplant in Tab 4a-2.2   ===&gt;</t>
  </si>
  <si>
    <t>Personnel cost (only salary earners)   planned  tab 4a-2.2   ===&gt;&gt;</t>
  </si>
  <si>
    <t>Personalkosten (nur Angestellte)  geplant Tab 4a-1.2   ===&gt;</t>
  </si>
  <si>
    <t>Personalkosten (nur Angestellte)     aus Tab 4b-2    ===&gt;</t>
  </si>
  <si>
    <t>Personnel cost (only salary earners)     out of tab 4b-2  ===&gt;&gt;</t>
  </si>
  <si>
    <t xml:space="preserve">Vorräte </t>
  </si>
  <si>
    <t xml:space="preserve">Stocks </t>
  </si>
  <si>
    <t>Sum VAT</t>
  </si>
  <si>
    <t>VAT paid on invest in January next year</t>
  </si>
  <si>
    <t>Um:</t>
  </si>
  <si>
    <t>Turnover</t>
  </si>
  <si>
    <t>thereof purchase</t>
  </si>
  <si>
    <t>TrOv:</t>
  </si>
  <si>
    <t xml:space="preserve">Sprache geändert! Eingaben in Tabellen "0 Daten|Data" und "2 Umsatz|Sales" anpassen </t>
  </si>
  <si>
    <t>Language changed! Adapt input in Sheets "0 Daten|Data" und "2 Umsatz|Sales"</t>
  </si>
  <si>
    <t>geplante Kosten (hier nur nachrichtlich; sind in Zeile 101 enthalten) :</t>
  </si>
  <si>
    <t>Planned costs (for informational purposes only; included in row 101):</t>
  </si>
  <si>
    <t>item name</t>
  </si>
  <si>
    <t>Artikelbezeichnung</t>
  </si>
  <si>
    <t>amount</t>
  </si>
  <si>
    <t>Invest-month</t>
  </si>
  <si>
    <t>Direkt/Pool</t>
  </si>
  <si>
    <t>Direct/Pool</t>
  </si>
  <si>
    <t>Direct</t>
  </si>
  <si>
    <t>Comment</t>
  </si>
  <si>
    <t>Piece cost</t>
  </si>
  <si>
    <t>LAV</t>
  </si>
  <si>
    <t>Einkauf</t>
  </si>
  <si>
    <t>Purchase</t>
  </si>
  <si>
    <t>Planned costs (informational purpose only; included in row 22):</t>
  </si>
  <si>
    <t>geplante Kosten ( nur nachrichtlich; sind in Zeile 22 enthalten) :</t>
  </si>
  <si>
    <t>WahlSteuerpflicht</t>
  </si>
  <si>
    <t>Sammelpool</t>
  </si>
  <si>
    <t>AFA Pool</t>
  </si>
  <si>
    <t>AFA Investion</t>
  </si>
  <si>
    <t>Eingegangene Zahlungen aus Umsätzen</t>
  </si>
  <si>
    <t>Steigung:</t>
  </si>
  <si>
    <t>brutto</t>
  </si>
  <si>
    <t>Lohn/Gehalt</t>
  </si>
  <si>
    <t>Minijob</t>
  </si>
  <si>
    <t>Lohnsteuer</t>
  </si>
  <si>
    <t>netto</t>
  </si>
  <si>
    <t>Gehalt</t>
  </si>
  <si>
    <t>Umsatzerlöse</t>
  </si>
  <si>
    <t>Kapitalbeschaffung (EUR)</t>
  </si>
  <si>
    <t>Capital raising (EUR)</t>
  </si>
  <si>
    <t>Anual lquidity development</t>
  </si>
  <si>
    <t>Jährliche Liquiditätsentwicklung</t>
  </si>
  <si>
    <t>Anual Profit/Loss</t>
  </si>
  <si>
    <t>Jährliche Betriebskosten</t>
  </si>
  <si>
    <t>Anual Operation Costs</t>
  </si>
  <si>
    <t>Payments received from sales</t>
  </si>
  <si>
    <t>Personnel costs (salery personel only) planned in tab 4a-1.2 ===&gt;</t>
  </si>
  <si>
    <t>IT Lizenzen, OS, Office, Wartung, …</t>
  </si>
  <si>
    <t>IT (licenses, OS, office, maintenace, ...)</t>
  </si>
  <si>
    <t>Planning LAV (direct depreciation and collectimg pool) in tab 4a-</t>
  </si>
  <si>
    <t>Low value assets (office furniture,  facilities, ...)</t>
  </si>
  <si>
    <t>bitte in Tabelle 4b-1.1 planen</t>
  </si>
  <si>
    <t>planning in tab 4b.1.1</t>
  </si>
  <si>
    <t>bitte in Tabelle 4b-1.2 planen</t>
  </si>
  <si>
    <t>planning in tab 4b.1.2</t>
  </si>
  <si>
    <t>LAV office furniture,  facilities, …</t>
  </si>
  <si>
    <t>Planung</t>
  </si>
  <si>
    <t>planning</t>
  </si>
  <si>
    <t>Planung GWG (Sofortabschreibung und Sammelpool )in Tabelle 4a-</t>
  </si>
  <si>
    <t>Finanzaufwand / Zinsen     aus TAB "7 Finanzierung|Financing"</t>
  </si>
  <si>
    <t xml:space="preserve">Finance costs /  interest     out of Sheet  "7 Finanzierung | Financing" </t>
  </si>
  <si>
    <t>investitonen aus TAB 3_ Invest</t>
  </si>
  <si>
    <t>Invest out o Sheet 3_Invest &amp; LAV out of tab 4.1.1.(1+2)</t>
  </si>
  <si>
    <t xml:space="preserve">*) out of Sheet "7 Finanzierung | Financing" </t>
  </si>
  <si>
    <t>*) wird aus TAB "7 Finanzierung|Financing" übernommen (auf ganze Euro gerundet!)</t>
  </si>
  <si>
    <t>Betriebsergebnis (EBIT)</t>
  </si>
  <si>
    <t>Materialaufwand</t>
  </si>
  <si>
    <t>a) Roh-, Hilfs- und Betriebsstoffe</t>
  </si>
  <si>
    <t>b) eingekaufte Leistungen</t>
  </si>
  <si>
    <t>Personalaufwand</t>
  </si>
  <si>
    <t>b) Sozialabgaben</t>
  </si>
  <si>
    <t>Löhne, Gehälter ohne Nebenkosten</t>
  </si>
  <si>
    <t>Finanzaufwand / Zinsen</t>
  </si>
  <si>
    <t>AfA auf Vermögensgegenstände des Umlaufvermögens</t>
  </si>
  <si>
    <t xml:space="preserve">Sales revenue </t>
  </si>
  <si>
    <t>Inventory of finished and unfinished goods</t>
  </si>
  <si>
    <t xml:space="preserve"> Cost of materials</t>
  </si>
  <si>
    <t xml:space="preserve"> a) Raw materials, supplies, and consumables </t>
  </si>
  <si>
    <t>b) Purchased services</t>
  </si>
  <si>
    <t xml:space="preserve"> Personnel expenses </t>
  </si>
  <si>
    <t xml:space="preserve">b) Social security contributions </t>
  </si>
  <si>
    <t xml:space="preserve">Depreciation on current assets </t>
  </si>
  <si>
    <t xml:space="preserve">Financial expenses / Interest </t>
  </si>
  <si>
    <t xml:space="preserve">Operating profit (EBIT) </t>
  </si>
  <si>
    <t>Tab</t>
  </si>
  <si>
    <t>Sheet</t>
  </si>
  <si>
    <t>Direkt/pool</t>
  </si>
  <si>
    <t>investmonat</t>
  </si>
  <si>
    <t>Stk-Kosten</t>
  </si>
  <si>
    <t>Invest-Jahr</t>
  </si>
  <si>
    <t>Year Invest</t>
  </si>
  <si>
    <t>Löhne, Gehälter (s. Nebenrechnung)</t>
  </si>
  <si>
    <t>Wages, saleries (s. ancillary account)</t>
  </si>
  <si>
    <t>Mitarbeiter</t>
  </si>
  <si>
    <t>2c Umsatzverteilung nach Geschäftsart</t>
  </si>
  <si>
    <t>2c Revenue distribution according to Company objective</t>
  </si>
  <si>
    <t>Auswertungen nach Steuern und Geschäftsart</t>
  </si>
  <si>
    <t>Grafiktabellen in Zeilen 297 - 308</t>
  </si>
  <si>
    <t>Auswahl/Choose</t>
  </si>
  <si>
    <t>Formatierungsregeln</t>
  </si>
  <si>
    <t>Steuertitel Rendite:</t>
  </si>
  <si>
    <t>Gewählt:</t>
  </si>
  <si>
    <t>Sozialbeiträge</t>
  </si>
  <si>
    <t>Untergrenze linieare Abschreibung</t>
  </si>
  <si>
    <t>Formatierungsregeln für das 5. Jahr</t>
  </si>
  <si>
    <t>WENN(SUMME(Y5:AA5)=0;0;WENN(UND(UND(Y5&gt;Basisdaen!$C$52;Z5&gt;0;AA5&gt;0);XODER(Z5&gt;0;AA5=0));0;1))</t>
  </si>
  <si>
    <t>WENN(SUMME(Y6:AA6)=0;0;WENN(UND(UND(Y6&gt;Basisdaen!$C$52;Z6&gt;0;AA6&gt;0);XODER(Z6&gt;0;AA6=0));0;1))</t>
  </si>
  <si>
    <t>WENN(SUMME(Y7:AA7)=0;0;WENN(UND(UND(Y7&gt;Basisdaen!$C$52;Z7&gt;0;AA7&gt;0);XODER(Z7&gt;0;AA7=0));0;1))</t>
  </si>
  <si>
    <t>WENN(SUMME(Y8:AA8)=0;0;WENN(UND(UND(Y8&gt;Basisdaen!$C$52;Z8&gt;0;AA8&gt;0);XODER(Z8&gt;0;AA8=0));0;1))</t>
  </si>
  <si>
    <t>WENN(SUMME(Y9:AA9)=0;0;WENN(UND(UND(Y9&gt;Basisdaen!$C$52;Z9&gt;0;AA9&gt;0);XODER(Z9&gt;0;AA9=0));0;1))</t>
  </si>
  <si>
    <t>8 Financing plan (EUR)</t>
  </si>
  <si>
    <t>A1</t>
  </si>
  <si>
    <t>"D5"</t>
  </si>
  <si>
    <t>Hndl:</t>
  </si>
  <si>
    <t>Tools, Device,.</t>
  </si>
  <si>
    <t>Tools, Devices,.</t>
  </si>
  <si>
    <t>Einrichtung</t>
  </si>
  <si>
    <t>Werkzeug, Vorrichtung,.</t>
  </si>
  <si>
    <t>B2</t>
  </si>
  <si>
    <t>A2</t>
  </si>
  <si>
    <t>A3</t>
  </si>
  <si>
    <t>A8</t>
  </si>
  <si>
    <t>8 Finanzierungsplan (EUR)</t>
  </si>
  <si>
    <t>Einzelhandel und Kapitalgesellschaften (wie GmbH) verwendbar. Bitte jedoch beachten, dass die Zahlen im Finanzplan dem Businessplan entsprechen!!!</t>
  </si>
  <si>
    <t>(e.g. GbR=civil law association, KG=limited partnership), retrail sale, partnerships or corporations. Please note, however, that the figures in the financial plan correspond to the business plan!!!</t>
  </si>
  <si>
    <t>Erstelldatum:</t>
  </si>
  <si>
    <t>Date of creation:</t>
  </si>
  <si>
    <t>Voreingestellter Inhalt der lila Felder</t>
  </si>
  <si>
    <t>Default content of the purple cells</t>
  </si>
  <si>
    <t>Personal expenses (EUR)</t>
  </si>
  <si>
    <t>Persönliche Ausgaben (EUR)</t>
  </si>
  <si>
    <t>Vergleich inhalt Steuerpflicht mit Eintrag</t>
  </si>
  <si>
    <r>
      <rPr>
        <vertAlign val="superscript"/>
        <sz val="10"/>
        <rFont val="Verdana"/>
        <family val="2"/>
      </rPr>
      <t>*)</t>
    </r>
    <r>
      <rPr>
        <sz val="10"/>
        <rFont val="Verdana"/>
        <family val="2"/>
      </rPr>
      <t xml:space="preserve"> Pflichtfelder (rötlich und lila) sind Mindestangaben für einen Businessplan</t>
    </r>
  </si>
  <si>
    <r>
      <rPr>
        <vertAlign val="superscript"/>
        <sz val="10"/>
        <rFont val="Verdana"/>
        <family val="2"/>
      </rPr>
      <t xml:space="preserve">*) </t>
    </r>
    <r>
      <rPr>
        <sz val="10"/>
        <rFont val="Verdana"/>
        <family val="2"/>
      </rPr>
      <t>Mandatory fields(reddish and purple) are minimum specifications for a business plan</t>
    </r>
  </si>
  <si>
    <t>→</t>
  </si>
  <si>
    <t>language changed; adapt title</t>
  </si>
  <si>
    <t>Titel auswählen</t>
  </si>
  <si>
    <t>title select</t>
  </si>
  <si>
    <t>1.stelle</t>
  </si>
  <si>
    <t>2. stelle</t>
  </si>
  <si>
    <t>Sprache geändert; Titel anpassen</t>
  </si>
  <si>
    <t>Wahl Kreditart</t>
  </si>
  <si>
    <t>Choose credit type</t>
  </si>
  <si>
    <t>" finding of necessary capital for the Years "&amp;Basisdaten!O18</t>
  </si>
  <si>
    <t>Rechtsform</t>
  </si>
  <si>
    <t>MinijoblerIn</t>
  </si>
  <si>
    <t>ø MinijoblerIn</t>
  </si>
  <si>
    <t>Salary</t>
  </si>
  <si>
    <t>Employees</t>
  </si>
  <si>
    <t>GF</t>
  </si>
  <si>
    <t>CEO</t>
  </si>
  <si>
    <t>net</t>
  </si>
  <si>
    <t>gross</t>
  </si>
  <si>
    <r>
      <t>↓m. Lohn-St</t>
    </r>
    <r>
      <rPr>
        <sz val="11"/>
        <rFont val="Arial"/>
        <family val="2"/>
      </rPr>
      <t>↓</t>
    </r>
  </si>
  <si>
    <r>
      <t>↓m. pay-tax</t>
    </r>
    <r>
      <rPr>
        <sz val="11"/>
        <rFont val="Arial"/>
        <family val="2"/>
      </rPr>
      <t>↓</t>
    </r>
  </si>
  <si>
    <r>
      <rPr>
        <sz val="11"/>
        <rFont val="Arial"/>
        <family val="2"/>
      </rPr>
      <t>↓</t>
    </r>
    <r>
      <rPr>
        <sz val="11"/>
        <rFont val="Verdana"/>
        <family val="2"/>
      </rPr>
      <t>Obergrenze</t>
    </r>
    <r>
      <rPr>
        <sz val="11"/>
        <rFont val="Arial"/>
        <family val="2"/>
      </rPr>
      <t>↓</t>
    </r>
  </si>
  <si>
    <r>
      <rPr>
        <sz val="11"/>
        <rFont val="Arial"/>
        <family val="2"/>
      </rPr>
      <t>↓</t>
    </r>
    <r>
      <rPr>
        <sz val="11"/>
        <rFont val="Verdana"/>
        <family val="2"/>
      </rPr>
      <t>upper limit</t>
    </r>
    <r>
      <rPr>
        <sz val="11"/>
        <rFont val="Arial"/>
        <family val="2"/>
      </rPr>
      <t>↓</t>
    </r>
  </si>
  <si>
    <t>M-Gehlat net</t>
  </si>
  <si>
    <t>J-Gehalt brut</t>
  </si>
  <si>
    <t>m-salary net</t>
  </si>
  <si>
    <t>y-salary gros</t>
  </si>
  <si>
    <t>Wage</t>
  </si>
  <si>
    <t xml:space="preserve">Fehler Tab2 </t>
  </si>
  <si>
    <t xml:space="preserve">Error tab2 </t>
  </si>
  <si>
    <t xml:space="preserve">Werkstattmiete </t>
  </si>
  <si>
    <t xml:space="preserve">Rent workshop </t>
  </si>
  <si>
    <t>Jährlicher Gewinn/Verlust</t>
  </si>
  <si>
    <t>Fördermittel</t>
  </si>
  <si>
    <t>Funding</t>
  </si>
  <si>
    <t>Gründungs-, Rechts- und Beratungskosten</t>
  </si>
  <si>
    <t>Creation, legal and accountancy fees</t>
  </si>
  <si>
    <t>Accounting</t>
  </si>
  <si>
    <t>Depreciation from Sheet "4 Invest"</t>
  </si>
  <si>
    <t>Abschreibungen aus TAB "4 Invest"</t>
  </si>
  <si>
    <t>Block</t>
  </si>
  <si>
    <t>section</t>
  </si>
  <si>
    <t>a) Löhne und Gehälter (brutto)</t>
  </si>
  <si>
    <t>a) Wages and salaries (gross)</t>
  </si>
  <si>
    <t>Profit after tax</t>
  </si>
  <si>
    <t xml:space="preserve">Income / corporate / trade tax </t>
  </si>
  <si>
    <t>Einkommens-, Körperschafts-, Gewerbesteuer</t>
  </si>
  <si>
    <t>Bestand an fertigen und unfertigen Erzeugnissen</t>
  </si>
  <si>
    <t>*) Steuerschätzung (ohne Ehegattensplitting; Eckwerte 2026). Für konkrete Berechnung Steuerberater einschalten</t>
  </si>
  <si>
    <t xml:space="preserve">*) Tax-Estimation (w/o spousal splitting; tax rates and limits 2026); Reliable tax advice can only be obtained from a tax advisor.
</t>
  </si>
  <si>
    <t>Entwicklungsleistungen</t>
  </si>
  <si>
    <t>V6.2.0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</si>
</sst>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_);_(* \(#,##0\);_(* &quot;-&quot;_);_(@_)"/>
    <numFmt numFmtId="165" formatCode="_(* #,##0.00_);_(* \(#,##0.00\);_(* &quot;-&quot;??_);_(@_)"/>
    <numFmt numFmtId="166" formatCode="#,##0\ _€"/>
    <numFmt numFmtId="167" formatCode="_-* #,##0\ _€_-;\-* #,##0\ _€_-;_-* &quot;-&quot;??\ _€_-;_-@_-"/>
    <numFmt numFmtId="168" formatCode="#,##0_ ;[Red]\-#,##0\ "/>
    <numFmt numFmtId="169" formatCode="#,##0.0"/>
    <numFmt numFmtId="170" formatCode="#,##0.0_ ;\-#,##0.0\ "/>
    <numFmt numFmtId="171" formatCode="#,##0_ ;\-#,##0\ "/>
    <numFmt numFmtId="172" formatCode="0.0%"/>
    <numFmt numFmtId="173" formatCode="_(* #,##0_);_(* \(#,##0\);_(* &quot;-&quot;??_);_(@_)"/>
    <numFmt numFmtId="174" formatCode="0.0"/>
    <numFmt numFmtId="175" formatCode="_-* #,##0.0\ &quot;€&quot;_-;\-* #,##0.0\ &quot;€&quot;_-;_-* &quot;-&quot;??\ &quot;€&quot;_-;_-@_-"/>
    <numFmt numFmtId="176" formatCode="#,##0.00\ _€"/>
    <numFmt numFmtId="177" formatCode="#,##0\ &quot;€&quot;"/>
    <numFmt numFmtId="178" formatCode="\(#,##0\)"/>
    <numFmt numFmtId="179" formatCode="0.0000%"/>
    <numFmt numFmtId="180" formatCode="0.000000%"/>
    <numFmt numFmtId="181" formatCode="0.000"/>
    <numFmt numFmtId="182" formatCode="#,##0.00_ ;[Red]\-#,##0.00\ "/>
  </numFmts>
  <fonts count="175">
    <font>
      <sz val="10"/>
      <name val="Arial"/>
    </font>
    <font>
      <sz val="11"/>
      <color theme="1"/>
      <name val="Calibri"/>
      <family val="2"/>
      <scheme val="minor"/>
    </font>
    <font>
      <sz val="10"/>
      <name val="Arial"/>
      <family val="2"/>
    </font>
    <font>
      <u/>
      <sz val="10"/>
      <color indexed="12"/>
      <name val="Arial"/>
      <family val="2"/>
    </font>
    <font>
      <sz val="10"/>
      <name val="Verdana"/>
      <family val="2"/>
    </font>
    <font>
      <b/>
      <sz val="14"/>
      <name val="Verdana"/>
      <family val="2"/>
    </font>
    <font>
      <b/>
      <sz val="10"/>
      <name val="Verdana"/>
      <family val="2"/>
    </font>
    <font>
      <sz val="8"/>
      <name val="Verdana"/>
      <family val="2"/>
    </font>
    <font>
      <b/>
      <sz val="12"/>
      <name val="Verdana"/>
      <family val="2"/>
    </font>
    <font>
      <sz val="12"/>
      <name val="Verdana"/>
      <family val="2"/>
    </font>
    <font>
      <sz val="11"/>
      <color rgb="FF9C6500"/>
      <name val="Calibri"/>
      <family val="2"/>
      <scheme val="minor"/>
    </font>
    <font>
      <sz val="10"/>
      <name val="Arial"/>
      <family val="2"/>
    </font>
    <font>
      <sz val="9"/>
      <name val="Arial"/>
      <family val="2"/>
    </font>
    <font>
      <sz val="10"/>
      <color theme="0"/>
      <name val="Arial"/>
      <family val="2"/>
    </font>
    <font>
      <b/>
      <sz val="12"/>
      <name val="Arial"/>
      <family val="2"/>
    </font>
    <font>
      <sz val="10"/>
      <color rgb="FF000000"/>
      <name val="Arial"/>
      <family val="2"/>
    </font>
    <font>
      <sz val="11"/>
      <color theme="0"/>
      <name val="Calibri"/>
      <family val="2"/>
      <scheme val="minor"/>
    </font>
    <font>
      <b/>
      <sz val="10"/>
      <name val="Arial"/>
      <family val="2"/>
    </font>
    <font>
      <sz val="10"/>
      <color rgb="FF381563"/>
      <name val="Verdana"/>
      <family val="2"/>
    </font>
    <font>
      <sz val="10"/>
      <color rgb="FFFF0000"/>
      <name val="Arial"/>
      <family val="2"/>
    </font>
    <font>
      <sz val="11"/>
      <name val="Verdana"/>
      <family val="2"/>
    </font>
    <font>
      <sz val="9"/>
      <color rgb="FF000000"/>
      <name val="Verdana"/>
      <family val="2"/>
    </font>
    <font>
      <sz val="10"/>
      <color rgb="FF000000"/>
      <name val="Verdana"/>
      <family val="2"/>
    </font>
    <font>
      <sz val="10"/>
      <color theme="0"/>
      <name val="Verdana"/>
      <family val="2"/>
    </font>
    <font>
      <sz val="14"/>
      <color rgb="FF000000"/>
      <name val="Arial"/>
      <family val="2"/>
    </font>
    <font>
      <sz val="14"/>
      <name val="Verdana"/>
      <family val="2"/>
    </font>
    <font>
      <u/>
      <sz val="10"/>
      <color indexed="12"/>
      <name val="Verdana"/>
      <family val="2"/>
    </font>
    <font>
      <sz val="16"/>
      <name val="Verdana"/>
      <family val="2"/>
    </font>
    <font>
      <sz val="20"/>
      <name val="Verdana"/>
      <family val="2"/>
    </font>
    <font>
      <sz val="9"/>
      <name val="Verdana"/>
      <family val="2"/>
    </font>
    <font>
      <sz val="11"/>
      <color theme="0"/>
      <name val="Verdana"/>
      <family val="2"/>
    </font>
    <font>
      <sz val="11"/>
      <color indexed="52"/>
      <name val="Verdana"/>
      <family val="2"/>
    </font>
    <font>
      <sz val="18"/>
      <name val="Verdana"/>
      <family val="2"/>
    </font>
    <font>
      <sz val="9"/>
      <color theme="0"/>
      <name val="Verdana"/>
      <family val="2"/>
    </font>
    <font>
      <b/>
      <sz val="11"/>
      <name val="Verdana"/>
      <family val="2"/>
    </font>
    <font>
      <sz val="11"/>
      <color theme="1"/>
      <name val="Verdana"/>
      <family val="2"/>
    </font>
    <font>
      <b/>
      <sz val="11"/>
      <color theme="0"/>
      <name val="Verdana"/>
      <family val="2"/>
    </font>
    <font>
      <sz val="11"/>
      <color rgb="FFFF0000"/>
      <name val="Verdana"/>
      <family val="2"/>
    </font>
    <font>
      <sz val="11"/>
      <color indexed="8"/>
      <name val="Verdana"/>
      <family val="2"/>
    </font>
    <font>
      <u/>
      <sz val="11"/>
      <color indexed="12"/>
      <name val="Verdana"/>
      <family val="2"/>
    </font>
    <font>
      <sz val="8"/>
      <color rgb="FFFF0000"/>
      <name val="Verdana"/>
      <family val="2"/>
    </font>
    <font>
      <sz val="14"/>
      <color theme="0"/>
      <name val="Verdana"/>
      <family val="2"/>
    </font>
    <font>
      <sz val="14"/>
      <color rgb="FFFF0000"/>
      <name val="Verdana"/>
      <family val="2"/>
    </font>
    <font>
      <i/>
      <sz val="11"/>
      <color theme="0"/>
      <name val="Verdana"/>
      <family val="2"/>
    </font>
    <font>
      <sz val="12"/>
      <color theme="0"/>
      <name val="Verdana"/>
      <family val="2"/>
    </font>
    <font>
      <u/>
      <sz val="9"/>
      <color indexed="12"/>
      <name val="Verdana"/>
      <family val="2"/>
    </font>
    <font>
      <b/>
      <sz val="11"/>
      <color theme="1"/>
      <name val="Verdana"/>
      <family val="2"/>
    </font>
    <font>
      <sz val="9"/>
      <color rgb="FFFF0000"/>
      <name val="Verdana"/>
      <family val="2"/>
    </font>
    <font>
      <b/>
      <sz val="11"/>
      <color rgb="FFFF0000"/>
      <name val="Verdana"/>
      <family val="2"/>
    </font>
    <font>
      <u/>
      <sz val="10"/>
      <name val="Verdana"/>
      <family val="2"/>
    </font>
    <font>
      <i/>
      <sz val="9"/>
      <name val="Verdana"/>
      <family val="2"/>
    </font>
    <font>
      <i/>
      <sz val="11"/>
      <name val="Verdana"/>
      <family val="2"/>
    </font>
    <font>
      <sz val="18"/>
      <color theme="0"/>
      <name val="Verdana"/>
      <family val="2"/>
    </font>
    <font>
      <sz val="11"/>
      <color indexed="17"/>
      <name val="Verdana"/>
      <family val="2"/>
    </font>
    <font>
      <sz val="14"/>
      <color indexed="52"/>
      <name val="Verdana"/>
      <family val="2"/>
    </font>
    <font>
      <sz val="10"/>
      <color rgb="FFFF0000"/>
      <name val="Verdana"/>
      <family val="2"/>
    </font>
    <font>
      <sz val="12"/>
      <color rgb="FFFF0000"/>
      <name val="Verdana"/>
      <family val="2"/>
    </font>
    <font>
      <i/>
      <sz val="9"/>
      <color rgb="FFFF0000"/>
      <name val="Verdana"/>
      <family val="2"/>
    </font>
    <font>
      <i/>
      <sz val="11"/>
      <color rgb="FFFF0000"/>
      <name val="Verdana"/>
      <family val="2"/>
    </font>
    <font>
      <sz val="20"/>
      <color rgb="FF000000"/>
      <name val="Verdana"/>
      <family val="2"/>
    </font>
    <font>
      <sz val="9"/>
      <color theme="1"/>
      <name val="Verdana"/>
      <family val="2"/>
    </font>
    <font>
      <u/>
      <sz val="9"/>
      <name val="Verdana"/>
      <family val="2"/>
    </font>
    <font>
      <sz val="10"/>
      <color theme="1"/>
      <name val="Verdana"/>
      <family val="2"/>
    </font>
    <font>
      <i/>
      <sz val="12"/>
      <name val="Lucida Calligraphy"/>
      <family val="4"/>
    </font>
    <font>
      <b/>
      <sz val="10"/>
      <color theme="0"/>
      <name val="Verdana"/>
      <family val="2"/>
    </font>
    <font>
      <sz val="8"/>
      <color theme="1"/>
      <name val="Verdana"/>
      <family val="2"/>
    </font>
    <font>
      <sz val="14"/>
      <color theme="1"/>
      <name val="Verdana"/>
      <family val="2"/>
    </font>
    <font>
      <sz val="24"/>
      <name val="Verdana"/>
      <family val="2"/>
    </font>
    <font>
      <sz val="10.5"/>
      <color rgb="FF000000"/>
      <name val="Verdana"/>
      <family val="2"/>
    </font>
    <font>
      <sz val="11"/>
      <color rgb="FF000000"/>
      <name val="Verdana"/>
      <family val="2"/>
    </font>
    <font>
      <sz val="12"/>
      <color theme="1"/>
      <name val="Verdana"/>
      <family val="2"/>
    </font>
    <font>
      <b/>
      <sz val="9"/>
      <color rgb="FFFF0000"/>
      <name val="Verdana"/>
      <family val="2"/>
    </font>
    <font>
      <sz val="22"/>
      <color theme="1"/>
      <name val="Verdana"/>
      <family val="2"/>
    </font>
    <font>
      <vertAlign val="superscript"/>
      <sz val="10"/>
      <name val="Verdana"/>
      <family val="2"/>
    </font>
    <font>
      <sz val="8"/>
      <name val="Arial"/>
      <family val="2"/>
    </font>
    <font>
      <sz val="12"/>
      <name val="Arial"/>
      <family val="2"/>
    </font>
    <font>
      <sz val="10"/>
      <name val="Calibri"/>
      <family val="2"/>
    </font>
    <font>
      <sz val="14"/>
      <color indexed="81"/>
      <name val="Courier New"/>
      <family val="3"/>
    </font>
    <font>
      <sz val="12"/>
      <color indexed="52"/>
      <name val="Verdana"/>
      <family val="2"/>
    </font>
    <font>
      <i/>
      <sz val="14"/>
      <name val="Verdana"/>
      <family val="2"/>
    </font>
    <font>
      <i/>
      <sz val="10"/>
      <name val="Verdana"/>
      <family val="2"/>
    </font>
    <font>
      <sz val="14"/>
      <color indexed="10"/>
      <name val="Courier New"/>
      <family val="3"/>
    </font>
    <font>
      <sz val="9"/>
      <color indexed="81"/>
      <name val="Segoe UI"/>
      <family val="2"/>
    </font>
    <font>
      <i/>
      <sz val="12"/>
      <color theme="1"/>
      <name val="Verdana"/>
      <family val="2"/>
    </font>
    <font>
      <sz val="10"/>
      <color indexed="52"/>
      <name val="Verdana"/>
      <family val="2"/>
    </font>
    <font>
      <sz val="18"/>
      <color theme="0" tint="-0.14999847407452621"/>
      <name val="Wingdings"/>
      <charset val="2"/>
    </font>
    <font>
      <sz val="18"/>
      <name val="Wingdings"/>
      <charset val="2"/>
    </font>
    <font>
      <sz val="10"/>
      <name val="Arial Unicode MS"/>
    </font>
    <font>
      <sz val="11"/>
      <color theme="1" tint="0.34998626667073579"/>
      <name val="Verdana"/>
      <family val="2"/>
    </font>
    <font>
      <i/>
      <sz val="18"/>
      <name val="Verdana"/>
      <family val="2"/>
    </font>
    <font>
      <sz val="18"/>
      <color theme="9"/>
      <name val="Wingdings"/>
      <charset val="2"/>
    </font>
    <font>
      <sz val="12"/>
      <color rgb="FF00B050"/>
      <name val="Verdana"/>
      <family val="2"/>
    </font>
    <font>
      <sz val="11"/>
      <name val="Arial"/>
      <family val="2"/>
    </font>
    <font>
      <sz val="11"/>
      <name val="Wingdings 3"/>
      <family val="1"/>
      <charset val="2"/>
    </font>
    <font>
      <sz val="11"/>
      <color theme="1" tint="0.499984740745262"/>
      <name val="Verdana"/>
      <family val="2"/>
    </font>
    <font>
      <sz val="9"/>
      <color theme="1" tint="0.499984740745262"/>
      <name val="Verdana"/>
      <family val="2"/>
    </font>
    <font>
      <sz val="12"/>
      <color theme="0"/>
      <name val="Wingdings 3"/>
      <family val="1"/>
      <charset val="2"/>
    </font>
    <font>
      <sz val="8"/>
      <color theme="0"/>
      <name val="Verdana"/>
      <family val="2"/>
    </font>
    <font>
      <sz val="11"/>
      <color theme="0" tint="-0.34998626667073579"/>
      <name val="Verdana"/>
      <family val="2"/>
    </font>
    <font>
      <sz val="11"/>
      <color theme="2"/>
      <name val="Verdana"/>
      <family val="2"/>
    </font>
    <font>
      <sz val="11"/>
      <color theme="0" tint="-0.249977111117893"/>
      <name val="Verdana"/>
      <family val="2"/>
    </font>
    <font>
      <sz val="12"/>
      <color theme="1" tint="0.499984740745262"/>
      <name val="Verdana"/>
      <family val="2"/>
    </font>
    <font>
      <sz val="12"/>
      <color indexed="8"/>
      <name val="Verdana"/>
      <family val="2"/>
    </font>
    <font>
      <u/>
      <sz val="11"/>
      <color theme="4"/>
      <name val="Verdana"/>
      <family val="2"/>
    </font>
    <font>
      <sz val="10"/>
      <color theme="0" tint="-0.499984740745262"/>
      <name val="Verdana"/>
      <family val="2"/>
    </font>
    <font>
      <sz val="10"/>
      <color theme="0" tint="-0.499984740745262"/>
      <name val="Arial"/>
      <family val="2"/>
    </font>
    <font>
      <sz val="7.5"/>
      <color theme="0" tint="-0.499984740745262"/>
      <name val="Verdana"/>
      <family val="2"/>
    </font>
    <font>
      <b/>
      <u/>
      <sz val="10"/>
      <name val="Arial"/>
      <family val="2"/>
    </font>
    <font>
      <sz val="22"/>
      <name val="Verdana"/>
      <family val="2"/>
    </font>
    <font>
      <b/>
      <sz val="16"/>
      <color rgb="FF00B050"/>
      <name val="Wingdings"/>
      <charset val="2"/>
    </font>
    <font>
      <sz val="16"/>
      <name val="Wingdings"/>
      <charset val="2"/>
    </font>
    <font>
      <u/>
      <sz val="11"/>
      <name val="Verdana"/>
      <family val="2"/>
    </font>
    <font>
      <sz val="12"/>
      <color theme="0" tint="-0.34998626667073579"/>
      <name val="Verdana"/>
      <family val="2"/>
    </font>
    <font>
      <b/>
      <sz val="12"/>
      <color rgb="FFFF0000"/>
      <name val="Verdana"/>
      <family val="2"/>
    </font>
    <font>
      <sz val="9"/>
      <color theme="0" tint="-0.499984740745262"/>
      <name val="Verdana"/>
      <family val="2"/>
    </font>
    <font>
      <sz val="10"/>
      <color theme="0" tint="-0.34998626667073579"/>
      <name val="Verdana"/>
      <family val="2"/>
    </font>
    <font>
      <sz val="9"/>
      <color theme="0" tint="-0.34998626667073579"/>
      <name val="Verdana"/>
      <family val="2"/>
    </font>
    <font>
      <sz val="12"/>
      <color theme="1" tint="0.34998626667073579"/>
      <name val="Verdana"/>
      <family val="2"/>
    </font>
    <font>
      <sz val="10"/>
      <color theme="1" tint="0.499984740745262"/>
      <name val="Verdana"/>
      <family val="2"/>
    </font>
    <font>
      <u/>
      <sz val="14"/>
      <color indexed="81"/>
      <name val="Courier New"/>
      <family val="3"/>
    </font>
    <font>
      <sz val="8"/>
      <color theme="0" tint="-0.34998626667073579"/>
      <name val="Verdana"/>
      <family val="2"/>
    </font>
    <font>
      <sz val="14"/>
      <color theme="1" tint="0.499984740745262"/>
      <name val="Verdana"/>
      <family val="2"/>
    </font>
    <font>
      <sz val="8"/>
      <name val="Calibri"/>
      <family val="2"/>
      <scheme val="minor"/>
    </font>
    <font>
      <sz val="8"/>
      <color theme="1" tint="0.499984740745262"/>
      <name val="Verdana"/>
      <family val="2"/>
    </font>
    <font>
      <u/>
      <sz val="11"/>
      <color theme="1" tint="0.34998626667073579"/>
      <name val="Verdana"/>
      <family val="2"/>
    </font>
    <font>
      <i/>
      <sz val="10"/>
      <color theme="1" tint="0.499984740745262"/>
      <name val="Verdana"/>
      <family val="2"/>
    </font>
    <font>
      <i/>
      <sz val="9"/>
      <color theme="1" tint="0.499984740745262"/>
      <name val="Verdana"/>
      <family val="2"/>
    </font>
    <font>
      <sz val="11"/>
      <color rgb="FFFF8585"/>
      <name val="Verdana"/>
      <family val="2"/>
    </font>
    <font>
      <sz val="20"/>
      <color theme="0"/>
      <name val="Verdana"/>
      <family val="2"/>
    </font>
    <font>
      <sz val="20"/>
      <color indexed="52"/>
      <name val="Verdana"/>
      <family val="2"/>
    </font>
    <font>
      <sz val="11"/>
      <name val="Aptos Narrow"/>
      <family val="2"/>
    </font>
    <font>
      <sz val="11"/>
      <color theme="0" tint="-0.499984740745262"/>
      <name val="Verdana"/>
      <family val="2"/>
    </font>
    <font>
      <sz val="12"/>
      <color theme="0" tint="-0.499984740745262"/>
      <name val="Verdana"/>
      <family val="2"/>
    </font>
    <font>
      <sz val="10"/>
      <color theme="0" tint="-0.499984740745262"/>
      <name val="Calibri"/>
      <family val="2"/>
      <scheme val="minor"/>
    </font>
    <font>
      <strike/>
      <sz val="11"/>
      <name val="Cambria"/>
      <family val="1"/>
    </font>
    <font>
      <strike/>
      <sz val="10"/>
      <name val="Cambria"/>
      <family val="1"/>
    </font>
    <font>
      <b/>
      <sz val="14"/>
      <color indexed="81"/>
      <name val="Courier New"/>
      <family val="3"/>
    </font>
    <font>
      <sz val="14"/>
      <color indexed="50"/>
      <name val="Courier New"/>
      <family val="3"/>
    </font>
    <font>
      <sz val="14"/>
      <color indexed="42"/>
      <name val="Courier New"/>
      <family val="3"/>
    </font>
    <font>
      <sz val="14"/>
      <color indexed="13"/>
      <name val="Courier New"/>
      <family val="3"/>
    </font>
    <font>
      <i/>
      <sz val="10"/>
      <color theme="0"/>
      <name val="Verdana"/>
      <family val="2"/>
    </font>
    <font>
      <b/>
      <u/>
      <sz val="14"/>
      <color indexed="81"/>
      <name val="Courier New"/>
      <family val="3"/>
    </font>
    <font>
      <sz val="16"/>
      <color indexed="81"/>
      <name val="Courier New"/>
      <family val="3"/>
    </font>
    <font>
      <sz val="16"/>
      <color indexed="10"/>
      <name val="Courier New"/>
      <family val="3"/>
    </font>
    <font>
      <sz val="16"/>
      <color indexed="53"/>
      <name val="Courier New"/>
      <family val="3"/>
    </font>
    <font>
      <sz val="16"/>
      <color indexed="42"/>
      <name val="Courier New"/>
      <family val="3"/>
    </font>
    <font>
      <sz val="20"/>
      <color rgb="FFFF0000"/>
      <name val="Verdana"/>
      <family val="2"/>
    </font>
    <font>
      <sz val="16"/>
      <name val="Arial"/>
      <family val="2"/>
    </font>
    <font>
      <sz val="20"/>
      <name val="Arial"/>
      <family val="2"/>
    </font>
    <font>
      <sz val="28"/>
      <name val="Verdana"/>
      <family val="2"/>
    </font>
    <font>
      <sz val="14"/>
      <name val="Arial"/>
      <family val="2"/>
    </font>
    <font>
      <sz val="12"/>
      <color indexed="81"/>
      <name val="Courier New"/>
      <family val="3"/>
    </font>
    <font>
      <sz val="18"/>
      <color indexed="81"/>
      <name val="Courier New"/>
      <family val="3"/>
    </font>
    <font>
      <sz val="14"/>
      <color theme="1"/>
      <name val="Symbol"/>
      <family val="1"/>
      <charset val="2"/>
    </font>
    <font>
      <sz val="10"/>
      <color theme="1"/>
      <name val="Verdana"/>
      <family val="1"/>
      <charset val="2"/>
    </font>
    <font>
      <sz val="11"/>
      <color theme="1"/>
      <name val="Calibri"/>
      <family val="2"/>
    </font>
    <font>
      <sz val="8"/>
      <color theme="0" tint="-0.499984740745262"/>
      <name val="Verdana"/>
      <family val="2"/>
    </font>
    <font>
      <sz val="8"/>
      <color theme="0" tint="-0.499984740745262"/>
      <name val="Calibri"/>
      <family val="2"/>
      <scheme val="minor"/>
    </font>
    <font>
      <sz val="12"/>
      <color rgb="FFFF0000"/>
      <name val="Wingdings 3"/>
      <family val="1"/>
      <charset val="2"/>
    </font>
    <font>
      <sz val="14"/>
      <color rgb="FFFF0000"/>
      <name val="Arial"/>
      <family val="2"/>
    </font>
    <font>
      <sz val="14"/>
      <color theme="0"/>
      <name val="Arial"/>
      <family val="2"/>
    </font>
    <font>
      <sz val="14"/>
      <color indexed="31"/>
      <name val="Courier New"/>
      <family val="3"/>
    </font>
    <font>
      <b/>
      <sz val="16"/>
      <name val="Arial"/>
      <family val="2"/>
    </font>
    <font>
      <sz val="15"/>
      <name val="Verdana"/>
      <family val="2"/>
    </font>
    <font>
      <i/>
      <sz val="12"/>
      <color theme="0"/>
      <name val="Verdana"/>
      <family val="2"/>
    </font>
    <font>
      <sz val="10"/>
      <color rgb="FFFFFFFF"/>
      <name val="Arial"/>
      <family val="2"/>
    </font>
    <font>
      <sz val="10"/>
      <color rgb="FFFFFFFF"/>
      <name val="Verdana"/>
      <family val="2"/>
    </font>
    <font>
      <sz val="10"/>
      <color rgb="FFFFFFFF"/>
      <name val="Arial"/>
      <family val="2"/>
    </font>
    <font>
      <sz val="11"/>
      <color rgb="FFFFFFFF"/>
      <name val="Verdana"/>
      <family val="2"/>
    </font>
    <font>
      <sz val="12"/>
      <color rgb="FFFFFFFF"/>
      <name val="Verdana"/>
      <family val="2"/>
    </font>
    <font>
      <i/>
      <sz val="11"/>
      <color rgb="FFFFFFFF"/>
      <name val="Verdana"/>
      <family val="2"/>
    </font>
    <font>
      <sz val="14"/>
      <color rgb="FFFFFFFF"/>
      <name val="Verdana"/>
      <family val="2"/>
    </font>
    <font>
      <sz val="11"/>
      <color rgb="FFFFFFFF"/>
      <name val="Arial"/>
      <family val="2"/>
    </font>
    <font>
      <sz val="8"/>
      <color rgb="FFFFFFFF"/>
      <name val="Verdana"/>
      <family val="2"/>
    </font>
    <font>
      <i/>
      <sz val="8"/>
      <color rgb="FFFFFFFF"/>
      <name val="Verdana"/>
      <family val="2"/>
    </font>
  </fonts>
  <fills count="32">
    <fill>
      <patternFill patternType="none"/>
    </fill>
    <fill>
      <patternFill patternType="gray125"/>
    </fill>
    <fill>
      <patternFill patternType="solid">
        <fgColor indexed="9"/>
        <bgColor indexed="64"/>
      </patternFill>
    </fill>
    <fill>
      <patternFill patternType="solid">
        <fgColor rgb="FFFFEB9C"/>
      </patternFill>
    </fill>
    <fill>
      <patternFill patternType="solid">
        <fgColor theme="0"/>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indexed="65"/>
        <bgColor indexed="64"/>
      </patternFill>
    </fill>
    <fill>
      <patternFill patternType="solid">
        <fgColor theme="2" tint="-9.9948118533890809E-2"/>
        <bgColor indexed="64"/>
      </patternFill>
    </fill>
    <fill>
      <patternFill patternType="solid">
        <fgColor rgb="FFF5F7EF"/>
        <bgColor indexed="64"/>
      </patternFill>
    </fill>
    <fill>
      <patternFill patternType="solid">
        <fgColor rgb="FFFAF0F0"/>
        <bgColor indexed="64"/>
      </patternFill>
    </fill>
    <fill>
      <patternFill patternType="solid">
        <fgColor theme="2" tint="-9.9978637043366805E-2"/>
        <bgColor indexed="64"/>
      </patternFill>
    </fill>
    <fill>
      <patternFill patternType="solid">
        <fgColor rgb="FFFAFBF7"/>
        <bgColor indexed="64"/>
      </patternFill>
    </fill>
    <fill>
      <patternFill patternType="solid">
        <fgColor theme="2"/>
        <bgColor indexed="64"/>
      </patternFill>
    </fill>
    <fill>
      <patternFill patternType="solid">
        <fgColor rgb="FFFAFBF9"/>
        <bgColor indexed="64"/>
      </patternFill>
    </fill>
    <fill>
      <patternFill patternType="solid">
        <fgColor theme="6" tint="0.79998168889431442"/>
        <bgColor indexed="64"/>
      </patternFill>
    </fill>
    <fill>
      <patternFill patternType="gray0625"/>
    </fill>
    <fill>
      <patternFill patternType="solid">
        <fgColor rgb="FFF8FAF4"/>
        <bgColor indexed="64"/>
      </patternFill>
    </fill>
    <fill>
      <patternFill patternType="solid">
        <fgColor indexed="65"/>
        <bgColor theme="0" tint="-0.499984740745262"/>
      </patternFill>
    </fill>
    <fill>
      <patternFill patternType="solid">
        <fgColor rgb="FFFCFDFE"/>
        <bgColor indexed="64"/>
      </patternFill>
    </fill>
    <fill>
      <patternFill patternType="solid">
        <fgColor rgb="FFF8F6F2"/>
        <bgColor indexed="64"/>
      </patternFill>
    </fill>
    <fill>
      <patternFill patternType="solid">
        <fgColor rgb="FFFFFF00"/>
        <bgColor indexed="64"/>
      </patternFill>
    </fill>
    <fill>
      <patternFill patternType="solid">
        <fgColor rgb="FFEDEBDF"/>
        <bgColor indexed="64"/>
      </patternFill>
    </fill>
    <fill>
      <patternFill patternType="solid">
        <fgColor rgb="FFFF0000"/>
        <bgColor indexed="64"/>
      </patternFill>
    </fill>
    <fill>
      <patternFill patternType="solid">
        <fgColor rgb="FFDDD9C4"/>
        <bgColor indexed="64"/>
      </patternFill>
    </fill>
    <fill>
      <patternFill patternType="solid">
        <fgColor rgb="FFFFFFE7"/>
        <bgColor indexed="64"/>
      </patternFill>
    </fill>
    <fill>
      <patternFill patternType="solid">
        <fgColor rgb="FFFFB9B9"/>
        <bgColor indexed="64"/>
      </patternFill>
    </fill>
    <fill>
      <patternFill patternType="solid">
        <fgColor theme="7" tint="0.79998168889431442"/>
        <bgColor indexed="64"/>
      </patternFill>
    </fill>
    <fill>
      <patternFill patternType="solid">
        <fgColor rgb="FFF8F7F2"/>
        <bgColor indexed="64"/>
      </patternFill>
    </fill>
  </fills>
  <borders count="200">
    <border>
      <left/>
      <right/>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ashed">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right style="thin">
        <color indexed="64"/>
      </right>
      <top/>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thin">
        <color indexed="64"/>
      </right>
      <top style="dashed">
        <color indexed="64"/>
      </top>
      <bottom style="double">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tted">
        <color indexed="64"/>
      </top>
      <bottom style="thin">
        <color indexed="64"/>
      </bottom>
      <diagonal/>
    </border>
    <border>
      <left style="medium">
        <color rgb="FF00B050"/>
      </left>
      <right style="medium">
        <color rgb="FF00B050"/>
      </right>
      <top style="medium">
        <color rgb="FF00B050"/>
      </top>
      <bottom style="medium">
        <color rgb="FF00B050"/>
      </bottom>
      <diagonal/>
    </border>
    <border>
      <left/>
      <right/>
      <top style="thin">
        <color theme="1" tint="0.499984740745262"/>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top style="thin">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medium">
        <color indexed="64"/>
      </top>
      <bottom/>
      <diagonal/>
    </border>
    <border>
      <left style="thin">
        <color indexed="64"/>
      </left>
      <right style="thin">
        <color indexed="64"/>
      </right>
      <top style="thin">
        <color indexed="64"/>
      </top>
      <bottom style="hair">
        <color indexed="64"/>
      </bottom>
      <diagonal/>
    </border>
    <border>
      <left/>
      <right style="thin">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double">
        <color indexed="64"/>
      </top>
      <bottom style="thin">
        <color indexed="64"/>
      </bottom>
      <diagonal/>
    </border>
    <border>
      <left style="thin">
        <color indexed="64"/>
      </left>
      <right/>
      <top/>
      <bottom style="double">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indexed="64"/>
      </right>
      <top style="double">
        <color indexed="64"/>
      </top>
      <bottom style="thin">
        <color indexed="64"/>
      </bottom>
      <diagonal/>
    </border>
    <border>
      <left style="thin">
        <color indexed="64"/>
      </left>
      <right style="thin">
        <color indexed="64"/>
      </right>
      <top style="hair">
        <color indexed="64"/>
      </top>
      <bottom style="double">
        <color theme="1" tint="0.499984740745262"/>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dotted">
        <color indexed="64"/>
      </top>
      <bottom style="thin">
        <color indexed="64"/>
      </bottom>
      <diagonal/>
    </border>
    <border>
      <left/>
      <right style="thin">
        <color indexed="64"/>
      </right>
      <top/>
      <bottom style="double">
        <color indexed="64"/>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dashed">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indexed="64"/>
      </top>
      <bottom style="hair">
        <color indexed="64"/>
      </bottom>
      <diagonal/>
    </border>
    <border>
      <left/>
      <right/>
      <top style="hair">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theme="0" tint="-0.34998626667073579"/>
      </left>
      <right style="thin">
        <color indexed="64"/>
      </right>
      <top style="thin">
        <color theme="0" tint="-0.34998626667073579"/>
      </top>
      <bottom/>
      <diagonal/>
    </border>
    <border>
      <left style="thin">
        <color theme="0" tint="-0.34998626667073579"/>
      </left>
      <right style="thin">
        <color indexed="64"/>
      </right>
      <top/>
      <bottom/>
      <diagonal/>
    </border>
    <border>
      <left style="thin">
        <color theme="0" tint="-0.34998626667073579"/>
      </left>
      <right style="thin">
        <color indexed="64"/>
      </right>
      <top/>
      <bottom style="thin">
        <color theme="0" tint="-0.34998626667073579"/>
      </bottom>
      <diagonal/>
    </border>
    <border>
      <left style="hair">
        <color theme="0" tint="-0.34998626667073579"/>
      </left>
      <right style="thin">
        <color indexed="64"/>
      </right>
      <top style="hair">
        <color theme="0" tint="-0.34998626667073579"/>
      </top>
      <bottom style="hair">
        <color theme="0" tint="-0.34998626667073579"/>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thin">
        <color indexed="64"/>
      </top>
      <bottom/>
      <diagonal/>
    </border>
    <border>
      <left/>
      <right/>
      <top style="thin">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thin">
        <color theme="0" tint="-0.34998626667073579"/>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right style="thin">
        <color theme="1" tint="0.24994659260841701"/>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medium">
        <color indexed="64"/>
      </left>
      <right/>
      <top style="thin">
        <color indexed="64"/>
      </top>
      <bottom style="thin">
        <color theme="1" tint="0.24994659260841701"/>
      </bottom>
      <diagonal/>
    </border>
    <border>
      <left style="medium">
        <color indexed="64"/>
      </left>
      <right/>
      <top/>
      <bottom style="thin">
        <color indexed="64"/>
      </bottom>
      <diagonal/>
    </border>
    <border>
      <left/>
      <right style="medium">
        <color theme="1" tint="0.499984740745262"/>
      </right>
      <top style="thin">
        <color indexed="64"/>
      </top>
      <bottom style="thin">
        <color indexed="64"/>
      </bottom>
      <diagonal/>
    </border>
    <border>
      <left style="medium">
        <color theme="1" tint="0.499984740745262"/>
      </left>
      <right/>
      <top style="thin">
        <color indexed="64"/>
      </top>
      <bottom style="thin">
        <color indexed="64"/>
      </bottom>
      <diagonal/>
    </border>
    <border>
      <left/>
      <right style="medium">
        <color indexed="64"/>
      </right>
      <top style="thin">
        <color theme="1" tint="0.24994659260841701"/>
      </top>
      <bottom style="thin">
        <color indexed="64"/>
      </bottom>
      <diagonal/>
    </border>
    <border>
      <left style="thin">
        <color indexed="64"/>
      </left>
      <right style="medium">
        <color indexed="64"/>
      </right>
      <top style="double">
        <color indexed="64"/>
      </top>
      <bottom style="double">
        <color indexed="64"/>
      </bottom>
      <diagonal/>
    </border>
    <border>
      <left style="thin">
        <color theme="1" tint="0.499984740745262"/>
      </left>
      <right style="thin">
        <color indexed="64"/>
      </right>
      <top style="double">
        <color indexed="64"/>
      </top>
      <bottom style="thin">
        <color indexed="64"/>
      </bottom>
      <diagonal/>
    </border>
    <border>
      <left/>
      <right style="thin">
        <color theme="1" tint="0.499984740745262"/>
      </right>
      <top style="double">
        <color indexed="64"/>
      </top>
      <bottom style="thin">
        <color indexed="64"/>
      </bottom>
      <diagonal/>
    </border>
    <border>
      <left style="thin">
        <color indexed="64"/>
      </left>
      <right style="medium">
        <color theme="1" tint="0.499984740745262"/>
      </right>
      <top style="thin">
        <color indexed="64"/>
      </top>
      <bottom style="thin">
        <color indexed="64"/>
      </bottom>
      <diagonal/>
    </border>
    <border>
      <left style="medium">
        <color theme="1" tint="0.499984740745262"/>
      </left>
      <right style="thin">
        <color theme="1" tint="0.499984740745262"/>
      </right>
      <top style="thin">
        <color indexed="64"/>
      </top>
      <bottom style="thin">
        <color indexed="64"/>
      </bottom>
      <diagonal/>
    </border>
    <border>
      <left/>
      <right style="medium">
        <color indexed="64"/>
      </right>
      <top/>
      <bottom style="thin">
        <color theme="1" tint="0.24994659260841701"/>
      </bottom>
      <diagonal/>
    </border>
    <border>
      <left/>
      <right style="medium">
        <color indexed="64"/>
      </right>
      <top style="thin">
        <color theme="1" tint="0.24994659260841701"/>
      </top>
      <bottom style="thin">
        <color theme="1" tint="0.24994659260841701"/>
      </bottom>
      <diagonal/>
    </border>
    <border>
      <left/>
      <right style="medium">
        <color theme="1" tint="0.499984740745262"/>
      </right>
      <top/>
      <bottom/>
      <diagonal/>
    </border>
    <border>
      <left/>
      <right style="medium">
        <color theme="1" tint="0.499984740745262"/>
      </right>
      <top style="thin">
        <color theme="1" tint="0.24994659260841701"/>
      </top>
      <bottom style="thin">
        <color theme="1" tint="0.24994659260841701"/>
      </bottom>
      <diagonal/>
    </border>
    <border>
      <left style="medium">
        <color theme="1" tint="0.499984740745262"/>
      </left>
      <right style="thin">
        <color theme="1" tint="0.499984740745262"/>
      </right>
      <top style="thin">
        <color indexed="64"/>
      </top>
      <bottom style="double">
        <color indexed="64"/>
      </bottom>
      <diagonal/>
    </border>
    <border>
      <left style="medium">
        <color theme="1" tint="0.499984740745262"/>
      </left>
      <right style="thin">
        <color theme="1" tint="0.499984740745262"/>
      </right>
      <top/>
      <bottom style="thin">
        <color theme="1" tint="0.24994659260841701"/>
      </bottom>
      <diagonal/>
    </border>
    <border>
      <left style="medium">
        <color theme="1" tint="0.499984740745262"/>
      </left>
      <right style="thin">
        <color theme="1" tint="0.499984740745262"/>
      </right>
      <top style="thin">
        <color theme="1" tint="0.24994659260841701"/>
      </top>
      <bottom style="thin">
        <color indexed="64"/>
      </bottom>
      <diagonal/>
    </border>
    <border>
      <left style="medium">
        <color theme="1" tint="0.499984740745262"/>
      </left>
      <right style="thin">
        <color theme="1" tint="0.499984740745262"/>
      </right>
      <top style="double">
        <color indexed="64"/>
      </top>
      <bottom style="double">
        <color indexed="64"/>
      </bottom>
      <diagonal/>
    </border>
    <border>
      <left style="medium">
        <color theme="1" tint="0.499984740745262"/>
      </left>
      <right style="thin">
        <color theme="1" tint="0.499984740745262"/>
      </right>
      <top style="double">
        <color indexed="64"/>
      </top>
      <bottom style="thin">
        <color indexed="64"/>
      </bottom>
      <diagonal/>
    </border>
    <border>
      <left style="medium">
        <color theme="1" tint="0.499984740745262"/>
      </left>
      <right style="thin">
        <color theme="1" tint="0.499984740745262"/>
      </right>
      <top/>
      <bottom style="thin">
        <color indexed="64"/>
      </bottom>
      <diagonal/>
    </border>
    <border>
      <left style="hair">
        <color theme="0" tint="-0.34998626667073579"/>
      </left>
      <right style="thin">
        <color indexed="64"/>
      </right>
      <top style="hair">
        <color theme="0" tint="-0.34998626667073579"/>
      </top>
      <bottom/>
      <diagonal/>
    </border>
    <border>
      <left style="hair">
        <color theme="0" tint="-0.34998626667073579"/>
      </left>
      <right style="thin">
        <color indexed="64"/>
      </right>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style="hair">
        <color theme="0" tint="-0.499984740745262"/>
      </top>
      <bottom/>
      <diagonal/>
    </border>
    <border>
      <left/>
      <right/>
      <top/>
      <bottom style="hair">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34998626667073579"/>
      </top>
      <bottom style="thin">
        <color theme="0" tint="-0.34998626667073579"/>
      </bottom>
      <diagonal/>
    </border>
    <border>
      <left style="thin">
        <color theme="0" tint="-0.499984740745262"/>
      </left>
      <right style="thin">
        <color indexed="64"/>
      </right>
      <top style="thin">
        <color theme="0" tint="-0.34998626667073579"/>
      </top>
      <bottom style="thin">
        <color theme="0" tint="-0.34998626667073579"/>
      </bottom>
      <diagonal/>
    </border>
    <border>
      <left style="thin">
        <color indexed="64"/>
      </left>
      <right style="thin">
        <color theme="0" tint="-0.499984740745262"/>
      </right>
      <top/>
      <bottom style="thin">
        <color theme="0" tint="-0.34998626667073579"/>
      </bottom>
      <diagonal/>
    </border>
    <border>
      <left style="thin">
        <color theme="0" tint="-0.499984740745262"/>
      </left>
      <right style="thin">
        <color indexed="64"/>
      </right>
      <top/>
      <bottom style="thin">
        <color theme="0" tint="-0.34998626667073579"/>
      </bottom>
      <diagonal/>
    </border>
    <border>
      <left style="thin">
        <color indexed="64"/>
      </left>
      <right style="thin">
        <color theme="0" tint="-0.499984740745262"/>
      </right>
      <top style="thin">
        <color theme="0" tint="-0.34998626667073579"/>
      </top>
      <bottom style="double">
        <color theme="0" tint="-0.499984740745262"/>
      </bottom>
      <diagonal/>
    </border>
    <border>
      <left style="thin">
        <color theme="0" tint="-0.499984740745262"/>
      </left>
      <right style="thin">
        <color indexed="64"/>
      </right>
      <top style="thin">
        <color theme="0" tint="-0.34998626667073579"/>
      </top>
      <bottom style="double">
        <color theme="0" tint="-0.499984740745262"/>
      </bottom>
      <diagonal/>
    </border>
    <border>
      <left style="thin">
        <color indexed="64"/>
      </left>
      <right style="thin">
        <color theme="0" tint="-0.499984740745262"/>
      </right>
      <top style="thin">
        <color theme="0" tint="-0.34998626667073579"/>
      </top>
      <bottom/>
      <diagonal/>
    </border>
    <border>
      <left style="thin">
        <color theme="0" tint="-0.499984740745262"/>
      </left>
      <right style="thin">
        <color indexed="64"/>
      </right>
      <top style="thin">
        <color theme="0" tint="-0.34998626667073579"/>
      </top>
      <bottom/>
      <diagonal/>
    </border>
    <border diagonalDown="1">
      <left/>
      <right/>
      <top style="medium">
        <color indexed="64"/>
      </top>
      <bottom/>
      <diagonal style="medium">
        <color indexed="64"/>
      </diagonal>
    </border>
    <border>
      <left/>
      <right style="thin">
        <color indexed="64"/>
      </right>
      <top/>
      <bottom style="thin">
        <color theme="0" tint="-0.34998626667073579"/>
      </bottom>
      <diagonal/>
    </border>
    <border>
      <left style="hair">
        <color indexed="64"/>
      </left>
      <right style="thin">
        <color indexed="64"/>
      </right>
      <top style="thin">
        <color indexed="64"/>
      </top>
      <bottom style="double">
        <color indexed="64"/>
      </bottom>
      <diagonal/>
    </border>
    <border>
      <left style="thin">
        <color indexed="64"/>
      </left>
      <right style="medium">
        <color theme="1" tint="0.499984740745262"/>
      </right>
      <top style="thin">
        <color indexed="64"/>
      </top>
      <bottom style="double">
        <color theme="0" tint="-0.499984740745262"/>
      </bottom>
      <diagonal/>
    </border>
    <border>
      <left style="thin">
        <color indexed="64"/>
      </left>
      <right/>
      <top style="thin">
        <color indexed="64"/>
      </top>
      <bottom style="double">
        <color theme="0" tint="-0.499984740745262"/>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double">
        <color theme="0" tint="-0.499984740745262"/>
      </top>
      <bottom style="thin">
        <color theme="0" tint="-0.499984740745262"/>
      </bottom>
      <diagonal/>
    </border>
    <border>
      <left style="thin">
        <color theme="0" tint="-0.499984740745262"/>
      </left>
      <right style="thin">
        <color indexed="64"/>
      </right>
      <top style="double">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hair">
        <color theme="0" tint="-0.24994659260841701"/>
      </bottom>
      <diagonal/>
    </border>
    <border>
      <left style="thin">
        <color theme="0" tint="-0.499984740745262"/>
      </left>
      <right style="thin">
        <color indexed="64"/>
      </right>
      <top/>
      <bottom style="double">
        <color theme="0" tint="-0.499984740745262"/>
      </bottom>
      <diagonal/>
    </border>
    <border>
      <left style="thin">
        <color indexed="64"/>
      </left>
      <right style="thin">
        <color theme="0" tint="-0.499984740745262"/>
      </right>
      <top style="double">
        <color theme="0" tint="-0.499984740745262"/>
      </top>
      <bottom style="double">
        <color theme="0" tint="-0.499984740745262"/>
      </bottom>
      <diagonal/>
    </border>
    <border>
      <left style="thin">
        <color theme="0" tint="-0.499984740745262"/>
      </left>
      <right style="thin">
        <color indexed="64"/>
      </right>
      <top style="double">
        <color theme="0" tint="-0.499984740745262"/>
      </top>
      <bottom style="double">
        <color theme="0" tint="-0.499984740745262"/>
      </bottom>
      <diagonal/>
    </border>
    <border>
      <left style="thin">
        <color indexed="64"/>
      </left>
      <right style="thin">
        <color theme="0" tint="-0.499984740745262"/>
      </right>
      <top style="thin">
        <color theme="0" tint="-0.499984740745262"/>
      </top>
      <bottom style="thin">
        <color theme="0" tint="-0.34998626667073579"/>
      </bottom>
      <diagonal/>
    </border>
    <border>
      <left style="thin">
        <color theme="0" tint="-0.499984740745262"/>
      </left>
      <right style="thin">
        <color indexed="64"/>
      </right>
      <top style="thin">
        <color theme="0" tint="-0.499984740745262"/>
      </top>
      <bottom style="thin">
        <color theme="0" tint="-0.34998626667073579"/>
      </bottom>
      <diagonal/>
    </border>
    <border>
      <left style="thin">
        <color indexed="64"/>
      </left>
      <right style="double">
        <color indexed="64"/>
      </right>
      <top style="hair">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theme="0" tint="-0.499984740745262"/>
      </bottom>
      <diagonal/>
    </border>
    <border>
      <left style="thin">
        <color indexed="64"/>
      </left>
      <right style="thin">
        <color indexed="64"/>
      </right>
      <top style="hair">
        <color theme="0" tint="-0.499984740745262"/>
      </top>
      <bottom style="thin">
        <color indexed="64"/>
      </bottom>
      <diagonal/>
    </border>
    <border>
      <left style="thin">
        <color indexed="64"/>
      </left>
      <right/>
      <top style="thin">
        <color indexed="64"/>
      </top>
      <bottom style="hair">
        <color theme="0" tint="-0.499984740745262"/>
      </bottom>
      <diagonal/>
    </border>
    <border>
      <left style="thin">
        <color indexed="64"/>
      </left>
      <right/>
      <top style="hair">
        <color theme="0" tint="-0.499984740745262"/>
      </top>
      <bottom style="thin">
        <color indexed="64"/>
      </bottom>
      <diagonal/>
    </border>
    <border>
      <left style="thin">
        <color indexed="64"/>
      </left>
      <right style="medium">
        <color indexed="64"/>
      </right>
      <top/>
      <bottom style="double">
        <color indexed="64"/>
      </bottom>
      <diagonal/>
    </border>
    <border>
      <left style="thin">
        <color theme="0" tint="-0.499984740745262"/>
      </left>
      <right/>
      <top style="double">
        <color theme="0" tint="-0.499984740745262"/>
      </top>
      <bottom style="thin">
        <color theme="0" tint="-0.499984740745262"/>
      </bottom>
      <diagonal/>
    </border>
    <border>
      <left style="thin">
        <color theme="0" tint="-0.499984740745262"/>
      </left>
      <right/>
      <top style="thin">
        <color theme="0" tint="-0.499984740745262"/>
      </top>
      <bottom style="thin">
        <color indexed="64"/>
      </bottom>
      <diagonal/>
    </border>
    <border>
      <left style="thin">
        <color indexed="64"/>
      </left>
      <right/>
      <top style="thin">
        <color theme="0" tint="-0.499984740745262"/>
      </top>
      <bottom style="thin">
        <color indexed="64"/>
      </bottom>
      <diagonal/>
    </border>
    <border>
      <left/>
      <right/>
      <top style="hair">
        <color indexed="64"/>
      </top>
      <bottom style="hair">
        <color indexed="64"/>
      </bottom>
      <diagonal/>
    </border>
    <border>
      <left/>
      <right/>
      <top/>
      <bottom style="thin">
        <color theme="0" tint="-4.9989318521683403E-2"/>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diagonal/>
    </border>
    <border>
      <left style="thin">
        <color indexed="64"/>
      </left>
      <right style="thin">
        <color indexed="64"/>
      </right>
      <top style="hair">
        <color theme="0" tint="-0.499984740745262"/>
      </top>
      <bottom/>
      <diagonal/>
    </border>
    <border>
      <left style="thin">
        <color indexed="64"/>
      </left>
      <right/>
      <top style="hair">
        <color theme="0" tint="-0.499984740745262"/>
      </top>
      <bottom/>
      <diagonal/>
    </border>
    <border>
      <left style="medium">
        <color indexed="64"/>
      </left>
      <right style="thin">
        <color indexed="64"/>
      </right>
      <top style="hair">
        <color indexed="64"/>
      </top>
      <bottom/>
      <diagonal/>
    </border>
    <border>
      <left style="thin">
        <color indexed="64"/>
      </left>
      <right style="thin">
        <color indexed="64"/>
      </right>
      <top/>
      <bottom style="hair">
        <color theme="0" tint="-0.499984740745262"/>
      </bottom>
      <diagonal/>
    </border>
    <border>
      <left style="thin">
        <color indexed="64"/>
      </left>
      <right/>
      <top/>
      <bottom style="hair">
        <color theme="0" tint="-0.499984740745262"/>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theme="0" tint="-0.499984740745262"/>
      </bottom>
      <diagonal/>
    </border>
    <border>
      <left style="thin">
        <color indexed="64"/>
      </left>
      <right/>
      <top style="medium">
        <color indexed="64"/>
      </top>
      <bottom style="hair">
        <color theme="0" tint="-0.499984740745262"/>
      </bottom>
      <diagonal/>
    </border>
    <border>
      <left style="medium">
        <color indexed="64"/>
      </left>
      <right style="thin">
        <color indexed="64"/>
      </right>
      <top style="medium">
        <color indexed="64"/>
      </top>
      <bottom style="hair">
        <color indexed="64"/>
      </bottom>
      <diagonal/>
    </border>
    <border>
      <left style="medium">
        <color indexed="64"/>
      </left>
      <right/>
      <top style="thin">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theme="0" tint="-0.499984740745262"/>
      </top>
      <bottom style="medium">
        <color indexed="64"/>
      </bottom>
      <diagonal/>
    </border>
    <border>
      <left style="thin">
        <color indexed="64"/>
      </left>
      <right/>
      <top style="hair">
        <color theme="0" tint="-0.499984740745262"/>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s>
  <cellStyleXfs count="11">
    <xf numFmtId="0" fontId="0" fillId="0" borderId="0"/>
    <xf numFmtId="0" fontId="3" fillId="0" borderId="0" applyNumberFormat="0" applyFill="0" applyBorder="0" applyAlignment="0" applyProtection="0">
      <alignment vertical="top"/>
      <protection locked="0"/>
    </xf>
    <xf numFmtId="0" fontId="10" fillId="3" borderId="0" applyNumberFormat="0" applyBorder="0" applyAlignment="0" applyProtection="0"/>
    <xf numFmtId="9" fontId="2" fillId="0" borderId="0" applyFont="0" applyFill="0" applyBorder="0" applyAlignment="0" applyProtection="0"/>
    <xf numFmtId="165" fontId="11" fillId="0" borderId="0" applyFont="0" applyFill="0" applyBorder="0" applyAlignment="0" applyProtection="0"/>
    <xf numFmtId="0" fontId="2" fillId="0" borderId="0"/>
    <xf numFmtId="165" fontId="2" fillId="0" borderId="0" applyFont="0" applyFill="0" applyBorder="0" applyAlignment="0" applyProtection="0"/>
    <xf numFmtId="0" fontId="1" fillId="7" borderId="0" applyNumberFormat="0" applyBorder="0" applyAlignment="0" applyProtection="0"/>
    <xf numFmtId="0" fontId="1" fillId="8" borderId="0" applyNumberFormat="0" applyBorder="0" applyAlignment="0" applyProtection="0"/>
    <xf numFmtId="0" fontId="16" fillId="9" borderId="0" applyNumberFormat="0" applyBorder="0" applyAlignment="0" applyProtection="0"/>
    <xf numFmtId="0" fontId="2" fillId="0" borderId="0"/>
  </cellStyleXfs>
  <cellXfs count="2351">
    <xf numFmtId="0" fontId="0" fillId="0" borderId="0" xfId="0"/>
    <xf numFmtId="0" fontId="4" fillId="2" borderId="0" xfId="0" applyFont="1" applyFill="1" applyAlignment="1">
      <alignment horizontal="center"/>
    </xf>
    <xf numFmtId="0" fontId="4" fillId="2" borderId="0" xfId="0" applyFont="1" applyFill="1"/>
    <xf numFmtId="14" fontId="4" fillId="2" borderId="0" xfId="0" applyNumberFormat="1" applyFont="1" applyFill="1"/>
    <xf numFmtId="0" fontId="5" fillId="2" borderId="0" xfId="0" applyFont="1" applyFill="1" applyAlignment="1">
      <alignment horizontal="center"/>
    </xf>
    <xf numFmtId="0" fontId="6" fillId="2" borderId="0" xfId="0" applyFont="1" applyFill="1" applyAlignment="1">
      <alignment horizontal="center"/>
    </xf>
    <xf numFmtId="0" fontId="7" fillId="2" borderId="0" xfId="0" applyFont="1" applyFill="1" applyAlignment="1">
      <alignment horizontal="center"/>
    </xf>
    <xf numFmtId="0" fontId="0" fillId="4" borderId="0" xfId="0" applyFill="1"/>
    <xf numFmtId="0" fontId="2" fillId="4" borderId="0" xfId="0" applyFont="1" applyFill="1"/>
    <xf numFmtId="0" fontId="2" fillId="0" borderId="0" xfId="0" applyFont="1"/>
    <xf numFmtId="0" fontId="8" fillId="2" borderId="0" xfId="0" applyFont="1" applyFill="1" applyAlignment="1">
      <alignment horizontal="center"/>
    </xf>
    <xf numFmtId="0" fontId="9" fillId="2" borderId="0" xfId="0" applyFont="1" applyFill="1" applyAlignment="1">
      <alignment horizontal="center"/>
    </xf>
    <xf numFmtId="0" fontId="20" fillId="2" borderId="0" xfId="0" applyFont="1" applyFill="1" applyAlignment="1">
      <alignment horizontal="center"/>
    </xf>
    <xf numFmtId="0" fontId="21" fillId="4" borderId="0" xfId="0" applyFont="1" applyFill="1" applyAlignment="1">
      <alignment horizontal="left" vertical="center" readingOrder="1"/>
    </xf>
    <xf numFmtId="0" fontId="22" fillId="4" borderId="0" xfId="0" applyFont="1" applyFill="1" applyAlignment="1">
      <alignment horizontal="left" vertical="center" readingOrder="1"/>
    </xf>
    <xf numFmtId="0" fontId="23" fillId="4" borderId="0" xfId="0" applyFont="1" applyFill="1"/>
    <xf numFmtId="0" fontId="4" fillId="4" borderId="0" xfId="0" applyFont="1" applyFill="1"/>
    <xf numFmtId="0" fontId="6" fillId="4" borderId="0" xfId="0" applyFont="1" applyFill="1" applyAlignment="1">
      <alignment vertical="center" readingOrder="1"/>
    </xf>
    <xf numFmtId="0" fontId="17" fillId="4" borderId="0" xfId="0" applyFont="1" applyFill="1"/>
    <xf numFmtId="0" fontId="15" fillId="4" borderId="0" xfId="0" applyFont="1" applyFill="1"/>
    <xf numFmtId="0" fontId="3" fillId="4" borderId="0" xfId="1" applyFill="1" applyAlignment="1" applyProtection="1"/>
    <xf numFmtId="0" fontId="24" fillId="0" borderId="0" xfId="0" applyFont="1" applyAlignment="1">
      <alignment vertical="center"/>
    </xf>
    <xf numFmtId="0" fontId="24" fillId="4" borderId="0" xfId="0" applyFont="1" applyFill="1" applyAlignment="1">
      <alignment vertical="center"/>
    </xf>
    <xf numFmtId="0" fontId="29" fillId="4" borderId="0" xfId="0" applyFont="1" applyFill="1" applyAlignment="1">
      <alignment vertical="top"/>
    </xf>
    <xf numFmtId="0" fontId="30" fillId="4" borderId="0" xfId="0" applyFont="1" applyFill="1" applyAlignment="1">
      <alignment vertical="top"/>
    </xf>
    <xf numFmtId="0" fontId="20" fillId="4" borderId="0" xfId="0" applyFont="1" applyFill="1" applyAlignment="1">
      <alignment vertical="top"/>
    </xf>
    <xf numFmtId="0" fontId="20" fillId="4" borderId="0" xfId="0" applyFont="1" applyFill="1" applyAlignment="1">
      <alignment horizontal="center" vertical="top"/>
    </xf>
    <xf numFmtId="0" fontId="30" fillId="4" borderId="0" xfId="0" applyFont="1" applyFill="1" applyAlignment="1" applyProtection="1">
      <alignment vertical="top"/>
      <protection locked="0"/>
    </xf>
    <xf numFmtId="3" fontId="20" fillId="4" borderId="0" xfId="0" applyNumberFormat="1" applyFont="1" applyFill="1" applyAlignment="1">
      <alignment horizontal="right" vertical="top" indent="1"/>
    </xf>
    <xf numFmtId="0" fontId="20" fillId="0" borderId="0" xfId="0" applyFont="1" applyAlignment="1">
      <alignment vertical="top"/>
    </xf>
    <xf numFmtId="0" fontId="20" fillId="0" borderId="0" xfId="0" applyFont="1" applyAlignment="1">
      <alignment vertical="center"/>
    </xf>
    <xf numFmtId="0" fontId="31" fillId="4" borderId="0" xfId="0" applyFont="1" applyFill="1" applyAlignment="1">
      <alignment vertical="top"/>
    </xf>
    <xf numFmtId="3" fontId="31" fillId="4" borderId="0" xfId="0" applyNumberFormat="1" applyFont="1" applyFill="1" applyAlignment="1">
      <alignment horizontal="right" vertical="top" indent="1"/>
    </xf>
    <xf numFmtId="0" fontId="29" fillId="4" borderId="0" xfId="0" applyFont="1" applyFill="1" applyAlignment="1">
      <alignment horizontal="left" vertical="center"/>
    </xf>
    <xf numFmtId="0" fontId="30" fillId="4" borderId="0" xfId="0" applyFont="1" applyFill="1" applyAlignment="1">
      <alignment horizontal="center" vertical="top"/>
    </xf>
    <xf numFmtId="0" fontId="30" fillId="4" borderId="0" xfId="0" applyFont="1" applyFill="1" applyAlignment="1" applyProtection="1">
      <alignment horizontal="center" vertical="top"/>
      <protection locked="0"/>
    </xf>
    <xf numFmtId="0" fontId="31" fillId="4" borderId="0" xfId="0" applyFont="1" applyFill="1" applyAlignment="1">
      <alignment vertical="center"/>
    </xf>
    <xf numFmtId="0" fontId="20" fillId="4" borderId="0" xfId="0" applyFont="1" applyFill="1" applyAlignment="1">
      <alignment vertical="center"/>
    </xf>
    <xf numFmtId="0" fontId="20" fillId="0" borderId="0" xfId="0" applyFont="1" applyAlignment="1">
      <alignment horizontal="left" vertical="center"/>
    </xf>
    <xf numFmtId="1" fontId="20" fillId="4" borderId="0" xfId="0" applyNumberFormat="1" applyFont="1" applyFill="1" applyAlignment="1">
      <alignment horizontal="right" vertical="center"/>
    </xf>
    <xf numFmtId="0" fontId="35" fillId="0" borderId="0" xfId="0" applyFont="1"/>
    <xf numFmtId="0" fontId="20" fillId="4" borderId="40" xfId="0" applyFont="1" applyFill="1" applyBorder="1" applyAlignment="1" applyProtection="1">
      <alignment vertical="top"/>
      <protection locked="0"/>
    </xf>
    <xf numFmtId="0" fontId="20" fillId="4" borderId="0" xfId="0" applyFont="1" applyFill="1" applyAlignment="1" applyProtection="1">
      <alignment vertical="top"/>
      <protection locked="0"/>
    </xf>
    <xf numFmtId="0" fontId="34" fillId="0" borderId="0" xfId="0" applyFont="1" applyAlignment="1">
      <alignment horizontal="center" vertical="center"/>
    </xf>
    <xf numFmtId="3" fontId="20" fillId="4" borderId="0" xfId="0" applyNumberFormat="1" applyFont="1" applyFill="1" applyAlignment="1">
      <alignment vertical="center"/>
    </xf>
    <xf numFmtId="0" fontId="30" fillId="4" borderId="0" xfId="0" applyFont="1" applyFill="1" applyAlignment="1">
      <alignment vertical="center"/>
    </xf>
    <xf numFmtId="0" fontId="20" fillId="0" borderId="38" xfId="0" applyFont="1" applyBorder="1" applyAlignment="1">
      <alignment vertical="top"/>
    </xf>
    <xf numFmtId="0" fontId="29" fillId="4" borderId="0" xfId="0" applyFont="1" applyFill="1" applyAlignment="1">
      <alignment vertical="center"/>
    </xf>
    <xf numFmtId="0" fontId="25" fillId="4" borderId="0" xfId="0" applyFont="1" applyFill="1" applyAlignment="1">
      <alignment vertical="center"/>
    </xf>
    <xf numFmtId="3" fontId="20" fillId="4" borderId="0" xfId="0" applyNumberFormat="1" applyFont="1" applyFill="1" applyAlignment="1">
      <alignment horizontal="right" vertical="center" indent="1"/>
    </xf>
    <xf numFmtId="0" fontId="20" fillId="4" borderId="0" xfId="0" applyFont="1" applyFill="1" applyAlignment="1" applyProtection="1">
      <alignment vertical="center"/>
      <protection locked="0"/>
    </xf>
    <xf numFmtId="0" fontId="34" fillId="4" borderId="0" xfId="0" applyFont="1" applyFill="1" applyAlignment="1">
      <alignment vertical="center"/>
    </xf>
    <xf numFmtId="0" fontId="30" fillId="0" borderId="0" xfId="0" applyFont="1" applyAlignment="1">
      <alignment vertical="top"/>
    </xf>
    <xf numFmtId="0" fontId="20" fillId="4" borderId="0" xfId="0" applyFont="1" applyFill="1" applyAlignment="1">
      <alignment horizontal="center" vertical="center"/>
    </xf>
    <xf numFmtId="0" fontId="20" fillId="0" borderId="0" xfId="0" applyFont="1" applyAlignment="1">
      <alignment horizontal="center" vertical="center"/>
    </xf>
    <xf numFmtId="0" fontId="30" fillId="0" borderId="0" xfId="0" applyFont="1" applyAlignment="1">
      <alignment vertical="center"/>
    </xf>
    <xf numFmtId="0" fontId="20" fillId="0" borderId="0" xfId="0" applyFont="1" applyAlignment="1">
      <alignment horizontal="center" vertical="top"/>
    </xf>
    <xf numFmtId="169" fontId="20" fillId="4" borderId="0" xfId="0" applyNumberFormat="1" applyFont="1" applyFill="1" applyAlignment="1">
      <alignment horizontal="right" vertical="top" indent="1"/>
    </xf>
    <xf numFmtId="169" fontId="30" fillId="4" borderId="0" xfId="0" applyNumberFormat="1" applyFont="1" applyFill="1" applyAlignment="1">
      <alignment horizontal="right" vertical="top" indent="1"/>
    </xf>
    <xf numFmtId="0" fontId="37" fillId="4" borderId="0" xfId="0" applyFont="1" applyFill="1" applyAlignment="1">
      <alignment horizontal="center" vertical="top"/>
    </xf>
    <xf numFmtId="0" fontId="37" fillId="4" borderId="0" xfId="0" applyFont="1" applyFill="1" applyAlignment="1">
      <alignment vertical="top"/>
    </xf>
    <xf numFmtId="169" fontId="20" fillId="4" borderId="0" xfId="0" applyNumberFormat="1" applyFont="1" applyFill="1" applyAlignment="1">
      <alignment horizontal="right" vertical="center" indent="1"/>
    </xf>
    <xf numFmtId="0" fontId="20" fillId="4" borderId="0" xfId="0" applyFont="1" applyFill="1" applyAlignment="1">
      <alignment horizontal="left" vertical="center"/>
    </xf>
    <xf numFmtId="169" fontId="30" fillId="4" borderId="0" xfId="0" applyNumberFormat="1" applyFont="1" applyFill="1" applyAlignment="1">
      <alignment horizontal="left" vertical="top"/>
    </xf>
    <xf numFmtId="169" fontId="30" fillId="4" borderId="0" xfId="0" applyNumberFormat="1" applyFont="1" applyFill="1" applyAlignment="1">
      <alignment horizontal="center" vertical="top"/>
    </xf>
    <xf numFmtId="0" fontId="30" fillId="4" borderId="0" xfId="0" applyFont="1" applyFill="1" applyAlignment="1">
      <alignment horizontal="center" vertical="center"/>
    </xf>
    <xf numFmtId="49" fontId="20" fillId="4" borderId="0" xfId="0" applyNumberFormat="1" applyFont="1" applyFill="1" applyAlignment="1">
      <alignment vertical="center"/>
    </xf>
    <xf numFmtId="169" fontId="20" fillId="0" borderId="0" xfId="0" applyNumberFormat="1" applyFont="1" applyAlignment="1">
      <alignment horizontal="right" vertical="top" indent="1"/>
    </xf>
    <xf numFmtId="0" fontId="20" fillId="4" borderId="0" xfId="0" applyFont="1" applyFill="1"/>
    <xf numFmtId="0" fontId="30" fillId="4" borderId="0" xfId="0" applyFont="1" applyFill="1"/>
    <xf numFmtId="0" fontId="20" fillId="4" borderId="0" xfId="0" applyFont="1" applyFill="1" applyAlignment="1">
      <alignment horizontal="center"/>
    </xf>
    <xf numFmtId="0" fontId="20" fillId="0" borderId="0" xfId="0" applyFont="1"/>
    <xf numFmtId="0" fontId="30" fillId="4" borderId="0" xfId="0" applyFont="1" applyFill="1" applyProtection="1">
      <protection locked="0"/>
    </xf>
    <xf numFmtId="0" fontId="31" fillId="4" borderId="0" xfId="0" applyFont="1" applyFill="1"/>
    <xf numFmtId="0" fontId="20" fillId="4" borderId="0" xfId="0" applyFont="1" applyFill="1" applyProtection="1">
      <protection locked="0"/>
    </xf>
    <xf numFmtId="3" fontId="30" fillId="4" borderId="0" xfId="0" applyNumberFormat="1" applyFont="1" applyFill="1" applyProtection="1">
      <protection hidden="1"/>
    </xf>
    <xf numFmtId="1" fontId="20" fillId="4" borderId="0" xfId="0" applyNumberFormat="1" applyFont="1" applyFill="1" applyAlignment="1">
      <alignment horizontal="right" indent="1"/>
    </xf>
    <xf numFmtId="1" fontId="20" fillId="4" borderId="0" xfId="0" applyNumberFormat="1" applyFont="1" applyFill="1" applyAlignment="1">
      <alignment horizontal="left" indent="1"/>
    </xf>
    <xf numFmtId="1" fontId="20" fillId="4" borderId="0" xfId="3" applyNumberFormat="1" applyFont="1" applyFill="1" applyAlignment="1" applyProtection="1">
      <alignment horizontal="right" indent="1"/>
    </xf>
    <xf numFmtId="0" fontId="37" fillId="4" borderId="0" xfId="0" applyFont="1" applyFill="1"/>
    <xf numFmtId="0" fontId="20" fillId="4" borderId="0" xfId="0" applyFont="1" applyFill="1" applyProtection="1">
      <protection hidden="1"/>
    </xf>
    <xf numFmtId="0" fontId="20" fillId="4" borderId="0" xfId="0" applyFont="1" applyFill="1" applyAlignment="1" applyProtection="1">
      <alignment horizontal="right"/>
      <protection hidden="1"/>
    </xf>
    <xf numFmtId="0" fontId="31" fillId="0" borderId="0" xfId="0" applyFont="1"/>
    <xf numFmtId="0" fontId="31" fillId="4" borderId="0" xfId="0" applyFont="1" applyFill="1" applyAlignment="1">
      <alignment horizontal="center"/>
    </xf>
    <xf numFmtId="0" fontId="35" fillId="7" borderId="3" xfId="7" applyFont="1" applyBorder="1" applyAlignment="1" applyProtection="1">
      <alignment vertical="center"/>
      <protection locked="0"/>
    </xf>
    <xf numFmtId="0" fontId="30" fillId="4" borderId="0" xfId="0" applyFont="1" applyFill="1" applyAlignment="1" applyProtection="1">
      <alignment vertical="center"/>
      <protection locked="0"/>
    </xf>
    <xf numFmtId="0" fontId="20" fillId="0" borderId="0" xfId="0" applyFont="1" applyAlignment="1">
      <alignment horizontal="center"/>
    </xf>
    <xf numFmtId="0" fontId="33" fillId="0" borderId="0" xfId="0" applyFont="1"/>
    <xf numFmtId="0" fontId="30" fillId="0" borderId="0" xfId="0" applyFont="1"/>
    <xf numFmtId="0" fontId="25" fillId="4" borderId="0" xfId="0" applyFont="1" applyFill="1"/>
    <xf numFmtId="0" fontId="7" fillId="4" borderId="0" xfId="0" applyFont="1" applyFill="1"/>
    <xf numFmtId="0" fontId="25" fillId="0" borderId="0" xfId="0" applyFont="1"/>
    <xf numFmtId="0" fontId="9" fillId="4" borderId="0" xfId="0" applyFont="1" applyFill="1" applyAlignment="1">
      <alignment horizontal="right" vertical="center"/>
    </xf>
    <xf numFmtId="0" fontId="40" fillId="4" borderId="0" xfId="0" applyFont="1" applyFill="1" applyAlignment="1">
      <alignment horizontal="left" vertical="center"/>
    </xf>
    <xf numFmtId="0" fontId="33" fillId="4" borderId="0" xfId="0" applyFont="1" applyFill="1" applyAlignment="1">
      <alignment vertical="center"/>
    </xf>
    <xf numFmtId="0" fontId="25" fillId="0" borderId="0" xfId="0" applyFont="1" applyAlignment="1">
      <alignment vertical="center"/>
    </xf>
    <xf numFmtId="0" fontId="41" fillId="0" borderId="0" xfId="0" applyFont="1" applyAlignment="1">
      <alignment vertical="center"/>
    </xf>
    <xf numFmtId="0" fontId="44" fillId="0" borderId="0" xfId="0" applyFont="1" applyAlignment="1">
      <alignment vertical="center"/>
    </xf>
    <xf numFmtId="0" fontId="9" fillId="4" borderId="0" xfId="0" applyFont="1" applyFill="1" applyAlignment="1">
      <alignment vertical="center"/>
    </xf>
    <xf numFmtId="0" fontId="42" fillId="4" borderId="0" xfId="0" applyFont="1" applyFill="1" applyAlignment="1">
      <alignment vertical="center"/>
    </xf>
    <xf numFmtId="0" fontId="41" fillId="4" borderId="0" xfId="0" applyFont="1" applyFill="1" applyAlignment="1">
      <alignment vertical="center"/>
    </xf>
    <xf numFmtId="0" fontId="40" fillId="4" borderId="0" xfId="0" applyFont="1" applyFill="1" applyAlignment="1">
      <alignment vertical="center"/>
    </xf>
    <xf numFmtId="0" fontId="29" fillId="4" borderId="0" xfId="0" applyFont="1" applyFill="1"/>
    <xf numFmtId="0" fontId="42" fillId="4" borderId="0" xfId="0" applyFont="1" applyFill="1" applyAlignment="1">
      <alignment horizontal="left" vertical="center"/>
    </xf>
    <xf numFmtId="0" fontId="25" fillId="4" borderId="0" xfId="0" applyFont="1" applyFill="1" applyAlignment="1">
      <alignment horizontal="left" vertical="center"/>
    </xf>
    <xf numFmtId="0" fontId="41" fillId="4" borderId="0" xfId="0" applyFont="1" applyFill="1" applyAlignment="1">
      <alignment horizontal="left" vertical="center"/>
    </xf>
    <xf numFmtId="0" fontId="45" fillId="4" borderId="0" xfId="1" applyFont="1" applyFill="1" applyAlignment="1" applyProtection="1">
      <alignment vertical="center"/>
      <protection locked="0"/>
    </xf>
    <xf numFmtId="0" fontId="37" fillId="0" borderId="0" xfId="0" applyFont="1"/>
    <xf numFmtId="0" fontId="32" fillId="4" borderId="0" xfId="0" applyFont="1" applyFill="1" applyAlignment="1">
      <alignment horizontal="left"/>
    </xf>
    <xf numFmtId="0" fontId="34" fillId="0" borderId="0" xfId="0" applyFont="1"/>
    <xf numFmtId="38" fontId="30" fillId="4" borderId="0" xfId="0" applyNumberFormat="1" applyFont="1" applyFill="1"/>
    <xf numFmtId="38" fontId="30" fillId="4" borderId="0" xfId="0" applyNumberFormat="1" applyFont="1" applyFill="1" applyAlignment="1">
      <alignment horizontal="center"/>
    </xf>
    <xf numFmtId="0" fontId="4" fillId="0" borderId="0" xfId="0" applyFont="1"/>
    <xf numFmtId="0" fontId="47" fillId="0" borderId="0" xfId="0" applyFont="1"/>
    <xf numFmtId="9" fontId="30" fillId="4" borderId="0" xfId="0" applyNumberFormat="1" applyFont="1" applyFill="1" applyAlignment="1">
      <alignment vertical="center"/>
    </xf>
    <xf numFmtId="49" fontId="20" fillId="0" borderId="0" xfId="0" applyNumberFormat="1" applyFont="1" applyAlignment="1">
      <alignment horizontal="left" vertical="center" wrapText="1" indent="1"/>
    </xf>
    <xf numFmtId="0" fontId="37" fillId="0" borderId="0" xfId="0" applyFont="1" applyAlignment="1">
      <alignment vertical="center"/>
    </xf>
    <xf numFmtId="0" fontId="4" fillId="0" borderId="0" xfId="0" applyFont="1" applyAlignment="1">
      <alignment vertical="center"/>
    </xf>
    <xf numFmtId="0" fontId="26" fillId="0" borderId="0" xfId="1" applyFont="1" applyAlignment="1" applyProtection="1"/>
    <xf numFmtId="9" fontId="30" fillId="4" borderId="0" xfId="3" applyFont="1" applyFill="1" applyBorder="1" applyAlignment="1" applyProtection="1">
      <alignment horizontal="right" vertical="center" indent="1"/>
    </xf>
    <xf numFmtId="0" fontId="30" fillId="4" borderId="0" xfId="0" applyFont="1" applyFill="1" applyAlignment="1">
      <alignment horizontal="center"/>
    </xf>
    <xf numFmtId="0" fontId="29" fillId="0" borderId="0" xfId="0" applyFont="1"/>
    <xf numFmtId="0" fontId="37" fillId="4" borderId="0" xfId="0" applyFont="1" applyFill="1" applyProtection="1">
      <protection hidden="1"/>
    </xf>
    <xf numFmtId="0" fontId="20" fillId="0" borderId="0" xfId="0" applyFont="1" applyProtection="1">
      <protection hidden="1"/>
    </xf>
    <xf numFmtId="0" fontId="51" fillId="4" borderId="0" xfId="0" applyFont="1" applyFill="1"/>
    <xf numFmtId="0" fontId="51" fillId="0" borderId="0" xfId="0" applyFont="1"/>
    <xf numFmtId="38" fontId="20" fillId="4" borderId="0" xfId="0" applyNumberFormat="1" applyFont="1" applyFill="1"/>
    <xf numFmtId="0" fontId="30" fillId="4" borderId="0" xfId="0" applyFont="1" applyFill="1" applyProtection="1">
      <protection hidden="1"/>
    </xf>
    <xf numFmtId="0" fontId="28" fillId="4" borderId="0" xfId="0" applyFont="1" applyFill="1" applyAlignment="1">
      <alignment horizontal="left"/>
    </xf>
    <xf numFmtId="0" fontId="27" fillId="4" borderId="0" xfId="0" applyFont="1" applyFill="1" applyAlignment="1">
      <alignment horizontal="left"/>
    </xf>
    <xf numFmtId="0" fontId="30" fillId="0" borderId="0" xfId="0" applyFont="1" applyProtection="1">
      <protection hidden="1"/>
    </xf>
    <xf numFmtId="0" fontId="20" fillId="4" borderId="0" xfId="0" applyFont="1" applyFill="1" applyAlignment="1">
      <alignment horizontal="left"/>
    </xf>
    <xf numFmtId="0" fontId="20"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0" fontId="51" fillId="4" borderId="0" xfId="0" applyFont="1" applyFill="1" applyAlignment="1">
      <alignment vertical="center"/>
    </xf>
    <xf numFmtId="0" fontId="20" fillId="0" borderId="0" xfId="0" applyFont="1" applyAlignment="1" applyProtection="1">
      <alignment vertical="center"/>
      <protection locked="0"/>
    </xf>
    <xf numFmtId="0" fontId="20" fillId="4" borderId="0" xfId="0" applyFont="1" applyFill="1" applyAlignment="1" applyProtection="1">
      <alignment vertical="center"/>
      <protection hidden="1"/>
    </xf>
    <xf numFmtId="0" fontId="20" fillId="4" borderId="0" xfId="0" applyFont="1" applyFill="1" applyAlignment="1" applyProtection="1">
      <alignment horizontal="center" vertical="center"/>
      <protection hidden="1"/>
    </xf>
    <xf numFmtId="49" fontId="20" fillId="0" borderId="0" xfId="0" applyNumberFormat="1" applyFont="1" applyAlignment="1" applyProtection="1">
      <alignment vertical="center"/>
      <protection hidden="1"/>
    </xf>
    <xf numFmtId="49" fontId="20" fillId="4" borderId="0" xfId="0" applyNumberFormat="1" applyFont="1" applyFill="1"/>
    <xf numFmtId="49" fontId="20" fillId="4" borderId="0" xfId="0" applyNumberFormat="1" applyFont="1" applyFill="1" applyAlignment="1">
      <alignment horizontal="center" vertical="center"/>
    </xf>
    <xf numFmtId="49" fontId="20" fillId="0" borderId="0" xfId="0" applyNumberFormat="1" applyFont="1" applyAlignment="1">
      <alignment horizontal="left" vertical="center"/>
    </xf>
    <xf numFmtId="0" fontId="30" fillId="4" borderId="0" xfId="0" applyFont="1" applyFill="1" applyAlignment="1" applyProtection="1">
      <alignment vertical="center"/>
      <protection hidden="1"/>
    </xf>
    <xf numFmtId="0" fontId="51" fillId="4" borderId="0" xfId="0" applyFont="1" applyFill="1" applyProtection="1">
      <protection hidden="1"/>
    </xf>
    <xf numFmtId="0" fontId="20" fillId="0" borderId="0" xfId="0" applyFont="1" applyAlignment="1" applyProtection="1">
      <alignment horizontal="right"/>
      <protection hidden="1"/>
    </xf>
    <xf numFmtId="1" fontId="20" fillId="4" borderId="0" xfId="0" applyNumberFormat="1" applyFont="1" applyFill="1" applyProtection="1">
      <protection hidden="1"/>
    </xf>
    <xf numFmtId="0" fontId="23" fillId="4" borderId="0" xfId="0" applyFont="1" applyFill="1" applyProtection="1">
      <protection hidden="1"/>
    </xf>
    <xf numFmtId="0" fontId="23" fillId="0" borderId="0" xfId="0" applyFont="1" applyProtection="1">
      <protection hidden="1"/>
    </xf>
    <xf numFmtId="0" fontId="23" fillId="4" borderId="0" xfId="0" applyFont="1" applyFill="1" applyProtection="1">
      <protection locked="0"/>
    </xf>
    <xf numFmtId="0" fontId="23" fillId="4" borderId="0" xfId="0" applyFont="1" applyFill="1" applyAlignment="1" applyProtection="1">
      <alignment horizontal="center"/>
      <protection hidden="1"/>
    </xf>
    <xf numFmtId="0" fontId="32" fillId="4" borderId="0" xfId="0" applyFont="1" applyFill="1" applyAlignment="1">
      <alignment vertical="center"/>
    </xf>
    <xf numFmtId="0" fontId="32" fillId="4" borderId="0" xfId="0" applyFont="1" applyFill="1" applyAlignment="1" applyProtection="1">
      <alignment vertical="center"/>
      <protection hidden="1"/>
    </xf>
    <xf numFmtId="0" fontId="32" fillId="4" borderId="0" xfId="0" applyFont="1" applyFill="1" applyAlignment="1" applyProtection="1">
      <alignment vertical="center"/>
      <protection locked="0"/>
    </xf>
    <xf numFmtId="0" fontId="31" fillId="4" borderId="0" xfId="0" applyFont="1" applyFill="1" applyProtection="1">
      <protection hidden="1"/>
    </xf>
    <xf numFmtId="0" fontId="34" fillId="4" borderId="0" xfId="0" applyFont="1" applyFill="1" applyAlignment="1">
      <alignment horizontal="center"/>
    </xf>
    <xf numFmtId="0" fontId="23" fillId="4" borderId="0" xfId="0" applyFont="1" applyFill="1" applyProtection="1">
      <protection locked="0" hidden="1"/>
    </xf>
    <xf numFmtId="0" fontId="32" fillId="4" borderId="0" xfId="0" applyFont="1" applyFill="1"/>
    <xf numFmtId="0" fontId="32" fillId="4" borderId="0" xfId="0" applyFont="1" applyFill="1" applyProtection="1">
      <protection hidden="1"/>
    </xf>
    <xf numFmtId="0" fontId="32" fillId="4" borderId="0" xfId="0" applyFont="1" applyFill="1" applyProtection="1">
      <protection locked="0"/>
    </xf>
    <xf numFmtId="0" fontId="4" fillId="4" borderId="0" xfId="0" applyFont="1" applyFill="1" applyAlignment="1">
      <alignment horizontal="center"/>
    </xf>
    <xf numFmtId="0" fontId="4" fillId="4" borderId="0" xfId="0" applyFont="1" applyFill="1" applyProtection="1">
      <protection hidden="1"/>
    </xf>
    <xf numFmtId="0" fontId="4" fillId="4" borderId="0" xfId="0" applyFont="1" applyFill="1" applyAlignment="1">
      <alignment horizontal="left"/>
    </xf>
    <xf numFmtId="0" fontId="30" fillId="4" borderId="0" xfId="0" applyFont="1" applyFill="1" applyAlignment="1" applyProtection="1">
      <alignment horizontal="center"/>
      <protection hidden="1"/>
    </xf>
    <xf numFmtId="0" fontId="28" fillId="4" borderId="0" xfId="0" applyFont="1" applyFill="1" applyAlignment="1">
      <alignment horizontal="left" vertical="center"/>
    </xf>
    <xf numFmtId="0" fontId="23" fillId="4" borderId="0" xfId="0" applyFont="1" applyFill="1" applyAlignment="1">
      <alignment vertical="center"/>
    </xf>
    <xf numFmtId="3" fontId="30" fillId="4" borderId="0" xfId="0" applyNumberFormat="1" applyFont="1" applyFill="1" applyAlignment="1">
      <alignment horizontal="right" vertical="center"/>
    </xf>
    <xf numFmtId="169" fontId="41" fillId="4" borderId="0" xfId="0" applyNumberFormat="1" applyFont="1" applyFill="1" applyAlignment="1">
      <alignment horizontal="right" indent="1"/>
    </xf>
    <xf numFmtId="3" fontId="20" fillId="4" borderId="0" xfId="0" applyNumberFormat="1" applyFont="1" applyFill="1" applyAlignment="1">
      <alignment horizontal="right" vertical="center"/>
    </xf>
    <xf numFmtId="0" fontId="37" fillId="4" borderId="0" xfId="0" applyFont="1" applyFill="1" applyAlignment="1">
      <alignment vertical="center"/>
    </xf>
    <xf numFmtId="0" fontId="20" fillId="4" borderId="0" xfId="0" applyFont="1" applyFill="1" applyAlignment="1" applyProtection="1">
      <alignment horizontal="right" vertical="center"/>
      <protection hidden="1"/>
    </xf>
    <xf numFmtId="0" fontId="9" fillId="0" borderId="0" xfId="0" applyFont="1" applyAlignment="1">
      <alignment vertical="center"/>
    </xf>
    <xf numFmtId="0" fontId="9" fillId="4" borderId="0" xfId="0" applyFont="1" applyFill="1" applyAlignment="1" applyProtection="1">
      <alignment vertical="center"/>
      <protection locked="0"/>
    </xf>
    <xf numFmtId="3" fontId="30" fillId="4" borderId="0" xfId="0" applyNumberFormat="1" applyFont="1" applyFill="1" applyAlignment="1">
      <alignment horizontal="right" vertical="center" indent="1"/>
    </xf>
    <xf numFmtId="0" fontId="20" fillId="4" borderId="0" xfId="0" applyFont="1" applyFill="1" applyAlignment="1">
      <alignment horizontal="right" vertical="center" indent="1"/>
    </xf>
    <xf numFmtId="49" fontId="30" fillId="4" borderId="0" xfId="0" applyNumberFormat="1" applyFont="1" applyFill="1" applyAlignment="1" applyProtection="1">
      <alignment horizontal="center" vertical="center"/>
      <protection hidden="1"/>
    </xf>
    <xf numFmtId="3" fontId="30" fillId="4" borderId="0" xfId="0" applyNumberFormat="1" applyFont="1" applyFill="1" applyAlignment="1" applyProtection="1">
      <alignment horizontal="right" vertical="center" indent="1"/>
      <protection hidden="1"/>
    </xf>
    <xf numFmtId="0" fontId="31" fillId="4" borderId="0" xfId="0" applyFont="1" applyFill="1" applyAlignment="1" applyProtection="1">
      <alignment vertical="center"/>
      <protection locked="0"/>
    </xf>
    <xf numFmtId="3" fontId="25" fillId="4" borderId="0" xfId="0" applyNumberFormat="1" applyFont="1" applyFill="1" applyAlignment="1" applyProtection="1">
      <alignment horizontal="center" vertical="center"/>
      <protection hidden="1"/>
    </xf>
    <xf numFmtId="3" fontId="20" fillId="0" borderId="0" xfId="0" applyNumberFormat="1" applyFont="1" applyAlignment="1">
      <alignment horizontal="right" vertical="center" indent="1"/>
    </xf>
    <xf numFmtId="0" fontId="20" fillId="4" borderId="0" xfId="0" applyFont="1" applyFill="1" applyAlignment="1" applyProtection="1">
      <alignment horizontal="right" vertical="top" indent="1"/>
      <protection locked="0"/>
    </xf>
    <xf numFmtId="0" fontId="25" fillId="4" borderId="0" xfId="0" applyFont="1" applyFill="1" applyAlignment="1" applyProtection="1">
      <alignment horizontal="right" vertical="top" indent="1"/>
      <protection locked="0"/>
    </xf>
    <xf numFmtId="3" fontId="25" fillId="4" borderId="0" xfId="0" applyNumberFormat="1" applyFont="1" applyFill="1" applyAlignment="1">
      <alignment horizontal="right" vertical="center" indent="1"/>
    </xf>
    <xf numFmtId="1" fontId="20" fillId="4" borderId="0" xfId="0" applyNumberFormat="1" applyFont="1" applyFill="1" applyAlignment="1" applyProtection="1">
      <alignment horizontal="left"/>
      <protection hidden="1"/>
    </xf>
    <xf numFmtId="1" fontId="20" fillId="4" borderId="0" xfId="0" applyNumberFormat="1" applyFont="1" applyFill="1" applyAlignment="1" applyProtection="1">
      <alignment horizontal="left" indent="1"/>
      <protection locked="0"/>
    </xf>
    <xf numFmtId="0" fontId="20" fillId="4" borderId="0" xfId="0" applyFont="1" applyFill="1" applyAlignment="1" applyProtection="1">
      <alignment horizontal="left"/>
      <protection hidden="1"/>
    </xf>
    <xf numFmtId="0" fontId="54" fillId="4" borderId="0" xfId="0" applyFont="1" applyFill="1"/>
    <xf numFmtId="1" fontId="25" fillId="4" borderId="0" xfId="0" applyNumberFormat="1" applyFont="1" applyFill="1" applyAlignment="1">
      <alignment horizontal="right" indent="1"/>
    </xf>
    <xf numFmtId="1" fontId="25" fillId="4" borderId="0" xfId="0" applyNumberFormat="1" applyFont="1" applyFill="1" applyAlignment="1">
      <alignment horizontal="left" indent="1"/>
    </xf>
    <xf numFmtId="0" fontId="25" fillId="4" borderId="0" xfId="0" applyFont="1" applyFill="1" applyAlignment="1" applyProtection="1">
      <alignment horizontal="left"/>
      <protection hidden="1"/>
    </xf>
    <xf numFmtId="0" fontId="54" fillId="0" borderId="0" xfId="0" applyFont="1"/>
    <xf numFmtId="0" fontId="20" fillId="4" borderId="0" xfId="0" applyFont="1" applyFill="1" applyAlignment="1" applyProtection="1">
      <alignment horizontal="left" vertical="center"/>
      <protection locked="0"/>
    </xf>
    <xf numFmtId="0" fontId="20" fillId="4" borderId="0" xfId="0" applyFont="1" applyFill="1" applyAlignment="1" applyProtection="1">
      <alignment horizontal="left"/>
      <protection locked="0"/>
    </xf>
    <xf numFmtId="1" fontId="37" fillId="4" borderId="0" xfId="0" applyNumberFormat="1" applyFont="1" applyFill="1" applyAlignment="1">
      <alignment horizontal="right" indent="1"/>
    </xf>
    <xf numFmtId="1" fontId="20" fillId="4" borderId="0" xfId="0" applyNumberFormat="1" applyFont="1" applyFill="1" applyAlignment="1" applyProtection="1">
      <alignment horizontal="left"/>
      <protection locked="0"/>
    </xf>
    <xf numFmtId="0" fontId="20" fillId="0" borderId="0" xfId="0" applyFont="1" applyAlignment="1" applyProtection="1">
      <alignment horizontal="right" vertical="center"/>
      <protection hidden="1"/>
    </xf>
    <xf numFmtId="170" fontId="20" fillId="4" borderId="0" xfId="0" applyNumberFormat="1" applyFont="1" applyFill="1" applyAlignment="1">
      <alignment horizontal="right" indent="1"/>
    </xf>
    <xf numFmtId="1" fontId="20" fillId="4" borderId="0" xfId="0" applyNumberFormat="1" applyFont="1" applyFill="1" applyAlignment="1" applyProtection="1">
      <alignment vertical="center"/>
      <protection hidden="1"/>
    </xf>
    <xf numFmtId="1" fontId="20" fillId="4" borderId="0" xfId="0" applyNumberFormat="1" applyFont="1" applyFill="1" applyAlignment="1" applyProtection="1">
      <alignment horizontal="left" vertical="center"/>
      <protection hidden="1"/>
    </xf>
    <xf numFmtId="1" fontId="20" fillId="4" borderId="0" xfId="0" applyNumberFormat="1" applyFont="1" applyFill="1" applyAlignment="1" applyProtection="1">
      <alignment horizontal="right" vertical="center"/>
      <protection hidden="1"/>
    </xf>
    <xf numFmtId="1" fontId="30" fillId="4" borderId="0" xfId="0" applyNumberFormat="1" applyFont="1" applyFill="1" applyAlignment="1">
      <alignment horizontal="right" indent="1"/>
    </xf>
    <xf numFmtId="1" fontId="20" fillId="4" borderId="0" xfId="0" applyNumberFormat="1" applyFont="1" applyFill="1" applyAlignment="1" applyProtection="1">
      <alignment horizontal="right" indent="1"/>
      <protection hidden="1"/>
    </xf>
    <xf numFmtId="0" fontId="20" fillId="4" borderId="0" xfId="0" applyFont="1" applyFill="1" applyAlignment="1">
      <alignment horizontal="right"/>
    </xf>
    <xf numFmtId="1" fontId="39" fillId="4" borderId="0" xfId="1" applyNumberFormat="1" applyFont="1" applyFill="1" applyBorder="1" applyAlignment="1" applyProtection="1">
      <alignment horizontal="right" indent="1"/>
    </xf>
    <xf numFmtId="1" fontId="20" fillId="4" borderId="0" xfId="0" applyNumberFormat="1" applyFont="1" applyFill="1" applyAlignment="1">
      <alignment horizontal="center"/>
    </xf>
    <xf numFmtId="0" fontId="20" fillId="4" borderId="0" xfId="0" applyFont="1" applyFill="1" applyAlignment="1">
      <alignment horizontal="center" vertical="center" wrapText="1"/>
    </xf>
    <xf numFmtId="1" fontId="20" fillId="0" borderId="0" xfId="0" applyNumberFormat="1" applyFont="1" applyAlignment="1">
      <alignment horizontal="right" indent="1"/>
    </xf>
    <xf numFmtId="1" fontId="20" fillId="0" borderId="0" xfId="3" applyNumberFormat="1" applyFont="1" applyFill="1" applyBorder="1" applyAlignment="1" applyProtection="1">
      <alignment horizontal="right" indent="1"/>
    </xf>
    <xf numFmtId="1" fontId="20" fillId="0" borderId="0" xfId="0" applyNumberFormat="1" applyFont="1" applyAlignment="1" applyProtection="1">
      <alignment horizontal="left"/>
      <protection hidden="1"/>
    </xf>
    <xf numFmtId="1" fontId="20" fillId="0" borderId="0" xfId="0" applyNumberFormat="1" applyFont="1" applyAlignment="1" applyProtection="1">
      <alignment horizontal="left" indent="1"/>
      <protection locked="0"/>
    </xf>
    <xf numFmtId="1" fontId="20" fillId="0" borderId="0" xfId="3" applyNumberFormat="1" applyFont="1" applyFill="1" applyAlignment="1" applyProtection="1">
      <alignment horizontal="right" indent="1"/>
    </xf>
    <xf numFmtId="20" fontId="4" fillId="4" borderId="0" xfId="0" applyNumberFormat="1" applyFont="1" applyFill="1"/>
    <xf numFmtId="0" fontId="37" fillId="0" borderId="0" xfId="0" applyFont="1" applyAlignment="1">
      <alignment vertical="top"/>
    </xf>
    <xf numFmtId="0" fontId="47" fillId="4" borderId="0" xfId="0" applyFont="1" applyFill="1" applyAlignment="1">
      <alignment horizontal="left" vertical="center"/>
    </xf>
    <xf numFmtId="0" fontId="37" fillId="0" borderId="0" xfId="0" applyFont="1" applyAlignment="1">
      <alignment horizontal="center" vertical="top"/>
    </xf>
    <xf numFmtId="0" fontId="52" fillId="4" borderId="0" xfId="0" applyFont="1" applyFill="1" applyAlignment="1">
      <alignment vertical="center"/>
    </xf>
    <xf numFmtId="0" fontId="52" fillId="4" borderId="0" xfId="0" applyFont="1" applyFill="1"/>
    <xf numFmtId="0" fontId="9" fillId="0" borderId="0" xfId="0" applyFont="1"/>
    <xf numFmtId="0" fontId="37" fillId="0" borderId="0" xfId="0" applyFont="1" applyProtection="1">
      <protection hidden="1"/>
    </xf>
    <xf numFmtId="0" fontId="37" fillId="0" borderId="0" xfId="0" applyFont="1" applyAlignment="1">
      <alignment horizontal="center" vertical="center"/>
    </xf>
    <xf numFmtId="0" fontId="57" fillId="0" borderId="0" xfId="0" applyFont="1"/>
    <xf numFmtId="0" fontId="56" fillId="0" borderId="0" xfId="0" applyFont="1" applyAlignment="1">
      <alignment vertical="center"/>
    </xf>
    <xf numFmtId="2" fontId="4" fillId="4" borderId="0" xfId="0" applyNumberFormat="1" applyFont="1" applyFill="1"/>
    <xf numFmtId="0" fontId="20" fillId="0" borderId="1" xfId="0" applyFont="1" applyBorder="1" applyAlignment="1">
      <alignment vertical="top"/>
    </xf>
    <xf numFmtId="3" fontId="41" fillId="4" borderId="0" xfId="0" applyNumberFormat="1" applyFont="1" applyFill="1" applyAlignment="1">
      <alignment horizontal="right" indent="1"/>
    </xf>
    <xf numFmtId="1" fontId="41" fillId="4" borderId="0" xfId="0" applyNumberFormat="1" applyFont="1" applyFill="1" applyAlignment="1">
      <alignment horizontal="right" vertical="center" indent="1"/>
    </xf>
    <xf numFmtId="3" fontId="20" fillId="0" borderId="0" xfId="0" applyNumberFormat="1" applyFont="1" applyAlignment="1">
      <alignment vertical="center"/>
    </xf>
    <xf numFmtId="49" fontId="20" fillId="0" borderId="0" xfId="0" applyNumberFormat="1" applyFont="1" applyAlignment="1">
      <alignment vertical="center"/>
    </xf>
    <xf numFmtId="0" fontId="34" fillId="0" borderId="0" xfId="0" applyFont="1" applyAlignment="1">
      <alignment vertical="top"/>
    </xf>
    <xf numFmtId="0" fontId="20" fillId="0" borderId="0" xfId="0" applyFont="1" applyAlignment="1">
      <alignment horizontal="right" vertical="top"/>
    </xf>
    <xf numFmtId="0" fontId="34" fillId="0" borderId="0" xfId="0" applyFont="1" applyAlignment="1">
      <alignment horizontal="left" vertical="center"/>
    </xf>
    <xf numFmtId="0" fontId="29" fillId="0" borderId="0" xfId="0" applyFont="1" applyAlignment="1">
      <alignment horizontal="left" vertical="center"/>
    </xf>
    <xf numFmtId="0" fontId="55" fillId="4" borderId="0" xfId="0" applyFont="1" applyFill="1"/>
    <xf numFmtId="0" fontId="44" fillId="4" borderId="0" xfId="0" applyFont="1" applyFill="1" applyAlignment="1">
      <alignment horizontal="right" vertical="center"/>
    </xf>
    <xf numFmtId="0" fontId="20" fillId="0" borderId="0" xfId="9" applyFont="1" applyFill="1" applyBorder="1" applyAlignment="1" applyProtection="1">
      <alignment vertical="top"/>
    </xf>
    <xf numFmtId="1" fontId="20" fillId="0" borderId="0" xfId="0" applyNumberFormat="1" applyFont="1" applyAlignment="1">
      <alignment horizontal="left" vertical="center"/>
    </xf>
    <xf numFmtId="0" fontId="37" fillId="4" borderId="0" xfId="0" applyFont="1" applyFill="1" applyAlignment="1">
      <alignment horizontal="center" vertical="center"/>
    </xf>
    <xf numFmtId="0" fontId="25" fillId="0" borderId="0" xfId="0" applyFont="1" applyAlignment="1">
      <alignment vertical="top"/>
    </xf>
    <xf numFmtId="3" fontId="9" fillId="4" borderId="0" xfId="0" applyNumberFormat="1" applyFont="1" applyFill="1" applyAlignment="1">
      <alignment horizontal="right" vertical="top" indent="1"/>
    </xf>
    <xf numFmtId="0" fontId="9" fillId="0" borderId="0" xfId="9" applyFont="1" applyFill="1" applyBorder="1" applyAlignment="1" applyProtection="1">
      <alignment vertical="top"/>
    </xf>
    <xf numFmtId="0" fontId="9" fillId="4" borderId="0" xfId="0" applyFont="1" applyFill="1" applyAlignment="1">
      <alignment horizontal="center" vertical="center"/>
    </xf>
    <xf numFmtId="0" fontId="9" fillId="0" borderId="0" xfId="0" applyFont="1" applyAlignment="1">
      <alignment horizontal="center" vertical="center"/>
    </xf>
    <xf numFmtId="9" fontId="30" fillId="4" borderId="0" xfId="0" applyNumberFormat="1" applyFont="1" applyFill="1" applyAlignment="1">
      <alignment horizontal="center" vertical="center"/>
    </xf>
    <xf numFmtId="169" fontId="20" fillId="4" borderId="0" xfId="0" applyNumberFormat="1" applyFont="1" applyFill="1" applyAlignment="1">
      <alignment horizontal="right"/>
    </xf>
    <xf numFmtId="0" fontId="59" fillId="4" borderId="0" xfId="0" applyFont="1" applyFill="1" applyAlignment="1">
      <alignment horizontal="center" vertical="center" readingOrder="1"/>
    </xf>
    <xf numFmtId="1" fontId="30" fillId="4" borderId="0" xfId="0" applyNumberFormat="1" applyFont="1" applyFill="1" applyAlignment="1" applyProtection="1">
      <alignment horizontal="center"/>
      <protection hidden="1"/>
    </xf>
    <xf numFmtId="3" fontId="20" fillId="4" borderId="0" xfId="0" applyNumberFormat="1" applyFont="1" applyFill="1"/>
    <xf numFmtId="0" fontId="47" fillId="4" borderId="0" xfId="0" applyFont="1" applyFill="1" applyAlignment="1">
      <alignment vertical="center"/>
    </xf>
    <xf numFmtId="0" fontId="35" fillId="4" borderId="0" xfId="0" applyFont="1" applyFill="1"/>
    <xf numFmtId="0" fontId="35" fillId="4" borderId="0" xfId="0" applyFont="1" applyFill="1" applyProtection="1">
      <protection locked="0"/>
    </xf>
    <xf numFmtId="0" fontId="35" fillId="4" borderId="0" xfId="0" applyFont="1" applyFill="1" applyAlignment="1">
      <alignment vertical="center"/>
    </xf>
    <xf numFmtId="0" fontId="61" fillId="4" borderId="0" xfId="0" applyFont="1" applyFill="1" applyAlignment="1">
      <alignment horizontal="left" vertical="center"/>
    </xf>
    <xf numFmtId="0" fontId="29" fillId="0" borderId="0" xfId="0" applyFont="1" applyAlignment="1">
      <alignment vertical="center"/>
    </xf>
    <xf numFmtId="3" fontId="20" fillId="0" borderId="1" xfId="0" applyNumberFormat="1" applyFont="1" applyBorder="1" applyAlignment="1">
      <alignment vertical="center"/>
    </xf>
    <xf numFmtId="3" fontId="20" fillId="0" borderId="28" xfId="0" applyNumberFormat="1" applyFont="1" applyBorder="1" applyAlignment="1">
      <alignment horizontal="right" vertical="top"/>
    </xf>
    <xf numFmtId="3" fontId="20" fillId="0" borderId="4" xfId="0" applyNumberFormat="1" applyFont="1" applyBorder="1" applyAlignment="1">
      <alignment horizontal="right" vertical="top"/>
    </xf>
    <xf numFmtId="3" fontId="20" fillId="0" borderId="1" xfId="0" applyNumberFormat="1" applyFont="1" applyBorder="1" applyAlignment="1">
      <alignment horizontal="right"/>
    </xf>
    <xf numFmtId="3" fontId="20" fillId="0" borderId="2" xfId="0" applyNumberFormat="1" applyFont="1" applyBorder="1" applyAlignment="1">
      <alignment horizontal="right" vertical="center"/>
    </xf>
    <xf numFmtId="14" fontId="4" fillId="4" borderId="0" xfId="0" applyNumberFormat="1" applyFont="1" applyFill="1"/>
    <xf numFmtId="0" fontId="63" fillId="4" borderId="0" xfId="0" applyFont="1" applyFill="1"/>
    <xf numFmtId="0" fontId="9" fillId="4" borderId="0" xfId="0" applyFont="1" applyFill="1" applyAlignment="1">
      <alignment horizontal="right" vertical="center" readingOrder="1"/>
    </xf>
    <xf numFmtId="0" fontId="3" fillId="4" borderId="0" xfId="1" applyFill="1" applyAlignment="1" applyProtection="1">
      <alignment vertical="center" readingOrder="1"/>
    </xf>
    <xf numFmtId="49" fontId="30" fillId="4" borderId="0" xfId="0" applyNumberFormat="1" applyFont="1" applyFill="1"/>
    <xf numFmtId="3" fontId="20" fillId="0" borderId="6" xfId="0" applyNumberFormat="1" applyFont="1" applyBorder="1" applyAlignment="1">
      <alignment vertical="center"/>
    </xf>
    <xf numFmtId="3" fontId="20" fillId="0" borderId="19" xfId="0" applyNumberFormat="1" applyFont="1" applyBorder="1" applyAlignment="1">
      <alignment vertical="center"/>
    </xf>
    <xf numFmtId="0" fontId="34" fillId="4" borderId="0" xfId="0" applyFont="1" applyFill="1"/>
    <xf numFmtId="0" fontId="46" fillId="4" borderId="0" xfId="0" applyFont="1" applyFill="1"/>
    <xf numFmtId="0" fontId="23" fillId="2" borderId="0" xfId="0" applyFont="1" applyFill="1"/>
    <xf numFmtId="3" fontId="20" fillId="4" borderId="0" xfId="0" applyNumberFormat="1" applyFont="1" applyFill="1" applyAlignment="1">
      <alignment horizontal="center" vertical="center"/>
    </xf>
    <xf numFmtId="0" fontId="66" fillId="4" borderId="0" xfId="0" applyFont="1" applyFill="1" applyAlignment="1">
      <alignment vertical="center"/>
    </xf>
    <xf numFmtId="0" fontId="65" fillId="4" borderId="0" xfId="0" applyFont="1" applyFill="1" applyAlignment="1">
      <alignment vertical="center"/>
    </xf>
    <xf numFmtId="0" fontId="20" fillId="0" borderId="1" xfId="0" applyFont="1" applyBorder="1"/>
    <xf numFmtId="0" fontId="67" fillId="4" borderId="0" xfId="0" applyFont="1" applyFill="1" applyAlignment="1">
      <alignment horizontal="left"/>
    </xf>
    <xf numFmtId="0" fontId="58" fillId="4" borderId="0" xfId="0" applyFont="1" applyFill="1" applyProtection="1">
      <protection hidden="1"/>
    </xf>
    <xf numFmtId="0" fontId="37" fillId="0" borderId="0" xfId="0" applyFont="1" applyAlignment="1" applyProtection="1">
      <alignment vertical="center"/>
      <protection hidden="1"/>
    </xf>
    <xf numFmtId="0" fontId="7" fillId="0" borderId="0" xfId="0" applyFont="1" applyAlignment="1">
      <alignment horizontal="left" vertical="center" wrapText="1" indent="1"/>
    </xf>
    <xf numFmtId="3" fontId="7" fillId="4" borderId="0" xfId="0" applyNumberFormat="1" applyFont="1" applyFill="1" applyAlignment="1">
      <alignment horizontal="right" vertical="center" indent="1"/>
    </xf>
    <xf numFmtId="0" fontId="7" fillId="4" borderId="0" xfId="0" applyFont="1" applyFill="1" applyAlignment="1">
      <alignment vertical="center"/>
    </xf>
    <xf numFmtId="0" fontId="7" fillId="4" borderId="0" xfId="0" applyFont="1" applyFill="1" applyAlignment="1">
      <alignment horizontal="left" vertical="center"/>
    </xf>
    <xf numFmtId="0" fontId="20" fillId="0" borderId="45" xfId="0" applyFont="1" applyBorder="1" applyAlignment="1">
      <alignment vertical="top"/>
    </xf>
    <xf numFmtId="3" fontId="20" fillId="0" borderId="45" xfId="0" applyNumberFormat="1" applyFont="1" applyBorder="1" applyAlignment="1">
      <alignment horizontal="right" vertical="top"/>
    </xf>
    <xf numFmtId="3" fontId="20" fillId="0" borderId="45" xfId="0" applyNumberFormat="1" applyFont="1" applyBorder="1" applyAlignment="1">
      <alignment horizontal="right"/>
    </xf>
    <xf numFmtId="3" fontId="20" fillId="0" borderId="45" xfId="0" applyNumberFormat="1" applyFont="1" applyBorder="1" applyAlignment="1">
      <alignment vertical="center"/>
    </xf>
    <xf numFmtId="3" fontId="20" fillId="0" borderId="41" xfId="0" applyNumberFormat="1" applyFont="1" applyBorder="1" applyAlignment="1">
      <alignment vertical="center"/>
    </xf>
    <xf numFmtId="0" fontId="0" fillId="2" borderId="0" xfId="0" applyFill="1"/>
    <xf numFmtId="0" fontId="13" fillId="2" borderId="0" xfId="0" applyFont="1" applyFill="1"/>
    <xf numFmtId="0" fontId="4" fillId="2" borderId="0" xfId="0" applyFont="1" applyFill="1" applyAlignment="1">
      <alignment horizontal="left"/>
    </xf>
    <xf numFmtId="0" fontId="2" fillId="2" borderId="0" xfId="0" applyFont="1" applyFill="1"/>
    <xf numFmtId="0" fontId="18" fillId="0" borderId="0" xfId="0" applyFont="1" applyAlignment="1">
      <alignment horizontal="center" vertical="center"/>
    </xf>
    <xf numFmtId="0" fontId="14" fillId="2" borderId="0" xfId="0" applyFont="1" applyFill="1"/>
    <xf numFmtId="0" fontId="14" fillId="2" borderId="0" xfId="0" quotePrefix="1" applyFont="1" applyFill="1"/>
    <xf numFmtId="0" fontId="0" fillId="2" borderId="0" xfId="0" quotePrefix="1" applyFill="1"/>
    <xf numFmtId="0" fontId="68" fillId="0" borderId="0" xfId="0" applyFont="1"/>
    <xf numFmtId="0" fontId="69" fillId="0" borderId="0" xfId="0" applyFont="1"/>
    <xf numFmtId="0" fontId="19" fillId="2" borderId="0" xfId="0" applyFont="1" applyFill="1"/>
    <xf numFmtId="0" fontId="22" fillId="0" borderId="0" xfId="0" applyFont="1"/>
    <xf numFmtId="0" fontId="4" fillId="4" borderId="0" xfId="0" applyFont="1" applyFill="1" applyAlignment="1">
      <alignment vertical="center"/>
    </xf>
    <xf numFmtId="0" fontId="4" fillId="0" borderId="0" xfId="0" applyFont="1" applyAlignment="1">
      <alignment horizontal="left"/>
    </xf>
    <xf numFmtId="0" fontId="4" fillId="0" borderId="0" xfId="0" applyFont="1" applyAlignment="1">
      <alignment vertical="center" wrapText="1"/>
    </xf>
    <xf numFmtId="0" fontId="20" fillId="4" borderId="0" xfId="0" applyFont="1" applyFill="1" applyAlignment="1">
      <alignment horizontal="right" vertical="center"/>
    </xf>
    <xf numFmtId="3" fontId="37" fillId="4" borderId="0" xfId="0" applyNumberFormat="1" applyFont="1" applyFill="1" applyAlignment="1" applyProtection="1">
      <alignment vertical="center"/>
      <protection hidden="1"/>
    </xf>
    <xf numFmtId="0" fontId="70" fillId="4" borderId="0" xfId="0" applyFont="1" applyFill="1" applyAlignment="1">
      <alignment vertical="center"/>
    </xf>
    <xf numFmtId="49" fontId="20" fillId="0" borderId="0" xfId="0" applyNumberFormat="1" applyFont="1" applyAlignment="1">
      <alignment horizontal="center" vertical="center"/>
    </xf>
    <xf numFmtId="0" fontId="28" fillId="4" borderId="0" xfId="0" applyFont="1" applyFill="1" applyAlignment="1" applyProtection="1">
      <alignment vertical="center"/>
      <protection locked="0"/>
    </xf>
    <xf numFmtId="169" fontId="5" fillId="4" borderId="0" xfId="0" applyNumberFormat="1" applyFont="1" applyFill="1" applyAlignment="1" applyProtection="1">
      <alignment horizontal="center" vertical="top"/>
      <protection locked="0"/>
    </xf>
    <xf numFmtId="0" fontId="32" fillId="4" borderId="0" xfId="0" applyFont="1" applyFill="1" applyAlignment="1" applyProtection="1">
      <alignment horizontal="center"/>
      <protection locked="0"/>
    </xf>
    <xf numFmtId="0" fontId="4" fillId="0" borderId="0" xfId="0" applyFont="1" applyAlignment="1">
      <alignment horizontal="left" vertical="center"/>
    </xf>
    <xf numFmtId="0" fontId="60" fillId="4" borderId="0" xfId="0" applyFont="1" applyFill="1" applyAlignment="1">
      <alignment vertical="center"/>
    </xf>
    <xf numFmtId="0" fontId="2" fillId="0" borderId="0" xfId="0" applyFont="1" applyAlignment="1">
      <alignment horizontal="center"/>
    </xf>
    <xf numFmtId="0" fontId="0" fillId="0" borderId="0" xfId="0" applyAlignment="1">
      <alignment vertical="center"/>
    </xf>
    <xf numFmtId="0" fontId="2" fillId="0" borderId="0" xfId="0" applyFont="1" applyAlignment="1">
      <alignment vertical="center"/>
    </xf>
    <xf numFmtId="3" fontId="20" fillId="0" borderId="0" xfId="0" applyNumberFormat="1" applyFont="1" applyAlignment="1">
      <alignment horizontal="right"/>
    </xf>
    <xf numFmtId="0" fontId="30" fillId="0" borderId="0" xfId="0" applyFont="1" applyAlignment="1">
      <alignment horizontal="right"/>
    </xf>
    <xf numFmtId="0" fontId="60" fillId="0" borderId="0" xfId="0" applyFont="1"/>
    <xf numFmtId="0" fontId="44" fillId="4" borderId="0" xfId="0" applyFont="1" applyFill="1" applyAlignment="1">
      <alignment vertical="center"/>
    </xf>
    <xf numFmtId="0" fontId="44" fillId="4" borderId="0" xfId="0" applyFont="1" applyFill="1" applyAlignment="1">
      <alignment horizontal="left" vertical="center"/>
    </xf>
    <xf numFmtId="0" fontId="9" fillId="4" borderId="0" xfId="0" applyFont="1" applyFill="1" applyAlignment="1">
      <alignment horizontal="left" vertical="center"/>
    </xf>
    <xf numFmtId="0" fontId="4" fillId="0" borderId="0" xfId="0" applyFont="1" applyAlignment="1" applyProtection="1">
      <alignment vertical="center"/>
      <protection locked="0"/>
    </xf>
    <xf numFmtId="0" fontId="33" fillId="4" borderId="0" xfId="0" applyFont="1" applyFill="1" applyAlignment="1">
      <alignment horizontal="left" vertical="center"/>
    </xf>
    <xf numFmtId="0" fontId="71" fillId="4" borderId="0" xfId="0" applyFont="1" applyFill="1" applyAlignment="1">
      <alignment horizontal="center" vertical="center"/>
    </xf>
    <xf numFmtId="0" fontId="33" fillId="0" borderId="0" xfId="0" applyFont="1" applyAlignment="1">
      <alignment vertical="center"/>
    </xf>
    <xf numFmtId="0" fontId="19" fillId="0" borderId="0" xfId="0" applyFont="1" applyAlignment="1">
      <alignment vertical="center"/>
    </xf>
    <xf numFmtId="0" fontId="40" fillId="4" borderId="0" xfId="0" applyFont="1" applyFill="1" applyAlignment="1">
      <alignment horizontal="right" vertical="center"/>
    </xf>
    <xf numFmtId="0" fontId="4" fillId="0" borderId="0" xfId="1" applyFont="1" applyFill="1" applyAlignment="1" applyProtection="1">
      <alignment vertical="center"/>
    </xf>
    <xf numFmtId="0" fontId="56" fillId="4" borderId="0" xfId="0" applyFont="1" applyFill="1" applyAlignment="1">
      <alignment horizontal="left" vertical="center"/>
    </xf>
    <xf numFmtId="0" fontId="72" fillId="4" borderId="0" xfId="0" applyFont="1" applyFill="1" applyAlignment="1">
      <alignment vertical="center"/>
    </xf>
    <xf numFmtId="0" fontId="66" fillId="4" borderId="0" xfId="0" applyFont="1" applyFill="1" applyAlignment="1">
      <alignment horizontal="left" vertical="center" indent="3"/>
    </xf>
    <xf numFmtId="0" fontId="4" fillId="0" borderId="0" xfId="0" applyFont="1" applyAlignment="1">
      <alignment horizontal="center" vertical="center"/>
    </xf>
    <xf numFmtId="14" fontId="4" fillId="0" borderId="0" xfId="0" applyNumberFormat="1" applyFont="1" applyAlignment="1" applyProtection="1">
      <alignment vertical="center"/>
      <protection locked="0"/>
    </xf>
    <xf numFmtId="0" fontId="0" fillId="2" borderId="0" xfId="0" applyFill="1" applyAlignment="1">
      <alignment vertical="center"/>
    </xf>
    <xf numFmtId="0" fontId="4" fillId="2" borderId="0" xfId="0" applyFont="1" applyFill="1" applyAlignment="1">
      <alignment vertical="center"/>
    </xf>
    <xf numFmtId="0" fontId="23" fillId="2" borderId="0" xfId="0" applyFont="1" applyFill="1" applyAlignment="1">
      <alignment vertical="center"/>
    </xf>
    <xf numFmtId="0" fontId="4" fillId="2" borderId="0" xfId="0" applyFont="1" applyFill="1" applyAlignment="1">
      <alignment horizontal="center" vertical="center"/>
    </xf>
    <xf numFmtId="0" fontId="19" fillId="2" borderId="0" xfId="0" applyFont="1" applyFill="1" applyAlignment="1">
      <alignment vertical="center"/>
    </xf>
    <xf numFmtId="0" fontId="2" fillId="2" borderId="0" xfId="0" applyFont="1" applyFill="1" applyAlignment="1">
      <alignment horizontal="right" vertical="center"/>
    </xf>
    <xf numFmtId="0" fontId="4" fillId="2" borderId="0" xfId="0" applyFont="1" applyFill="1" applyAlignment="1">
      <alignment horizontal="left" vertical="center"/>
    </xf>
    <xf numFmtId="0" fontId="2" fillId="2" borderId="0" xfId="0" applyFont="1" applyFill="1" applyAlignment="1">
      <alignment vertical="center"/>
    </xf>
    <xf numFmtId="0" fontId="20" fillId="14" borderId="3" xfId="0" applyFont="1" applyFill="1" applyBorder="1" applyAlignment="1">
      <alignment horizontal="center" vertical="center"/>
    </xf>
    <xf numFmtId="0" fontId="9" fillId="15" borderId="3" xfId="0" applyFont="1" applyFill="1" applyBorder="1" applyAlignment="1" applyProtection="1">
      <alignment horizontal="center" vertical="center"/>
      <protection locked="0"/>
    </xf>
    <xf numFmtId="14" fontId="4" fillId="2" borderId="0" xfId="0" applyNumberFormat="1" applyFont="1" applyFill="1" applyAlignment="1">
      <alignment horizontal="left"/>
    </xf>
    <xf numFmtId="0" fontId="76" fillId="2" borderId="0" xfId="0" applyFont="1" applyFill="1"/>
    <xf numFmtId="0" fontId="25" fillId="4" borderId="0" xfId="0" applyFont="1" applyFill="1" applyAlignment="1">
      <alignment vertical="center" readingOrder="1"/>
    </xf>
    <xf numFmtId="0" fontId="55" fillId="0" borderId="0" xfId="0" applyFont="1" applyAlignment="1">
      <alignment horizontal="left"/>
    </xf>
    <xf numFmtId="0" fontId="9" fillId="14" borderId="3" xfId="0" applyFont="1" applyFill="1" applyBorder="1" applyAlignment="1">
      <alignment horizontal="center" vertical="center"/>
    </xf>
    <xf numFmtId="0" fontId="9" fillId="14" borderId="9" xfId="0" applyFont="1" applyFill="1" applyBorder="1" applyAlignment="1">
      <alignment horizontal="left" vertical="center"/>
    </xf>
    <xf numFmtId="0" fontId="78" fillId="4" borderId="0" xfId="0" applyFont="1" applyFill="1" applyAlignment="1">
      <alignment horizontal="center" vertical="center"/>
    </xf>
    <xf numFmtId="49" fontId="20" fillId="4" borderId="1" xfId="0" applyNumberFormat="1" applyFont="1" applyFill="1" applyBorder="1" applyAlignment="1">
      <alignment horizontal="center" vertical="center"/>
    </xf>
    <xf numFmtId="0" fontId="20" fillId="16" borderId="3" xfId="0" applyFont="1" applyFill="1" applyBorder="1" applyAlignment="1" applyProtection="1">
      <alignment vertical="center"/>
      <protection hidden="1"/>
    </xf>
    <xf numFmtId="38" fontId="20" fillId="16" borderId="16" xfId="0" applyNumberFormat="1" applyFont="1" applyFill="1" applyBorder="1" applyAlignment="1">
      <alignment vertical="center"/>
    </xf>
    <xf numFmtId="38" fontId="20" fillId="16" borderId="53" xfId="0" applyNumberFormat="1" applyFont="1" applyFill="1" applyBorder="1" applyAlignment="1">
      <alignment vertical="center"/>
    </xf>
    <xf numFmtId="38" fontId="20" fillId="16" borderId="9" xfId="0" applyNumberFormat="1" applyFont="1" applyFill="1" applyBorder="1" applyAlignment="1">
      <alignment horizontal="center" vertical="center"/>
    </xf>
    <xf numFmtId="0" fontId="20" fillId="0" borderId="37" xfId="0" applyFont="1" applyBorder="1" applyAlignment="1" applyProtection="1">
      <alignment vertical="center"/>
      <protection hidden="1"/>
    </xf>
    <xf numFmtId="3" fontId="20" fillId="15" borderId="36" xfId="0" applyNumberFormat="1" applyFont="1" applyFill="1" applyBorder="1" applyAlignment="1" applyProtection="1">
      <alignment horizontal="right" vertical="center"/>
      <protection locked="0"/>
    </xf>
    <xf numFmtId="3" fontId="20" fillId="0" borderId="37" xfId="6" applyNumberFormat="1" applyFont="1" applyBorder="1" applyAlignment="1">
      <alignment horizontal="right" vertical="center"/>
    </xf>
    <xf numFmtId="0" fontId="62" fillId="0" borderId="0" xfId="0" applyFont="1" applyAlignment="1">
      <alignment horizontal="left" vertical="center"/>
    </xf>
    <xf numFmtId="0" fontId="20" fillId="0" borderId="45" xfId="0" applyFont="1" applyBorder="1" applyAlignment="1" applyProtection="1">
      <alignment vertical="center"/>
      <protection hidden="1"/>
    </xf>
    <xf numFmtId="3" fontId="20" fillId="15" borderId="54" xfId="0" applyNumberFormat="1" applyFont="1" applyFill="1" applyBorder="1" applyAlignment="1" applyProtection="1">
      <alignment horizontal="right" vertical="center"/>
      <protection locked="0"/>
    </xf>
    <xf numFmtId="3" fontId="20" fillId="0" borderId="45" xfId="6" applyNumberFormat="1" applyFont="1" applyBorder="1" applyAlignment="1">
      <alignment horizontal="right" vertical="center"/>
    </xf>
    <xf numFmtId="0" fontId="20" fillId="0" borderId="7" xfId="0" applyFont="1" applyBorder="1" applyAlignment="1" applyProtection="1">
      <alignment vertical="center"/>
      <protection hidden="1"/>
    </xf>
    <xf numFmtId="0" fontId="20" fillId="15" borderId="41" xfId="0" applyFont="1" applyFill="1" applyBorder="1" applyAlignment="1" applyProtection="1">
      <alignment vertical="center"/>
      <protection hidden="1"/>
    </xf>
    <xf numFmtId="3" fontId="20" fillId="0" borderId="1" xfId="6" applyNumberFormat="1" applyFont="1" applyBorder="1" applyAlignment="1">
      <alignment horizontal="right" vertical="center"/>
    </xf>
    <xf numFmtId="49" fontId="20" fillId="4" borderId="28" xfId="0" applyNumberFormat="1" applyFont="1" applyFill="1" applyBorder="1" applyAlignment="1">
      <alignment horizontal="center" vertical="center"/>
    </xf>
    <xf numFmtId="0" fontId="20" fillId="0" borderId="3" xfId="0" applyFont="1" applyBorder="1" applyAlignment="1" applyProtection="1">
      <alignment vertical="center"/>
      <protection hidden="1"/>
    </xf>
    <xf numFmtId="3" fontId="20" fillId="0" borderId="3" xfId="0" applyNumberFormat="1" applyFont="1" applyBorder="1" applyAlignment="1">
      <alignment horizontal="right" vertical="center"/>
    </xf>
    <xf numFmtId="3" fontId="20" fillId="0" borderId="3" xfId="6" applyNumberFormat="1" applyFont="1" applyBorder="1" applyAlignment="1">
      <alignment horizontal="right" vertical="center"/>
    </xf>
    <xf numFmtId="0" fontId="20" fillId="16" borderId="3" xfId="0" applyFont="1" applyFill="1" applyBorder="1" applyAlignment="1">
      <alignment vertical="center"/>
    </xf>
    <xf numFmtId="0" fontId="20" fillId="0" borderId="45" xfId="0" applyFont="1" applyBorder="1" applyAlignment="1">
      <alignment vertical="center"/>
    </xf>
    <xf numFmtId="3" fontId="20" fillId="0" borderId="41" xfId="6" applyNumberFormat="1" applyFont="1" applyBorder="1" applyAlignment="1">
      <alignment horizontal="right" vertical="center"/>
    </xf>
    <xf numFmtId="0" fontId="20" fillId="0" borderId="3" xfId="0" applyFont="1" applyBorder="1" applyAlignment="1">
      <alignment vertical="center"/>
    </xf>
    <xf numFmtId="0" fontId="20" fillId="0" borderId="41" xfId="0" applyFont="1" applyBorder="1" applyAlignment="1">
      <alignment vertical="center"/>
    </xf>
    <xf numFmtId="173" fontId="4" fillId="4" borderId="0" xfId="6" applyNumberFormat="1" applyFont="1" applyFill="1" applyBorder="1" applyAlignment="1">
      <alignment horizontal="center" vertical="center"/>
    </xf>
    <xf numFmtId="9" fontId="4" fillId="4" borderId="0" xfId="3" applyFont="1" applyFill="1" applyBorder="1" applyAlignment="1">
      <alignment horizontal="center" vertical="center"/>
    </xf>
    <xf numFmtId="0" fontId="20" fillId="18" borderId="41" xfId="0" applyFont="1" applyFill="1" applyBorder="1" applyAlignment="1">
      <alignment vertical="center"/>
    </xf>
    <xf numFmtId="0" fontId="4" fillId="4" borderId="0" xfId="0" applyFont="1" applyFill="1" applyAlignment="1">
      <alignment horizontal="center" vertical="center"/>
    </xf>
    <xf numFmtId="0" fontId="4" fillId="4" borderId="0" xfId="0" applyFont="1" applyFill="1" applyAlignment="1">
      <alignment horizontal="right" vertical="center"/>
    </xf>
    <xf numFmtId="0" fontId="29" fillId="4" borderId="0" xfId="0" applyFont="1" applyFill="1" applyAlignment="1">
      <alignment horizontal="center" vertical="center"/>
    </xf>
    <xf numFmtId="1" fontId="4" fillId="4" borderId="0" xfId="0" applyNumberFormat="1" applyFont="1" applyFill="1" applyAlignment="1">
      <alignment horizontal="center" vertical="center"/>
    </xf>
    <xf numFmtId="9" fontId="4" fillId="4" borderId="0" xfId="0" applyNumberFormat="1" applyFont="1" applyFill="1" applyAlignment="1">
      <alignment horizontal="center" vertical="center"/>
    </xf>
    <xf numFmtId="0" fontId="20" fillId="4" borderId="1" xfId="0" applyFont="1" applyFill="1" applyBorder="1" applyAlignment="1">
      <alignment horizontal="center" vertical="center"/>
    </xf>
    <xf numFmtId="0" fontId="20" fillId="18" borderId="45" xfId="0" applyFont="1" applyFill="1" applyBorder="1" applyAlignment="1">
      <alignment vertical="center"/>
    </xf>
    <xf numFmtId="0" fontId="20" fillId="0" borderId="11" xfId="0" applyFont="1" applyBorder="1" applyAlignment="1">
      <alignment vertical="center"/>
    </xf>
    <xf numFmtId="3" fontId="20" fillId="0" borderId="11" xfId="6" applyNumberFormat="1" applyFont="1" applyBorder="1" applyAlignment="1">
      <alignment horizontal="right" vertical="center"/>
    </xf>
    <xf numFmtId="3" fontId="20" fillId="0" borderId="0" xfId="0" applyNumberFormat="1" applyFont="1" applyAlignment="1">
      <alignment horizontal="right" vertical="center"/>
    </xf>
    <xf numFmtId="3" fontId="20" fillId="0" borderId="0" xfId="6" applyNumberFormat="1" applyFont="1" applyBorder="1" applyAlignment="1">
      <alignment horizontal="right" vertical="center"/>
    </xf>
    <xf numFmtId="0" fontId="4" fillId="4" borderId="0" xfId="0" applyFont="1" applyFill="1" applyAlignment="1">
      <alignment horizontal="left" vertical="center"/>
    </xf>
    <xf numFmtId="0" fontId="20" fillId="16" borderId="16" xfId="0" applyFont="1" applyFill="1" applyBorder="1" applyAlignment="1">
      <alignment vertical="center"/>
    </xf>
    <xf numFmtId="3" fontId="20" fillId="16" borderId="53" xfId="0" applyNumberFormat="1" applyFont="1" applyFill="1" applyBorder="1" applyAlignment="1">
      <alignment horizontal="right" vertical="center"/>
    </xf>
    <xf numFmtId="3" fontId="20" fillId="16" borderId="53" xfId="0" applyNumberFormat="1" applyFont="1" applyFill="1" applyBorder="1" applyAlignment="1" applyProtection="1">
      <alignment horizontal="right" vertical="center"/>
      <protection locked="0"/>
    </xf>
    <xf numFmtId="3" fontId="20" fillId="16" borderId="9" xfId="0" applyNumberFormat="1" applyFont="1" applyFill="1" applyBorder="1" applyAlignment="1" applyProtection="1">
      <alignment horizontal="right" vertical="center"/>
      <protection locked="0"/>
    </xf>
    <xf numFmtId="0" fontId="20" fillId="0" borderId="37" xfId="0" applyFont="1" applyBorder="1" applyAlignment="1">
      <alignment vertical="center"/>
    </xf>
    <xf numFmtId="3" fontId="20" fillId="0" borderId="37" xfId="0" applyNumberFormat="1" applyFont="1" applyBorder="1" applyAlignment="1">
      <alignment horizontal="right" vertical="center"/>
    </xf>
    <xf numFmtId="3" fontId="20" fillId="0" borderId="45" xfId="0" applyNumberFormat="1" applyFont="1" applyBorder="1" applyAlignment="1">
      <alignment horizontal="right" vertical="center"/>
    </xf>
    <xf numFmtId="3" fontId="20" fillId="0" borderId="41" xfId="0" applyNumberFormat="1" applyFont="1" applyBorder="1" applyAlignment="1">
      <alignment horizontal="right" vertical="center"/>
    </xf>
    <xf numFmtId="3" fontId="20" fillId="15" borderId="52" xfId="0" applyNumberFormat="1" applyFont="1" applyFill="1" applyBorder="1" applyAlignment="1" applyProtection="1">
      <alignment horizontal="right" vertical="center"/>
      <protection locked="0"/>
    </xf>
    <xf numFmtId="3" fontId="20" fillId="0" borderId="9" xfId="0" applyNumberFormat="1" applyFont="1" applyBorder="1" applyAlignment="1">
      <alignment horizontal="right" vertical="center"/>
    </xf>
    <xf numFmtId="3" fontId="20" fillId="0" borderId="54" xfId="0" applyNumberFormat="1" applyFont="1" applyBorder="1" applyAlignment="1" applyProtection="1">
      <alignment horizontal="right" vertical="center"/>
      <protection locked="0"/>
    </xf>
    <xf numFmtId="3" fontId="20" fillId="0" borderId="35" xfId="0" applyNumberFormat="1" applyFont="1" applyBorder="1" applyAlignment="1">
      <alignment horizontal="right" vertical="center"/>
    </xf>
    <xf numFmtId="0" fontId="20" fillId="0" borderId="28" xfId="0" applyFont="1" applyBorder="1" applyAlignment="1">
      <alignment vertical="center"/>
    </xf>
    <xf numFmtId="3" fontId="20" fillId="0" borderId="28" xfId="0" applyNumberFormat="1" applyFont="1" applyBorder="1" applyAlignment="1">
      <alignment horizontal="right" vertical="center"/>
    </xf>
    <xf numFmtId="3" fontId="20" fillId="0" borderId="29" xfId="0" applyNumberFormat="1" applyFont="1" applyBorder="1" applyAlignment="1">
      <alignment horizontal="right" vertical="center"/>
    </xf>
    <xf numFmtId="0" fontId="20" fillId="4" borderId="25" xfId="0" applyFont="1" applyFill="1" applyBorder="1"/>
    <xf numFmtId="0" fontId="20" fillId="14" borderId="3" xfId="0" applyFont="1" applyFill="1" applyBorder="1" applyAlignment="1">
      <alignment horizontal="center"/>
    </xf>
    <xf numFmtId="0" fontId="20" fillId="14" borderId="9" xfId="0" applyFont="1" applyFill="1" applyBorder="1" applyAlignment="1">
      <alignment horizontal="left"/>
    </xf>
    <xf numFmtId="49" fontId="20" fillId="4" borderId="37" xfId="0" applyNumberFormat="1" applyFont="1" applyFill="1" applyBorder="1" applyAlignment="1">
      <alignment horizontal="center" vertical="center"/>
    </xf>
    <xf numFmtId="0" fontId="20" fillId="15" borderId="37" xfId="0" applyFont="1" applyFill="1" applyBorder="1" applyAlignment="1" applyProtection="1">
      <alignment horizontal="left" vertical="center" indent="1"/>
      <protection locked="0"/>
    </xf>
    <xf numFmtId="3" fontId="20" fillId="15" borderId="37" xfId="6" applyNumberFormat="1" applyFont="1" applyFill="1" applyBorder="1" applyAlignment="1" applyProtection="1">
      <protection locked="0"/>
    </xf>
    <xf numFmtId="9" fontId="20" fillId="15" borderId="3" xfId="3" applyFont="1" applyFill="1" applyBorder="1" applyAlignment="1" applyProtection="1">
      <alignment horizontal="center" vertical="center"/>
      <protection locked="0"/>
    </xf>
    <xf numFmtId="0" fontId="4" fillId="0" borderId="0" xfId="0" applyFont="1" applyAlignment="1" applyProtection="1">
      <alignment horizontal="left" vertical="center" indent="1"/>
      <protection locked="0"/>
    </xf>
    <xf numFmtId="49" fontId="20" fillId="4" borderId="45" xfId="0" applyNumberFormat="1" applyFont="1" applyFill="1" applyBorder="1" applyAlignment="1">
      <alignment horizontal="center" vertical="center"/>
    </xf>
    <xf numFmtId="0" fontId="20" fillId="15" borderId="45" xfId="0" applyFont="1" applyFill="1" applyBorder="1" applyAlignment="1" applyProtection="1">
      <alignment horizontal="left" vertical="center" indent="1"/>
      <protection locked="0"/>
    </xf>
    <xf numFmtId="49" fontId="20" fillId="4" borderId="41" xfId="0" applyNumberFormat="1" applyFont="1" applyFill="1" applyBorder="1" applyAlignment="1">
      <alignment horizontal="center" vertical="center"/>
    </xf>
    <xf numFmtId="0" fontId="20" fillId="15" borderId="41" xfId="0" applyFont="1" applyFill="1" applyBorder="1" applyAlignment="1" applyProtection="1">
      <alignment horizontal="left" vertical="center" indent="1"/>
      <protection locked="0"/>
    </xf>
    <xf numFmtId="3" fontId="20" fillId="15" borderId="41" xfId="6" applyNumberFormat="1" applyFont="1" applyFill="1" applyBorder="1" applyAlignment="1" applyProtection="1">
      <protection locked="0"/>
    </xf>
    <xf numFmtId="0" fontId="20" fillId="0" borderId="28" xfId="0" applyFont="1" applyBorder="1" applyAlignment="1">
      <alignment horizontal="left" vertical="center" wrapText="1"/>
    </xf>
    <xf numFmtId="3" fontId="20" fillId="4" borderId="28" xfId="0" applyNumberFormat="1" applyFont="1" applyFill="1" applyBorder="1" applyAlignment="1">
      <alignment vertical="center"/>
    </xf>
    <xf numFmtId="49" fontId="4" fillId="0" borderId="0" xfId="0" applyNumberFormat="1" applyFont="1" applyAlignment="1">
      <alignment horizontal="left" vertical="center" wrapText="1" indent="1"/>
    </xf>
    <xf numFmtId="0" fontId="4" fillId="0" borderId="0" xfId="0" applyFont="1" applyAlignment="1">
      <alignment horizontal="left" vertical="center" wrapText="1"/>
    </xf>
    <xf numFmtId="0" fontId="49" fillId="0" borderId="0" xfId="1" applyFont="1" applyFill="1" applyBorder="1" applyAlignment="1" applyProtection="1">
      <alignment horizontal="left"/>
    </xf>
    <xf numFmtId="3" fontId="20" fillId="12" borderId="45" xfId="0" applyNumberFormat="1" applyFont="1" applyFill="1" applyBorder="1" applyAlignment="1" applyProtection="1">
      <alignment horizontal="right"/>
      <protection locked="0"/>
    </xf>
    <xf numFmtId="3" fontId="20" fillId="0" borderId="13" xfId="0" applyNumberFormat="1" applyFont="1" applyBorder="1"/>
    <xf numFmtId="3" fontId="20" fillId="0" borderId="3" xfId="0" applyNumberFormat="1" applyFont="1" applyBorder="1"/>
    <xf numFmtId="3" fontId="20" fillId="12" borderId="56" xfId="0" applyNumberFormat="1" applyFont="1" applyFill="1" applyBorder="1" applyAlignment="1" applyProtection="1">
      <alignment horizontal="right"/>
      <protection locked="0"/>
    </xf>
    <xf numFmtId="3" fontId="20" fillId="0" borderId="56" xfId="0" applyNumberFormat="1" applyFont="1" applyBorder="1"/>
    <xf numFmtId="0" fontId="35" fillId="12" borderId="50" xfId="7" applyFont="1" applyFill="1" applyBorder="1" applyAlignment="1" applyProtection="1">
      <alignment vertical="center"/>
      <protection locked="0"/>
    </xf>
    <xf numFmtId="0" fontId="78" fillId="4" borderId="0" xfId="0" applyFont="1" applyFill="1" applyAlignment="1">
      <alignment vertical="center"/>
    </xf>
    <xf numFmtId="1" fontId="28" fillId="4" borderId="0" xfId="0" applyNumberFormat="1" applyFont="1" applyFill="1" applyAlignment="1">
      <alignment horizontal="left" vertical="center"/>
    </xf>
    <xf numFmtId="0" fontId="70" fillId="4" borderId="0" xfId="0" applyFont="1" applyFill="1" applyAlignment="1">
      <alignment horizontal="left" vertical="center"/>
    </xf>
    <xf numFmtId="0" fontId="83" fillId="4" borderId="0" xfId="0" applyFont="1" applyFill="1" applyAlignment="1">
      <alignment vertical="center"/>
    </xf>
    <xf numFmtId="0" fontId="70" fillId="4" borderId="0" xfId="0" applyFont="1" applyFill="1" applyAlignment="1">
      <alignment horizontal="center" vertical="center"/>
    </xf>
    <xf numFmtId="1" fontId="4" fillId="0" borderId="0" xfId="0" applyNumberFormat="1" applyFont="1" applyAlignment="1" applyProtection="1">
      <alignment horizontal="left" vertical="center"/>
      <protection hidden="1"/>
    </xf>
    <xf numFmtId="0" fontId="78" fillId="0" borderId="0" xfId="0" applyFont="1" applyAlignment="1">
      <alignment vertical="center"/>
    </xf>
    <xf numFmtId="0" fontId="84" fillId="0" borderId="0" xfId="0" applyFont="1" applyAlignment="1">
      <alignment vertical="center"/>
    </xf>
    <xf numFmtId="0" fontId="31" fillId="4" borderId="0" xfId="0" applyFont="1" applyFill="1" applyAlignment="1">
      <alignment horizontal="center" vertical="center"/>
    </xf>
    <xf numFmtId="0" fontId="31" fillId="4" borderId="0" xfId="0" applyFont="1" applyFill="1" applyAlignment="1">
      <alignment horizontal="right" vertical="center"/>
    </xf>
    <xf numFmtId="0" fontId="85" fillId="0" borderId="0" xfId="0" applyFont="1" applyAlignment="1">
      <alignment vertical="center"/>
    </xf>
    <xf numFmtId="0" fontId="86" fillId="0" borderId="25" xfId="0" applyFont="1" applyBorder="1" applyAlignment="1">
      <alignment horizontal="center" vertical="center"/>
    </xf>
    <xf numFmtId="0" fontId="55" fillId="4" borderId="0" xfId="0" applyFont="1" applyFill="1" applyAlignment="1">
      <alignment horizontal="center" vertical="center"/>
    </xf>
    <xf numFmtId="0" fontId="85" fillId="0" borderId="0" xfId="0" applyFont="1" applyAlignment="1">
      <alignment horizontal="center" vertical="center"/>
    </xf>
    <xf numFmtId="0" fontId="35" fillId="4" borderId="0" xfId="0" applyFont="1" applyFill="1" applyAlignment="1">
      <alignment horizontal="center" vertical="center"/>
    </xf>
    <xf numFmtId="0" fontId="31" fillId="0" borderId="0" xfId="0" applyFont="1" applyAlignment="1">
      <alignment horizontal="center" vertical="center"/>
    </xf>
    <xf numFmtId="0" fontId="84" fillId="0" borderId="0" xfId="0" applyFont="1" applyAlignment="1">
      <alignment horizontal="center" vertical="center"/>
    </xf>
    <xf numFmtId="49" fontId="20" fillId="4" borderId="0" xfId="0" applyNumberFormat="1" applyFont="1" applyFill="1" applyAlignment="1" applyProtection="1">
      <alignment horizontal="center" textRotation="90"/>
      <protection hidden="1"/>
    </xf>
    <xf numFmtId="0" fontId="9" fillId="14" borderId="16" xfId="0" applyFont="1" applyFill="1" applyBorder="1" applyAlignment="1" applyProtection="1">
      <alignment horizontal="center" vertical="center"/>
      <protection hidden="1"/>
    </xf>
    <xf numFmtId="0" fontId="9" fillId="14" borderId="3" xfId="0" applyFont="1" applyFill="1" applyBorder="1" applyAlignment="1" applyProtection="1">
      <alignment horizontal="center" vertical="center" wrapText="1"/>
      <protection hidden="1"/>
    </xf>
    <xf numFmtId="0" fontId="9" fillId="14" borderId="28" xfId="0" applyFont="1" applyFill="1" applyBorder="1" applyAlignment="1" applyProtection="1">
      <alignment horizontal="center" vertical="center" wrapText="1"/>
      <protection hidden="1"/>
    </xf>
    <xf numFmtId="0" fontId="4" fillId="0" borderId="0" xfId="0" applyFont="1" applyAlignment="1" applyProtection="1">
      <alignment horizontal="left" vertical="center"/>
      <protection hidden="1"/>
    </xf>
    <xf numFmtId="0" fontId="4" fillId="0" borderId="0" xfId="0" applyFont="1" applyAlignment="1" applyProtection="1">
      <alignment vertical="center"/>
      <protection hidden="1"/>
    </xf>
    <xf numFmtId="0" fontId="4" fillId="0" borderId="0" xfId="0" applyFont="1" applyProtection="1">
      <protection hidden="1"/>
    </xf>
    <xf numFmtId="1" fontId="20" fillId="2" borderId="6" xfId="0" applyNumberFormat="1" applyFont="1" applyFill="1" applyBorder="1" applyAlignment="1">
      <alignment horizontal="center" vertical="center"/>
    </xf>
    <xf numFmtId="1" fontId="35" fillId="15" borderId="59" xfId="7" applyNumberFormat="1" applyFont="1" applyFill="1" applyBorder="1" applyAlignment="1" applyProtection="1">
      <alignment vertical="center"/>
      <protection locked="0"/>
    </xf>
    <xf numFmtId="3" fontId="20" fillId="15" borderId="37" xfId="0" applyNumberFormat="1" applyFont="1" applyFill="1" applyBorder="1" applyAlignment="1" applyProtection="1">
      <alignment vertical="center"/>
      <protection locked="0"/>
    </xf>
    <xf numFmtId="1" fontId="20" fillId="15" borderId="37" xfId="2" applyNumberFormat="1" applyFont="1" applyFill="1" applyBorder="1" applyAlignment="1" applyProtection="1">
      <alignment horizontal="center" vertical="center"/>
      <protection locked="0"/>
    </xf>
    <xf numFmtId="0" fontId="20" fillId="0" borderId="0" xfId="0" applyFont="1" applyAlignment="1">
      <alignment horizontal="right" vertical="center"/>
    </xf>
    <xf numFmtId="0" fontId="4" fillId="0" borderId="0" xfId="0" applyFont="1" applyAlignment="1" applyProtection="1">
      <alignment horizontal="left" vertical="center"/>
      <protection locked="0"/>
    </xf>
    <xf numFmtId="1" fontId="4" fillId="0" borderId="0" xfId="0" applyNumberFormat="1" applyFont="1" applyAlignment="1" applyProtection="1">
      <alignment vertical="center"/>
      <protection hidden="1"/>
    </xf>
    <xf numFmtId="0" fontId="87" fillId="0" borderId="0" xfId="0" applyFont="1" applyAlignment="1">
      <alignment vertical="center"/>
    </xf>
    <xf numFmtId="49" fontId="20" fillId="4" borderId="7" xfId="0" applyNumberFormat="1" applyFont="1" applyFill="1" applyBorder="1" applyAlignment="1" applyProtection="1">
      <alignment horizontal="center" textRotation="90"/>
      <protection hidden="1"/>
    </xf>
    <xf numFmtId="1" fontId="88" fillId="0" borderId="3" xfId="2" applyNumberFormat="1" applyFont="1" applyFill="1" applyBorder="1" applyAlignment="1" applyProtection="1">
      <alignment horizontal="center" vertical="center"/>
      <protection locked="0"/>
    </xf>
    <xf numFmtId="166" fontId="88" fillId="0" borderId="16" xfId="0" applyNumberFormat="1" applyFont="1" applyBorder="1" applyAlignment="1" applyProtection="1">
      <alignment horizontal="left" vertical="center"/>
      <protection hidden="1"/>
    </xf>
    <xf numFmtId="3" fontId="88" fillId="0" borderId="3" xfId="0" applyNumberFormat="1" applyFont="1" applyBorder="1" applyAlignment="1">
      <alignment vertical="center"/>
    </xf>
    <xf numFmtId="1" fontId="88" fillId="19" borderId="3" xfId="2" applyNumberFormat="1" applyFont="1" applyFill="1" applyBorder="1" applyAlignment="1" applyProtection="1">
      <alignment horizontal="center" vertical="center"/>
      <protection locked="0"/>
    </xf>
    <xf numFmtId="1" fontId="20" fillId="19" borderId="3" xfId="2" applyNumberFormat="1" applyFont="1" applyFill="1" applyBorder="1" applyAlignment="1" applyProtection="1">
      <alignment horizontal="center" vertical="center"/>
      <protection locked="0"/>
    </xf>
    <xf numFmtId="0" fontId="4" fillId="0" borderId="0" xfId="0" applyFont="1" applyAlignment="1" applyProtection="1">
      <alignment horizontal="left"/>
      <protection hidden="1"/>
    </xf>
    <xf numFmtId="49" fontId="20" fillId="0" borderId="16" xfId="0" applyNumberFormat="1" applyFont="1" applyBorder="1" applyAlignment="1" applyProtection="1">
      <alignment vertical="center"/>
      <protection hidden="1"/>
    </xf>
    <xf numFmtId="166" fontId="20" fillId="0" borderId="9" xfId="0" applyNumberFormat="1" applyFont="1" applyBorder="1" applyAlignment="1" applyProtection="1">
      <alignment horizontal="left" vertical="center"/>
      <protection hidden="1"/>
    </xf>
    <xf numFmtId="3" fontId="20" fillId="0" borderId="3" xfId="0" applyNumberFormat="1" applyFont="1" applyBorder="1" applyAlignment="1" applyProtection="1">
      <alignment horizontal="right" vertical="center"/>
      <protection hidden="1"/>
    </xf>
    <xf numFmtId="0" fontId="20" fillId="0" borderId="34" xfId="0" applyFont="1" applyBorder="1" applyAlignment="1" applyProtection="1">
      <alignment vertical="center"/>
      <protection hidden="1"/>
    </xf>
    <xf numFmtId="0" fontId="20" fillId="0" borderId="31" xfId="0" applyFont="1" applyBorder="1" applyAlignment="1" applyProtection="1">
      <alignment vertical="center"/>
      <protection hidden="1"/>
    </xf>
    <xf numFmtId="49" fontId="4" fillId="0" borderId="0" xfId="0" applyNumberFormat="1" applyFont="1" applyAlignment="1" applyProtection="1">
      <alignment horizontal="left"/>
      <protection hidden="1"/>
    </xf>
    <xf numFmtId="166" fontId="20" fillId="0" borderId="0" xfId="0" applyNumberFormat="1" applyFont="1" applyAlignment="1" applyProtection="1">
      <alignment horizontal="left" vertical="center"/>
      <protection hidden="1"/>
    </xf>
    <xf numFmtId="166" fontId="20" fillId="0" borderId="0" xfId="0" applyNumberFormat="1" applyFont="1" applyAlignment="1" applyProtection="1">
      <alignment horizontal="center" vertical="center"/>
      <protection hidden="1"/>
    </xf>
    <xf numFmtId="166" fontId="20" fillId="0" borderId="0" xfId="0" applyNumberFormat="1" applyFont="1" applyAlignment="1" applyProtection="1">
      <alignment horizontal="right" vertical="center"/>
      <protection hidden="1"/>
    </xf>
    <xf numFmtId="0" fontId="89" fillId="4" borderId="0" xfId="0" applyFont="1" applyFill="1"/>
    <xf numFmtId="0" fontId="90" fillId="0" borderId="0" xfId="0" applyFont="1" applyAlignment="1">
      <alignment horizontal="center" vertical="center"/>
    </xf>
    <xf numFmtId="49" fontId="4" fillId="0" borderId="0" xfId="0" applyNumberFormat="1" applyFont="1" applyAlignment="1" applyProtection="1">
      <alignment horizontal="left" vertical="center"/>
      <protection hidden="1"/>
    </xf>
    <xf numFmtId="1" fontId="9" fillId="14" borderId="9" xfId="0" applyNumberFormat="1" applyFont="1" applyFill="1" applyBorder="1" applyAlignment="1" applyProtection="1">
      <alignment horizontal="center" vertical="center" wrapText="1"/>
      <protection hidden="1"/>
    </xf>
    <xf numFmtId="166" fontId="37" fillId="0" borderId="0" xfId="0" applyNumberFormat="1" applyFont="1" applyAlignment="1" applyProtection="1">
      <alignment horizontal="right" vertical="center"/>
      <protection hidden="1"/>
    </xf>
    <xf numFmtId="166" fontId="20" fillId="0" borderId="0" xfId="0" applyNumberFormat="1" applyFont="1" applyAlignment="1" applyProtection="1">
      <alignment horizontal="right" vertical="center"/>
      <protection locked="0" hidden="1"/>
    </xf>
    <xf numFmtId="49" fontId="35" fillId="0" borderId="0" xfId="0" applyNumberFormat="1" applyFont="1" applyAlignment="1" applyProtection="1">
      <alignment vertical="center"/>
      <protection hidden="1"/>
    </xf>
    <xf numFmtId="166" fontId="35" fillId="0" borderId="0" xfId="0" applyNumberFormat="1" applyFont="1" applyAlignment="1" applyProtection="1">
      <alignment horizontal="left" vertical="center"/>
      <protection hidden="1"/>
    </xf>
    <xf numFmtId="166" fontId="35" fillId="0" borderId="0" xfId="0" applyNumberFormat="1" applyFont="1" applyAlignment="1" applyProtection="1">
      <alignment horizontal="right" vertical="center"/>
      <protection hidden="1"/>
    </xf>
    <xf numFmtId="166" fontId="35" fillId="0" borderId="0" xfId="0" applyNumberFormat="1" applyFont="1" applyAlignment="1" applyProtection="1">
      <alignment horizontal="center" vertical="center"/>
      <protection hidden="1"/>
    </xf>
    <xf numFmtId="0" fontId="35" fillId="0" borderId="0" xfId="0" applyFont="1" applyAlignment="1" applyProtection="1">
      <alignment vertical="center"/>
      <protection hidden="1"/>
    </xf>
    <xf numFmtId="0" fontId="37" fillId="4" borderId="0" xfId="0" applyFont="1" applyFill="1" applyAlignment="1" applyProtection="1">
      <alignment vertical="center"/>
      <protection hidden="1"/>
    </xf>
    <xf numFmtId="166" fontId="37" fillId="0" borderId="0" xfId="0" applyNumberFormat="1" applyFont="1" applyAlignment="1" applyProtection="1">
      <alignment horizontal="left" vertical="center"/>
      <protection hidden="1"/>
    </xf>
    <xf numFmtId="49" fontId="55" fillId="0" borderId="0" xfId="0" applyNumberFormat="1" applyFont="1" applyAlignment="1" applyProtection="1">
      <alignment horizontal="left" vertical="center"/>
      <protection hidden="1"/>
    </xf>
    <xf numFmtId="0" fontId="55" fillId="0" borderId="0" xfId="0" applyFont="1"/>
    <xf numFmtId="0" fontId="55" fillId="0" borderId="0" xfId="0" applyFont="1" applyAlignment="1" applyProtection="1">
      <alignment vertical="center"/>
      <protection hidden="1"/>
    </xf>
    <xf numFmtId="49" fontId="4" fillId="0" borderId="0" xfId="0" applyNumberFormat="1" applyFont="1" applyAlignment="1">
      <alignment horizontal="left" vertical="center"/>
    </xf>
    <xf numFmtId="0" fontId="46" fillId="4" borderId="0" xfId="0" applyFont="1" applyFill="1" applyAlignment="1">
      <alignment vertical="center"/>
    </xf>
    <xf numFmtId="0" fontId="62" fillId="4" borderId="0" xfId="0" applyFont="1" applyFill="1" applyAlignment="1">
      <alignment horizontal="left"/>
    </xf>
    <xf numFmtId="0" fontId="35" fillId="4" borderId="0" xfId="0" applyFont="1" applyFill="1" applyProtection="1">
      <protection hidden="1"/>
    </xf>
    <xf numFmtId="0" fontId="62" fillId="0" borderId="0" xfId="0" applyFont="1" applyAlignment="1">
      <alignment horizontal="left"/>
    </xf>
    <xf numFmtId="0" fontId="62" fillId="0" borderId="0" xfId="0" applyFont="1"/>
    <xf numFmtId="0" fontId="35" fillId="4" borderId="0" xfId="0" applyFont="1" applyFill="1" applyAlignment="1">
      <alignment horizontal="center"/>
    </xf>
    <xf numFmtId="0" fontId="37" fillId="4" borderId="0" xfId="0" applyFont="1" applyFill="1" applyAlignment="1" applyProtection="1">
      <alignment horizontal="center" vertical="center"/>
      <protection hidden="1"/>
    </xf>
    <xf numFmtId="0" fontId="37" fillId="0" borderId="0" xfId="0" applyFont="1" applyAlignment="1" applyProtection="1">
      <alignment horizontal="center" vertical="center"/>
      <protection hidden="1"/>
    </xf>
    <xf numFmtId="0" fontId="55" fillId="0" borderId="0" xfId="0" applyFont="1" applyAlignment="1" applyProtection="1">
      <alignment horizontal="center" vertical="center"/>
      <protection hidden="1"/>
    </xf>
    <xf numFmtId="0" fontId="55" fillId="0" borderId="0" xfId="0" applyFont="1" applyAlignment="1" applyProtection="1">
      <alignment horizontal="left" vertical="center"/>
      <protection hidden="1"/>
    </xf>
    <xf numFmtId="0" fontId="55" fillId="0" borderId="0" xfId="0" applyFont="1" applyAlignment="1" applyProtection="1">
      <alignment horizontal="left"/>
      <protection hidden="1"/>
    </xf>
    <xf numFmtId="0" fontId="55" fillId="0" borderId="0" xfId="0" applyFont="1" applyProtection="1">
      <protection hidden="1"/>
    </xf>
    <xf numFmtId="0" fontId="19" fillId="0" borderId="0" xfId="0" applyFont="1"/>
    <xf numFmtId="1" fontId="19" fillId="0" borderId="0" xfId="0" applyNumberFormat="1" applyFont="1"/>
    <xf numFmtId="1" fontId="37" fillId="4" borderId="0" xfId="0" applyNumberFormat="1" applyFont="1" applyFill="1" applyAlignment="1">
      <alignment vertical="center"/>
    </xf>
    <xf numFmtId="0" fontId="19" fillId="0" borderId="0" xfId="0" applyFont="1" applyAlignment="1">
      <alignment horizontal="center"/>
    </xf>
    <xf numFmtId="173" fontId="37" fillId="4" borderId="0" xfId="6" applyNumberFormat="1" applyFont="1" applyFill="1" applyBorder="1" applyAlignment="1" applyProtection="1"/>
    <xf numFmtId="0" fontId="58" fillId="4" borderId="0" xfId="0" applyFont="1" applyFill="1"/>
    <xf numFmtId="0" fontId="37" fillId="4" borderId="0" xfId="0" applyFont="1" applyFill="1" applyAlignment="1">
      <alignment horizontal="center"/>
    </xf>
    <xf numFmtId="0" fontId="56" fillId="4" borderId="0" xfId="0" applyFont="1" applyFill="1" applyAlignment="1">
      <alignment vertical="center"/>
    </xf>
    <xf numFmtId="3" fontId="9" fillId="4" borderId="0" xfId="0" applyNumberFormat="1" applyFont="1" applyFill="1" applyAlignment="1">
      <alignment horizontal="center" vertical="center"/>
    </xf>
    <xf numFmtId="3" fontId="91" fillId="4" borderId="0" xfId="0" applyNumberFormat="1" applyFont="1" applyFill="1" applyAlignment="1">
      <alignment horizontal="center" vertical="center"/>
    </xf>
    <xf numFmtId="3" fontId="9" fillId="4" borderId="0" xfId="0" applyNumberFormat="1" applyFont="1" applyFill="1" applyAlignment="1">
      <alignment vertical="center"/>
    </xf>
    <xf numFmtId="166" fontId="88" fillId="0" borderId="16" xfId="0" applyNumberFormat="1" applyFont="1" applyBorder="1" applyAlignment="1" applyProtection="1">
      <alignment vertical="center"/>
      <protection hidden="1"/>
    </xf>
    <xf numFmtId="166" fontId="20" fillId="0" borderId="16" xfId="0" applyNumberFormat="1" applyFont="1" applyBorder="1" applyAlignment="1" applyProtection="1">
      <alignment vertical="center"/>
      <protection hidden="1"/>
    </xf>
    <xf numFmtId="0" fontId="2"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51" fillId="4" borderId="0" xfId="0" applyFont="1" applyFill="1" applyAlignment="1" applyProtection="1">
      <alignment horizontal="center" vertical="center"/>
      <protection hidden="1"/>
    </xf>
    <xf numFmtId="0" fontId="2" fillId="0" borderId="0" xfId="0" applyFont="1" applyProtection="1">
      <protection hidden="1"/>
    </xf>
    <xf numFmtId="0" fontId="2" fillId="0" borderId="0" xfId="0" applyFont="1" applyAlignment="1" applyProtection="1">
      <alignment horizontal="right" vertical="center"/>
      <protection hidden="1"/>
    </xf>
    <xf numFmtId="1" fontId="4" fillId="14" borderId="3" xfId="0" applyNumberFormat="1" applyFont="1" applyFill="1" applyBorder="1" applyAlignment="1" applyProtection="1">
      <alignment horizontal="center" vertical="center" wrapText="1"/>
      <protection hidden="1"/>
    </xf>
    <xf numFmtId="0" fontId="4" fillId="14" borderId="16" xfId="0" applyFont="1" applyFill="1" applyBorder="1" applyAlignment="1" applyProtection="1">
      <alignment horizontal="center" vertical="center" wrapText="1"/>
      <protection hidden="1"/>
    </xf>
    <xf numFmtId="0" fontId="4" fillId="14" borderId="3" xfId="0" applyFont="1" applyFill="1" applyBorder="1" applyAlignment="1" applyProtection="1">
      <alignment horizontal="center" vertical="center" wrapText="1"/>
      <protection hidden="1"/>
    </xf>
    <xf numFmtId="3" fontId="20" fillId="12" borderId="47" xfId="0" applyNumberFormat="1" applyFont="1" applyFill="1" applyBorder="1" applyAlignment="1" applyProtection="1">
      <alignment horizontal="right"/>
      <protection locked="0"/>
    </xf>
    <xf numFmtId="0" fontId="37" fillId="0" borderId="0" xfId="0" applyFont="1" applyAlignment="1">
      <alignment horizontal="left" vertical="center"/>
    </xf>
    <xf numFmtId="0" fontId="20" fillId="0" borderId="0" xfId="0" applyFont="1" applyAlignment="1" applyProtection="1">
      <alignment horizontal="left" vertical="center"/>
      <protection locked="0"/>
    </xf>
    <xf numFmtId="1" fontId="29" fillId="4" borderId="2" xfId="0" applyNumberFormat="1" applyFont="1" applyFill="1" applyBorder="1" applyAlignment="1">
      <alignment vertical="center"/>
    </xf>
    <xf numFmtId="0" fontId="20" fillId="0" borderId="66" xfId="0" applyFont="1" applyBorder="1" applyAlignment="1">
      <alignment vertical="center"/>
    </xf>
    <xf numFmtId="0" fontId="20" fillId="14" borderId="9" xfId="0" applyFont="1" applyFill="1" applyBorder="1" applyAlignment="1">
      <alignment horizontal="left" vertical="center"/>
    </xf>
    <xf numFmtId="3" fontId="20" fillId="0" borderId="38" xfId="0" applyNumberFormat="1" applyFont="1" applyBorder="1" applyAlignment="1">
      <alignment horizontal="right"/>
    </xf>
    <xf numFmtId="3" fontId="20" fillId="0" borderId="38" xfId="0" applyNumberFormat="1" applyFont="1" applyBorder="1" applyAlignment="1">
      <alignment horizontal="right" vertical="top"/>
    </xf>
    <xf numFmtId="0" fontId="4" fillId="4" borderId="0" xfId="0" applyFont="1" applyFill="1" applyAlignment="1">
      <alignment horizontal="left" vertical="top"/>
    </xf>
    <xf numFmtId="3" fontId="20" fillId="0" borderId="47" xfId="0" applyNumberFormat="1" applyFont="1" applyBorder="1" applyAlignment="1">
      <alignment horizontal="right" vertical="top"/>
    </xf>
    <xf numFmtId="1" fontId="29" fillId="4" borderId="1" xfId="0" applyNumberFormat="1" applyFont="1" applyFill="1" applyBorder="1" applyAlignment="1">
      <alignment horizontal="center" vertical="center"/>
    </xf>
    <xf numFmtId="3" fontId="20" fillId="0" borderId="13" xfId="0" applyNumberFormat="1" applyFont="1" applyBorder="1" applyAlignment="1">
      <alignment horizontal="right" vertical="center"/>
    </xf>
    <xf numFmtId="0" fontId="34" fillId="14" borderId="3" xfId="0" applyFont="1" applyFill="1" applyBorder="1" applyAlignment="1">
      <alignment horizontal="center" vertical="center"/>
    </xf>
    <xf numFmtId="3" fontId="20" fillId="0" borderId="28" xfId="0" applyNumberFormat="1" applyFont="1" applyBorder="1" applyAlignment="1">
      <alignment horizontal="right"/>
    </xf>
    <xf numFmtId="9" fontId="29" fillId="4" borderId="0" xfId="3" applyFont="1" applyFill="1" applyBorder="1" applyAlignment="1" applyProtection="1">
      <alignment horizontal="left" vertical="center"/>
    </xf>
    <xf numFmtId="0" fontId="20" fillId="0" borderId="28" xfId="0" applyFont="1" applyBorder="1" applyAlignment="1">
      <alignment vertical="top"/>
    </xf>
    <xf numFmtId="3" fontId="20" fillId="0" borderId="67" xfId="0" applyNumberFormat="1" applyFont="1" applyBorder="1" applyAlignment="1">
      <alignment horizontal="right" vertical="top"/>
    </xf>
    <xf numFmtId="0" fontId="20" fillId="0" borderId="56" xfId="0" applyFont="1" applyBorder="1" applyAlignment="1">
      <alignment vertical="top"/>
    </xf>
    <xf numFmtId="3" fontId="20" fillId="12" borderId="47" xfId="0" applyNumberFormat="1" applyFont="1" applyFill="1" applyBorder="1" applyAlignment="1" applyProtection="1">
      <alignment horizontal="left"/>
      <protection locked="0"/>
    </xf>
    <xf numFmtId="0" fontId="13" fillId="0" borderId="0" xfId="0" applyFont="1"/>
    <xf numFmtId="1" fontId="9" fillId="14" borderId="3" xfId="0" applyNumberFormat="1" applyFont="1" applyFill="1" applyBorder="1" applyAlignment="1">
      <alignment horizontal="center" vertical="center"/>
    </xf>
    <xf numFmtId="3" fontId="9" fillId="14" borderId="3" xfId="0" applyNumberFormat="1" applyFont="1" applyFill="1" applyBorder="1" applyAlignment="1">
      <alignment horizontal="center" vertical="center"/>
    </xf>
    <xf numFmtId="0" fontId="20" fillId="0" borderId="56" xfId="9" applyFont="1" applyFill="1" applyBorder="1" applyAlignment="1" applyProtection="1">
      <alignment vertical="center"/>
    </xf>
    <xf numFmtId="0" fontId="4" fillId="0" borderId="0" xfId="0" applyFont="1" applyAlignment="1">
      <alignment vertical="top"/>
    </xf>
    <xf numFmtId="0" fontId="4" fillId="0" borderId="0" xfId="9" applyFont="1" applyFill="1" applyBorder="1" applyAlignment="1" applyProtection="1">
      <alignment horizontal="left" vertical="center"/>
    </xf>
    <xf numFmtId="49" fontId="20" fillId="0" borderId="0" xfId="0" applyNumberFormat="1" applyFont="1" applyAlignment="1">
      <alignment horizontal="left" vertical="center" wrapText="1"/>
    </xf>
    <xf numFmtId="0" fontId="6" fillId="0" borderId="0" xfId="0" applyFont="1" applyAlignment="1">
      <alignment horizontal="center" vertical="center"/>
    </xf>
    <xf numFmtId="0" fontId="4" fillId="0" borderId="0" xfId="9" applyFont="1" applyFill="1" applyBorder="1" applyAlignment="1" applyProtection="1">
      <alignment vertical="top"/>
    </xf>
    <xf numFmtId="3" fontId="4" fillId="4" borderId="0" xfId="0" applyNumberFormat="1" applyFont="1" applyFill="1" applyAlignment="1">
      <alignment horizontal="center" vertical="top"/>
    </xf>
    <xf numFmtId="169" fontId="30" fillId="0" borderId="0" xfId="0" applyNumberFormat="1" applyFont="1" applyAlignment="1">
      <alignment horizontal="center" vertical="top"/>
    </xf>
    <xf numFmtId="49" fontId="30" fillId="0" borderId="0" xfId="0" applyNumberFormat="1" applyFont="1" applyAlignment="1">
      <alignment horizontal="center" vertical="center"/>
    </xf>
    <xf numFmtId="0" fontId="30" fillId="0" borderId="0" xfId="0" applyFont="1" applyAlignment="1">
      <alignment horizontal="center" vertical="top"/>
    </xf>
    <xf numFmtId="0" fontId="44" fillId="0" borderId="0" xfId="0" applyFont="1" applyAlignment="1">
      <alignment horizontal="center" vertical="top"/>
    </xf>
    <xf numFmtId="0" fontId="23" fillId="0" borderId="0" xfId="0" applyFont="1" applyAlignment="1">
      <alignment horizontal="center" vertical="center" wrapText="1"/>
    </xf>
    <xf numFmtId="0" fontId="23" fillId="0" borderId="0" xfId="0" applyFont="1" applyAlignment="1">
      <alignment textRotation="90" wrapText="1"/>
    </xf>
    <xf numFmtId="0" fontId="23" fillId="0" borderId="0" xfId="0" applyFont="1" applyAlignment="1">
      <alignment vertical="center" wrapText="1"/>
    </xf>
    <xf numFmtId="0" fontId="33" fillId="0" borderId="0" xfId="0" applyFont="1" applyAlignment="1">
      <alignment horizontal="center" vertical="center" wrapText="1"/>
    </xf>
    <xf numFmtId="169" fontId="30" fillId="0" borderId="0" xfId="0" applyNumberFormat="1" applyFont="1" applyAlignment="1">
      <alignment horizontal="right" vertical="center"/>
    </xf>
    <xf numFmtId="169" fontId="30" fillId="0" borderId="0" xfId="0" applyNumberFormat="1" applyFont="1" applyAlignment="1">
      <alignment horizontal="right" vertical="top" indent="1"/>
    </xf>
    <xf numFmtId="0" fontId="31" fillId="0" borderId="0" xfId="0" applyFont="1" applyAlignment="1">
      <alignment vertical="top"/>
    </xf>
    <xf numFmtId="1" fontId="20" fillId="0" borderId="0" xfId="0" applyNumberFormat="1" applyFont="1" applyAlignment="1">
      <alignment horizontal="center" vertical="top"/>
    </xf>
    <xf numFmtId="9" fontId="29" fillId="0" borderId="0" xfId="3" applyFont="1" applyFill="1" applyBorder="1" applyAlignment="1" applyProtection="1">
      <alignment horizontal="center" vertical="top"/>
    </xf>
    <xf numFmtId="169" fontId="20" fillId="0" borderId="0" xfId="0" applyNumberFormat="1" applyFont="1" applyAlignment="1">
      <alignment horizontal="right"/>
    </xf>
    <xf numFmtId="1" fontId="29" fillId="0" borderId="0" xfId="0" applyNumberFormat="1" applyFont="1" applyAlignment="1">
      <alignment horizontal="center" vertical="top"/>
    </xf>
    <xf numFmtId="38" fontId="20" fillId="4" borderId="0" xfId="0" applyNumberFormat="1" applyFont="1" applyFill="1" applyAlignment="1">
      <alignment vertical="top"/>
    </xf>
    <xf numFmtId="169" fontId="20" fillId="0" borderId="0" xfId="0" applyNumberFormat="1" applyFont="1" applyAlignment="1">
      <alignment horizontal="right" vertical="top"/>
    </xf>
    <xf numFmtId="0" fontId="2" fillId="0" borderId="0" xfId="0" applyFont="1" applyAlignment="1">
      <alignment horizontal="left" vertical="center"/>
    </xf>
    <xf numFmtId="0" fontId="4" fillId="4" borderId="0" xfId="0" applyFont="1" applyFill="1" applyAlignment="1">
      <alignment vertical="top"/>
    </xf>
    <xf numFmtId="1" fontId="29" fillId="0" borderId="0" xfId="0" applyNumberFormat="1" applyFont="1" applyAlignment="1">
      <alignment vertical="center"/>
    </xf>
    <xf numFmtId="49" fontId="20" fillId="0" borderId="0" xfId="0" applyNumberFormat="1" applyFont="1" applyAlignment="1">
      <alignment vertical="top"/>
    </xf>
    <xf numFmtId="49" fontId="29" fillId="0" borderId="0" xfId="0" applyNumberFormat="1" applyFont="1" applyAlignment="1">
      <alignment vertical="center"/>
    </xf>
    <xf numFmtId="169" fontId="20" fillId="0" borderId="0" xfId="0" applyNumberFormat="1" applyFont="1" applyAlignment="1">
      <alignment horizontal="right" vertical="center"/>
    </xf>
    <xf numFmtId="49" fontId="34" fillId="0" borderId="0" xfId="0" applyNumberFormat="1" applyFont="1" applyAlignment="1">
      <alignment vertical="center"/>
    </xf>
    <xf numFmtId="0" fontId="29" fillId="0" borderId="0" xfId="0" applyFont="1" applyAlignment="1">
      <alignment vertical="top"/>
    </xf>
    <xf numFmtId="0" fontId="20" fillId="0" borderId="8" xfId="0" applyFont="1" applyBorder="1" applyAlignment="1">
      <alignment vertical="center"/>
    </xf>
    <xf numFmtId="0" fontId="20" fillId="0" borderId="23" xfId="0" applyFont="1" applyBorder="1" applyAlignment="1">
      <alignment vertical="top"/>
    </xf>
    <xf numFmtId="3" fontId="20" fillId="12" borderId="37" xfId="0" applyNumberFormat="1" applyFont="1" applyFill="1" applyBorder="1" applyAlignment="1" applyProtection="1">
      <alignment horizontal="right"/>
      <protection locked="0"/>
    </xf>
    <xf numFmtId="0" fontId="96" fillId="4" borderId="0" xfId="0" applyFont="1" applyFill="1" applyAlignment="1">
      <alignment vertical="top"/>
    </xf>
    <xf numFmtId="3" fontId="20" fillId="12" borderId="59" xfId="0" applyNumberFormat="1" applyFont="1" applyFill="1" applyBorder="1" applyAlignment="1" applyProtection="1">
      <alignment horizontal="right"/>
      <protection locked="0"/>
    </xf>
    <xf numFmtId="3" fontId="20" fillId="12" borderId="71" xfId="0" applyNumberFormat="1" applyFont="1" applyFill="1" applyBorder="1" applyAlignment="1" applyProtection="1">
      <alignment horizontal="right"/>
      <protection locked="0"/>
    </xf>
    <xf numFmtId="3" fontId="20" fillId="12" borderId="46" xfId="0" applyNumberFormat="1" applyFont="1" applyFill="1" applyBorder="1" applyAlignment="1" applyProtection="1">
      <alignment horizontal="right"/>
      <protection locked="0"/>
    </xf>
    <xf numFmtId="3" fontId="20" fillId="0" borderId="72" xfId="0" applyNumberFormat="1" applyFont="1" applyBorder="1" applyAlignment="1">
      <alignment horizontal="right"/>
    </xf>
    <xf numFmtId="3" fontId="20" fillId="0" borderId="71" xfId="0" applyNumberFormat="1" applyFont="1" applyBorder="1" applyAlignment="1">
      <alignment horizontal="right"/>
    </xf>
    <xf numFmtId="3" fontId="20" fillId="0" borderId="30" xfId="0" applyNumberFormat="1" applyFont="1" applyBorder="1" applyAlignment="1">
      <alignment horizontal="right" vertical="top"/>
    </xf>
    <xf numFmtId="0" fontId="20" fillId="0" borderId="0" xfId="9" applyFont="1" applyFill="1" applyBorder="1" applyAlignment="1" applyProtection="1">
      <alignment vertical="center"/>
    </xf>
    <xf numFmtId="0" fontId="93" fillId="4" borderId="0" xfId="0" applyFont="1" applyFill="1" applyAlignment="1">
      <alignment vertical="center"/>
    </xf>
    <xf numFmtId="0" fontId="23" fillId="4" borderId="0" xfId="0" applyFont="1" applyFill="1" applyAlignment="1">
      <alignment textRotation="90" wrapText="1"/>
    </xf>
    <xf numFmtId="0" fontId="23" fillId="4" borderId="0" xfId="0" applyFont="1" applyFill="1" applyAlignment="1">
      <alignment horizontal="center" vertical="center"/>
    </xf>
    <xf numFmtId="0" fontId="97" fillId="4" borderId="0" xfId="0" applyFont="1" applyFill="1" applyAlignment="1">
      <alignment horizontal="center" vertical="center"/>
    </xf>
    <xf numFmtId="0" fontId="97" fillId="4" borderId="0" xfId="0" applyFont="1" applyFill="1" applyAlignment="1">
      <alignment horizontal="center" vertical="top"/>
    </xf>
    <xf numFmtId="0" fontId="97" fillId="0" borderId="0" xfId="0" applyFont="1" applyAlignment="1">
      <alignment horizontal="center" vertical="top"/>
    </xf>
    <xf numFmtId="3" fontId="20" fillId="0" borderId="0" xfId="0" applyNumberFormat="1" applyFont="1" applyAlignment="1">
      <alignment horizontal="right" vertical="top" indent="1"/>
    </xf>
    <xf numFmtId="169" fontId="20" fillId="0" borderId="0" xfId="0" applyNumberFormat="1" applyFont="1" applyAlignment="1">
      <alignment horizontal="right" vertical="center" indent="1"/>
    </xf>
    <xf numFmtId="3" fontId="20" fillId="0" borderId="56" xfId="0" applyNumberFormat="1" applyFont="1" applyBorder="1" applyAlignment="1">
      <alignment horizontal="right" vertical="top"/>
    </xf>
    <xf numFmtId="3" fontId="20" fillId="0" borderId="56" xfId="0" applyNumberFormat="1" applyFont="1" applyBorder="1" applyAlignment="1">
      <alignment horizontal="right"/>
    </xf>
    <xf numFmtId="3" fontId="20" fillId="4" borderId="56" xfId="0" applyNumberFormat="1" applyFont="1" applyFill="1" applyBorder="1" applyAlignment="1">
      <alignment horizontal="right" vertical="top"/>
    </xf>
    <xf numFmtId="1" fontId="20" fillId="16" borderId="3" xfId="0" applyNumberFormat="1" applyFont="1" applyFill="1" applyBorder="1" applyAlignment="1">
      <alignment horizontal="center" vertical="center"/>
    </xf>
    <xf numFmtId="0" fontId="20" fillId="16" borderId="3" xfId="0" applyFont="1" applyFill="1" applyBorder="1" applyAlignment="1">
      <alignment vertical="top"/>
    </xf>
    <xf numFmtId="3" fontId="99" fillId="16" borderId="16" xfId="0" applyNumberFormat="1" applyFont="1" applyFill="1" applyBorder="1" applyAlignment="1">
      <alignment horizontal="right" vertical="top"/>
    </xf>
    <xf numFmtId="3" fontId="20" fillId="16" borderId="53" xfId="0" applyNumberFormat="1" applyFont="1" applyFill="1" applyBorder="1" applyAlignment="1">
      <alignment horizontal="right" vertical="top"/>
    </xf>
    <xf numFmtId="3" fontId="96" fillId="16" borderId="53" xfId="0" applyNumberFormat="1" applyFont="1" applyFill="1" applyBorder="1" applyAlignment="1">
      <alignment vertical="top"/>
    </xf>
    <xf numFmtId="169" fontId="20" fillId="16" borderId="9" xfId="0" applyNumberFormat="1" applyFont="1" applyFill="1" applyBorder="1" applyAlignment="1">
      <alignment horizontal="right" vertical="top" indent="1"/>
    </xf>
    <xf numFmtId="0" fontId="96" fillId="0" borderId="6" xfId="0" applyFont="1" applyBorder="1" applyAlignment="1">
      <alignment vertical="top"/>
    </xf>
    <xf numFmtId="169" fontId="4" fillId="4" borderId="0" xfId="0" applyNumberFormat="1" applyFont="1" applyFill="1" applyAlignment="1">
      <alignment horizontal="right" vertical="top" indent="1"/>
    </xf>
    <xf numFmtId="0" fontId="84" fillId="4" borderId="0" xfId="0" applyFont="1" applyFill="1" applyAlignment="1">
      <alignment vertical="top"/>
    </xf>
    <xf numFmtId="0" fontId="55" fillId="0" borderId="0" xfId="0" applyFont="1" applyAlignment="1">
      <alignment vertical="top"/>
    </xf>
    <xf numFmtId="49" fontId="20" fillId="0" borderId="73" xfId="0" applyNumberFormat="1" applyFont="1" applyBorder="1" applyAlignment="1">
      <alignment vertical="top"/>
    </xf>
    <xf numFmtId="3" fontId="20" fillId="0" borderId="5" xfId="0" applyNumberFormat="1" applyFont="1" applyBorder="1" applyAlignment="1">
      <alignment horizontal="right" vertical="top"/>
    </xf>
    <xf numFmtId="49" fontId="20" fillId="0" borderId="13" xfId="0" applyNumberFormat="1" applyFont="1" applyBorder="1" applyAlignment="1">
      <alignment vertical="center"/>
    </xf>
    <xf numFmtId="0" fontId="96" fillId="4" borderId="6" xfId="0" applyFont="1" applyFill="1" applyBorder="1" applyAlignment="1">
      <alignment vertical="top"/>
    </xf>
    <xf numFmtId="0" fontId="27" fillId="4" borderId="0" xfId="0" applyFont="1" applyFill="1" applyAlignment="1">
      <alignment vertical="center"/>
    </xf>
    <xf numFmtId="0" fontId="27" fillId="4" borderId="0" xfId="0" applyFont="1" applyFill="1" applyAlignment="1">
      <alignment horizontal="center" vertical="center"/>
    </xf>
    <xf numFmtId="3" fontId="4" fillId="0" borderId="0" xfId="0" applyNumberFormat="1" applyFont="1" applyAlignment="1">
      <alignment horizontal="center" vertical="top"/>
    </xf>
    <xf numFmtId="169" fontId="30" fillId="4" borderId="0" xfId="0" applyNumberFormat="1" applyFont="1" applyFill="1" applyAlignment="1">
      <alignment horizontal="left" vertical="center"/>
    </xf>
    <xf numFmtId="169" fontId="30" fillId="4" borderId="0" xfId="0" applyNumberFormat="1" applyFont="1" applyFill="1" applyAlignment="1">
      <alignment horizontal="right" vertical="center"/>
    </xf>
    <xf numFmtId="169" fontId="30" fillId="4" borderId="0" xfId="0" applyNumberFormat="1" applyFont="1" applyFill="1" applyAlignment="1">
      <alignment horizontal="center" vertical="center"/>
    </xf>
    <xf numFmtId="169" fontId="35" fillId="15" borderId="56" xfId="8" applyNumberFormat="1" applyFont="1" applyFill="1" applyBorder="1" applyAlignment="1" applyProtection="1">
      <alignment horizontal="center" vertical="center"/>
      <protection locked="0"/>
    </xf>
    <xf numFmtId="49" fontId="29" fillId="4" borderId="8" xfId="0" applyNumberFormat="1" applyFont="1" applyFill="1" applyBorder="1" applyAlignment="1">
      <alignment vertical="center"/>
    </xf>
    <xf numFmtId="0" fontId="20" fillId="14" borderId="16" xfId="0" applyFont="1" applyFill="1" applyBorder="1" applyAlignment="1">
      <alignment horizontal="center" vertical="center"/>
    </xf>
    <xf numFmtId="0" fontId="23" fillId="4" borderId="0" xfId="0" applyFont="1" applyFill="1" applyAlignment="1">
      <alignment horizontal="left"/>
    </xf>
    <xf numFmtId="0" fontId="4" fillId="4" borderId="0" xfId="0" applyFont="1" applyFill="1" applyAlignment="1" applyProtection="1">
      <alignment horizontal="left" vertical="center"/>
      <protection hidden="1"/>
    </xf>
    <xf numFmtId="0" fontId="4" fillId="4" borderId="0" xfId="0" applyFont="1" applyFill="1" applyAlignment="1" applyProtection="1">
      <alignment horizontal="left"/>
      <protection locked="0"/>
    </xf>
    <xf numFmtId="0" fontId="4" fillId="4" borderId="0" xfId="0" applyFont="1" applyFill="1" applyAlignment="1" applyProtection="1">
      <alignment horizontal="left" vertical="top"/>
      <protection locked="0"/>
    </xf>
    <xf numFmtId="0" fontId="9" fillId="0" borderId="70" xfId="0" applyFont="1" applyBorder="1" applyAlignment="1">
      <alignment vertical="center"/>
    </xf>
    <xf numFmtId="168" fontId="20" fillId="0" borderId="56" xfId="0" applyNumberFormat="1" applyFont="1" applyBorder="1"/>
    <xf numFmtId="0" fontId="9" fillId="4" borderId="0" xfId="0" applyFont="1" applyFill="1" applyProtection="1">
      <protection hidden="1"/>
    </xf>
    <xf numFmtId="0" fontId="70" fillId="20" borderId="74" xfId="7" applyFont="1" applyFill="1" applyBorder="1" applyAlignment="1" applyProtection="1">
      <alignment vertical="center"/>
      <protection locked="0"/>
    </xf>
    <xf numFmtId="0" fontId="9" fillId="4" borderId="0" xfId="0" applyFont="1" applyFill="1"/>
    <xf numFmtId="0" fontId="9" fillId="0" borderId="60" xfId="0" applyFont="1" applyBorder="1" applyAlignment="1">
      <alignment vertical="center"/>
    </xf>
    <xf numFmtId="168" fontId="38" fillId="0" borderId="41" xfId="0" applyNumberFormat="1" applyFont="1" applyBorder="1"/>
    <xf numFmtId="0" fontId="35" fillId="15" borderId="50" xfId="7" applyFont="1" applyFill="1" applyBorder="1" applyAlignment="1" applyProtection="1">
      <alignment vertical="center"/>
      <protection locked="0"/>
    </xf>
    <xf numFmtId="0" fontId="9" fillId="0" borderId="16" xfId="0" applyFont="1" applyBorder="1" applyAlignment="1">
      <alignment vertical="center"/>
    </xf>
    <xf numFmtId="168" fontId="20" fillId="0" borderId="28" xfId="0" applyNumberFormat="1" applyFont="1" applyBorder="1"/>
    <xf numFmtId="0" fontId="101" fillId="0" borderId="16" xfId="0" applyFont="1" applyBorder="1" applyAlignment="1">
      <alignment vertical="center"/>
    </xf>
    <xf numFmtId="168" fontId="94" fillId="0" borderId="3" xfId="0" applyNumberFormat="1" applyFont="1" applyBorder="1"/>
    <xf numFmtId="168" fontId="20" fillId="0" borderId="0" xfId="0" applyNumberFormat="1" applyFont="1"/>
    <xf numFmtId="167" fontId="23" fillId="4" borderId="0" xfId="6" applyNumberFormat="1" applyFont="1" applyFill="1" applyAlignment="1" applyProtection="1">
      <alignment horizontal="right" indent="1"/>
      <protection hidden="1"/>
    </xf>
    <xf numFmtId="3" fontId="9" fillId="4" borderId="0" xfId="0" applyNumberFormat="1" applyFont="1" applyFill="1" applyAlignment="1" applyProtection="1">
      <alignment vertical="center"/>
      <protection hidden="1"/>
    </xf>
    <xf numFmtId="3" fontId="9" fillId="4" borderId="0" xfId="0" applyNumberFormat="1" applyFont="1" applyFill="1" applyProtection="1">
      <protection hidden="1"/>
    </xf>
    <xf numFmtId="3" fontId="4" fillId="0" borderId="0" xfId="0" applyNumberFormat="1" applyFont="1" applyAlignment="1" applyProtection="1">
      <alignment horizontal="left" vertical="center"/>
      <protection hidden="1"/>
    </xf>
    <xf numFmtId="168" fontId="20" fillId="0" borderId="56" xfId="0" applyNumberFormat="1" applyFont="1" applyBorder="1" applyAlignment="1" applyProtection="1">
      <alignment vertical="center"/>
      <protection hidden="1"/>
    </xf>
    <xf numFmtId="168" fontId="20" fillId="0" borderId="56" xfId="0" applyNumberFormat="1" applyFont="1" applyBorder="1" applyAlignment="1">
      <alignment vertical="center"/>
    </xf>
    <xf numFmtId="0" fontId="70" fillId="15" borderId="74" xfId="7" applyFont="1" applyFill="1" applyBorder="1" applyAlignment="1" applyProtection="1">
      <alignment vertical="center"/>
      <protection locked="0"/>
    </xf>
    <xf numFmtId="168" fontId="38" fillId="0" borderId="41" xfId="0" applyNumberFormat="1" applyFont="1" applyBorder="1" applyAlignment="1" applyProtection="1">
      <alignment vertical="center"/>
      <protection hidden="1"/>
    </xf>
    <xf numFmtId="49" fontId="9" fillId="0" borderId="16" xfId="0" applyNumberFormat="1" applyFont="1" applyBorder="1" applyAlignment="1">
      <alignment vertical="center"/>
    </xf>
    <xf numFmtId="168" fontId="20" fillId="0" borderId="28" xfId="0" applyNumberFormat="1" applyFont="1" applyBorder="1" applyAlignment="1">
      <alignment vertical="center"/>
    </xf>
    <xf numFmtId="49" fontId="101" fillId="0" borderId="16" xfId="0" applyNumberFormat="1" applyFont="1" applyBorder="1" applyAlignment="1">
      <alignment vertical="center"/>
    </xf>
    <xf numFmtId="168" fontId="94" fillId="0" borderId="3" xfId="0" applyNumberFormat="1" applyFont="1" applyBorder="1" applyAlignment="1">
      <alignment vertical="center"/>
    </xf>
    <xf numFmtId="0" fontId="4" fillId="4" borderId="0" xfId="0" applyFont="1" applyFill="1" applyAlignment="1" applyProtection="1">
      <alignment horizontal="left"/>
      <protection hidden="1"/>
    </xf>
    <xf numFmtId="3" fontId="4" fillId="0" borderId="0" xfId="0" applyNumberFormat="1" applyFont="1" applyAlignment="1" applyProtection="1">
      <alignment horizontal="left"/>
      <protection hidden="1"/>
    </xf>
    <xf numFmtId="167" fontId="23" fillId="4" borderId="0" xfId="6" applyNumberFormat="1" applyFont="1" applyFill="1" applyAlignment="1" applyProtection="1">
      <alignment horizontal="center"/>
      <protection hidden="1"/>
    </xf>
    <xf numFmtId="0" fontId="44" fillId="4" borderId="0" xfId="0" applyFont="1" applyFill="1" applyProtection="1">
      <protection hidden="1"/>
    </xf>
    <xf numFmtId="49" fontId="4" fillId="0" borderId="0" xfId="0" applyNumberFormat="1" applyFont="1" applyAlignment="1">
      <alignment horizontal="left"/>
    </xf>
    <xf numFmtId="0" fontId="44" fillId="0" borderId="0" xfId="0" applyFont="1"/>
    <xf numFmtId="0" fontId="32" fillId="4" borderId="0" xfId="0" applyFont="1" applyFill="1" applyAlignment="1">
      <alignment horizontal="right" vertical="center"/>
    </xf>
    <xf numFmtId="0" fontId="44" fillId="4" borderId="0" xfId="0" applyFont="1" applyFill="1"/>
    <xf numFmtId="0" fontId="84" fillId="4" borderId="0" xfId="0" applyFont="1" applyFill="1"/>
    <xf numFmtId="3" fontId="44" fillId="4" borderId="0" xfId="0" applyNumberFormat="1" applyFont="1" applyFill="1" applyProtection="1">
      <protection hidden="1"/>
    </xf>
    <xf numFmtId="0" fontId="34" fillId="14" borderId="3" xfId="0" applyFont="1" applyFill="1" applyBorder="1" applyAlignment="1">
      <alignment horizontal="center"/>
    </xf>
    <xf numFmtId="0" fontId="9" fillId="14" borderId="11" xfId="0" applyFont="1" applyFill="1" applyBorder="1" applyAlignment="1">
      <alignment horizontal="center" vertical="center"/>
    </xf>
    <xf numFmtId="0" fontId="9" fillId="0" borderId="56" xfId="0" applyFont="1" applyBorder="1" applyAlignment="1">
      <alignment vertical="center"/>
    </xf>
    <xf numFmtId="168" fontId="94" fillId="0" borderId="56" xfId="0" applyNumberFormat="1" applyFont="1" applyBorder="1" applyAlignment="1">
      <alignment vertical="center"/>
    </xf>
    <xf numFmtId="3" fontId="44" fillId="4" borderId="0" xfId="0" applyNumberFormat="1" applyFont="1" applyFill="1" applyAlignment="1" applyProtection="1">
      <alignment vertical="center"/>
      <protection hidden="1"/>
    </xf>
    <xf numFmtId="3" fontId="30" fillId="4" borderId="0" xfId="0" applyNumberFormat="1" applyFont="1" applyFill="1" applyAlignment="1" applyProtection="1">
      <alignment vertical="center"/>
      <protection hidden="1"/>
    </xf>
    <xf numFmtId="0" fontId="102" fillId="0" borderId="41" xfId="0" applyFont="1" applyBorder="1" applyAlignment="1">
      <alignment horizontal="left" vertical="center"/>
    </xf>
    <xf numFmtId="168" fontId="38" fillId="0" borderId="41" xfId="0" applyNumberFormat="1" applyFont="1" applyBorder="1" applyAlignment="1">
      <alignment vertical="center"/>
    </xf>
    <xf numFmtId="0" fontId="9" fillId="0" borderId="3" xfId="0" applyFont="1" applyBorder="1" applyAlignment="1">
      <alignment vertical="center"/>
    </xf>
    <xf numFmtId="168" fontId="94" fillId="0" borderId="28" xfId="0" applyNumberFormat="1" applyFont="1" applyBorder="1" applyAlignment="1">
      <alignment vertical="center"/>
    </xf>
    <xf numFmtId="168" fontId="20" fillId="0" borderId="3" xfId="0" applyNumberFormat="1" applyFont="1" applyBorder="1" applyAlignment="1">
      <alignment vertical="center"/>
    </xf>
    <xf numFmtId="49" fontId="9" fillId="0" borderId="28" xfId="0" applyNumberFormat="1" applyFont="1" applyBorder="1" applyAlignment="1">
      <alignment vertical="center"/>
    </xf>
    <xf numFmtId="0" fontId="23" fillId="4" borderId="0" xfId="0" applyFont="1" applyFill="1" applyAlignment="1" applyProtection="1">
      <alignment horizontal="left"/>
      <protection hidden="1"/>
    </xf>
    <xf numFmtId="0" fontId="55" fillId="4" borderId="0" xfId="0" applyFont="1" applyFill="1" applyAlignment="1">
      <alignment vertical="center"/>
    </xf>
    <xf numFmtId="0" fontId="9" fillId="0" borderId="11" xfId="0" applyFont="1" applyBorder="1" applyAlignment="1">
      <alignment vertical="center"/>
    </xf>
    <xf numFmtId="168" fontId="94" fillId="0" borderId="11" xfId="0" applyNumberFormat="1" applyFont="1" applyBorder="1"/>
    <xf numFmtId="0" fontId="35" fillId="15" borderId="50" xfId="7" applyFont="1" applyFill="1" applyBorder="1" applyAlignment="1" applyProtection="1">
      <alignment horizontal="right" vertical="center"/>
      <protection locked="0"/>
    </xf>
    <xf numFmtId="0" fontId="4" fillId="0" borderId="0" xfId="0" applyFont="1" applyAlignment="1">
      <alignment horizontal="right" vertical="center"/>
    </xf>
    <xf numFmtId="0" fontId="4" fillId="0" borderId="0" xfId="1" applyFont="1" applyFill="1" applyBorder="1" applyAlignment="1" applyProtection="1">
      <alignment horizontal="right" vertical="center"/>
      <protection locked="0"/>
    </xf>
    <xf numFmtId="0" fontId="30" fillId="4" borderId="0" xfId="0" applyFont="1" applyFill="1" applyAlignment="1">
      <alignment horizontal="right" vertical="center"/>
    </xf>
    <xf numFmtId="9" fontId="20" fillId="15" borderId="9" xfId="3" applyFont="1" applyFill="1" applyBorder="1" applyAlignment="1" applyProtection="1">
      <alignment horizontal="center" vertical="center"/>
      <protection locked="0"/>
    </xf>
    <xf numFmtId="0" fontId="2" fillId="0" borderId="0" xfId="0" applyFont="1" applyAlignment="1">
      <alignment horizontal="right" vertical="center"/>
    </xf>
    <xf numFmtId="0" fontId="0" fillId="0" borderId="0" xfId="0" applyAlignment="1">
      <alignment horizontal="right" vertical="center"/>
    </xf>
    <xf numFmtId="168" fontId="20" fillId="0" borderId="28" xfId="0" applyNumberFormat="1" applyFont="1" applyBorder="1" applyAlignment="1">
      <alignment horizontal="right" vertical="center"/>
    </xf>
    <xf numFmtId="49" fontId="4" fillId="0" borderId="0" xfId="0" applyNumberFormat="1" applyFont="1" applyAlignment="1">
      <alignment horizontal="right" vertical="center"/>
    </xf>
    <xf numFmtId="0" fontId="103" fillId="4" borderId="0" xfId="1" applyFont="1" applyFill="1" applyBorder="1" applyAlignment="1" applyProtection="1">
      <alignment vertical="center"/>
      <protection locked="0"/>
    </xf>
    <xf numFmtId="0" fontId="94" fillId="4" borderId="0" xfId="0" applyFont="1" applyFill="1" applyProtection="1">
      <protection hidden="1"/>
    </xf>
    <xf numFmtId="0" fontId="23" fillId="0" borderId="0" xfId="0" applyFont="1" applyAlignment="1" applyProtection="1">
      <alignment horizontal="left"/>
      <protection hidden="1"/>
    </xf>
    <xf numFmtId="3" fontId="20" fillId="4" borderId="0" xfId="0" applyNumberFormat="1" applyFont="1" applyFill="1" applyProtection="1">
      <protection hidden="1"/>
    </xf>
    <xf numFmtId="0" fontId="94" fillId="4" borderId="0" xfId="0" applyFont="1" applyFill="1"/>
    <xf numFmtId="0" fontId="94" fillId="4" borderId="0" xfId="0" applyFont="1" applyFill="1" applyAlignment="1">
      <alignment horizontal="center"/>
    </xf>
    <xf numFmtId="0" fontId="9" fillId="0" borderId="3" xfId="0" applyFont="1" applyBorder="1" applyAlignment="1">
      <alignment horizontal="left" vertical="center"/>
    </xf>
    <xf numFmtId="0" fontId="9" fillId="0" borderId="28" xfId="0" applyFont="1" applyBorder="1" applyAlignment="1">
      <alignment horizontal="left" vertical="center"/>
    </xf>
    <xf numFmtId="1" fontId="4" fillId="4" borderId="0" xfId="0" applyNumberFormat="1" applyFont="1" applyFill="1" applyProtection="1">
      <protection hidden="1"/>
    </xf>
    <xf numFmtId="1" fontId="4" fillId="4" borderId="0" xfId="0" applyNumberFormat="1" applyFont="1" applyFill="1" applyAlignment="1" applyProtection="1">
      <alignment horizontal="left"/>
      <protection hidden="1"/>
    </xf>
    <xf numFmtId="0" fontId="0" fillId="0" borderId="0" xfId="0" applyAlignment="1">
      <alignment horizontal="right"/>
    </xf>
    <xf numFmtId="0" fontId="4" fillId="4" borderId="0" xfId="0" applyFont="1" applyFill="1" applyAlignment="1">
      <alignment textRotation="90" wrapText="1"/>
    </xf>
    <xf numFmtId="0" fontId="48" fillId="4" borderId="0" xfId="0" applyFont="1" applyFill="1" applyAlignment="1">
      <alignment horizontal="center" vertical="center"/>
    </xf>
    <xf numFmtId="9" fontId="29" fillId="4" borderId="0" xfId="3" applyFont="1" applyFill="1" applyBorder="1" applyAlignment="1">
      <alignment horizontal="center" vertical="center"/>
    </xf>
    <xf numFmtId="0" fontId="25" fillId="4" borderId="0" xfId="0" applyFont="1" applyFill="1" applyAlignment="1">
      <alignment horizontal="right" vertical="center"/>
    </xf>
    <xf numFmtId="0" fontId="29" fillId="4" borderId="0" xfId="0" applyFont="1" applyFill="1" applyAlignment="1">
      <alignment horizontal="right" vertical="center"/>
    </xf>
    <xf numFmtId="0" fontId="23" fillId="4" borderId="0" xfId="0" applyFont="1" applyFill="1" applyAlignment="1">
      <alignment horizontal="right" vertical="center"/>
    </xf>
    <xf numFmtId="0" fontId="79" fillId="4" borderId="0" xfId="0" applyFont="1" applyFill="1" applyAlignment="1">
      <alignment horizontal="right" vertical="center"/>
    </xf>
    <xf numFmtId="3" fontId="4" fillId="4" borderId="0" xfId="0" applyNumberFormat="1" applyFont="1" applyFill="1" applyAlignment="1">
      <alignment horizontal="right" vertical="center"/>
    </xf>
    <xf numFmtId="0" fontId="47" fillId="4" borderId="0" xfId="0" applyFont="1" applyFill="1"/>
    <xf numFmtId="0" fontId="4" fillId="4" borderId="0" xfId="0" applyFont="1" applyFill="1" applyAlignment="1">
      <alignment horizontal="right"/>
    </xf>
    <xf numFmtId="173" fontId="4" fillId="4" borderId="0" xfId="0" applyNumberFormat="1" applyFont="1" applyFill="1"/>
    <xf numFmtId="9" fontId="4" fillId="4" borderId="0" xfId="3" applyFont="1" applyFill="1" applyBorder="1"/>
    <xf numFmtId="9" fontId="4" fillId="4" borderId="0" xfId="3" applyFont="1" applyFill="1" applyBorder="1" applyAlignment="1">
      <alignment horizontal="center"/>
    </xf>
    <xf numFmtId="1" fontId="4" fillId="4" borderId="0" xfId="0" applyNumberFormat="1" applyFont="1" applyFill="1"/>
    <xf numFmtId="1" fontId="30" fillId="4" borderId="0" xfId="0" applyNumberFormat="1" applyFont="1" applyFill="1" applyAlignment="1">
      <alignment horizontal="center" vertical="center"/>
    </xf>
    <xf numFmtId="1" fontId="20" fillId="0" borderId="0" xfId="0" applyNumberFormat="1" applyFont="1"/>
    <xf numFmtId="0" fontId="108" fillId="4" borderId="0" xfId="0" applyFont="1" applyFill="1" applyAlignment="1">
      <alignment horizontal="left"/>
    </xf>
    <xf numFmtId="1" fontId="20" fillId="4" borderId="0" xfId="0" applyNumberFormat="1" applyFont="1" applyFill="1"/>
    <xf numFmtId="0" fontId="84" fillId="0" borderId="0" xfId="0" applyFont="1"/>
    <xf numFmtId="0" fontId="4" fillId="4" borderId="0" xfId="0" applyFont="1" applyFill="1" applyAlignment="1" applyProtection="1">
      <alignment horizontal="left" vertical="center"/>
      <protection locked="0"/>
    </xf>
    <xf numFmtId="1" fontId="25" fillId="4" borderId="0" xfId="0" applyNumberFormat="1" applyFont="1" applyFill="1"/>
    <xf numFmtId="1" fontId="4" fillId="0" borderId="0" xfId="0" applyNumberFormat="1" applyFont="1" applyAlignment="1">
      <alignment vertical="center"/>
    </xf>
    <xf numFmtId="1" fontId="4" fillId="0" borderId="0" xfId="0" applyNumberFormat="1" applyFont="1" applyAlignment="1">
      <alignment horizontal="left" vertical="center"/>
    </xf>
    <xf numFmtId="0" fontId="109" fillId="0" borderId="25" xfId="0" applyFont="1" applyBorder="1" applyAlignment="1">
      <alignment horizontal="center" vertical="center"/>
    </xf>
    <xf numFmtId="1" fontId="9" fillId="14" borderId="16" xfId="0" applyNumberFormat="1" applyFont="1" applyFill="1" applyBorder="1" applyAlignment="1">
      <alignment vertical="center"/>
    </xf>
    <xf numFmtId="1" fontId="9" fillId="14" borderId="9" xfId="0" applyNumberFormat="1" applyFont="1" applyFill="1" applyBorder="1" applyAlignment="1">
      <alignment vertical="center"/>
    </xf>
    <xf numFmtId="1" fontId="9" fillId="14" borderId="53" xfId="0" applyNumberFormat="1" applyFont="1" applyFill="1" applyBorder="1" applyAlignment="1">
      <alignment vertical="center"/>
    </xf>
    <xf numFmtId="0" fontId="31" fillId="0" borderId="0" xfId="0" applyFont="1" applyAlignment="1">
      <alignment vertical="center"/>
    </xf>
    <xf numFmtId="1" fontId="4" fillId="14" borderId="28" xfId="3" applyNumberFormat="1" applyFont="1" applyFill="1" applyBorder="1" applyAlignment="1" applyProtection="1">
      <alignment horizontal="center" vertical="center" wrapText="1"/>
    </xf>
    <xf numFmtId="1" fontId="29" fillId="14" borderId="28" xfId="0" applyNumberFormat="1" applyFont="1" applyFill="1" applyBorder="1" applyAlignment="1">
      <alignment horizontal="center" vertical="center" wrapText="1"/>
    </xf>
    <xf numFmtId="1" fontId="4" fillId="14" borderId="28" xfId="0" applyNumberFormat="1" applyFont="1" applyFill="1" applyBorder="1" applyAlignment="1">
      <alignment horizontal="center" vertical="center" wrapText="1"/>
    </xf>
    <xf numFmtId="0" fontId="4" fillId="0" borderId="0" xfId="0" applyFont="1" applyAlignment="1" applyProtection="1">
      <alignment vertical="center" wrapText="1"/>
      <protection hidden="1"/>
    </xf>
    <xf numFmtId="1" fontId="20" fillId="0" borderId="56" xfId="0" applyNumberFormat="1" applyFont="1" applyBorder="1" applyAlignment="1">
      <alignment horizontal="center"/>
    </xf>
    <xf numFmtId="0" fontId="4" fillId="0" borderId="59" xfId="0" applyFont="1" applyBorder="1" applyAlignment="1">
      <alignment horizontal="left" vertical="center"/>
    </xf>
    <xf numFmtId="3" fontId="20" fillId="15" borderId="45" xfId="0" applyNumberFormat="1" applyFont="1" applyFill="1" applyBorder="1" applyAlignment="1" applyProtection="1">
      <alignment vertical="center"/>
      <protection locked="0"/>
    </xf>
    <xf numFmtId="1" fontId="20" fillId="15" borderId="45" xfId="2" applyNumberFormat="1" applyFont="1" applyFill="1" applyBorder="1" applyAlignment="1" applyProtection="1">
      <alignment horizontal="center" vertical="center"/>
      <protection locked="0"/>
    </xf>
    <xf numFmtId="9" fontId="23" fillId="19" borderId="56" xfId="3" applyFont="1" applyFill="1" applyBorder="1" applyAlignment="1" applyProtection="1">
      <alignment horizontal="center"/>
    </xf>
    <xf numFmtId="3" fontId="23" fillId="19" borderId="56" xfId="0" applyNumberFormat="1" applyFont="1" applyFill="1" applyBorder="1" applyAlignment="1">
      <alignment horizontal="center"/>
    </xf>
    <xf numFmtId="3" fontId="4" fillId="15" borderId="45" xfId="6" applyNumberFormat="1" applyFont="1" applyFill="1" applyBorder="1" applyAlignment="1" applyProtection="1">
      <alignment horizontal="right" vertical="center"/>
      <protection locked="0"/>
    </xf>
    <xf numFmtId="0" fontId="35" fillId="15" borderId="3" xfId="7" applyFont="1" applyFill="1" applyBorder="1" applyAlignment="1" applyProtection="1">
      <alignment vertical="center"/>
      <protection locked="0"/>
    </xf>
    <xf numFmtId="1" fontId="20" fillId="0" borderId="41" xfId="0" applyNumberFormat="1" applyFont="1" applyBorder="1" applyAlignment="1">
      <alignment horizontal="center"/>
    </xf>
    <xf numFmtId="0" fontId="4" fillId="0" borderId="60" xfId="0" applyFont="1" applyBorder="1" applyAlignment="1">
      <alignment horizontal="left" vertical="center"/>
    </xf>
    <xf numFmtId="3" fontId="20" fillId="15" borderId="41" xfId="0" applyNumberFormat="1" applyFont="1" applyFill="1" applyBorder="1" applyAlignment="1" applyProtection="1">
      <alignment vertical="center"/>
      <protection locked="0"/>
    </xf>
    <xf numFmtId="1" fontId="20" fillId="15" borderId="41" xfId="2" applyNumberFormat="1" applyFont="1" applyFill="1" applyBorder="1" applyAlignment="1" applyProtection="1">
      <alignment horizontal="center" vertical="center"/>
      <protection locked="0"/>
    </xf>
    <xf numFmtId="9" fontId="23" fillId="19" borderId="28" xfId="3" applyFont="1" applyFill="1" applyBorder="1" applyAlignment="1" applyProtection="1">
      <alignment horizontal="center"/>
    </xf>
    <xf numFmtId="3" fontId="23" fillId="19" borderId="28" xfId="0" applyNumberFormat="1" applyFont="1" applyFill="1" applyBorder="1" applyAlignment="1">
      <alignment horizontal="center"/>
    </xf>
    <xf numFmtId="3" fontId="20" fillId="15" borderId="41" xfId="0" applyNumberFormat="1" applyFont="1" applyFill="1" applyBorder="1" applyAlignment="1" applyProtection="1">
      <alignment horizontal="right" vertical="center"/>
      <protection locked="0"/>
    </xf>
    <xf numFmtId="1" fontId="4" fillId="0" borderId="0" xfId="0" applyNumberFormat="1" applyFont="1" applyAlignment="1">
      <alignment vertical="center" wrapText="1"/>
    </xf>
    <xf numFmtId="0" fontId="20" fillId="0" borderId="3" xfId="0" applyFont="1" applyBorder="1" applyAlignment="1">
      <alignment horizontal="center"/>
    </xf>
    <xf numFmtId="0" fontId="4" fillId="0" borderId="16" xfId="0" applyFont="1" applyBorder="1" applyAlignment="1">
      <alignment horizontal="left" vertical="center"/>
    </xf>
    <xf numFmtId="3" fontId="20" fillId="15" borderId="3" xfId="0" applyNumberFormat="1" applyFont="1" applyFill="1" applyBorder="1" applyAlignment="1" applyProtection="1">
      <alignment vertical="center"/>
      <protection locked="0"/>
    </xf>
    <xf numFmtId="1" fontId="20" fillId="15" borderId="3" xfId="2" applyNumberFormat="1" applyFont="1" applyFill="1" applyBorder="1" applyAlignment="1" applyProtection="1">
      <alignment horizontal="center" vertical="center"/>
      <protection locked="0"/>
    </xf>
    <xf numFmtId="172" fontId="4" fillId="15" borderId="3" xfId="3" applyNumberFormat="1" applyFont="1" applyFill="1" applyBorder="1" applyAlignment="1" applyProtection="1">
      <alignment horizontal="center"/>
      <protection locked="0"/>
    </xf>
    <xf numFmtId="1" fontId="20" fillId="15" borderId="3" xfId="3" applyNumberFormat="1" applyFont="1" applyFill="1" applyBorder="1" applyAlignment="1" applyProtection="1">
      <alignment horizontal="center"/>
      <protection locked="0"/>
    </xf>
    <xf numFmtId="0" fontId="20" fillId="0" borderId="37" xfId="0" applyFont="1" applyBorder="1" applyAlignment="1">
      <alignment horizontal="center"/>
    </xf>
    <xf numFmtId="1" fontId="20" fillId="15" borderId="56" xfId="3" applyNumberFormat="1" applyFont="1" applyFill="1" applyBorder="1" applyAlignment="1" applyProtection="1">
      <alignment horizontal="center"/>
      <protection locked="0"/>
    </xf>
    <xf numFmtId="16" fontId="20" fillId="0" borderId="45" xfId="0" quotePrefix="1" applyNumberFormat="1" applyFont="1" applyBorder="1" applyAlignment="1">
      <alignment horizontal="center"/>
    </xf>
    <xf numFmtId="0" fontId="4" fillId="15" borderId="60" xfId="0" applyFont="1" applyFill="1" applyBorder="1" applyAlignment="1">
      <alignment horizontal="left" vertical="center"/>
    </xf>
    <xf numFmtId="172" fontId="4" fillId="15" borderId="41" xfId="3" applyNumberFormat="1" applyFont="1" applyFill="1" applyBorder="1" applyAlignment="1" applyProtection="1">
      <alignment horizontal="center"/>
      <protection locked="0"/>
    </xf>
    <xf numFmtId="1" fontId="20" fillId="15" borderId="41" xfId="3" applyNumberFormat="1" applyFont="1" applyFill="1" applyBorder="1" applyAlignment="1" applyProtection="1">
      <alignment horizontal="center"/>
      <protection locked="0"/>
    </xf>
    <xf numFmtId="49" fontId="20" fillId="0" borderId="7" xfId="0" applyNumberFormat="1" applyFont="1" applyBorder="1"/>
    <xf numFmtId="3" fontId="4" fillId="0" borderId="30" xfId="0" applyNumberFormat="1" applyFont="1" applyBorder="1" applyAlignment="1">
      <alignment horizontal="left"/>
    </xf>
    <xf numFmtId="3" fontId="20" fillId="0" borderId="28" xfId="0" applyNumberFormat="1" applyFont="1" applyBorder="1"/>
    <xf numFmtId="3" fontId="20" fillId="10" borderId="0" xfId="0" applyNumberFormat="1" applyFont="1" applyFill="1" applyAlignment="1">
      <alignment horizontal="right"/>
    </xf>
    <xf numFmtId="49" fontId="20" fillId="0" borderId="7" xfId="0" applyNumberFormat="1" applyFont="1" applyBorder="1" applyAlignment="1">
      <alignment horizontal="center"/>
    </xf>
    <xf numFmtId="3" fontId="4" fillId="0" borderId="16" xfId="0" applyNumberFormat="1" applyFont="1" applyBorder="1" applyAlignment="1">
      <alignment horizontal="left"/>
    </xf>
    <xf numFmtId="3" fontId="20" fillId="0" borderId="3" xfId="0" applyNumberFormat="1" applyFont="1" applyBorder="1" applyAlignment="1">
      <alignment horizontal="right"/>
    </xf>
    <xf numFmtId="3" fontId="20" fillId="10" borderId="0" xfId="0" applyNumberFormat="1" applyFont="1" applyFill="1" applyAlignment="1">
      <alignment horizontal="right" vertical="center"/>
    </xf>
    <xf numFmtId="3" fontId="20" fillId="10" borderId="0" xfId="0" applyNumberFormat="1" applyFont="1" applyFill="1" applyAlignment="1">
      <alignment vertical="center"/>
    </xf>
    <xf numFmtId="1" fontId="37" fillId="4" borderId="0" xfId="0" applyNumberFormat="1" applyFont="1" applyFill="1"/>
    <xf numFmtId="1" fontId="37" fillId="4" borderId="0" xfId="3" applyNumberFormat="1" applyFont="1" applyFill="1" applyAlignment="1" applyProtection="1">
      <alignment horizontal="right" indent="1"/>
    </xf>
    <xf numFmtId="0" fontId="37" fillId="4" borderId="0" xfId="0" applyFont="1" applyFill="1" applyAlignment="1" applyProtection="1">
      <alignment horizontal="left"/>
      <protection hidden="1"/>
    </xf>
    <xf numFmtId="0" fontId="42" fillId="4" borderId="0" xfId="0" applyFont="1" applyFill="1" applyAlignment="1" applyProtection="1">
      <alignment horizontal="left"/>
      <protection hidden="1"/>
    </xf>
    <xf numFmtId="1" fontId="37" fillId="4" borderId="0" xfId="0" applyNumberFormat="1" applyFont="1" applyFill="1" applyAlignment="1" applyProtection="1">
      <alignment horizontal="left" indent="1"/>
      <protection locked="0"/>
    </xf>
    <xf numFmtId="1" fontId="9" fillId="11" borderId="3" xfId="0" applyNumberFormat="1" applyFont="1" applyFill="1" applyBorder="1" applyAlignment="1">
      <alignment horizontal="center" vertical="center"/>
    </xf>
    <xf numFmtId="1" fontId="4" fillId="11" borderId="29" xfId="3" applyNumberFormat="1" applyFont="1" applyFill="1" applyBorder="1" applyAlignment="1" applyProtection="1">
      <alignment horizontal="center" vertical="center" wrapText="1"/>
    </xf>
    <xf numFmtId="1" fontId="29" fillId="11" borderId="28" xfId="0" applyNumberFormat="1" applyFont="1" applyFill="1" applyBorder="1" applyAlignment="1">
      <alignment horizontal="center" vertical="center" wrapText="1"/>
    </xf>
    <xf numFmtId="1" fontId="4" fillId="11" borderId="30" xfId="0" applyNumberFormat="1" applyFont="1" applyFill="1" applyBorder="1" applyAlignment="1">
      <alignment horizontal="center" vertical="center" wrapText="1"/>
    </xf>
    <xf numFmtId="1" fontId="9" fillId="11" borderId="80" xfId="0" applyNumberFormat="1" applyFont="1" applyFill="1" applyBorder="1" applyAlignment="1">
      <alignment horizontal="center" vertical="center"/>
    </xf>
    <xf numFmtId="1" fontId="29" fillId="11" borderId="28" xfId="3" applyNumberFormat="1" applyFont="1" applyFill="1" applyBorder="1" applyAlignment="1" applyProtection="1">
      <alignment horizontal="center" vertical="center" wrapText="1"/>
    </xf>
    <xf numFmtId="1" fontId="4" fillId="11" borderId="28" xfId="0" applyNumberFormat="1" applyFont="1" applyFill="1" applyBorder="1" applyAlignment="1">
      <alignment horizontal="center" vertical="center" wrapText="1"/>
    </xf>
    <xf numFmtId="3" fontId="20" fillId="15" borderId="81" xfId="0" applyNumberFormat="1" applyFont="1" applyFill="1" applyBorder="1" applyAlignment="1" applyProtection="1">
      <alignment vertical="center"/>
      <protection locked="0"/>
    </xf>
    <xf numFmtId="0" fontId="110" fillId="0" borderId="7" xfId="0" applyFont="1" applyBorder="1" applyAlignment="1">
      <alignment horizontal="center" vertical="center"/>
    </xf>
    <xf numFmtId="3" fontId="4" fillId="0" borderId="3" xfId="0" applyNumberFormat="1" applyFont="1" applyBorder="1" applyAlignment="1">
      <alignment horizontal="left"/>
    </xf>
    <xf numFmtId="3" fontId="20" fillId="10" borderId="6" xfId="0" applyNumberFormat="1" applyFont="1" applyFill="1" applyBorder="1" applyAlignment="1">
      <alignment horizontal="right"/>
    </xf>
    <xf numFmtId="3" fontId="20" fillId="0" borderId="82" xfId="0" applyNumberFormat="1" applyFont="1" applyBorder="1"/>
    <xf numFmtId="169" fontId="20" fillId="4" borderId="0" xfId="0" applyNumberFormat="1" applyFont="1" applyFill="1"/>
    <xf numFmtId="0" fontId="32" fillId="4" borderId="0" xfId="0" applyFont="1" applyFill="1" applyAlignment="1">
      <alignment horizontal="center"/>
    </xf>
    <xf numFmtId="1" fontId="20" fillId="4" borderId="0" xfId="3" applyNumberFormat="1" applyFont="1" applyFill="1" applyBorder="1" applyAlignment="1" applyProtection="1">
      <alignment horizontal="right" indent="1"/>
    </xf>
    <xf numFmtId="0" fontId="9" fillId="14" borderId="16" xfId="0" applyFont="1" applyFill="1" applyBorder="1" applyAlignment="1" applyProtection="1">
      <alignment vertical="center"/>
      <protection hidden="1"/>
    </xf>
    <xf numFmtId="0" fontId="9" fillId="14" borderId="51" xfId="0" applyFont="1" applyFill="1" applyBorder="1" applyAlignment="1">
      <alignment vertical="center"/>
    </xf>
    <xf numFmtId="174" fontId="9" fillId="14" borderId="3" xfId="0" applyNumberFormat="1" applyFont="1" applyFill="1" applyBorder="1" applyAlignment="1">
      <alignment horizontal="center" vertical="center"/>
    </xf>
    <xf numFmtId="174" fontId="4" fillId="14" borderId="9" xfId="0" applyNumberFormat="1" applyFont="1" applyFill="1" applyBorder="1" applyAlignment="1">
      <alignment horizontal="center" vertical="center"/>
    </xf>
    <xf numFmtId="0" fontId="20" fillId="0" borderId="56" xfId="0" applyFont="1" applyBorder="1"/>
    <xf numFmtId="0" fontId="20" fillId="0" borderId="13" xfId="0" applyFont="1" applyBorder="1"/>
    <xf numFmtId="170" fontId="20" fillId="4" borderId="0" xfId="0" applyNumberFormat="1" applyFont="1" applyFill="1"/>
    <xf numFmtId="1" fontId="4" fillId="14" borderId="9" xfId="0" applyNumberFormat="1" applyFont="1" applyFill="1" applyBorder="1" applyAlignment="1">
      <alignment horizontal="center" vertical="center"/>
    </xf>
    <xf numFmtId="3" fontId="20" fillId="0" borderId="48" xfId="0" applyNumberFormat="1" applyFont="1" applyBorder="1" applyAlignment="1">
      <alignment horizontal="right"/>
    </xf>
    <xf numFmtId="3" fontId="20" fillId="0" borderId="7" xfId="0" applyNumberFormat="1" applyFont="1" applyBorder="1" applyAlignment="1">
      <alignment horizontal="right"/>
    </xf>
    <xf numFmtId="3" fontId="20" fillId="0" borderId="13" xfId="0" applyNumberFormat="1" applyFont="1" applyBorder="1" applyAlignment="1">
      <alignment horizontal="right"/>
    </xf>
    <xf numFmtId="3" fontId="20" fillId="0" borderId="66" xfId="0" applyNumberFormat="1" applyFont="1" applyBorder="1" applyAlignment="1">
      <alignment horizontal="right"/>
    </xf>
    <xf numFmtId="1" fontId="35" fillId="4" borderId="0" xfId="0" applyNumberFormat="1" applyFont="1" applyFill="1" applyAlignment="1">
      <alignment horizontal="right" indent="1"/>
    </xf>
    <xf numFmtId="1" fontId="35" fillId="4" borderId="0" xfId="0" applyNumberFormat="1" applyFont="1" applyFill="1"/>
    <xf numFmtId="0" fontId="25" fillId="4" borderId="0" xfId="0" applyFont="1" applyFill="1" applyAlignment="1">
      <alignment horizontal="center"/>
    </xf>
    <xf numFmtId="0" fontId="9" fillId="14" borderId="16" xfId="0" applyFont="1" applyFill="1" applyBorder="1" applyAlignment="1">
      <alignment vertical="center"/>
    </xf>
    <xf numFmtId="0" fontId="9" fillId="14" borderId="32" xfId="0" applyFont="1" applyFill="1" applyBorder="1" applyAlignment="1">
      <alignment vertical="center"/>
    </xf>
    <xf numFmtId="3" fontId="4" fillId="0" borderId="56" xfId="0" applyNumberFormat="1" applyFont="1" applyBorder="1"/>
    <xf numFmtId="3" fontId="4" fillId="0" borderId="56" xfId="0" applyNumberFormat="1" applyFont="1" applyBorder="1" applyAlignment="1">
      <alignment horizontal="right"/>
    </xf>
    <xf numFmtId="3" fontId="4" fillId="0" borderId="13" xfId="0" applyNumberFormat="1" applyFont="1" applyBorder="1"/>
    <xf numFmtId="3" fontId="4" fillId="0" borderId="13" xfId="0" applyNumberFormat="1" applyFont="1" applyBorder="1" applyAlignment="1">
      <alignment horizontal="right"/>
    </xf>
    <xf numFmtId="0" fontId="55" fillId="0" borderId="0" xfId="0" applyFont="1" applyAlignment="1">
      <alignment vertical="center"/>
    </xf>
    <xf numFmtId="0" fontId="23" fillId="0" borderId="0" xfId="0" applyFont="1" applyAlignment="1" applyProtection="1">
      <alignment vertical="center"/>
      <protection hidden="1"/>
    </xf>
    <xf numFmtId="171" fontId="20" fillId="4" borderId="0" xfId="6" applyNumberFormat="1" applyFont="1" applyFill="1" applyBorder="1" applyAlignment="1" applyProtection="1">
      <alignment horizontal="right" indent="1"/>
      <protection hidden="1"/>
    </xf>
    <xf numFmtId="1" fontId="20" fillId="4" borderId="0" xfId="3" applyNumberFormat="1" applyFont="1" applyFill="1" applyBorder="1" applyAlignment="1" applyProtection="1">
      <alignment horizontal="right" indent="1"/>
      <protection hidden="1"/>
    </xf>
    <xf numFmtId="0" fontId="23" fillId="4" borderId="0" xfId="0" applyFont="1" applyFill="1" applyAlignment="1" applyProtection="1">
      <alignment horizontal="left" vertical="center"/>
      <protection hidden="1"/>
    </xf>
    <xf numFmtId="1" fontId="34" fillId="4" borderId="0" xfId="0" applyNumberFormat="1" applyFont="1" applyFill="1" applyAlignment="1" applyProtection="1">
      <alignment horizontal="center" vertical="center"/>
      <protection hidden="1"/>
    </xf>
    <xf numFmtId="1" fontId="34" fillId="4" borderId="0" xfId="0" applyNumberFormat="1" applyFont="1" applyFill="1" applyAlignment="1" applyProtection="1">
      <alignment horizontal="left" vertical="center"/>
      <protection hidden="1"/>
    </xf>
    <xf numFmtId="4" fontId="20" fillId="4" borderId="0" xfId="0" applyNumberFormat="1" applyFont="1" applyFill="1" applyAlignment="1" applyProtection="1">
      <alignment horizontal="right" indent="1"/>
      <protection hidden="1"/>
    </xf>
    <xf numFmtId="167" fontId="4" fillId="0" borderId="0" xfId="6" applyNumberFormat="1" applyFont="1" applyFill="1" applyBorder="1" applyAlignment="1">
      <alignment horizontal="center" vertical="center"/>
    </xf>
    <xf numFmtId="3" fontId="4" fillId="0" borderId="0" xfId="0" applyNumberFormat="1" applyFont="1" applyAlignment="1" applyProtection="1">
      <alignment horizontal="left" vertical="center"/>
      <protection locked="0"/>
    </xf>
    <xf numFmtId="165" fontId="20" fillId="4" borderId="0" xfId="6" applyFont="1" applyFill="1" applyBorder="1" applyAlignment="1">
      <alignment horizontal="center"/>
    </xf>
    <xf numFmtId="167" fontId="20" fillId="4" borderId="0" xfId="6" applyNumberFormat="1" applyFont="1" applyFill="1" applyBorder="1" applyAlignment="1">
      <alignment horizontal="center"/>
    </xf>
    <xf numFmtId="167" fontId="20" fillId="4" borderId="0" xfId="6" applyNumberFormat="1" applyFont="1" applyFill="1" applyBorder="1" applyAlignment="1"/>
    <xf numFmtId="0" fontId="20" fillId="4" borderId="0" xfId="0" applyFont="1" applyFill="1" applyAlignment="1">
      <alignment vertical="center" wrapText="1"/>
    </xf>
    <xf numFmtId="164" fontId="20" fillId="4" borderId="0" xfId="0" applyNumberFormat="1" applyFont="1" applyFill="1" applyAlignment="1">
      <alignment horizontal="center"/>
    </xf>
    <xf numFmtId="164" fontId="20" fillId="4" borderId="0" xfId="0" applyNumberFormat="1" applyFont="1" applyFill="1"/>
    <xf numFmtId="1" fontId="111" fillId="4" borderId="0" xfId="1" applyNumberFormat="1" applyFont="1" applyFill="1" applyBorder="1" applyAlignment="1" applyProtection="1">
      <alignment horizontal="right" indent="1"/>
    </xf>
    <xf numFmtId="167" fontId="20" fillId="0" borderId="0" xfId="6" applyNumberFormat="1" applyFont="1" applyFill="1" applyBorder="1" applyAlignment="1">
      <alignment horizontal="center"/>
    </xf>
    <xf numFmtId="165" fontId="20" fillId="0" borderId="0" xfId="6" applyFont="1" applyFill="1" applyBorder="1" applyAlignment="1">
      <alignment horizontal="center"/>
    </xf>
    <xf numFmtId="167" fontId="20" fillId="0" borderId="0" xfId="6" applyNumberFormat="1" applyFont="1" applyFill="1" applyBorder="1" applyAlignment="1"/>
    <xf numFmtId="1" fontId="20" fillId="15" borderId="16" xfId="3" applyNumberFormat="1" applyFont="1" applyFill="1" applyBorder="1" applyAlignment="1" applyProtection="1">
      <alignment horizontal="center"/>
      <protection locked="0"/>
    </xf>
    <xf numFmtId="3" fontId="20" fillId="15" borderId="80" xfId="0" applyNumberFormat="1" applyFont="1" applyFill="1" applyBorder="1" applyAlignment="1" applyProtection="1">
      <alignment vertical="center"/>
      <protection locked="0"/>
    </xf>
    <xf numFmtId="0" fontId="36" fillId="4" borderId="0" xfId="0" applyFont="1" applyFill="1" applyAlignment="1" applyProtection="1">
      <alignment horizontal="center" vertical="center"/>
      <protection hidden="1"/>
    </xf>
    <xf numFmtId="0" fontId="100" fillId="4" borderId="0" xfId="0" applyFont="1" applyFill="1"/>
    <xf numFmtId="0" fontId="20" fillId="4" borderId="0" xfId="0" quotePrefix="1" applyFont="1" applyFill="1"/>
    <xf numFmtId="0" fontId="28" fillId="0" borderId="0" xfId="0" applyFont="1" applyAlignment="1">
      <alignment horizontal="left"/>
    </xf>
    <xf numFmtId="9" fontId="56" fillId="0" borderId="0" xfId="0" applyNumberFormat="1" applyFont="1"/>
    <xf numFmtId="0" fontId="0" fillId="0" borderId="0" xfId="0" applyAlignment="1" applyProtection="1">
      <alignment vertical="center"/>
      <protection locked="0"/>
    </xf>
    <xf numFmtId="9" fontId="20" fillId="0" borderId="0" xfId="0" applyNumberFormat="1" applyFont="1"/>
    <xf numFmtId="0" fontId="56" fillId="0" borderId="0" xfId="0" applyFont="1"/>
    <xf numFmtId="0" fontId="70" fillId="14" borderId="3" xfId="0" applyFont="1" applyFill="1" applyBorder="1" applyAlignment="1">
      <alignment horizontal="center"/>
    </xf>
    <xf numFmtId="2" fontId="70" fillId="14" borderId="31" xfId="0" applyNumberFormat="1" applyFont="1" applyFill="1" applyBorder="1" applyAlignment="1">
      <alignment horizontal="center"/>
    </xf>
    <xf numFmtId="2" fontId="9" fillId="16" borderId="3" xfId="0" applyNumberFormat="1" applyFont="1" applyFill="1" applyBorder="1" applyAlignment="1">
      <alignment horizontal="center"/>
    </xf>
    <xf numFmtId="0" fontId="56" fillId="0" borderId="0" xfId="0" applyFont="1" applyAlignment="1">
      <alignment horizontal="center" vertical="center"/>
    </xf>
    <xf numFmtId="0" fontId="20" fillId="16" borderId="28" xfId="0" applyFont="1" applyFill="1" applyBorder="1" applyAlignment="1">
      <alignment horizontal="left" vertical="center" indent="1"/>
    </xf>
    <xf numFmtId="0" fontId="4" fillId="16" borderId="3" xfId="0" applyFont="1" applyFill="1" applyBorder="1" applyAlignment="1">
      <alignment horizontal="center" vertical="center"/>
    </xf>
    <xf numFmtId="49" fontId="20" fillId="4" borderId="11" xfId="0" applyNumberFormat="1" applyFont="1" applyFill="1" applyBorder="1" applyAlignment="1">
      <alignment horizontal="left" vertical="center" indent="1"/>
    </xf>
    <xf numFmtId="3" fontId="20" fillId="0" borderId="7" xfId="0" applyNumberFormat="1" applyFont="1" applyBorder="1" applyAlignment="1">
      <alignment vertical="center"/>
    </xf>
    <xf numFmtId="0" fontId="20" fillId="0" borderId="1" xfId="0" applyFont="1" applyBorder="1" applyAlignment="1">
      <alignment vertical="center"/>
    </xf>
    <xf numFmtId="3" fontId="29" fillId="0" borderId="16" xfId="0" applyNumberFormat="1" applyFont="1" applyBorder="1" applyAlignment="1" applyProtection="1">
      <alignment horizontal="right" vertical="center" wrapText="1"/>
      <protection hidden="1"/>
    </xf>
    <xf numFmtId="3" fontId="20" fillId="0" borderId="75" xfId="0" applyNumberFormat="1" applyFont="1" applyBorder="1" applyAlignment="1">
      <alignment horizontal="right" vertical="center"/>
    </xf>
    <xf numFmtId="3" fontId="20" fillId="0" borderId="75" xfId="0" applyNumberFormat="1" applyFont="1" applyBorder="1" applyAlignment="1">
      <alignment vertical="center"/>
    </xf>
    <xf numFmtId="49" fontId="20" fillId="4" borderId="1" xfId="0" applyNumberFormat="1" applyFont="1" applyFill="1" applyBorder="1" applyAlignment="1">
      <alignment horizontal="left" vertical="center" indent="1"/>
    </xf>
    <xf numFmtId="3" fontId="20" fillId="0" borderId="36" xfId="0" applyNumberFormat="1" applyFont="1" applyBorder="1" applyAlignment="1">
      <alignment vertical="center"/>
    </xf>
    <xf numFmtId="9" fontId="56" fillId="0" borderId="0" xfId="3" applyFont="1" applyFill="1" applyBorder="1" applyAlignment="1" applyProtection="1">
      <alignment horizontal="center" vertical="center"/>
      <protection locked="0"/>
    </xf>
    <xf numFmtId="0" fontId="51" fillId="0" borderId="0" xfId="0" applyFont="1" applyAlignment="1">
      <alignment vertical="center"/>
    </xf>
    <xf numFmtId="0" fontId="47" fillId="0" borderId="0" xfId="0" applyFont="1" applyAlignment="1">
      <alignment vertical="center"/>
    </xf>
    <xf numFmtId="0" fontId="43" fillId="0" borderId="0" xfId="0" applyFont="1" applyAlignment="1">
      <alignment vertical="center"/>
    </xf>
    <xf numFmtId="0" fontId="51" fillId="0" borderId="28" xfId="0" applyFont="1" applyBorder="1" applyAlignment="1">
      <alignment vertical="center"/>
    </xf>
    <xf numFmtId="3" fontId="29" fillId="0" borderId="34" xfId="0" applyNumberFormat="1" applyFont="1" applyBorder="1" applyAlignment="1" applyProtection="1">
      <alignment horizontal="right" vertical="center" wrapText="1"/>
      <protection hidden="1"/>
    </xf>
    <xf numFmtId="3" fontId="20" fillId="0" borderId="4" xfId="0" applyNumberFormat="1" applyFont="1" applyBorder="1" applyAlignment="1">
      <alignment vertical="center"/>
    </xf>
    <xf numFmtId="3" fontId="20" fillId="0" borderId="28" xfId="0" applyNumberFormat="1" applyFont="1" applyBorder="1" applyAlignment="1">
      <alignment vertical="center"/>
    </xf>
    <xf numFmtId="0" fontId="112" fillId="0" borderId="0" xfId="0" applyFont="1" applyAlignment="1">
      <alignment horizontal="center" vertical="center"/>
    </xf>
    <xf numFmtId="0" fontId="20" fillId="4" borderId="29" xfId="0" quotePrefix="1" applyFont="1" applyFill="1" applyBorder="1" applyAlignment="1">
      <alignment horizontal="center" vertical="center"/>
    </xf>
    <xf numFmtId="9" fontId="56" fillId="0" borderId="0" xfId="3" applyFont="1" applyFill="1" applyBorder="1" applyAlignment="1" applyProtection="1">
      <alignment horizontal="center" vertical="center"/>
    </xf>
    <xf numFmtId="0" fontId="20" fillId="16" borderId="3" xfId="0" applyFont="1" applyFill="1" applyBorder="1" applyAlignment="1">
      <alignment horizontal="center" vertical="center"/>
    </xf>
    <xf numFmtId="0" fontId="4" fillId="16" borderId="9" xfId="0" applyFont="1" applyFill="1" applyBorder="1" applyAlignment="1">
      <alignment horizontal="center" vertical="center"/>
    </xf>
    <xf numFmtId="49" fontId="20" fillId="4" borderId="6" xfId="0" applyNumberFormat="1" applyFont="1" applyFill="1" applyBorder="1" applyAlignment="1">
      <alignment horizontal="center" vertical="center"/>
    </xf>
    <xf numFmtId="49" fontId="56" fillId="0" borderId="0" xfId="0" applyNumberFormat="1" applyFont="1" applyAlignment="1">
      <alignment vertical="center"/>
    </xf>
    <xf numFmtId="0" fontId="56" fillId="0" borderId="0" xfId="0" applyFont="1" applyAlignment="1" applyProtection="1">
      <alignment vertical="center"/>
      <protection hidden="1"/>
    </xf>
    <xf numFmtId="3" fontId="20" fillId="0" borderId="3" xfId="0" applyNumberFormat="1" applyFont="1" applyBorder="1" applyAlignment="1">
      <alignment vertical="center"/>
    </xf>
    <xf numFmtId="0" fontId="56" fillId="0" borderId="0" xfId="0" applyFont="1" applyProtection="1">
      <protection hidden="1"/>
    </xf>
    <xf numFmtId="0" fontId="4" fillId="16" borderId="53" xfId="0" applyFont="1" applyFill="1" applyBorder="1" applyAlignment="1">
      <alignment horizontal="center" vertical="center"/>
    </xf>
    <xf numFmtId="0" fontId="4" fillId="16" borderId="16" xfId="0" applyFont="1" applyFill="1" applyBorder="1" applyAlignment="1">
      <alignment horizontal="center" vertical="center"/>
    </xf>
    <xf numFmtId="2" fontId="20" fillId="16" borderId="3" xfId="0" applyNumberFormat="1" applyFont="1" applyFill="1" applyBorder="1" applyAlignment="1">
      <alignment vertical="center"/>
    </xf>
    <xf numFmtId="9" fontId="29" fillId="15" borderId="56" xfId="3" applyFont="1" applyFill="1" applyBorder="1" applyAlignment="1" applyProtection="1">
      <alignment horizontal="center" vertical="center"/>
      <protection locked="0"/>
    </xf>
    <xf numFmtId="49" fontId="20" fillId="4" borderId="56" xfId="0" applyNumberFormat="1" applyFont="1" applyFill="1" applyBorder="1" applyAlignment="1">
      <alignment horizontal="center" vertical="center"/>
    </xf>
    <xf numFmtId="175" fontId="20" fillId="0" borderId="0" xfId="6" applyNumberFormat="1" applyFont="1" applyFill="1" applyBorder="1" applyAlignment="1" applyProtection="1">
      <alignment horizontal="center" vertical="center"/>
    </xf>
    <xf numFmtId="3" fontId="20" fillId="0" borderId="33" xfId="0" applyNumberFormat="1" applyFont="1" applyBorder="1" applyAlignment="1">
      <alignment vertical="center"/>
    </xf>
    <xf numFmtId="9" fontId="112" fillId="0" borderId="0" xfId="3" applyFont="1" applyFill="1" applyBorder="1" applyAlignment="1" applyProtection="1">
      <alignment vertical="center"/>
    </xf>
    <xf numFmtId="3" fontId="20" fillId="0" borderId="0" xfId="0" applyNumberFormat="1" applyFont="1" applyAlignment="1" applyProtection="1">
      <alignment horizontal="right" vertical="center"/>
      <protection locked="0"/>
    </xf>
    <xf numFmtId="0" fontId="20" fillId="4" borderId="31" xfId="0" applyFont="1" applyFill="1" applyBorder="1" applyAlignment="1">
      <alignment vertical="center"/>
    </xf>
    <xf numFmtId="3" fontId="20" fillId="0" borderId="85" xfId="0" applyNumberFormat="1" applyFont="1" applyBorder="1" applyAlignment="1">
      <alignment vertical="center"/>
    </xf>
    <xf numFmtId="3" fontId="20" fillId="0" borderId="29" xfId="0" applyNumberFormat="1" applyFont="1" applyBorder="1" applyAlignment="1">
      <alignment vertical="center"/>
    </xf>
    <xf numFmtId="0" fontId="113" fillId="0" borderId="0" xfId="0" applyFont="1" applyAlignment="1">
      <alignment horizontal="center" vertical="center"/>
    </xf>
    <xf numFmtId="3" fontId="20" fillId="0" borderId="11" xfId="0" applyNumberFormat="1" applyFont="1" applyBorder="1" applyAlignment="1">
      <alignment vertical="center"/>
    </xf>
    <xf numFmtId="0" fontId="56" fillId="0" borderId="0" xfId="0" applyFont="1" applyAlignment="1">
      <alignment horizontal="center"/>
    </xf>
    <xf numFmtId="0" fontId="20" fillId="16" borderId="28" xfId="0" applyFont="1" applyFill="1" applyBorder="1" applyAlignment="1">
      <alignment horizontal="center" vertical="center"/>
    </xf>
    <xf numFmtId="49" fontId="20" fillId="4" borderId="11" xfId="0" applyNumberFormat="1" applyFont="1" applyFill="1" applyBorder="1" applyAlignment="1">
      <alignment horizontal="center" vertical="center"/>
    </xf>
    <xf numFmtId="0" fontId="55" fillId="0" borderId="0" xfId="0" applyFont="1" applyAlignment="1">
      <alignment horizontal="left" vertical="center"/>
    </xf>
    <xf numFmtId="0" fontId="62" fillId="4" borderId="0" xfId="0" applyFont="1" applyFill="1" applyAlignment="1">
      <alignment horizontal="left" vertical="center"/>
    </xf>
    <xf numFmtId="9" fontId="104" fillId="0" borderId="0" xfId="3" applyFont="1" applyFill="1" applyBorder="1" applyAlignment="1" applyProtection="1">
      <alignment vertical="center"/>
    </xf>
    <xf numFmtId="0" fontId="94" fillId="4" borderId="7" xfId="0" applyFont="1" applyFill="1" applyBorder="1"/>
    <xf numFmtId="0" fontId="98" fillId="0" borderId="0" xfId="0" applyFont="1" applyAlignment="1" applyProtection="1">
      <alignment vertical="center"/>
      <protection hidden="1"/>
    </xf>
    <xf numFmtId="49" fontId="29" fillId="0" borderId="0" xfId="0" applyNumberFormat="1" applyFont="1" applyAlignment="1">
      <alignment horizontal="center" vertical="center"/>
    </xf>
    <xf numFmtId="9" fontId="116" fillId="0" borderId="89" xfId="3" applyFont="1" applyFill="1" applyBorder="1" applyAlignment="1" applyProtection="1">
      <alignment horizontal="center" vertical="center"/>
    </xf>
    <xf numFmtId="2" fontId="9" fillId="0" borderId="0" xfId="0" applyNumberFormat="1" applyFont="1" applyAlignment="1">
      <alignment horizontal="center" vertical="center"/>
    </xf>
    <xf numFmtId="3" fontId="20" fillId="0" borderId="0" xfId="6" applyNumberFormat="1" applyFont="1" applyFill="1" applyBorder="1" applyAlignment="1" applyProtection="1">
      <alignment vertical="center"/>
    </xf>
    <xf numFmtId="3" fontId="20" fillId="0" borderId="0" xfId="6" applyNumberFormat="1" applyFont="1" applyFill="1" applyBorder="1" applyAlignment="1" applyProtection="1">
      <alignment horizontal="center" vertical="center"/>
    </xf>
    <xf numFmtId="2" fontId="4" fillId="0" borderId="0" xfId="0" applyNumberFormat="1" applyFont="1" applyAlignment="1">
      <alignment horizontal="center" vertical="center"/>
    </xf>
    <xf numFmtId="3" fontId="20" fillId="0" borderId="49" xfId="0" applyNumberFormat="1" applyFont="1" applyBorder="1" applyAlignment="1">
      <alignment vertical="center"/>
    </xf>
    <xf numFmtId="3" fontId="20" fillId="0" borderId="0" xfId="0" applyNumberFormat="1" applyFont="1" applyAlignment="1">
      <alignment horizontal="left" vertical="center"/>
    </xf>
    <xf numFmtId="3" fontId="20" fillId="0" borderId="0" xfId="0" applyNumberFormat="1" applyFont="1" applyAlignment="1" applyProtection="1">
      <alignment vertical="center"/>
      <protection locked="0"/>
    </xf>
    <xf numFmtId="3" fontId="20" fillId="0" borderId="13" xfId="0" applyNumberFormat="1" applyFont="1" applyBorder="1" applyAlignment="1">
      <alignment vertical="center"/>
    </xf>
    <xf numFmtId="9" fontId="95" fillId="0" borderId="0" xfId="3" applyFont="1" applyFill="1" applyBorder="1" applyAlignment="1" applyProtection="1">
      <alignment horizontal="center" vertical="center"/>
    </xf>
    <xf numFmtId="9" fontId="112" fillId="0" borderId="0" xfId="3" applyFont="1" applyFill="1" applyBorder="1" applyAlignment="1" applyProtection="1">
      <alignment horizontal="center" vertical="center"/>
    </xf>
    <xf numFmtId="0" fontId="28" fillId="0" borderId="0" xfId="0" applyFont="1" applyAlignment="1">
      <alignment vertical="center"/>
    </xf>
    <xf numFmtId="9" fontId="20" fillId="4" borderId="0" xfId="0" applyNumberFormat="1" applyFont="1" applyFill="1"/>
    <xf numFmtId="9" fontId="56" fillId="0" borderId="0" xfId="3" applyFont="1" applyFill="1" applyBorder="1" applyAlignment="1" applyProtection="1">
      <alignment horizontal="center"/>
      <protection locked="0"/>
    </xf>
    <xf numFmtId="1" fontId="30" fillId="0" borderId="0" xfId="0" applyNumberFormat="1" applyFont="1" applyAlignment="1">
      <alignment vertical="center"/>
    </xf>
    <xf numFmtId="0" fontId="88" fillId="16" borderId="28" xfId="0" applyFont="1" applyFill="1" applyBorder="1" applyAlignment="1">
      <alignment horizontal="center" vertical="center"/>
    </xf>
    <xf numFmtId="3" fontId="94" fillId="0" borderId="0" xfId="0" applyNumberFormat="1" applyFont="1" applyAlignment="1">
      <alignment vertical="center"/>
    </xf>
    <xf numFmtId="49" fontId="88" fillId="4" borderId="11" xfId="0" applyNumberFormat="1" applyFont="1" applyFill="1" applyBorder="1" applyAlignment="1">
      <alignment horizontal="center" vertical="center"/>
    </xf>
    <xf numFmtId="3" fontId="20" fillId="15" borderId="11" xfId="0" applyNumberFormat="1" applyFont="1" applyFill="1" applyBorder="1" applyAlignment="1" applyProtection="1">
      <alignment horizontal="right" vertical="center"/>
      <protection locked="0"/>
    </xf>
    <xf numFmtId="175" fontId="118" fillId="0" borderId="0" xfId="6" applyNumberFormat="1" applyFont="1" applyFill="1" applyBorder="1" applyAlignment="1" applyProtection="1">
      <alignment horizontal="center" vertical="center"/>
    </xf>
    <xf numFmtId="3" fontId="118" fillId="0" borderId="0" xfId="0" applyNumberFormat="1" applyFont="1" applyAlignment="1">
      <alignment horizontal="center" vertical="center"/>
    </xf>
    <xf numFmtId="175" fontId="4" fillId="0" borderId="0" xfId="6" applyNumberFormat="1" applyFont="1" applyFill="1" applyBorder="1" applyAlignment="1" applyProtection="1">
      <alignment horizontal="center" vertical="center"/>
    </xf>
    <xf numFmtId="3" fontId="4" fillId="0" borderId="0" xfId="0" applyNumberFormat="1" applyFont="1" applyAlignment="1">
      <alignment horizontal="center" vertical="center"/>
    </xf>
    <xf numFmtId="49" fontId="88" fillId="4" borderId="1" xfId="0" applyNumberFormat="1" applyFont="1" applyFill="1" applyBorder="1" applyAlignment="1">
      <alignment horizontal="center" vertical="center"/>
    </xf>
    <xf numFmtId="0" fontId="88" fillId="4" borderId="1" xfId="0" applyFont="1" applyFill="1" applyBorder="1" applyAlignment="1">
      <alignment horizontal="center" vertical="center"/>
    </xf>
    <xf numFmtId="3" fontId="94" fillId="0" borderId="0" xfId="0" applyNumberFormat="1" applyFont="1" applyAlignment="1">
      <alignment horizontal="right" vertical="center"/>
    </xf>
    <xf numFmtId="171" fontId="20" fillId="0" borderId="0" xfId="0" applyNumberFormat="1" applyFont="1" applyAlignment="1" applyProtection="1">
      <alignment horizontal="right" vertical="center"/>
      <protection locked="0"/>
    </xf>
    <xf numFmtId="49" fontId="88" fillId="4" borderId="28" xfId="0" applyNumberFormat="1" applyFont="1" applyFill="1" applyBorder="1" applyAlignment="1">
      <alignment horizontal="center" vertical="center"/>
    </xf>
    <xf numFmtId="9" fontId="104" fillId="0" borderId="0" xfId="3" applyFont="1" applyFill="1" applyBorder="1" applyAlignment="1" applyProtection="1">
      <alignment horizontal="center" vertical="center"/>
    </xf>
    <xf numFmtId="0" fontId="88" fillId="16" borderId="3" xfId="0" applyFont="1" applyFill="1" applyBorder="1" applyAlignment="1">
      <alignment horizontal="center" vertical="center"/>
    </xf>
    <xf numFmtId="3" fontId="20" fillId="16" borderId="20" xfId="0" applyNumberFormat="1" applyFont="1" applyFill="1" applyBorder="1" applyAlignment="1">
      <alignment horizontal="center" vertical="center"/>
    </xf>
    <xf numFmtId="9" fontId="9" fillId="0" borderId="0" xfId="3" applyFont="1" applyFill="1" applyBorder="1" applyAlignment="1" applyProtection="1">
      <alignment horizontal="center" vertical="center"/>
    </xf>
    <xf numFmtId="0" fontId="50" fillId="0" borderId="0" xfId="0" applyFont="1" applyAlignment="1">
      <alignment vertical="center"/>
    </xf>
    <xf numFmtId="49" fontId="88" fillId="4" borderId="56" xfId="0" applyNumberFormat="1" applyFont="1" applyFill="1" applyBorder="1" applyAlignment="1">
      <alignment horizontal="center" vertical="center"/>
    </xf>
    <xf numFmtId="49" fontId="88" fillId="4" borderId="41" xfId="0" applyNumberFormat="1" applyFont="1" applyFill="1" applyBorder="1" applyAlignment="1">
      <alignment horizontal="center" vertical="center"/>
    </xf>
    <xf numFmtId="0" fontId="94" fillId="0" borderId="0" xfId="0" applyFont="1" applyAlignment="1">
      <alignment vertical="center"/>
    </xf>
    <xf numFmtId="0" fontId="35" fillId="4" borderId="0" xfId="0" applyFont="1" applyFill="1" applyAlignment="1" applyProtection="1">
      <alignment vertical="center"/>
      <protection locked="0"/>
    </xf>
    <xf numFmtId="0" fontId="94" fillId="4" borderId="0" xfId="0" applyFont="1" applyFill="1" applyAlignment="1">
      <alignment vertical="center"/>
    </xf>
    <xf numFmtId="3" fontId="20" fillId="4" borderId="20" xfId="0" applyNumberFormat="1" applyFont="1" applyFill="1" applyBorder="1" applyAlignment="1">
      <alignment vertical="center"/>
    </xf>
    <xf numFmtId="49" fontId="56" fillId="0" borderId="0" xfId="0" applyNumberFormat="1" applyFont="1"/>
    <xf numFmtId="9" fontId="56" fillId="0" borderId="0" xfId="3" applyFont="1" applyFill="1" applyBorder="1" applyAlignment="1" applyProtection="1">
      <alignment horizontal="center"/>
    </xf>
    <xf numFmtId="2" fontId="20" fillId="4" borderId="0" xfId="0" applyNumberFormat="1" applyFont="1" applyFill="1"/>
    <xf numFmtId="2" fontId="20" fillId="5" borderId="3" xfId="0" applyNumberFormat="1" applyFont="1" applyFill="1" applyBorder="1" applyAlignment="1">
      <alignment horizontal="center" vertical="center"/>
    </xf>
    <xf numFmtId="3" fontId="20" fillId="0" borderId="56" xfId="0" applyNumberFormat="1" applyFont="1" applyBorder="1" applyAlignment="1">
      <alignment horizontal="right" vertical="center"/>
    </xf>
    <xf numFmtId="0" fontId="20" fillId="0" borderId="56" xfId="0" applyFont="1" applyBorder="1" applyAlignment="1">
      <alignment horizontal="right" vertical="center"/>
    </xf>
    <xf numFmtId="0" fontId="20" fillId="5" borderId="3" xfId="0" applyFont="1" applyFill="1" applyBorder="1" applyAlignment="1">
      <alignment horizontal="center" vertical="center"/>
    </xf>
    <xf numFmtId="0" fontId="20" fillId="5" borderId="11" xfId="0" applyFont="1" applyFill="1" applyBorder="1" applyAlignment="1">
      <alignment horizontal="center" vertical="center"/>
    </xf>
    <xf numFmtId="3" fontId="94" fillId="0" borderId="0" xfId="0" applyNumberFormat="1" applyFont="1" applyAlignment="1">
      <alignment horizontal="right" vertical="center" indent="1"/>
    </xf>
    <xf numFmtId="49" fontId="80" fillId="0" borderId="0" xfId="0" applyNumberFormat="1" applyFont="1" applyAlignment="1">
      <alignment horizontal="center" vertical="center"/>
    </xf>
    <xf numFmtId="172" fontId="80" fillId="0" borderId="0" xfId="3" applyNumberFormat="1" applyFont="1" applyFill="1" applyBorder="1" applyAlignment="1" applyProtection="1">
      <alignment horizontal="left" vertical="center"/>
    </xf>
    <xf numFmtId="3" fontId="80" fillId="0" borderId="0" xfId="0" applyNumberFormat="1" applyFont="1" applyAlignment="1">
      <alignment horizontal="right" vertical="center"/>
    </xf>
    <xf numFmtId="176" fontId="80" fillId="0" borderId="0" xfId="0" applyNumberFormat="1" applyFont="1" applyAlignment="1">
      <alignment horizontal="right" vertical="center"/>
    </xf>
    <xf numFmtId="0" fontId="23" fillId="0" borderId="0" xfId="0" applyFont="1" applyAlignment="1">
      <alignment horizontal="left" vertical="center"/>
    </xf>
    <xf numFmtId="2" fontId="35" fillId="4" borderId="0" xfId="0" applyNumberFormat="1" applyFont="1" applyFill="1"/>
    <xf numFmtId="173" fontId="35" fillId="4" borderId="0" xfId="6" applyNumberFormat="1" applyFont="1" applyFill="1" applyBorder="1" applyProtection="1"/>
    <xf numFmtId="173" fontId="35" fillId="4" borderId="0" xfId="0" applyNumberFormat="1" applyFont="1" applyFill="1"/>
    <xf numFmtId="0" fontId="70" fillId="0" borderId="0" xfId="0" applyFont="1"/>
    <xf numFmtId="0" fontId="94" fillId="4" borderId="0" xfId="0" applyFont="1" applyFill="1" applyAlignment="1" applyProtection="1">
      <alignment vertical="center"/>
      <protection hidden="1"/>
    </xf>
    <xf numFmtId="0" fontId="23" fillId="0" borderId="0" xfId="0" applyFont="1" applyAlignment="1" applyProtection="1">
      <alignment horizontal="left" vertical="center"/>
      <protection hidden="1"/>
    </xf>
    <xf numFmtId="0" fontId="44" fillId="0" borderId="0" xfId="0" applyFont="1" applyProtection="1">
      <protection hidden="1"/>
    </xf>
    <xf numFmtId="0" fontId="94" fillId="4" borderId="0" xfId="0" applyFont="1" applyFill="1" applyProtection="1">
      <protection locked="0"/>
    </xf>
    <xf numFmtId="0" fontId="4" fillId="4" borderId="0" xfId="0" applyFont="1" applyFill="1" applyAlignment="1" applyProtection="1">
      <alignment horizontal="right"/>
      <protection hidden="1"/>
    </xf>
    <xf numFmtId="2" fontId="20" fillId="4" borderId="0" xfId="0" applyNumberFormat="1" applyFont="1" applyFill="1" applyAlignment="1">
      <alignment vertical="center"/>
    </xf>
    <xf numFmtId="0" fontId="23" fillId="4" borderId="0" xfId="0" applyFont="1" applyFill="1" applyAlignment="1">
      <alignment horizontal="left" vertical="center"/>
    </xf>
    <xf numFmtId="0" fontId="62" fillId="15" borderId="50" xfId="7" applyFont="1" applyFill="1" applyBorder="1" applyAlignment="1" applyProtection="1">
      <alignment vertical="center"/>
      <protection locked="0"/>
    </xf>
    <xf numFmtId="3" fontId="4" fillId="0" borderId="0" xfId="0" applyNumberFormat="1" applyFont="1" applyAlignment="1">
      <alignment horizontal="left" vertical="center"/>
    </xf>
    <xf numFmtId="3" fontId="118" fillId="0" borderId="0" xfId="0" applyNumberFormat="1" applyFont="1" applyAlignment="1">
      <alignment horizontal="right" vertical="center"/>
    </xf>
    <xf numFmtId="171" fontId="4" fillId="0" borderId="0" xfId="0" applyNumberFormat="1" applyFont="1" applyAlignment="1" applyProtection="1">
      <alignment horizontal="right" vertical="center"/>
      <protection locked="0"/>
    </xf>
    <xf numFmtId="9" fontId="55" fillId="0" borderId="0" xfId="3" applyFont="1" applyFill="1" applyBorder="1" applyAlignment="1" applyProtection="1">
      <alignment horizontal="center" vertical="center"/>
      <protection locked="0"/>
    </xf>
    <xf numFmtId="0" fontId="23" fillId="0" borderId="0" xfId="0" applyFont="1" applyAlignment="1">
      <alignment vertical="center"/>
    </xf>
    <xf numFmtId="49" fontId="55" fillId="0" borderId="0" xfId="0" applyNumberFormat="1" applyFont="1" applyAlignment="1">
      <alignment vertical="center"/>
    </xf>
    <xf numFmtId="9" fontId="115" fillId="0" borderId="87" xfId="3" applyFont="1" applyFill="1" applyBorder="1" applyAlignment="1" applyProtection="1">
      <alignment vertical="center"/>
    </xf>
    <xf numFmtId="9" fontId="115" fillId="0" borderId="99" xfId="3" applyFont="1" applyFill="1" applyBorder="1" applyAlignment="1" applyProtection="1">
      <alignment vertical="center"/>
    </xf>
    <xf numFmtId="3" fontId="20" fillId="0" borderId="51" xfId="0" applyNumberFormat="1" applyFont="1" applyBorder="1" applyAlignment="1">
      <alignment vertical="center"/>
    </xf>
    <xf numFmtId="3" fontId="20" fillId="0" borderId="53" xfId="0" applyNumberFormat="1" applyFont="1" applyBorder="1" applyAlignment="1">
      <alignment vertical="center"/>
    </xf>
    <xf numFmtId="9" fontId="104" fillId="0" borderId="29" xfId="3" applyFont="1" applyFill="1" applyBorder="1" applyAlignment="1" applyProtection="1">
      <alignment horizontal="center" vertical="center"/>
    </xf>
    <xf numFmtId="0" fontId="6" fillId="4" borderId="0" xfId="0" applyFont="1" applyFill="1" applyAlignment="1">
      <alignment horizontal="left"/>
    </xf>
    <xf numFmtId="0" fontId="84" fillId="4" borderId="0" xfId="0" applyFont="1" applyFill="1" applyAlignment="1">
      <alignment horizontal="left"/>
    </xf>
    <xf numFmtId="0" fontId="80" fillId="4" borderId="0" xfId="0" applyFont="1" applyFill="1" applyAlignment="1">
      <alignment horizontal="left" vertical="center"/>
    </xf>
    <xf numFmtId="3" fontId="4" fillId="0" borderId="7" xfId="0" applyNumberFormat="1" applyFont="1" applyBorder="1" applyAlignment="1">
      <alignment horizontal="left"/>
    </xf>
    <xf numFmtId="0" fontId="20" fillId="4" borderId="11" xfId="0" quotePrefix="1" applyFont="1" applyFill="1" applyBorder="1" applyAlignment="1">
      <alignment horizontal="center" vertical="center"/>
    </xf>
    <xf numFmtId="49" fontId="2" fillId="0" borderId="0" xfId="0" applyNumberFormat="1" applyFont="1"/>
    <xf numFmtId="49" fontId="2" fillId="0" borderId="0" xfId="0" applyNumberFormat="1" applyFont="1" applyAlignment="1">
      <alignment horizontal="right"/>
    </xf>
    <xf numFmtId="0" fontId="2" fillId="0" borderId="0" xfId="0" quotePrefix="1" applyFont="1"/>
    <xf numFmtId="0" fontId="121" fillId="4" borderId="0" xfId="0" applyFont="1" applyFill="1" applyAlignment="1">
      <alignment horizontal="center" vertical="center"/>
    </xf>
    <xf numFmtId="3" fontId="25" fillId="0" borderId="0" xfId="0" applyNumberFormat="1" applyFont="1" applyAlignment="1">
      <alignment horizontal="right" vertical="center" indent="1"/>
    </xf>
    <xf numFmtId="3" fontId="27" fillId="0" borderId="0" xfId="0" applyNumberFormat="1" applyFont="1" applyAlignment="1">
      <alignment horizontal="right" vertical="center" indent="1"/>
    </xf>
    <xf numFmtId="3" fontId="27" fillId="0" borderId="0" xfId="0" applyNumberFormat="1" applyFont="1" applyAlignment="1">
      <alignment horizontal="left" vertical="center" indent="1"/>
    </xf>
    <xf numFmtId="0" fontId="41" fillId="0" borderId="0" xfId="0" applyFont="1" applyAlignment="1">
      <alignment horizontal="right" vertical="center" indent="1"/>
    </xf>
    <xf numFmtId="3" fontId="20" fillId="0" borderId="13" xfId="0" applyNumberFormat="1" applyFont="1" applyBorder="1" applyAlignment="1">
      <alignment horizontal="center" vertical="center"/>
    </xf>
    <xf numFmtId="3" fontId="20" fillId="15" borderId="3" xfId="0" applyNumberFormat="1" applyFont="1" applyFill="1" applyBorder="1" applyAlignment="1" applyProtection="1">
      <alignment vertical="center"/>
      <protection locked="0" hidden="1"/>
    </xf>
    <xf numFmtId="0" fontId="20" fillId="12" borderId="3" xfId="0" applyFont="1" applyFill="1" applyBorder="1" applyAlignment="1">
      <alignment vertical="center"/>
    </xf>
    <xf numFmtId="0" fontId="48" fillId="4" borderId="0" xfId="0" applyFont="1" applyFill="1" applyAlignment="1">
      <alignment vertical="center"/>
    </xf>
    <xf numFmtId="3" fontId="29" fillId="0" borderId="53" xfId="0" applyNumberFormat="1" applyFont="1" applyBorder="1" applyAlignment="1" applyProtection="1">
      <alignment vertical="center"/>
      <protection hidden="1"/>
    </xf>
    <xf numFmtId="3" fontId="29" fillId="0" borderId="53" xfId="0" applyNumberFormat="1" applyFont="1" applyBorder="1" applyAlignment="1" applyProtection="1">
      <alignment horizontal="right" vertical="center"/>
      <protection hidden="1"/>
    </xf>
    <xf numFmtId="2" fontId="80" fillId="0" borderId="3" xfId="0" applyNumberFormat="1" applyFont="1" applyBorder="1" applyAlignment="1">
      <alignment horizontal="right" vertical="center"/>
    </xf>
    <xf numFmtId="0" fontId="29" fillId="0" borderId="58" xfId="0" applyFont="1" applyBorder="1" applyAlignment="1">
      <alignment horizontal="right" vertical="center"/>
    </xf>
    <xf numFmtId="0" fontId="20" fillId="16" borderId="9" xfId="0" applyFont="1" applyFill="1" applyBorder="1" applyAlignment="1">
      <alignment horizontal="center" vertical="center"/>
    </xf>
    <xf numFmtId="0" fontId="20" fillId="16" borderId="53" xfId="0" applyFont="1" applyFill="1" applyBorder="1" applyAlignment="1">
      <alignment horizontal="center" vertical="center"/>
    </xf>
    <xf numFmtId="0" fontId="20" fillId="16" borderId="16" xfId="0" applyFont="1" applyFill="1" applyBorder="1" applyAlignment="1">
      <alignment horizontal="center" vertical="center"/>
    </xf>
    <xf numFmtId="3" fontId="20" fillId="0" borderId="66" xfId="0" applyNumberFormat="1" applyFont="1" applyBorder="1" applyAlignment="1">
      <alignment horizontal="right" vertical="center"/>
    </xf>
    <xf numFmtId="2" fontId="20" fillId="16" borderId="53" xfId="0" applyNumberFormat="1" applyFont="1" applyFill="1" applyBorder="1" applyAlignment="1">
      <alignment horizontal="center" vertical="center"/>
    </xf>
    <xf numFmtId="2" fontId="20" fillId="16" borderId="3" xfId="0" applyNumberFormat="1" applyFont="1" applyFill="1" applyBorder="1" applyAlignment="1">
      <alignment horizontal="center" vertical="center"/>
    </xf>
    <xf numFmtId="0" fontId="70" fillId="14" borderId="16" xfId="0" applyFont="1" applyFill="1" applyBorder="1" applyAlignment="1">
      <alignment horizontal="center" vertical="center"/>
    </xf>
    <xf numFmtId="3" fontId="20" fillId="0" borderId="0" xfId="0" applyNumberFormat="1" applyFont="1" applyAlignment="1" applyProtection="1">
      <alignment horizontal="left" vertical="center"/>
      <protection locked="0"/>
    </xf>
    <xf numFmtId="2" fontId="9" fillId="16" borderId="3" xfId="0" applyNumberFormat="1" applyFont="1" applyFill="1" applyBorder="1" applyAlignment="1">
      <alignment horizontal="center" vertical="center"/>
    </xf>
    <xf numFmtId="3" fontId="20" fillId="12" borderId="35" xfId="0" applyNumberFormat="1" applyFont="1" applyFill="1" applyBorder="1" applyAlignment="1" applyProtection="1">
      <alignment horizontal="right"/>
      <protection locked="0"/>
    </xf>
    <xf numFmtId="9" fontId="9" fillId="0" borderId="0" xfId="0" applyNumberFormat="1" applyFont="1"/>
    <xf numFmtId="0" fontId="2" fillId="0" borderId="0" xfId="0" applyFont="1" applyAlignment="1">
      <alignment horizontal="left"/>
    </xf>
    <xf numFmtId="2" fontId="20" fillId="16" borderId="20" xfId="0" applyNumberFormat="1" applyFont="1" applyFill="1" applyBorder="1" applyAlignment="1">
      <alignment horizontal="center" vertical="center"/>
    </xf>
    <xf numFmtId="49" fontId="124" fillId="4" borderId="1" xfId="0" applyNumberFormat="1" applyFont="1" applyFill="1" applyBorder="1" applyAlignment="1">
      <alignment horizontal="center" vertical="center"/>
    </xf>
    <xf numFmtId="0" fontId="4" fillId="0" borderId="51" xfId="0" applyFont="1" applyBorder="1" applyAlignment="1">
      <alignment vertical="center"/>
    </xf>
    <xf numFmtId="3" fontId="20" fillId="12" borderId="3" xfId="0" applyNumberFormat="1" applyFont="1" applyFill="1" applyBorder="1" applyAlignment="1" applyProtection="1">
      <alignment vertical="center"/>
      <protection locked="0" hidden="1"/>
    </xf>
    <xf numFmtId="2" fontId="20" fillId="16" borderId="105" xfId="0" applyNumberFormat="1" applyFont="1" applyFill="1" applyBorder="1" applyAlignment="1">
      <alignment horizontal="center" vertical="center"/>
    </xf>
    <xf numFmtId="0" fontId="4" fillId="0" borderId="10" xfId="0" applyFont="1" applyBorder="1" applyAlignment="1">
      <alignment vertical="center"/>
    </xf>
    <xf numFmtId="3" fontId="50" fillId="22" borderId="104" xfId="0" applyNumberFormat="1" applyFont="1" applyFill="1" applyBorder="1" applyAlignment="1">
      <alignment horizontal="right" vertical="center"/>
    </xf>
    <xf numFmtId="3" fontId="50" fillId="22" borderId="51" xfId="0" applyNumberFormat="1" applyFont="1" applyFill="1" applyBorder="1" applyAlignment="1">
      <alignment horizontal="right" vertical="center"/>
    </xf>
    <xf numFmtId="3" fontId="50" fillId="22" borderId="43" xfId="0" applyNumberFormat="1" applyFont="1" applyFill="1" applyBorder="1" applyAlignment="1">
      <alignment horizontal="right" vertical="center"/>
    </xf>
    <xf numFmtId="0" fontId="29" fillId="0" borderId="10" xfId="0" applyFont="1" applyBorder="1" applyAlignment="1">
      <alignment horizontal="right" vertical="center"/>
    </xf>
    <xf numFmtId="3" fontId="29" fillId="0" borderId="103" xfId="0" applyNumberFormat="1" applyFont="1" applyBorder="1" applyAlignment="1">
      <alignment horizontal="right" vertical="center"/>
    </xf>
    <xf numFmtId="2" fontId="50" fillId="22" borderId="51" xfId="0" applyNumberFormat="1" applyFont="1" applyFill="1" applyBorder="1" applyAlignment="1">
      <alignment horizontal="right" vertical="center"/>
    </xf>
    <xf numFmtId="0" fontId="20" fillId="19" borderId="3" xfId="0" applyFont="1" applyFill="1" applyBorder="1" applyAlignment="1">
      <alignment horizontal="center" vertical="center"/>
    </xf>
    <xf numFmtId="0" fontId="20" fillId="0" borderId="3" xfId="0" applyFont="1" applyBorder="1" applyAlignment="1" applyProtection="1">
      <alignment horizontal="center" vertical="center"/>
      <protection locked="0"/>
    </xf>
    <xf numFmtId="0" fontId="20" fillId="19" borderId="15" xfId="0" applyFont="1" applyFill="1" applyBorder="1" applyAlignment="1">
      <alignment horizontal="center" vertical="center"/>
    </xf>
    <xf numFmtId="3" fontId="4" fillId="10" borderId="93" xfId="0" applyNumberFormat="1" applyFont="1" applyFill="1" applyBorder="1"/>
    <xf numFmtId="177" fontId="20" fillId="0" borderId="61" xfId="0" applyNumberFormat="1" applyFont="1" applyBorder="1" applyAlignment="1">
      <alignment horizontal="right"/>
    </xf>
    <xf numFmtId="3" fontId="29" fillId="0" borderId="93" xfId="0" applyNumberFormat="1" applyFont="1" applyBorder="1"/>
    <xf numFmtId="3" fontId="80" fillId="10" borderId="53" xfId="0" applyNumberFormat="1" applyFont="1" applyFill="1" applyBorder="1" applyAlignment="1">
      <alignment horizontal="right" vertical="center"/>
    </xf>
    <xf numFmtId="0" fontId="20" fillId="0" borderId="93" xfId="0" applyFont="1" applyBorder="1" applyAlignment="1">
      <alignment vertical="center"/>
    </xf>
    <xf numFmtId="0" fontId="20" fillId="0" borderId="94" xfId="0" applyFont="1" applyBorder="1" applyAlignment="1">
      <alignment vertical="center"/>
    </xf>
    <xf numFmtId="3" fontId="20" fillId="0" borderId="7" xfId="0" applyNumberFormat="1" applyFont="1" applyBorder="1" applyAlignment="1">
      <alignment horizontal="right" vertical="center" indent="1"/>
    </xf>
    <xf numFmtId="0" fontId="20" fillId="19" borderId="3" xfId="0" applyFont="1" applyFill="1" applyBorder="1" applyAlignment="1">
      <alignment horizontal="right" vertical="center" indent="2"/>
    </xf>
    <xf numFmtId="2" fontId="50" fillId="0" borderId="51" xfId="0" applyNumberFormat="1" applyFont="1" applyBorder="1" applyAlignment="1">
      <alignment horizontal="right" vertical="center"/>
    </xf>
    <xf numFmtId="3" fontId="50" fillId="0" borderId="104" xfId="0" applyNumberFormat="1" applyFont="1" applyBorder="1" applyAlignment="1">
      <alignment horizontal="right" vertical="center"/>
    </xf>
    <xf numFmtId="3" fontId="50" fillId="0" borderId="43" xfId="0" applyNumberFormat="1" applyFont="1" applyBorder="1" applyAlignment="1">
      <alignment horizontal="right" vertical="center"/>
    </xf>
    <xf numFmtId="177" fontId="80" fillId="10" borderId="51" xfId="0" applyNumberFormat="1" applyFont="1" applyFill="1" applyBorder="1" applyAlignment="1">
      <alignment vertical="center"/>
    </xf>
    <xf numFmtId="177" fontId="80" fillId="10" borderId="53" xfId="0" applyNumberFormat="1" applyFont="1" applyFill="1" applyBorder="1" applyAlignment="1">
      <alignment vertical="center"/>
    </xf>
    <xf numFmtId="177" fontId="80" fillId="10" borderId="53" xfId="0" applyNumberFormat="1" applyFont="1" applyFill="1" applyBorder="1" applyAlignment="1">
      <alignment horizontal="right" vertical="center"/>
    </xf>
    <xf numFmtId="0" fontId="94" fillId="0" borderId="106" xfId="0" applyFont="1" applyBorder="1" applyAlignment="1">
      <alignment vertical="center"/>
    </xf>
    <xf numFmtId="3" fontId="94" fillId="0" borderId="53" xfId="0" applyNumberFormat="1" applyFont="1" applyBorder="1" applyAlignment="1">
      <alignment horizontal="right" vertical="center"/>
    </xf>
    <xf numFmtId="3" fontId="20" fillId="0" borderId="20" xfId="0" applyNumberFormat="1" applyFont="1" applyBorder="1" applyAlignment="1">
      <alignment vertical="center"/>
    </xf>
    <xf numFmtId="3" fontId="20" fillId="0" borderId="109" xfId="0" applyNumberFormat="1" applyFont="1" applyBorder="1" applyAlignment="1">
      <alignment vertical="center"/>
    </xf>
    <xf numFmtId="3" fontId="20" fillId="0" borderId="94" xfId="0" applyNumberFormat="1" applyFont="1" applyBorder="1" applyAlignment="1">
      <alignment vertical="center"/>
    </xf>
    <xf numFmtId="3" fontId="94" fillId="0" borderId="93" xfId="0" applyNumberFormat="1" applyFont="1" applyBorder="1" applyAlignment="1">
      <alignment vertical="center"/>
    </xf>
    <xf numFmtId="3" fontId="94" fillId="0" borderId="110" xfId="0" applyNumberFormat="1" applyFont="1" applyBorder="1" applyAlignment="1">
      <alignment vertical="center"/>
    </xf>
    <xf numFmtId="3" fontId="20" fillId="15" borderId="15" xfId="0" applyNumberFormat="1" applyFont="1" applyFill="1" applyBorder="1" applyAlignment="1" applyProtection="1">
      <alignment horizontal="right" vertical="center"/>
      <protection locked="0"/>
    </xf>
    <xf numFmtId="3" fontId="125" fillId="0" borderId="106" xfId="0" applyNumberFormat="1" applyFont="1" applyBorder="1" applyAlignment="1">
      <alignment vertical="center"/>
    </xf>
    <xf numFmtId="0" fontId="80" fillId="0" borderId="53" xfId="0" applyFont="1" applyBorder="1" applyAlignment="1">
      <alignment vertical="center"/>
    </xf>
    <xf numFmtId="3" fontId="80" fillId="0" borderId="53" xfId="0" applyNumberFormat="1" applyFont="1" applyBorder="1" applyAlignment="1">
      <alignment vertical="center"/>
    </xf>
    <xf numFmtId="3" fontId="80" fillId="0" borderId="9" xfId="0" applyNumberFormat="1" applyFont="1" applyBorder="1" applyAlignment="1">
      <alignment vertical="center"/>
    </xf>
    <xf numFmtId="0" fontId="20" fillId="0" borderId="53" xfId="0" applyFont="1" applyBorder="1" applyAlignment="1">
      <alignment vertical="center"/>
    </xf>
    <xf numFmtId="3" fontId="20" fillId="0" borderId="20" xfId="0" applyNumberFormat="1" applyFont="1" applyBorder="1"/>
    <xf numFmtId="3" fontId="80" fillId="0" borderId="28" xfId="0" applyNumberFormat="1" applyFont="1" applyBorder="1" applyAlignment="1">
      <alignment horizontal="center" vertical="center"/>
    </xf>
    <xf numFmtId="49" fontId="51" fillId="4" borderId="0" xfId="0" applyNumberFormat="1" applyFont="1" applyFill="1" applyAlignment="1">
      <alignment horizontal="center" vertical="center"/>
    </xf>
    <xf numFmtId="0" fontId="20" fillId="0" borderId="0" xfId="0" applyFont="1" applyAlignment="1">
      <alignment horizontal="left" vertical="center" wrapText="1"/>
    </xf>
    <xf numFmtId="0" fontId="7" fillId="4" borderId="25" xfId="0" applyFont="1" applyFill="1" applyBorder="1" applyAlignment="1">
      <alignment horizontal="center" vertical="center" wrapText="1"/>
    </xf>
    <xf numFmtId="3" fontId="20" fillId="15" borderId="102" xfId="0" applyNumberFormat="1" applyFont="1" applyFill="1" applyBorder="1" applyAlignment="1" applyProtection="1">
      <alignment horizontal="center" vertical="center"/>
      <protection locked="0"/>
    </xf>
    <xf numFmtId="3" fontId="20" fillId="15" borderId="36" xfId="0" applyNumberFormat="1" applyFont="1" applyFill="1" applyBorder="1" applyAlignment="1" applyProtection="1">
      <alignment horizontal="center" vertical="center"/>
      <protection locked="0"/>
    </xf>
    <xf numFmtId="3" fontId="20" fillId="15" borderId="56" xfId="0" applyNumberFormat="1" applyFont="1" applyFill="1" applyBorder="1" applyAlignment="1" applyProtection="1">
      <alignment horizontal="right" vertical="center"/>
      <protection locked="0"/>
    </xf>
    <xf numFmtId="3" fontId="20" fillId="15" borderId="5" xfId="0" applyNumberFormat="1" applyFont="1" applyFill="1" applyBorder="1" applyAlignment="1" applyProtection="1">
      <alignment horizontal="right" vertical="center"/>
      <protection locked="0"/>
    </xf>
    <xf numFmtId="0" fontId="29" fillId="23" borderId="3" xfId="0" applyFont="1" applyFill="1" applyBorder="1" applyAlignment="1">
      <alignment horizontal="right" vertical="center"/>
    </xf>
    <xf numFmtId="3" fontId="118" fillId="4" borderId="53" xfId="0" applyNumberFormat="1" applyFont="1" applyFill="1" applyBorder="1" applyAlignment="1">
      <alignment vertical="center"/>
    </xf>
    <xf numFmtId="0" fontId="95" fillId="4" borderId="16" xfId="0" applyFont="1" applyFill="1" applyBorder="1" applyAlignment="1">
      <alignment horizontal="right" vertical="center"/>
    </xf>
    <xf numFmtId="3" fontId="125" fillId="0" borderId="16" xfId="0" applyNumberFormat="1" applyFont="1" applyBorder="1" applyAlignment="1" applyProtection="1">
      <alignment horizontal="right" vertical="center"/>
      <protection hidden="1"/>
    </xf>
    <xf numFmtId="3" fontId="118" fillId="0" borderId="16" xfId="0" applyNumberFormat="1" applyFont="1" applyBorder="1" applyAlignment="1" applyProtection="1">
      <alignment vertical="center" wrapText="1"/>
      <protection hidden="1"/>
    </xf>
    <xf numFmtId="3" fontId="95" fillId="4" borderId="16" xfId="0" applyNumberFormat="1" applyFont="1" applyFill="1" applyBorder="1" applyAlignment="1">
      <alignment horizontal="right" vertical="center"/>
    </xf>
    <xf numFmtId="3" fontId="94" fillId="0" borderId="34" xfId="0" applyNumberFormat="1" applyFont="1" applyBorder="1" applyAlignment="1" applyProtection="1">
      <alignment vertical="center"/>
      <protection locked="0"/>
    </xf>
    <xf numFmtId="3" fontId="94" fillId="0" borderId="24" xfId="0" applyNumberFormat="1" applyFont="1" applyBorder="1" applyAlignment="1" applyProtection="1">
      <alignment vertical="center"/>
      <protection locked="0"/>
    </xf>
    <xf numFmtId="3" fontId="94" fillId="0" borderId="42" xfId="0" applyNumberFormat="1" applyFont="1" applyBorder="1" applyAlignment="1" applyProtection="1">
      <alignment vertical="center"/>
      <protection locked="0"/>
    </xf>
    <xf numFmtId="3" fontId="94" fillId="0" borderId="96" xfId="0" applyNumberFormat="1" applyFont="1" applyBorder="1" applyAlignment="1" applyProtection="1">
      <alignment vertical="center"/>
      <protection locked="0"/>
    </xf>
    <xf numFmtId="1" fontId="94" fillId="4" borderId="69" xfId="0" applyNumberFormat="1" applyFont="1" applyFill="1" applyBorder="1" applyAlignment="1">
      <alignment vertical="center"/>
    </xf>
    <xf numFmtId="1" fontId="94" fillId="4" borderId="84" xfId="0" applyNumberFormat="1" applyFont="1" applyFill="1" applyBorder="1" applyAlignment="1">
      <alignment vertical="center"/>
    </xf>
    <xf numFmtId="1" fontId="94" fillId="4" borderId="61" xfId="0" applyNumberFormat="1" applyFont="1" applyFill="1" applyBorder="1" applyAlignment="1">
      <alignment vertical="center"/>
    </xf>
    <xf numFmtId="1" fontId="94" fillId="4" borderId="93" xfId="0" applyNumberFormat="1" applyFont="1" applyFill="1" applyBorder="1" applyAlignment="1">
      <alignment vertical="center"/>
    </xf>
    <xf numFmtId="0" fontId="125" fillId="0" borderId="16" xfId="0" applyFont="1" applyBorder="1" applyAlignment="1">
      <alignment vertical="center"/>
    </xf>
    <xf numFmtId="3" fontId="125" fillId="0" borderId="53" xfId="0" applyNumberFormat="1" applyFont="1" applyBorder="1" applyAlignment="1">
      <alignment horizontal="right" vertical="center"/>
    </xf>
    <xf numFmtId="0" fontId="101" fillId="14" borderId="90" xfId="0" applyFont="1" applyFill="1" applyBorder="1" applyAlignment="1">
      <alignment horizontal="center" vertical="center"/>
    </xf>
    <xf numFmtId="2" fontId="94" fillId="16" borderId="90" xfId="0" applyNumberFormat="1" applyFont="1" applyFill="1" applyBorder="1" applyAlignment="1">
      <alignment horizontal="left" vertical="center"/>
    </xf>
    <xf numFmtId="0" fontId="101" fillId="14" borderId="112" xfId="0" applyFont="1" applyFill="1" applyBorder="1" applyAlignment="1">
      <alignment horizontal="center" vertical="center"/>
    </xf>
    <xf numFmtId="2" fontId="20" fillId="16" borderId="112" xfId="0" applyNumberFormat="1" applyFont="1" applyFill="1" applyBorder="1" applyAlignment="1">
      <alignment vertical="center"/>
    </xf>
    <xf numFmtId="169" fontId="50" fillId="0" borderId="112" xfId="0" applyNumberFormat="1" applyFont="1" applyBorder="1" applyAlignment="1" applyProtection="1">
      <alignment vertical="center"/>
      <protection hidden="1"/>
    </xf>
    <xf numFmtId="9" fontId="125" fillId="0" borderId="112" xfId="0" applyNumberFormat="1" applyFont="1" applyBorder="1" applyAlignment="1" applyProtection="1">
      <alignment horizontal="right" vertical="center" indent="1"/>
      <protection hidden="1"/>
    </xf>
    <xf numFmtId="9" fontId="125" fillId="0" borderId="90" xfId="0" applyNumberFormat="1" applyFont="1" applyBorder="1" applyAlignment="1" applyProtection="1">
      <alignment horizontal="right" vertical="center" indent="1"/>
      <protection hidden="1"/>
    </xf>
    <xf numFmtId="9" fontId="125" fillId="0" borderId="117" xfId="0" applyNumberFormat="1" applyFont="1" applyBorder="1" applyAlignment="1" applyProtection="1">
      <alignment horizontal="right" vertical="center" indent="1"/>
      <protection hidden="1"/>
    </xf>
    <xf numFmtId="9" fontId="125" fillId="0" borderId="44" xfId="0" applyNumberFormat="1" applyFont="1" applyBorder="1" applyAlignment="1" applyProtection="1">
      <alignment horizontal="right" vertical="center" indent="1"/>
      <protection hidden="1"/>
    </xf>
    <xf numFmtId="169" fontId="126" fillId="0" borderId="113" xfId="0" applyNumberFormat="1" applyFont="1" applyBorder="1" applyAlignment="1" applyProtection="1">
      <alignment horizontal="right" vertical="center"/>
      <protection hidden="1"/>
    </xf>
    <xf numFmtId="2" fontId="20" fillId="16" borderId="112" xfId="0" applyNumberFormat="1" applyFont="1" applyFill="1" applyBorder="1" applyAlignment="1" applyProtection="1">
      <alignment vertical="center"/>
      <protection hidden="1"/>
    </xf>
    <xf numFmtId="3" fontId="118" fillId="16" borderId="114" xfId="0" applyNumberFormat="1" applyFont="1" applyFill="1" applyBorder="1" applyAlignment="1" applyProtection="1">
      <alignment horizontal="center" vertical="center"/>
      <protection hidden="1"/>
    </xf>
    <xf numFmtId="174" fontId="126" fillId="0" borderId="119" xfId="0" applyNumberFormat="1" applyFont="1" applyBorder="1" applyAlignment="1" applyProtection="1">
      <alignment horizontal="right" vertical="center"/>
      <protection hidden="1"/>
    </xf>
    <xf numFmtId="174" fontId="126" fillId="0" borderId="113" xfId="0" applyNumberFormat="1" applyFont="1" applyBorder="1" applyAlignment="1" applyProtection="1">
      <alignment horizontal="right" vertical="center"/>
      <protection hidden="1"/>
    </xf>
    <xf numFmtId="2" fontId="94" fillId="16" borderId="112" xfId="0" applyNumberFormat="1" applyFont="1" applyFill="1" applyBorder="1" applyAlignment="1" applyProtection="1">
      <alignment vertical="center"/>
      <protection hidden="1"/>
    </xf>
    <xf numFmtId="3" fontId="118" fillId="16" borderId="107" xfId="0" applyNumberFormat="1" applyFont="1" applyFill="1" applyBorder="1" applyAlignment="1" applyProtection="1">
      <alignment horizontal="center" vertical="center"/>
      <protection hidden="1"/>
    </xf>
    <xf numFmtId="3" fontId="94" fillId="0" borderId="112" xfId="0" applyNumberFormat="1" applyFont="1" applyBorder="1" applyAlignment="1" applyProtection="1">
      <alignment vertical="center"/>
      <protection hidden="1"/>
    </xf>
    <xf numFmtId="3" fontId="94" fillId="0" borderId="95" xfId="0" applyNumberFormat="1" applyFont="1" applyBorder="1" applyAlignment="1" applyProtection="1">
      <alignment vertical="center"/>
      <protection hidden="1"/>
    </xf>
    <xf numFmtId="3" fontId="94" fillId="0" borderId="117" xfId="0" applyNumberFormat="1" applyFont="1" applyBorder="1" applyAlignment="1" applyProtection="1">
      <alignment vertical="center"/>
      <protection hidden="1"/>
    </xf>
    <xf numFmtId="3" fontId="94" fillId="0" borderId="44" xfId="0" applyNumberFormat="1" applyFont="1" applyBorder="1" applyAlignment="1" applyProtection="1">
      <alignment vertical="center"/>
      <protection hidden="1"/>
    </xf>
    <xf numFmtId="3" fontId="94" fillId="0" borderId="120" xfId="0" applyNumberFormat="1" applyFont="1" applyBorder="1" applyAlignment="1" applyProtection="1">
      <alignment vertical="center"/>
      <protection hidden="1"/>
    </xf>
    <xf numFmtId="3" fontId="94" fillId="0" borderId="97" xfId="0" applyNumberFormat="1" applyFont="1" applyBorder="1" applyAlignment="1" applyProtection="1">
      <alignment vertical="center"/>
      <protection hidden="1"/>
    </xf>
    <xf numFmtId="3" fontId="94" fillId="0" borderId="121" xfId="0" applyNumberFormat="1" applyFont="1" applyBorder="1" applyAlignment="1" applyProtection="1">
      <alignment vertical="center"/>
      <protection hidden="1"/>
    </xf>
    <xf numFmtId="3" fontId="94" fillId="0" borderId="113" xfId="0" applyNumberFormat="1" applyFont="1" applyBorder="1" applyAlignment="1" applyProtection="1">
      <alignment vertical="center"/>
      <protection hidden="1"/>
    </xf>
    <xf numFmtId="3" fontId="94" fillId="4" borderId="112" xfId="0" applyNumberFormat="1" applyFont="1" applyFill="1" applyBorder="1" applyAlignment="1" applyProtection="1">
      <alignment vertical="center"/>
      <protection hidden="1"/>
    </xf>
    <xf numFmtId="3" fontId="20" fillId="0" borderId="20" xfId="3" applyNumberFormat="1" applyFont="1" applyFill="1" applyBorder="1" applyAlignment="1" applyProtection="1">
      <alignment horizontal="right" vertical="center" indent="1"/>
    </xf>
    <xf numFmtId="2" fontId="20" fillId="16" borderId="100" xfId="0" applyNumberFormat="1" applyFont="1" applyFill="1" applyBorder="1" applyAlignment="1">
      <alignment horizontal="center" vertical="center"/>
    </xf>
    <xf numFmtId="0" fontId="20" fillId="12" borderId="3" xfId="0" applyFont="1" applyFill="1" applyBorder="1" applyAlignment="1" applyProtection="1">
      <alignment horizontal="right" vertical="center" indent="2"/>
      <protection locked="0"/>
    </xf>
    <xf numFmtId="0" fontId="20" fillId="19" borderId="15" xfId="0" applyFont="1" applyFill="1" applyBorder="1" applyAlignment="1">
      <alignment horizontal="right" vertical="center" indent="2"/>
    </xf>
    <xf numFmtId="168" fontId="127" fillId="0" borderId="28" xfId="0" applyNumberFormat="1" applyFont="1" applyBorder="1" applyAlignment="1">
      <alignment vertical="center"/>
    </xf>
    <xf numFmtId="3" fontId="9" fillId="0" borderId="3" xfId="0" applyNumberFormat="1" applyFont="1" applyBorder="1" applyAlignment="1">
      <alignment vertical="center"/>
    </xf>
    <xf numFmtId="0" fontId="9" fillId="14" borderId="16" xfId="0" applyFont="1" applyFill="1" applyBorder="1" applyAlignment="1">
      <alignment horizontal="center" vertical="center"/>
    </xf>
    <xf numFmtId="0" fontId="20" fillId="4" borderId="6" xfId="0" applyFont="1" applyFill="1" applyBorder="1" applyAlignment="1">
      <alignment horizontal="center" vertical="center"/>
    </xf>
    <xf numFmtId="49" fontId="20" fillId="4" borderId="30" xfId="0" applyNumberFormat="1" applyFont="1" applyFill="1" applyBorder="1" applyAlignment="1">
      <alignment horizontal="center" vertical="center"/>
    </xf>
    <xf numFmtId="0" fontId="20" fillId="0" borderId="6" xfId="0" applyFont="1" applyBorder="1" applyAlignment="1">
      <alignment vertical="center"/>
    </xf>
    <xf numFmtId="0" fontId="20" fillId="0" borderId="71" xfId="0" applyFont="1" applyBorder="1" applyAlignment="1">
      <alignment vertical="center"/>
    </xf>
    <xf numFmtId="0" fontId="20" fillId="0" borderId="6" xfId="0" applyFont="1" applyBorder="1" applyAlignment="1">
      <alignment horizontal="left" vertical="center"/>
    </xf>
    <xf numFmtId="49" fontId="9" fillId="4" borderId="62" xfId="0" applyNumberFormat="1" applyFont="1" applyFill="1" applyBorder="1" applyAlignment="1">
      <alignment horizontal="center" vertical="center"/>
    </xf>
    <xf numFmtId="49" fontId="9" fillId="4" borderId="30" xfId="0" applyNumberFormat="1" applyFont="1" applyFill="1" applyBorder="1" applyAlignment="1">
      <alignment horizontal="center" vertical="center"/>
    </xf>
    <xf numFmtId="0" fontId="20" fillId="0" borderId="1" xfId="0" applyFont="1" applyBorder="1" applyAlignment="1">
      <alignment horizontal="left" vertical="center"/>
    </xf>
    <xf numFmtId="3" fontId="20" fillId="4" borderId="0" xfId="0" applyNumberFormat="1" applyFont="1" applyFill="1" applyAlignment="1">
      <alignment horizontal="left" vertical="center" indent="1"/>
    </xf>
    <xf numFmtId="0" fontId="20" fillId="4" borderId="0" xfId="0" applyFont="1" applyFill="1" applyAlignment="1" applyProtection="1">
      <alignment horizontal="left" vertical="top" indent="1"/>
      <protection locked="0"/>
    </xf>
    <xf numFmtId="49" fontId="29" fillId="4" borderId="1" xfId="0" applyNumberFormat="1" applyFont="1" applyFill="1" applyBorder="1" applyAlignment="1">
      <alignment vertical="center" textRotation="90"/>
    </xf>
    <xf numFmtId="3" fontId="108" fillId="4" borderId="0" xfId="1" applyNumberFormat="1" applyFont="1" applyFill="1" applyAlignment="1" applyProtection="1">
      <alignment horizontal="right" vertical="center"/>
    </xf>
    <xf numFmtId="0" fontId="28" fillId="4" borderId="0" xfId="0" applyFont="1" applyFill="1" applyAlignment="1">
      <alignment vertical="center"/>
    </xf>
    <xf numFmtId="3" fontId="28" fillId="4" borderId="0" xfId="0" applyNumberFormat="1" applyFont="1" applyFill="1" applyAlignment="1">
      <alignment horizontal="right" vertical="center" indent="1"/>
    </xf>
    <xf numFmtId="3" fontId="28" fillId="4" borderId="0" xfId="0" applyNumberFormat="1" applyFont="1" applyFill="1" applyAlignment="1">
      <alignment horizontal="center" vertical="center"/>
    </xf>
    <xf numFmtId="0" fontId="128" fillId="4" borderId="0" xfId="0" applyFont="1" applyFill="1" applyAlignment="1">
      <alignment vertical="center"/>
    </xf>
    <xf numFmtId="0" fontId="129" fillId="4" borderId="0" xfId="0" applyFont="1" applyFill="1" applyAlignment="1">
      <alignment vertical="center"/>
    </xf>
    <xf numFmtId="0" fontId="129" fillId="4" borderId="0" xfId="0" applyFont="1" applyFill="1" applyAlignment="1">
      <alignment horizontal="right" vertical="center" indent="1"/>
    </xf>
    <xf numFmtId="0" fontId="129" fillId="4" borderId="0" xfId="0" applyFont="1" applyFill="1" applyAlignment="1" applyProtection="1">
      <alignment vertical="center"/>
      <protection locked="0"/>
    </xf>
    <xf numFmtId="0" fontId="128" fillId="4" borderId="0" xfId="0" applyFont="1" applyFill="1" applyAlignment="1">
      <alignment horizontal="center" vertical="center"/>
    </xf>
    <xf numFmtId="0" fontId="130" fillId="4" borderId="0" xfId="0" applyFont="1" applyFill="1" applyProtection="1">
      <protection locked="0"/>
    </xf>
    <xf numFmtId="0" fontId="20" fillId="4" borderId="28" xfId="0" quotePrefix="1" applyFont="1" applyFill="1" applyBorder="1" applyAlignment="1">
      <alignment horizontal="center" vertical="center"/>
    </xf>
    <xf numFmtId="9" fontId="116" fillId="0" borderId="123" xfId="3" applyFont="1" applyFill="1" applyBorder="1" applyAlignment="1" applyProtection="1">
      <alignment horizontal="center" vertical="center"/>
    </xf>
    <xf numFmtId="9" fontId="116" fillId="0" borderId="124" xfId="3" applyFont="1" applyFill="1" applyBorder="1" applyAlignment="1" applyProtection="1">
      <alignment horizontal="center" vertical="center"/>
    </xf>
    <xf numFmtId="3" fontId="20" fillId="4" borderId="34" xfId="0" applyNumberFormat="1" applyFont="1" applyFill="1" applyBorder="1" applyAlignment="1">
      <alignment vertical="center"/>
    </xf>
    <xf numFmtId="3" fontId="94" fillId="0" borderId="116" xfId="0" applyNumberFormat="1" applyFont="1" applyBorder="1" applyAlignment="1" applyProtection="1">
      <alignment vertical="center"/>
      <protection hidden="1"/>
    </xf>
    <xf numFmtId="0" fontId="20" fillId="0" borderId="0" xfId="0" quotePrefix="1" applyFont="1"/>
    <xf numFmtId="0" fontId="29" fillId="0" borderId="0" xfId="0" applyFont="1" applyAlignment="1">
      <alignment horizontal="center" vertical="center"/>
    </xf>
    <xf numFmtId="0" fontId="51" fillId="4" borderId="0" xfId="0" applyFont="1" applyFill="1" applyAlignment="1">
      <alignment horizontal="center" vertical="center"/>
    </xf>
    <xf numFmtId="0" fontId="29" fillId="4" borderId="0" xfId="0" applyFont="1" applyFill="1" applyAlignment="1">
      <alignment horizontal="center"/>
    </xf>
    <xf numFmtId="0" fontId="29" fillId="0" borderId="3" xfId="0" applyFont="1" applyBorder="1" applyAlignment="1">
      <alignment horizontal="center"/>
    </xf>
    <xf numFmtId="0" fontId="132" fillId="14" borderId="3" xfId="0" applyFont="1" applyFill="1" applyBorder="1" applyAlignment="1">
      <alignment horizontal="center" vertical="center"/>
    </xf>
    <xf numFmtId="3" fontId="131" fillId="4" borderId="1" xfId="0" applyNumberFormat="1" applyFont="1" applyFill="1" applyBorder="1" applyAlignment="1">
      <alignment vertical="center"/>
    </xf>
    <xf numFmtId="3" fontId="131" fillId="0" borderId="1" xfId="0" applyNumberFormat="1" applyFont="1" applyBorder="1" applyAlignment="1">
      <alignment vertical="center"/>
    </xf>
    <xf numFmtId="3" fontId="131" fillId="0" borderId="45" xfId="0" applyNumberFormat="1" applyFont="1" applyBorder="1" applyAlignment="1">
      <alignment vertical="center"/>
    </xf>
    <xf numFmtId="3" fontId="132" fillId="0" borderId="3" xfId="0" applyNumberFormat="1" applyFont="1" applyBorder="1" applyAlignment="1">
      <alignment vertical="center"/>
    </xf>
    <xf numFmtId="1" fontId="132" fillId="16" borderId="3" xfId="0" applyNumberFormat="1" applyFont="1" applyFill="1" applyBorder="1" applyAlignment="1">
      <alignment horizontal="center" vertical="center"/>
    </xf>
    <xf numFmtId="9" fontId="120" fillId="4" borderId="2" xfId="3" applyFont="1" applyFill="1" applyBorder="1" applyAlignment="1" applyProtection="1">
      <alignment horizontal="center" vertical="center"/>
    </xf>
    <xf numFmtId="0" fontId="133" fillId="0" borderId="127" xfId="0" applyFont="1" applyBorder="1" applyAlignment="1">
      <alignment horizontal="center" vertical="center" wrapText="1"/>
    </xf>
    <xf numFmtId="0" fontId="131" fillId="14" borderId="128" xfId="0" applyFont="1" applyFill="1" applyBorder="1" applyAlignment="1">
      <alignment horizontal="center" vertical="center"/>
    </xf>
    <xf numFmtId="0" fontId="131" fillId="14" borderId="129" xfId="0" applyFont="1" applyFill="1" applyBorder="1" applyAlignment="1">
      <alignment horizontal="center" vertical="center"/>
    </xf>
    <xf numFmtId="0" fontId="4" fillId="0" borderId="0" xfId="0" applyFont="1" applyAlignment="1">
      <alignment textRotation="90" wrapText="1"/>
    </xf>
    <xf numFmtId="3" fontId="20" fillId="0" borderId="0" xfId="0" applyNumberFormat="1" applyFont="1" applyAlignment="1">
      <alignment horizontal="left"/>
    </xf>
    <xf numFmtId="3" fontId="20" fillId="0" borderId="0" xfId="0" applyNumberFormat="1" applyFont="1" applyAlignment="1">
      <alignment horizontal="right" vertical="top"/>
    </xf>
    <xf numFmtId="0" fontId="4" fillId="4" borderId="0" xfId="0" applyFont="1" applyFill="1" applyAlignment="1">
      <alignment horizontal="center" vertical="top"/>
    </xf>
    <xf numFmtId="0" fontId="131" fillId="5" borderId="3" xfId="0" applyFont="1" applyFill="1" applyBorder="1" applyAlignment="1">
      <alignment horizontal="center" vertical="center"/>
    </xf>
    <xf numFmtId="3" fontId="131" fillId="0" borderId="56" xfId="0" applyNumberFormat="1" applyFont="1" applyBorder="1" applyAlignment="1">
      <alignment horizontal="right" vertical="center"/>
    </xf>
    <xf numFmtId="3" fontId="131" fillId="0" borderId="41" xfId="0" applyNumberFormat="1" applyFont="1" applyBorder="1" applyAlignment="1">
      <alignment horizontal="right" vertical="center"/>
    </xf>
    <xf numFmtId="3" fontId="131" fillId="0" borderId="3" xfId="0" applyNumberFormat="1" applyFont="1" applyBorder="1"/>
    <xf numFmtId="172" fontId="4" fillId="0" borderId="56" xfId="3" applyNumberFormat="1" applyFont="1" applyFill="1" applyBorder="1" applyAlignment="1" applyProtection="1">
      <alignment horizontal="center" vertical="center"/>
    </xf>
    <xf numFmtId="172" fontId="4" fillId="0" borderId="41" xfId="3" applyNumberFormat="1" applyFont="1" applyFill="1" applyBorder="1" applyAlignment="1" applyProtection="1">
      <alignment horizontal="center" vertical="center"/>
    </xf>
    <xf numFmtId="3" fontId="9" fillId="0" borderId="11" xfId="0" applyNumberFormat="1" applyFont="1" applyBorder="1" applyAlignment="1">
      <alignment horizontal="left" vertical="center"/>
    </xf>
    <xf numFmtId="3" fontId="9" fillId="0" borderId="11" xfId="0" applyNumberFormat="1" applyFont="1" applyBorder="1" applyAlignment="1">
      <alignment vertical="center"/>
    </xf>
    <xf numFmtId="3" fontId="9" fillId="0" borderId="1" xfId="0" applyNumberFormat="1" applyFont="1" applyBorder="1" applyAlignment="1">
      <alignment horizontal="left" vertical="center"/>
    </xf>
    <xf numFmtId="3" fontId="9" fillId="0" borderId="1" xfId="0" applyNumberFormat="1" applyFont="1" applyBorder="1" applyAlignment="1">
      <alignment vertical="center"/>
    </xf>
    <xf numFmtId="3" fontId="131" fillId="0" borderId="47" xfId="0" applyNumberFormat="1" applyFont="1" applyBorder="1" applyAlignment="1">
      <alignment vertical="center"/>
    </xf>
    <xf numFmtId="3" fontId="20" fillId="0" borderId="35" xfId="0" applyNumberFormat="1" applyFont="1" applyBorder="1" applyAlignment="1">
      <alignment vertical="center"/>
    </xf>
    <xf numFmtId="3" fontId="9" fillId="0" borderId="13" xfId="0" applyNumberFormat="1" applyFont="1" applyBorder="1" applyAlignment="1">
      <alignment horizontal="left" vertical="center"/>
    </xf>
    <xf numFmtId="3" fontId="9" fillId="0" borderId="13" xfId="0" applyNumberFormat="1" applyFont="1" applyBorder="1" applyAlignment="1">
      <alignment vertical="center"/>
    </xf>
    <xf numFmtId="49" fontId="9" fillId="4" borderId="6" xfId="0" applyNumberFormat="1" applyFont="1" applyFill="1" applyBorder="1" applyAlignment="1">
      <alignment horizontal="center" vertical="center"/>
    </xf>
    <xf numFmtId="3" fontId="9" fillId="0" borderId="2" xfId="0" applyNumberFormat="1" applyFont="1" applyBorder="1" applyAlignment="1">
      <alignment horizontal="left" vertical="center"/>
    </xf>
    <xf numFmtId="3" fontId="9" fillId="0" borderId="2" xfId="0" applyNumberFormat="1" applyFont="1" applyBorder="1" applyAlignment="1">
      <alignment vertical="center"/>
    </xf>
    <xf numFmtId="3" fontId="20" fillId="12" borderId="45" xfId="0" applyNumberFormat="1" applyFont="1" applyFill="1" applyBorder="1" applyAlignment="1" applyProtection="1">
      <alignment vertical="center"/>
      <protection locked="0"/>
    </xf>
    <xf numFmtId="3" fontId="20" fillId="12" borderId="41" xfId="0" applyNumberFormat="1" applyFont="1" applyFill="1" applyBorder="1" applyAlignment="1" applyProtection="1">
      <alignment vertical="center"/>
      <protection locked="0"/>
    </xf>
    <xf numFmtId="0" fontId="20" fillId="12" borderId="41" xfId="0" applyFont="1" applyFill="1" applyBorder="1" applyAlignment="1" applyProtection="1">
      <alignment vertical="center"/>
      <protection locked="0"/>
    </xf>
    <xf numFmtId="0" fontId="20" fillId="12" borderId="46" xfId="0" applyFont="1" applyFill="1" applyBorder="1" applyAlignment="1" applyProtection="1">
      <alignment vertical="center"/>
      <protection locked="0"/>
    </xf>
    <xf numFmtId="3" fontId="20" fillId="12" borderId="47" xfId="0" applyNumberFormat="1" applyFont="1" applyFill="1" applyBorder="1" applyAlignment="1" applyProtection="1">
      <alignment vertical="center"/>
      <protection locked="0"/>
    </xf>
    <xf numFmtId="0" fontId="20" fillId="25" borderId="3" xfId="0" applyFont="1" applyFill="1" applyBorder="1" applyAlignment="1">
      <alignment horizontal="center" vertical="center"/>
    </xf>
    <xf numFmtId="3" fontId="131" fillId="25" borderId="3" xfId="0" applyNumberFormat="1" applyFont="1" applyFill="1" applyBorder="1" applyAlignment="1">
      <alignment vertical="center"/>
    </xf>
    <xf numFmtId="3" fontId="20" fillId="25" borderId="3" xfId="0" applyNumberFormat="1" applyFont="1" applyFill="1" applyBorder="1" applyAlignment="1">
      <alignment vertical="center"/>
    </xf>
    <xf numFmtId="0" fontId="4" fillId="4" borderId="6" xfId="0" applyFont="1" applyFill="1" applyBorder="1"/>
    <xf numFmtId="0" fontId="4" fillId="4" borderId="0" xfId="0" applyFont="1" applyFill="1" applyProtection="1">
      <protection locked="0"/>
    </xf>
    <xf numFmtId="0" fontId="114" fillId="0" borderId="7" xfId="0" applyFont="1" applyBorder="1" applyAlignment="1">
      <alignment horizontal="center" vertical="center" wrapText="1"/>
    </xf>
    <xf numFmtId="0" fontId="9" fillId="4" borderId="0" xfId="0" applyFont="1" applyFill="1" applyAlignment="1">
      <alignment vertical="center" readingOrder="1"/>
    </xf>
    <xf numFmtId="9" fontId="0" fillId="0" borderId="0" xfId="0" applyNumberFormat="1"/>
    <xf numFmtId="3" fontId="131" fillId="0" borderId="130" xfId="0" applyNumberFormat="1" applyFont="1" applyBorder="1" applyAlignment="1">
      <alignment horizontal="right"/>
    </xf>
    <xf numFmtId="3" fontId="131" fillId="0" borderId="131" xfId="0" applyNumberFormat="1" applyFont="1" applyBorder="1" applyAlignment="1">
      <alignment horizontal="right"/>
    </xf>
    <xf numFmtId="3" fontId="131" fillId="16" borderId="130" xfId="0" applyNumberFormat="1" applyFont="1" applyFill="1" applyBorder="1" applyAlignment="1">
      <alignment horizontal="right" vertical="top"/>
    </xf>
    <xf numFmtId="3" fontId="131" fillId="16" borderId="131" xfId="0" applyNumberFormat="1" applyFont="1" applyFill="1" applyBorder="1" applyAlignment="1">
      <alignment horizontal="right" vertical="top"/>
    </xf>
    <xf numFmtId="3" fontId="131" fillId="0" borderId="130" xfId="0" applyNumberFormat="1" applyFont="1" applyBorder="1" applyAlignment="1">
      <alignment horizontal="right" vertical="top"/>
    </xf>
    <xf numFmtId="3" fontId="131" fillId="0" borderId="132" xfId="0" applyNumberFormat="1" applyFont="1" applyBorder="1" applyAlignment="1">
      <alignment horizontal="right"/>
    </xf>
    <xf numFmtId="3" fontId="131" fillId="0" borderId="133" xfId="0" applyNumberFormat="1" applyFont="1" applyBorder="1" applyAlignment="1">
      <alignment horizontal="right"/>
    </xf>
    <xf numFmtId="3" fontId="131" fillId="0" borderId="134" xfId="0" applyNumberFormat="1" applyFont="1" applyBorder="1" applyAlignment="1">
      <alignment horizontal="right"/>
    </xf>
    <xf numFmtId="3" fontId="131" fillId="0" borderId="135" xfId="0" applyNumberFormat="1" applyFont="1" applyBorder="1" applyAlignment="1">
      <alignment horizontal="right"/>
    </xf>
    <xf numFmtId="3" fontId="131" fillId="0" borderId="136" xfId="0" applyNumberFormat="1" applyFont="1" applyBorder="1" applyAlignment="1">
      <alignment horizontal="right"/>
    </xf>
    <xf numFmtId="3" fontId="131" fillId="0" borderId="137" xfId="0" applyNumberFormat="1" applyFont="1" applyBorder="1" applyAlignment="1">
      <alignment horizontal="right"/>
    </xf>
    <xf numFmtId="169" fontId="131" fillId="16" borderId="132" xfId="0" applyNumberFormat="1" applyFont="1" applyFill="1" applyBorder="1" applyAlignment="1">
      <alignment horizontal="right" vertical="top" indent="1"/>
    </xf>
    <xf numFmtId="169" fontId="131" fillId="16" borderId="133" xfId="0" applyNumberFormat="1" applyFont="1" applyFill="1" applyBorder="1" applyAlignment="1">
      <alignment horizontal="right" vertical="top" indent="1"/>
    </xf>
    <xf numFmtId="3" fontId="20" fillId="0" borderId="13" xfId="0" applyNumberFormat="1" applyFont="1" applyBorder="1" applyAlignment="1">
      <alignment horizontal="left"/>
    </xf>
    <xf numFmtId="169" fontId="30" fillId="4" borderId="6" xfId="0" applyNumberFormat="1" applyFont="1" applyFill="1" applyBorder="1" applyAlignment="1">
      <alignment horizontal="right" vertical="center" indent="1"/>
    </xf>
    <xf numFmtId="169" fontId="30" fillId="4" borderId="6" xfId="0" applyNumberFormat="1" applyFont="1" applyFill="1" applyBorder="1" applyAlignment="1">
      <alignment horizontal="right" vertical="top" indent="1"/>
    </xf>
    <xf numFmtId="169" fontId="30" fillId="0" borderId="6" xfId="0" applyNumberFormat="1" applyFont="1" applyBorder="1" applyAlignment="1">
      <alignment horizontal="right" vertical="top" indent="1"/>
    </xf>
    <xf numFmtId="0" fontId="30" fillId="0" borderId="6" xfId="0" applyFont="1" applyBorder="1" applyAlignment="1">
      <alignment vertical="top"/>
    </xf>
    <xf numFmtId="169" fontId="30" fillId="0" borderId="0" xfId="0" applyNumberFormat="1" applyFont="1" applyAlignment="1">
      <alignment horizontal="right" vertical="center" indent="1"/>
    </xf>
    <xf numFmtId="169" fontId="30" fillId="4" borderId="0" xfId="0" applyNumberFormat="1" applyFont="1" applyFill="1" applyAlignment="1">
      <alignment horizontal="right" vertical="center" indent="1"/>
    </xf>
    <xf numFmtId="2" fontId="80" fillId="0" borderId="28" xfId="0" applyNumberFormat="1" applyFont="1" applyBorder="1" applyAlignment="1">
      <alignment horizontal="right" vertical="center"/>
    </xf>
    <xf numFmtId="177" fontId="80" fillId="10" borderId="9" xfId="0" applyNumberFormat="1" applyFont="1" applyFill="1" applyBorder="1" applyAlignment="1">
      <alignment horizontal="right" vertical="center"/>
    </xf>
    <xf numFmtId="3" fontId="50" fillId="0" borderId="51" xfId="0" applyNumberFormat="1" applyFont="1" applyBorder="1" applyAlignment="1" applyProtection="1">
      <alignment horizontal="right" vertical="center" indent="1"/>
      <protection hidden="1"/>
    </xf>
    <xf numFmtId="3" fontId="118" fillId="0" borderId="9" xfId="0" applyNumberFormat="1" applyFont="1" applyBorder="1" applyAlignment="1">
      <alignment horizontal="right" vertical="center" indent="1"/>
    </xf>
    <xf numFmtId="3" fontId="80" fillId="0" borderId="53" xfId="0" applyNumberFormat="1" applyFont="1" applyBorder="1" applyAlignment="1">
      <alignment horizontal="right" vertical="center" indent="1"/>
    </xf>
    <xf numFmtId="0" fontId="20" fillId="0" borderId="30" xfId="0" applyFont="1" applyBorder="1" applyAlignment="1">
      <alignment vertical="center"/>
    </xf>
    <xf numFmtId="2" fontId="20" fillId="0" borderId="29" xfId="0" applyNumberFormat="1" applyFont="1" applyBorder="1" applyAlignment="1">
      <alignment horizontal="right" vertical="center"/>
    </xf>
    <xf numFmtId="0" fontId="20" fillId="0" borderId="28" xfId="0" applyFont="1" applyBorder="1" applyAlignment="1">
      <alignment horizontal="center" vertical="center"/>
    </xf>
    <xf numFmtId="3" fontId="29" fillId="0" borderId="42" xfId="0" applyNumberFormat="1" applyFont="1" applyBorder="1" applyAlignment="1" applyProtection="1">
      <alignment horizontal="right" vertical="center" wrapText="1"/>
      <protection hidden="1"/>
    </xf>
    <xf numFmtId="3" fontId="118" fillId="0" borderId="142" xfId="0" applyNumberFormat="1" applyFont="1" applyBorder="1" applyAlignment="1" applyProtection="1">
      <alignment vertical="center" wrapText="1"/>
      <protection hidden="1"/>
    </xf>
    <xf numFmtId="3" fontId="125" fillId="0" borderId="141" xfId="0" applyNumberFormat="1" applyFont="1" applyBorder="1" applyAlignment="1" applyProtection="1">
      <alignment horizontal="right" vertical="center"/>
      <protection hidden="1"/>
    </xf>
    <xf numFmtId="0" fontId="20" fillId="0" borderId="0" xfId="0" quotePrefix="1" applyFont="1" applyAlignment="1">
      <alignment horizontal="center"/>
    </xf>
    <xf numFmtId="0" fontId="4" fillId="4" borderId="3" xfId="0" applyFont="1" applyFill="1" applyBorder="1" applyAlignment="1">
      <alignment horizontal="right" indent="1"/>
    </xf>
    <xf numFmtId="0" fontId="4" fillId="4" borderId="28" xfId="0" applyFont="1" applyFill="1" applyBorder="1" applyAlignment="1">
      <alignment horizontal="right" indent="1"/>
    </xf>
    <xf numFmtId="3" fontId="131" fillId="0" borderId="145" xfId="0" applyNumberFormat="1" applyFont="1" applyBorder="1" applyAlignment="1">
      <alignment horizontal="right" vertical="center"/>
    </xf>
    <xf numFmtId="0" fontId="30" fillId="0" borderId="0" xfId="0" applyFont="1" applyAlignment="1">
      <alignment horizontal="left"/>
    </xf>
    <xf numFmtId="0" fontId="30" fillId="0" borderId="24" xfId="0" applyFont="1" applyBorder="1"/>
    <xf numFmtId="0" fontId="30" fillId="0" borderId="24" xfId="0" applyFont="1" applyBorder="1" applyAlignment="1">
      <alignment horizontal="right"/>
    </xf>
    <xf numFmtId="3" fontId="30" fillId="0" borderId="24" xfId="0" applyNumberFormat="1" applyFont="1" applyBorder="1" applyAlignment="1">
      <alignment vertical="center"/>
    </xf>
    <xf numFmtId="3" fontId="30" fillId="0" borderId="0" xfId="0" applyNumberFormat="1" applyFont="1"/>
    <xf numFmtId="49" fontId="44" fillId="0" borderId="0" xfId="0" applyNumberFormat="1" applyFont="1"/>
    <xf numFmtId="3" fontId="20" fillId="4" borderId="0" xfId="0" applyNumberFormat="1" applyFont="1" applyFill="1" applyAlignment="1">
      <alignment horizontal="right" vertical="top"/>
    </xf>
    <xf numFmtId="0" fontId="20" fillId="4" borderId="0" xfId="0" applyFont="1" applyFill="1" applyAlignment="1">
      <alignment horizontal="right" vertical="top"/>
    </xf>
    <xf numFmtId="3" fontId="134" fillId="0" borderId="0" xfId="0" applyNumberFormat="1" applyFont="1" applyAlignment="1">
      <alignment horizontal="right"/>
    </xf>
    <xf numFmtId="0" fontId="135" fillId="0" borderId="0" xfId="0" applyFont="1"/>
    <xf numFmtId="3" fontId="20" fillId="0" borderId="47" xfId="0" applyNumberFormat="1" applyFont="1" applyBorder="1" applyAlignment="1">
      <alignment horizontal="left"/>
    </xf>
    <xf numFmtId="0" fontId="20" fillId="0" borderId="47" xfId="0" applyFont="1" applyBorder="1" applyAlignment="1">
      <alignment vertical="top"/>
    </xf>
    <xf numFmtId="9" fontId="4" fillId="4" borderId="0" xfId="3" applyFont="1" applyFill="1" applyBorder="1" applyAlignment="1" applyProtection="1">
      <alignment horizontal="center" vertical="center"/>
    </xf>
    <xf numFmtId="0" fontId="23" fillId="0" borderId="0" xfId="0" applyFont="1" applyAlignment="1">
      <alignment horizontal="left"/>
    </xf>
    <xf numFmtId="173" fontId="4" fillId="4" borderId="0" xfId="6" applyNumberFormat="1" applyFont="1" applyFill="1" applyBorder="1"/>
    <xf numFmtId="173" fontId="4" fillId="4" borderId="0" xfId="6" applyNumberFormat="1" applyFont="1" applyFill="1" applyBorder="1" applyProtection="1">
      <protection hidden="1"/>
    </xf>
    <xf numFmtId="173" fontId="4" fillId="4" borderId="0" xfId="6" applyNumberFormat="1" applyFont="1" applyFill="1" applyBorder="1" applyAlignment="1"/>
    <xf numFmtId="0" fontId="4" fillId="0" borderId="0" xfId="0" applyFont="1" applyAlignment="1" applyProtection="1">
      <alignment horizontal="right"/>
      <protection hidden="1"/>
    </xf>
    <xf numFmtId="1" fontId="4" fillId="0" borderId="0" xfId="0" applyNumberFormat="1" applyFont="1"/>
    <xf numFmtId="1" fontId="4" fillId="0" borderId="0" xfId="0" applyNumberFormat="1" applyFont="1" applyAlignment="1">
      <alignment horizontal="right" indent="1"/>
    </xf>
    <xf numFmtId="1" fontId="4" fillId="0" borderId="0" xfId="3" applyNumberFormat="1" applyFont="1" applyFill="1" applyAlignment="1" applyProtection="1">
      <alignment horizontal="right" indent="1"/>
    </xf>
    <xf numFmtId="1" fontId="4" fillId="4" borderId="0" xfId="0" applyNumberFormat="1" applyFont="1" applyFill="1" applyAlignment="1" applyProtection="1">
      <alignment horizontal="left" indent="1"/>
      <protection locked="0"/>
    </xf>
    <xf numFmtId="1" fontId="4" fillId="4" borderId="0" xfId="0" applyNumberFormat="1" applyFont="1" applyFill="1" applyAlignment="1">
      <alignment horizontal="right" indent="1"/>
    </xf>
    <xf numFmtId="170" fontId="4" fillId="4" borderId="0" xfId="0" applyNumberFormat="1" applyFont="1" applyFill="1" applyAlignment="1">
      <alignment horizontal="right" indent="1"/>
    </xf>
    <xf numFmtId="170" fontId="4" fillId="4" borderId="0" xfId="0" applyNumberFormat="1" applyFont="1" applyFill="1"/>
    <xf numFmtId="0" fontId="32" fillId="4" borderId="0" xfId="0" applyFont="1" applyFill="1" applyAlignment="1">
      <alignment vertical="center" readingOrder="1"/>
    </xf>
    <xf numFmtId="0" fontId="20" fillId="4" borderId="0" xfId="0" applyFont="1" applyFill="1" applyAlignment="1">
      <alignment vertical="center" readingOrder="1"/>
    </xf>
    <xf numFmtId="0" fontId="9" fillId="12" borderId="0" xfId="0" applyFont="1" applyFill="1" applyAlignment="1" applyProtection="1">
      <alignment vertical="center"/>
      <protection locked="0"/>
    </xf>
    <xf numFmtId="0" fontId="7" fillId="4" borderId="0" xfId="0" applyFont="1" applyFill="1" applyAlignment="1">
      <alignment horizontal="center" vertical="center" wrapText="1"/>
    </xf>
    <xf numFmtId="3" fontId="35" fillId="15" borderId="59" xfId="7" applyNumberFormat="1" applyFont="1" applyFill="1" applyBorder="1" applyAlignment="1" applyProtection="1">
      <alignment horizontal="center" vertical="center"/>
      <protection locked="0"/>
    </xf>
    <xf numFmtId="3" fontId="35" fillId="15" borderId="37" xfId="7" applyNumberFormat="1" applyFont="1" applyFill="1" applyBorder="1" applyAlignment="1" applyProtection="1">
      <alignment horizontal="center" vertical="center"/>
      <protection locked="0"/>
    </xf>
    <xf numFmtId="3" fontId="20" fillId="0" borderId="37" xfId="7" applyNumberFormat="1" applyFont="1" applyFill="1" applyBorder="1" applyAlignment="1" applyProtection="1">
      <alignment horizontal="center" vertical="center"/>
    </xf>
    <xf numFmtId="3" fontId="20" fillId="16" borderId="9" xfId="0" applyNumberFormat="1" applyFont="1" applyFill="1" applyBorder="1" applyAlignment="1">
      <alignment horizontal="right" vertical="top" indent="1"/>
    </xf>
    <xf numFmtId="3" fontId="35" fillId="15" borderId="41" xfId="7" applyNumberFormat="1" applyFont="1" applyFill="1" applyBorder="1" applyAlignment="1" applyProtection="1">
      <alignment horizontal="center" vertical="center"/>
      <protection locked="0"/>
    </xf>
    <xf numFmtId="3" fontId="20" fillId="0" borderId="41" xfId="7" applyNumberFormat="1" applyFont="1" applyFill="1" applyBorder="1" applyAlignment="1" applyProtection="1">
      <alignment horizontal="center" vertical="center"/>
    </xf>
    <xf numFmtId="1" fontId="35" fillId="15" borderId="59" xfId="7" applyNumberFormat="1" applyFont="1" applyFill="1" applyBorder="1" applyAlignment="1" applyProtection="1">
      <alignment horizontal="center" vertical="center"/>
      <protection locked="0"/>
    </xf>
    <xf numFmtId="3" fontId="20" fillId="15" borderId="59" xfId="7" applyNumberFormat="1" applyFont="1" applyFill="1" applyBorder="1" applyAlignment="1" applyProtection="1">
      <alignment horizontal="center" vertical="center"/>
      <protection locked="0"/>
    </xf>
    <xf numFmtId="169" fontId="20" fillId="4" borderId="0" xfId="0" applyNumberFormat="1" applyFont="1" applyFill="1" applyAlignment="1" applyProtection="1">
      <alignment horizontal="right" vertical="center" indent="1"/>
      <protection hidden="1"/>
    </xf>
    <xf numFmtId="49" fontId="9" fillId="0" borderId="0" xfId="5" applyNumberFormat="1" applyFont="1" applyAlignment="1" applyProtection="1">
      <alignment vertical="top" wrapText="1"/>
      <protection hidden="1"/>
    </xf>
    <xf numFmtId="1" fontId="20" fillId="0" borderId="0" xfId="0" applyNumberFormat="1" applyFont="1" applyAlignment="1" applyProtection="1">
      <alignment horizontal="center" vertical="top"/>
      <protection hidden="1"/>
    </xf>
    <xf numFmtId="169" fontId="20" fillId="0" borderId="0" xfId="0" applyNumberFormat="1" applyFont="1" applyAlignment="1" applyProtection="1">
      <alignment horizontal="right" vertical="top" indent="1"/>
      <protection hidden="1"/>
    </xf>
    <xf numFmtId="0" fontId="9" fillId="0" borderId="0" xfId="5" applyFont="1" applyProtection="1">
      <protection hidden="1"/>
    </xf>
    <xf numFmtId="0" fontId="4" fillId="4" borderId="0" xfId="0" applyFont="1" applyFill="1" applyAlignment="1" applyProtection="1">
      <alignment textRotation="90" wrapText="1"/>
      <protection hidden="1"/>
    </xf>
    <xf numFmtId="3" fontId="131" fillId="0" borderId="131" xfId="0" applyNumberFormat="1" applyFont="1" applyBorder="1" applyAlignment="1">
      <alignment horizontal="right" vertical="top"/>
    </xf>
    <xf numFmtId="3" fontId="20" fillId="0" borderId="61" xfId="0" applyNumberFormat="1" applyFont="1" applyBorder="1" applyAlignment="1">
      <alignment horizontal="right" vertical="center"/>
    </xf>
    <xf numFmtId="0" fontId="23" fillId="4" borderId="0" xfId="0" applyFont="1" applyFill="1" applyAlignment="1">
      <alignment horizontal="center" vertical="top"/>
    </xf>
    <xf numFmtId="9" fontId="120" fillId="4" borderId="11" xfId="3" applyFont="1" applyFill="1" applyBorder="1" applyAlignment="1" applyProtection="1">
      <alignment horizontal="center" vertical="center"/>
    </xf>
    <xf numFmtId="9" fontId="120" fillId="4" borderId="5" xfId="3" applyFont="1" applyFill="1" applyBorder="1" applyAlignment="1" applyProtection="1">
      <alignment horizontal="center" vertical="center"/>
    </xf>
    <xf numFmtId="9" fontId="123" fillId="4" borderId="11" xfId="3" applyFont="1" applyFill="1" applyBorder="1" applyAlignment="1" applyProtection="1">
      <alignment horizontal="center" vertical="center"/>
    </xf>
    <xf numFmtId="0" fontId="25" fillId="4" borderId="25" xfId="0" applyFont="1" applyFill="1" applyBorder="1" applyAlignment="1">
      <alignment vertical="center"/>
    </xf>
    <xf numFmtId="0" fontId="20" fillId="0" borderId="0" xfId="0" quotePrefix="1" applyFont="1" applyAlignment="1">
      <alignment horizontal="left"/>
    </xf>
    <xf numFmtId="169" fontId="34" fillId="0" borderId="0" xfId="0" applyNumberFormat="1" applyFont="1" applyAlignment="1">
      <alignment horizontal="center" vertical="center"/>
    </xf>
    <xf numFmtId="0" fontId="118" fillId="0" borderId="93" xfId="0" applyFont="1" applyBorder="1" applyAlignment="1">
      <alignment horizontal="center"/>
    </xf>
    <xf numFmtId="3" fontId="4" fillId="0" borderId="51" xfId="0" applyNumberFormat="1" applyFont="1" applyBorder="1" applyAlignment="1">
      <alignment horizontal="right" vertical="center"/>
    </xf>
    <xf numFmtId="3" fontId="94" fillId="0" borderId="28" xfId="0" applyNumberFormat="1" applyFont="1" applyBorder="1" applyAlignment="1">
      <alignment horizontal="left"/>
    </xf>
    <xf numFmtId="3" fontId="94" fillId="0" borderId="143" xfId="0" applyNumberFormat="1" applyFont="1" applyBorder="1" applyAlignment="1">
      <alignment horizontal="right"/>
    </xf>
    <xf numFmtId="3" fontId="94" fillId="0" borderId="3" xfId="0" applyNumberFormat="1" applyFont="1" applyBorder="1" applyAlignment="1">
      <alignment horizontal="right"/>
    </xf>
    <xf numFmtId="3" fontId="20" fillId="0" borderId="3" xfId="0" applyNumberFormat="1" applyFont="1" applyBorder="1" applyAlignment="1" applyProtection="1">
      <alignment horizontal="center" vertical="top"/>
      <protection hidden="1"/>
    </xf>
    <xf numFmtId="0" fontId="25" fillId="0" borderId="25" xfId="0" applyFont="1" applyBorder="1" applyAlignment="1">
      <alignment vertical="center"/>
    </xf>
    <xf numFmtId="3" fontId="20" fillId="4" borderId="3" xfId="0" applyNumberFormat="1" applyFont="1" applyFill="1" applyBorder="1" applyAlignment="1" applyProtection="1">
      <alignment horizontal="right" vertical="center" indent="1"/>
      <protection hidden="1"/>
    </xf>
    <xf numFmtId="3" fontId="20" fillId="0" borderId="3" xfId="0" applyNumberFormat="1" applyFont="1" applyBorder="1" applyAlignment="1">
      <alignment horizontal="center" vertical="top"/>
    </xf>
    <xf numFmtId="3" fontId="20" fillId="0" borderId="3" xfId="0" applyNumberFormat="1" applyFont="1" applyBorder="1" applyAlignment="1">
      <alignment vertical="top"/>
    </xf>
    <xf numFmtId="3" fontId="20" fillId="14" borderId="3" xfId="0" applyNumberFormat="1" applyFont="1" applyFill="1" applyBorder="1" applyAlignment="1" applyProtection="1">
      <alignment horizontal="center" vertical="top"/>
      <protection hidden="1"/>
    </xf>
    <xf numFmtId="0" fontId="20" fillId="14" borderId="3" xfId="0" applyFont="1" applyFill="1" applyBorder="1" applyAlignment="1">
      <alignment horizontal="center" vertical="top"/>
    </xf>
    <xf numFmtId="1" fontId="20" fillId="14" borderId="3" xfId="0" applyNumberFormat="1" applyFont="1" applyFill="1" applyBorder="1" applyAlignment="1" applyProtection="1">
      <alignment horizontal="center" vertical="top"/>
      <protection hidden="1"/>
    </xf>
    <xf numFmtId="1" fontId="20" fillId="14" borderId="3" xfId="0" applyNumberFormat="1" applyFont="1" applyFill="1" applyBorder="1" applyAlignment="1">
      <alignment horizontal="center" vertical="center"/>
    </xf>
    <xf numFmtId="0" fontId="9" fillId="4" borderId="25" xfId="0" applyFont="1" applyFill="1" applyBorder="1" applyAlignment="1">
      <alignment vertical="center"/>
    </xf>
    <xf numFmtId="0" fontId="9" fillId="4" borderId="75" xfId="0" applyFont="1" applyFill="1" applyBorder="1" applyAlignment="1">
      <alignment horizontal="left" vertical="center"/>
    </xf>
    <xf numFmtId="0" fontId="20" fillId="4" borderId="0" xfId="0" applyFont="1" applyFill="1" applyAlignment="1" applyProtection="1">
      <alignment horizontal="center"/>
      <protection hidden="1"/>
    </xf>
    <xf numFmtId="1" fontId="4" fillId="4" borderId="0" xfId="0" quotePrefix="1" applyNumberFormat="1" applyFont="1" applyFill="1" applyAlignment="1" applyProtection="1">
      <alignment horizontal="left"/>
      <protection hidden="1"/>
    </xf>
    <xf numFmtId="1" fontId="4" fillId="0" borderId="0" xfId="0" quotePrefix="1" applyNumberFormat="1" applyFont="1" applyAlignment="1" applyProtection="1">
      <alignment horizontal="left"/>
      <protection hidden="1"/>
    </xf>
    <xf numFmtId="1" fontId="4" fillId="0" borderId="0" xfId="0" applyNumberFormat="1" applyFont="1" applyAlignment="1" applyProtection="1">
      <alignment horizontal="left"/>
      <protection hidden="1"/>
    </xf>
    <xf numFmtId="3" fontId="20" fillId="4" borderId="0" xfId="6" applyNumberFormat="1" applyFont="1" applyFill="1" applyAlignment="1" applyProtection="1">
      <protection hidden="1"/>
    </xf>
    <xf numFmtId="3" fontId="20" fillId="4" borderId="0" xfId="6" applyNumberFormat="1" applyFont="1" applyFill="1" applyProtection="1">
      <protection hidden="1"/>
    </xf>
    <xf numFmtId="1" fontId="9" fillId="4" borderId="0" xfId="0" applyNumberFormat="1" applyFont="1" applyFill="1" applyProtection="1">
      <protection hidden="1"/>
    </xf>
    <xf numFmtId="0" fontId="51" fillId="0" borderId="3" xfId="0" applyFont="1" applyBorder="1" applyAlignment="1">
      <alignment horizontal="center" vertical="center"/>
    </xf>
    <xf numFmtId="0" fontId="4" fillId="2" borderId="0" xfId="0" applyFont="1" applyFill="1" applyAlignment="1" applyProtection="1">
      <alignment horizontal="center" vertical="center"/>
      <protection hidden="1"/>
    </xf>
    <xf numFmtId="0" fontId="92" fillId="4" borderId="0" xfId="0" applyFont="1" applyFill="1"/>
    <xf numFmtId="3" fontId="20" fillId="0" borderId="4" xfId="0" applyNumberFormat="1" applyFont="1" applyBorder="1" applyAlignment="1">
      <alignment horizontal="right" vertical="center"/>
    </xf>
    <xf numFmtId="3" fontId="20" fillId="0" borderId="3" xfId="0" applyNumberFormat="1" applyFont="1" applyBorder="1" applyAlignment="1">
      <alignment horizontal="center" vertical="center"/>
    </xf>
    <xf numFmtId="0" fontId="43" fillId="4" borderId="0" xfId="0" applyFont="1" applyFill="1" applyAlignment="1">
      <alignment horizontal="center"/>
    </xf>
    <xf numFmtId="172" fontId="140" fillId="0" borderId="0" xfId="3" applyNumberFormat="1" applyFont="1" applyFill="1" applyBorder="1" applyAlignment="1" applyProtection="1">
      <alignment horizontal="center" vertical="center"/>
    </xf>
    <xf numFmtId="3" fontId="94" fillId="0" borderId="3" xfId="0" applyNumberFormat="1" applyFont="1" applyBorder="1" applyAlignment="1">
      <alignment horizontal="right" vertical="top"/>
    </xf>
    <xf numFmtId="0" fontId="4" fillId="14" borderId="3" xfId="0" applyFont="1" applyFill="1" applyBorder="1" applyAlignment="1">
      <alignment horizontal="center" vertical="center"/>
    </xf>
    <xf numFmtId="0" fontId="20" fillId="0" borderId="45" xfId="0" applyFont="1" applyBorder="1" applyAlignment="1" applyProtection="1">
      <alignment vertical="top"/>
      <protection locked="0"/>
    </xf>
    <xf numFmtId="3" fontId="131" fillId="0" borderId="148" xfId="0" applyNumberFormat="1" applyFont="1" applyBorder="1" applyAlignment="1">
      <alignment horizontal="right"/>
    </xf>
    <xf numFmtId="3" fontId="131" fillId="0" borderId="149" xfId="0" applyNumberFormat="1" applyFont="1" applyBorder="1" applyAlignment="1">
      <alignment horizontal="right"/>
    </xf>
    <xf numFmtId="3" fontId="131" fillId="16" borderId="150" xfId="0" applyNumberFormat="1" applyFont="1" applyFill="1" applyBorder="1" applyAlignment="1">
      <alignment horizontal="right" vertical="top"/>
    </xf>
    <xf numFmtId="3" fontId="131" fillId="16" borderId="151" xfId="0" applyNumberFormat="1" applyFont="1" applyFill="1" applyBorder="1" applyAlignment="1">
      <alignment horizontal="right" vertical="top"/>
    </xf>
    <xf numFmtId="9" fontId="37" fillId="4" borderId="0" xfId="0" applyNumberFormat="1" applyFont="1" applyFill="1" applyAlignment="1">
      <alignment vertical="top"/>
    </xf>
    <xf numFmtId="0" fontId="42" fillId="4" borderId="0" xfId="0" applyFont="1" applyFill="1" applyAlignment="1">
      <alignment horizontal="center" vertical="center"/>
    </xf>
    <xf numFmtId="3" fontId="37" fillId="4" borderId="0" xfId="0" applyNumberFormat="1" applyFont="1" applyFill="1" applyAlignment="1" applyProtection="1">
      <alignment horizontal="right" vertical="top"/>
      <protection hidden="1"/>
    </xf>
    <xf numFmtId="0" fontId="37" fillId="4" borderId="0" xfId="0" applyFont="1" applyFill="1" applyAlignment="1">
      <alignment horizontal="right" vertical="center" indent="1"/>
    </xf>
    <xf numFmtId="3" fontId="37" fillId="4" borderId="0" xfId="0" applyNumberFormat="1" applyFont="1" applyFill="1" applyAlignment="1">
      <alignment horizontal="right" vertical="center" indent="1"/>
    </xf>
    <xf numFmtId="3" fontId="37" fillId="4" borderId="0" xfId="0" applyNumberFormat="1" applyFont="1" applyFill="1" applyAlignment="1">
      <alignment horizontal="right" vertical="center"/>
    </xf>
    <xf numFmtId="3" fontId="80" fillId="0" borderId="1" xfId="0" applyNumberFormat="1" applyFont="1" applyBorder="1" applyAlignment="1">
      <alignment vertical="center"/>
    </xf>
    <xf numFmtId="3" fontId="4" fillId="0" borderId="1" xfId="0" applyNumberFormat="1" applyFont="1" applyBorder="1" applyAlignment="1">
      <alignment vertical="center"/>
    </xf>
    <xf numFmtId="3" fontId="37" fillId="4" borderId="0" xfId="0" applyNumberFormat="1" applyFont="1" applyFill="1" applyAlignment="1" applyProtection="1">
      <alignment horizontal="center" vertical="top"/>
      <protection hidden="1"/>
    </xf>
    <xf numFmtId="3" fontId="20" fillId="0" borderId="47" xfId="0" applyNumberFormat="1" applyFont="1" applyBorder="1" applyAlignment="1">
      <alignment vertical="center"/>
    </xf>
    <xf numFmtId="1" fontId="30" fillId="4" borderId="0" xfId="0" applyNumberFormat="1" applyFont="1" applyFill="1" applyAlignment="1" applyProtection="1">
      <alignment horizontal="right" vertical="top" indent="1"/>
      <protection hidden="1"/>
    </xf>
    <xf numFmtId="1" fontId="30" fillId="4" borderId="0" xfId="0" applyNumberFormat="1" applyFont="1" applyFill="1" applyAlignment="1" applyProtection="1">
      <alignment vertical="center"/>
      <protection hidden="1"/>
    </xf>
    <xf numFmtId="3" fontId="128" fillId="4" borderId="0" xfId="0" applyNumberFormat="1" applyFont="1" applyFill="1" applyAlignment="1">
      <alignment horizontal="right" vertical="center" indent="1"/>
    </xf>
    <xf numFmtId="3" fontId="30" fillId="4" borderId="0" xfId="0" applyNumberFormat="1" applyFont="1" applyFill="1" applyAlignment="1" applyProtection="1">
      <alignment horizontal="center" vertical="center"/>
      <protection hidden="1"/>
    </xf>
    <xf numFmtId="0" fontId="20" fillId="4" borderId="25" xfId="0" applyFont="1" applyFill="1" applyBorder="1" applyAlignment="1">
      <alignment vertical="top"/>
    </xf>
    <xf numFmtId="3" fontId="29" fillId="0" borderId="10" xfId="0" applyNumberFormat="1" applyFont="1" applyBorder="1" applyAlignment="1">
      <alignment horizontal="right" vertical="center"/>
    </xf>
    <xf numFmtId="1" fontId="2" fillId="0" borderId="0" xfId="0" applyNumberFormat="1" applyFont="1" applyAlignment="1" applyProtection="1">
      <alignment horizontal="right" vertical="center"/>
      <protection hidden="1"/>
    </xf>
    <xf numFmtId="0" fontId="7" fillId="0" borderId="0" xfId="0" applyFont="1" applyAlignment="1" applyProtection="1">
      <alignment horizontal="center" vertical="center"/>
      <protection hidden="1"/>
    </xf>
    <xf numFmtId="173" fontId="2" fillId="0" borderId="0" xfId="6" applyNumberFormat="1" applyFont="1" applyFill="1" applyBorder="1" applyAlignment="1" applyProtection="1">
      <alignment horizontal="center" vertical="center"/>
      <protection hidden="1"/>
    </xf>
    <xf numFmtId="3" fontId="4" fillId="0" borderId="0" xfId="0" applyNumberFormat="1" applyFont="1" applyAlignment="1" applyProtection="1">
      <alignment horizontal="center" vertical="center"/>
      <protection hidden="1"/>
    </xf>
    <xf numFmtId="173" fontId="20" fillId="0" borderId="0" xfId="0" applyNumberFormat="1" applyFont="1" applyAlignment="1" applyProtection="1">
      <alignment horizontal="center" vertical="center"/>
      <protection hidden="1"/>
    </xf>
    <xf numFmtId="3" fontId="20" fillId="0" borderId="5" xfId="0" applyNumberFormat="1" applyFont="1" applyBorder="1" applyAlignment="1">
      <alignment horizontal="right"/>
    </xf>
    <xf numFmtId="9" fontId="97" fillId="4" borderId="11" xfId="3" applyFont="1" applyFill="1" applyBorder="1" applyAlignment="1" applyProtection="1">
      <alignment horizontal="center" vertical="center"/>
    </xf>
    <xf numFmtId="9" fontId="97" fillId="4" borderId="1" xfId="3" applyFont="1" applyFill="1" applyBorder="1" applyAlignment="1" applyProtection="1">
      <alignment horizontal="center" vertical="center"/>
    </xf>
    <xf numFmtId="0" fontId="20" fillId="0" borderId="0" xfId="0" applyFont="1" applyAlignment="1">
      <alignment horizontal="left" vertical="top"/>
    </xf>
    <xf numFmtId="1" fontId="20" fillId="15" borderId="28" xfId="2" applyNumberFormat="1" applyFont="1" applyFill="1" applyBorder="1" applyAlignment="1" applyProtection="1">
      <alignment horizontal="center" vertical="center"/>
      <protection locked="0"/>
    </xf>
    <xf numFmtId="172" fontId="4" fillId="15" borderId="28" xfId="3" applyNumberFormat="1" applyFont="1" applyFill="1" applyBorder="1" applyAlignment="1" applyProtection="1">
      <alignment horizontal="center"/>
      <protection locked="0"/>
    </xf>
    <xf numFmtId="1" fontId="20" fillId="15" borderId="28" xfId="3" applyNumberFormat="1" applyFont="1" applyFill="1" applyBorder="1" applyAlignment="1" applyProtection="1">
      <alignment horizontal="center"/>
      <protection locked="0"/>
    </xf>
    <xf numFmtId="1" fontId="20" fillId="0" borderId="28" xfId="0" quotePrefix="1" applyNumberFormat="1" applyFont="1" applyBorder="1" applyAlignment="1">
      <alignment horizontal="center"/>
    </xf>
    <xf numFmtId="16" fontId="20" fillId="0" borderId="41" xfId="0" quotePrefix="1" applyNumberFormat="1" applyFont="1" applyBorder="1" applyAlignment="1">
      <alignment horizontal="center"/>
    </xf>
    <xf numFmtId="3" fontId="20" fillId="15" borderId="28" xfId="0" applyNumberFormat="1" applyFont="1" applyFill="1" applyBorder="1" applyAlignment="1" applyProtection="1">
      <alignment vertical="center"/>
      <protection locked="0"/>
    </xf>
    <xf numFmtId="1" fontId="20" fillId="15" borderId="30" xfId="3" applyNumberFormat="1" applyFont="1" applyFill="1" applyBorder="1" applyAlignment="1" applyProtection="1">
      <alignment horizontal="center"/>
      <protection locked="0"/>
    </xf>
    <xf numFmtId="1" fontId="20" fillId="15" borderId="152" xfId="3" applyNumberFormat="1" applyFont="1" applyFill="1" applyBorder="1" applyAlignment="1" applyProtection="1">
      <alignment horizontal="center"/>
      <protection locked="0"/>
    </xf>
    <xf numFmtId="3" fontId="20" fillId="15" borderId="82" xfId="0" applyNumberFormat="1" applyFont="1" applyFill="1" applyBorder="1" applyAlignment="1" applyProtection="1">
      <alignment vertical="center"/>
      <protection locked="0"/>
    </xf>
    <xf numFmtId="167" fontId="4" fillId="4" borderId="0" xfId="6" applyNumberFormat="1" applyFont="1" applyFill="1" applyAlignment="1" applyProtection="1">
      <alignment horizontal="right" indent="1"/>
      <protection hidden="1"/>
    </xf>
    <xf numFmtId="0" fontId="23" fillId="4" borderId="0" xfId="0" applyFont="1" applyFill="1" applyAlignment="1">
      <alignment horizontal="center" vertical="center" wrapText="1"/>
    </xf>
    <xf numFmtId="0" fontId="19" fillId="0" borderId="0" xfId="0" applyFont="1" applyAlignment="1" applyProtection="1">
      <alignment horizontal="center" vertical="center"/>
      <protection hidden="1"/>
    </xf>
    <xf numFmtId="0" fontId="19" fillId="0" borderId="0" xfId="0" applyFont="1" applyAlignment="1" applyProtection="1">
      <alignment horizontal="right" vertical="center"/>
      <protection hidden="1"/>
    </xf>
    <xf numFmtId="0" fontId="40" fillId="0" borderId="0" xfId="0" applyFont="1" applyAlignment="1" applyProtection="1">
      <alignment horizontal="center" vertical="center"/>
      <protection hidden="1"/>
    </xf>
    <xf numFmtId="3" fontId="20" fillId="4" borderId="0" xfId="0" applyNumberFormat="1" applyFont="1" applyFill="1" applyAlignment="1" applyProtection="1">
      <alignment horizontal="right" vertical="center" indent="1"/>
      <protection hidden="1"/>
    </xf>
    <xf numFmtId="3" fontId="35" fillId="15" borderId="3" xfId="8" applyNumberFormat="1" applyFont="1" applyFill="1" applyBorder="1" applyAlignment="1" applyProtection="1">
      <alignment horizontal="center" vertical="center"/>
    </xf>
    <xf numFmtId="3" fontId="35" fillId="15" borderId="35" xfId="8" applyNumberFormat="1" applyFont="1" applyFill="1" applyBorder="1" applyAlignment="1" applyProtection="1">
      <alignment horizontal="center" vertical="center"/>
      <protection locked="0"/>
    </xf>
    <xf numFmtId="0" fontId="4" fillId="0" borderId="0" xfId="0" applyFont="1" applyAlignment="1">
      <alignment horizontal="center" vertical="top"/>
    </xf>
    <xf numFmtId="3" fontId="35" fillId="0" borderId="41" xfId="8" applyNumberFormat="1" applyFont="1" applyFill="1" applyBorder="1" applyAlignment="1" applyProtection="1">
      <alignment horizontal="center" vertical="center"/>
    </xf>
    <xf numFmtId="3" fontId="35" fillId="0" borderId="35" xfId="8" applyNumberFormat="1" applyFont="1" applyFill="1" applyBorder="1" applyAlignment="1" applyProtection="1">
      <alignment horizontal="center" vertical="center"/>
    </xf>
    <xf numFmtId="0" fontId="30" fillId="4" borderId="0" xfId="0" applyFont="1" applyFill="1" applyAlignment="1">
      <alignment horizontal="right" vertical="top"/>
    </xf>
    <xf numFmtId="0" fontId="30" fillId="0" borderId="0" xfId="0" applyFont="1" applyAlignment="1">
      <alignment horizontal="right" vertical="top"/>
    </xf>
    <xf numFmtId="0" fontId="34" fillId="4" borderId="0" xfId="0" applyFont="1" applyFill="1" applyAlignment="1">
      <alignment horizontal="right" vertical="center"/>
    </xf>
    <xf numFmtId="3" fontId="20" fillId="0" borderId="0" xfId="0" applyNumberFormat="1" applyFont="1" applyAlignment="1" applyProtection="1">
      <alignment horizontal="right" vertical="top"/>
      <protection hidden="1"/>
    </xf>
    <xf numFmtId="3" fontId="4" fillId="4" borderId="0" xfId="0" applyNumberFormat="1" applyFont="1" applyFill="1" applyAlignment="1">
      <alignment horizontal="center" vertical="center"/>
    </xf>
    <xf numFmtId="0" fontId="6" fillId="4" borderId="0" xfId="0" applyFont="1" applyFill="1" applyAlignment="1">
      <alignment horizontal="center" vertical="center"/>
    </xf>
    <xf numFmtId="3" fontId="62" fillId="0" borderId="9" xfId="8" applyNumberFormat="1" applyFont="1" applyFill="1" applyBorder="1" applyAlignment="1" applyProtection="1">
      <alignment horizontal="left" vertical="center" indent="1"/>
    </xf>
    <xf numFmtId="9" fontId="4" fillId="0" borderId="0" xfId="0" applyNumberFormat="1" applyFont="1" applyAlignment="1">
      <alignment horizontal="center" vertical="center"/>
    </xf>
    <xf numFmtId="3" fontId="35" fillId="0" borderId="47" xfId="8" applyNumberFormat="1" applyFont="1" applyFill="1" applyBorder="1" applyAlignment="1" applyProtection="1">
      <alignment horizontal="center" vertical="center"/>
    </xf>
    <xf numFmtId="3" fontId="20" fillId="0" borderId="68" xfId="0" applyNumberFormat="1" applyFont="1" applyBorder="1" applyAlignment="1">
      <alignment horizontal="center" vertical="center"/>
    </xf>
    <xf numFmtId="3" fontId="20" fillId="0" borderId="3" xfId="0" applyNumberFormat="1" applyFont="1" applyBorder="1" applyAlignment="1" applyProtection="1">
      <alignment horizontal="center" vertical="center"/>
      <protection hidden="1"/>
    </xf>
    <xf numFmtId="3" fontId="131" fillId="0" borderId="0" xfId="8" applyNumberFormat="1" applyFont="1" applyFill="1" applyBorder="1" applyAlignment="1" applyProtection="1">
      <alignment horizontal="right" vertical="center"/>
    </xf>
    <xf numFmtId="172" fontId="35" fillId="0" borderId="0" xfId="8" applyNumberFormat="1" applyFont="1" applyFill="1" applyBorder="1" applyAlignment="1" applyProtection="1">
      <alignment horizontal="left" vertical="center"/>
    </xf>
    <xf numFmtId="172" fontId="104" fillId="0" borderId="0" xfId="8" applyNumberFormat="1" applyFont="1" applyFill="1" applyBorder="1" applyAlignment="1" applyProtection="1">
      <alignment horizontal="center" vertical="center"/>
    </xf>
    <xf numFmtId="3" fontId="131" fillId="0" borderId="0" xfId="0" applyNumberFormat="1" applyFont="1" applyAlignment="1">
      <alignment horizontal="right" vertical="center"/>
    </xf>
    <xf numFmtId="1" fontId="132" fillId="16" borderId="16" xfId="0" applyNumberFormat="1" applyFont="1" applyFill="1" applyBorder="1" applyAlignment="1">
      <alignment horizontal="center" vertical="center"/>
    </xf>
    <xf numFmtId="3" fontId="62" fillId="0" borderId="9" xfId="8" applyNumberFormat="1" applyFont="1" applyFill="1" applyBorder="1" applyAlignment="1" applyProtection="1">
      <alignment horizontal="center" vertical="center"/>
    </xf>
    <xf numFmtId="0" fontId="4" fillId="0" borderId="31" xfId="0" applyFont="1" applyBorder="1" applyAlignment="1">
      <alignment vertical="center"/>
    </xf>
    <xf numFmtId="3" fontId="131" fillId="0" borderId="68" xfId="0" applyNumberFormat="1" applyFont="1" applyBorder="1" applyAlignment="1">
      <alignment horizontal="center" vertical="center"/>
    </xf>
    <xf numFmtId="0" fontId="20" fillId="0" borderId="70" xfId="9" applyFont="1" applyFill="1" applyBorder="1" applyAlignment="1" applyProtection="1">
      <alignment vertical="center"/>
    </xf>
    <xf numFmtId="3" fontId="62" fillId="0" borderId="25" xfId="8" applyNumberFormat="1" applyFont="1" applyFill="1" applyBorder="1" applyAlignment="1" applyProtection="1">
      <alignment horizontal="center" vertical="center"/>
    </xf>
    <xf numFmtId="169" fontId="131" fillId="0" borderId="156" xfId="8" applyNumberFormat="1" applyFont="1" applyFill="1" applyBorder="1" applyAlignment="1" applyProtection="1">
      <alignment horizontal="center" vertical="center"/>
    </xf>
    <xf numFmtId="3" fontId="131" fillId="0" borderId="157" xfId="8" applyNumberFormat="1" applyFont="1" applyFill="1" applyBorder="1" applyAlignment="1" applyProtection="1">
      <alignment horizontal="center" vertical="center"/>
    </xf>
    <xf numFmtId="0" fontId="20" fillId="0" borderId="48" xfId="9" applyFont="1" applyFill="1" applyBorder="1" applyAlignment="1" applyProtection="1">
      <alignment horizontal="center" vertical="center"/>
    </xf>
    <xf numFmtId="0" fontId="20" fillId="0" borderId="52" xfId="9" applyFont="1" applyFill="1" applyBorder="1" applyAlignment="1" applyProtection="1">
      <alignment horizontal="center" vertical="center"/>
    </xf>
    <xf numFmtId="3" fontId="28" fillId="4" borderId="0" xfId="0" applyNumberFormat="1" applyFont="1" applyFill="1" applyAlignment="1">
      <alignment horizontal="left" vertical="center"/>
    </xf>
    <xf numFmtId="3" fontId="20" fillId="0" borderId="37" xfId="0" applyNumberFormat="1" applyFont="1" applyBorder="1" applyAlignment="1">
      <alignment horizontal="right"/>
    </xf>
    <xf numFmtId="3" fontId="131" fillId="0" borderId="45" xfId="0" applyNumberFormat="1" applyFont="1" applyBorder="1" applyAlignment="1">
      <alignment horizontal="right" vertical="top"/>
    </xf>
    <xf numFmtId="3" fontId="20" fillId="0" borderId="71" xfId="0" applyNumberFormat="1" applyFont="1" applyBorder="1"/>
    <xf numFmtId="1" fontId="2" fillId="0" borderId="0" xfId="6" applyNumberFormat="1" applyFont="1" applyFill="1" applyBorder="1" applyAlignment="1" applyProtection="1">
      <alignment horizontal="center" vertical="center"/>
      <protection hidden="1"/>
    </xf>
    <xf numFmtId="1" fontId="40" fillId="0" borderId="0" xfId="0" applyNumberFormat="1" applyFont="1" applyAlignment="1" applyProtection="1">
      <alignment horizontal="center" vertical="center"/>
      <protection hidden="1"/>
    </xf>
    <xf numFmtId="3" fontId="62" fillId="0" borderId="31" xfId="8" applyNumberFormat="1" applyFont="1" applyFill="1" applyBorder="1" applyAlignment="1" applyProtection="1">
      <alignment horizontal="center" vertical="center"/>
    </xf>
    <xf numFmtId="3" fontId="20" fillId="0" borderId="28" xfId="0" applyNumberFormat="1" applyFont="1" applyBorder="1" applyAlignment="1">
      <alignment horizontal="center" vertical="top"/>
    </xf>
    <xf numFmtId="3" fontId="20" fillId="0" borderId="71" xfId="0" applyNumberFormat="1" applyFont="1" applyBorder="1" applyAlignment="1">
      <alignment horizontal="left" indent="2"/>
    </xf>
    <xf numFmtId="1" fontId="0" fillId="0" borderId="0" xfId="0" applyNumberFormat="1" applyAlignment="1">
      <alignment horizontal="right" vertical="center"/>
    </xf>
    <xf numFmtId="182" fontId="20" fillId="0" borderId="41" xfId="0" applyNumberFormat="1" applyFont="1" applyBorder="1"/>
    <xf numFmtId="4" fontId="131" fillId="0" borderId="144" xfId="0" applyNumberFormat="1" applyFont="1" applyBorder="1" applyAlignment="1">
      <alignment horizontal="right" vertical="center"/>
    </xf>
    <xf numFmtId="0" fontId="147" fillId="0" borderId="0" xfId="0" applyFont="1"/>
    <xf numFmtId="1" fontId="147" fillId="0" borderId="0" xfId="0" applyNumberFormat="1" applyFont="1" applyAlignment="1">
      <alignment horizontal="right" vertical="center"/>
    </xf>
    <xf numFmtId="0" fontId="147" fillId="0" borderId="0" xfId="0" applyFont="1" applyAlignment="1">
      <alignment horizontal="right"/>
    </xf>
    <xf numFmtId="0" fontId="148" fillId="0" borderId="0" xfId="0" applyFont="1"/>
    <xf numFmtId="9" fontId="4" fillId="12" borderId="83" xfId="3" applyFont="1" applyFill="1" applyBorder="1" applyAlignment="1" applyProtection="1">
      <alignment horizontal="center" vertical="center"/>
      <protection locked="0"/>
    </xf>
    <xf numFmtId="9" fontId="4" fillId="12" borderId="140" xfId="3" applyFont="1" applyFill="1" applyBorder="1" applyAlignment="1" applyProtection="1">
      <alignment horizontal="center" vertical="center"/>
      <protection locked="0"/>
    </xf>
    <xf numFmtId="3" fontId="20" fillId="0" borderId="20" xfId="0" applyNumberFormat="1" applyFont="1" applyBorder="1" applyAlignment="1" applyProtection="1">
      <alignment vertical="center"/>
      <protection locked="0"/>
    </xf>
    <xf numFmtId="3" fontId="20" fillId="0" borderId="14" xfId="0" applyNumberFormat="1" applyFont="1" applyBorder="1" applyAlignment="1" applyProtection="1">
      <alignment vertical="center"/>
      <protection locked="0"/>
    </xf>
    <xf numFmtId="3" fontId="20" fillId="12" borderId="56" xfId="0" applyNumberFormat="1" applyFont="1" applyFill="1" applyBorder="1" applyAlignment="1">
      <alignment horizontal="right"/>
    </xf>
    <xf numFmtId="3" fontId="20" fillId="0" borderId="35" xfId="0" applyNumberFormat="1" applyFont="1" applyBorder="1" applyAlignment="1">
      <alignment horizontal="right"/>
    </xf>
    <xf numFmtId="0" fontId="20" fillId="14" borderId="9" xfId="0" applyFont="1" applyFill="1" applyBorder="1" applyAlignment="1">
      <alignment horizontal="center" vertical="center"/>
    </xf>
    <xf numFmtId="0" fontId="20" fillId="0" borderId="16" xfId="0" applyFont="1" applyBorder="1" applyAlignment="1" applyProtection="1">
      <alignment horizontal="left" vertical="top"/>
      <protection hidden="1"/>
    </xf>
    <xf numFmtId="0" fontId="20" fillId="0" borderId="9" xfId="0" applyFont="1" applyBorder="1" applyAlignment="1" applyProtection="1">
      <alignment horizontal="left" vertical="top"/>
      <protection hidden="1"/>
    </xf>
    <xf numFmtId="0" fontId="20" fillId="4" borderId="45" xfId="0" applyFont="1" applyFill="1" applyBorder="1" applyAlignment="1">
      <alignment horizontal="center" vertical="top"/>
    </xf>
    <xf numFmtId="3" fontId="35" fillId="0" borderId="59" xfId="7" applyNumberFormat="1" applyFont="1" applyFill="1" applyBorder="1" applyAlignment="1" applyProtection="1">
      <alignment horizontal="center" vertical="center"/>
    </xf>
    <xf numFmtId="0" fontId="20" fillId="0" borderId="9" xfId="0" applyFont="1" applyBorder="1" applyAlignment="1">
      <alignment vertical="top"/>
    </xf>
    <xf numFmtId="0" fontId="20" fillId="4" borderId="41" xfId="0" applyFont="1" applyFill="1" applyBorder="1" applyAlignment="1">
      <alignment horizontal="center" vertical="top"/>
    </xf>
    <xf numFmtId="0" fontId="20" fillId="0" borderId="53" xfId="0" applyFont="1" applyBorder="1" applyAlignment="1" applyProtection="1">
      <alignment horizontal="left" vertical="top"/>
      <protection hidden="1"/>
    </xf>
    <xf numFmtId="3" fontId="35" fillId="0" borderId="3" xfId="8" applyNumberFormat="1" applyFont="1" applyFill="1" applyBorder="1" applyAlignment="1" applyProtection="1">
      <alignment horizontal="center" vertical="center"/>
    </xf>
    <xf numFmtId="0" fontId="20" fillId="4" borderId="37" xfId="0" applyFont="1" applyFill="1" applyBorder="1" applyAlignment="1">
      <alignment horizontal="center" vertical="top"/>
    </xf>
    <xf numFmtId="3" fontId="35" fillId="0" borderId="41" xfId="8" applyNumberFormat="1" applyFont="1" applyFill="1" applyBorder="1" applyAlignment="1" applyProtection="1">
      <alignment horizontal="center" vertical="center"/>
      <protection locked="0"/>
    </xf>
    <xf numFmtId="0" fontId="4" fillId="19" borderId="56" xfId="0" applyFont="1" applyFill="1" applyBorder="1" applyAlignment="1">
      <alignment vertical="top"/>
    </xf>
    <xf numFmtId="0" fontId="20" fillId="0" borderId="1" xfId="0" applyFont="1" applyBorder="1" applyAlignment="1" applyProtection="1">
      <alignment horizontal="center" vertical="center"/>
      <protection locked="0"/>
    </xf>
    <xf numFmtId="9" fontId="4" fillId="0" borderId="30" xfId="3" applyFont="1" applyFill="1" applyBorder="1" applyAlignment="1">
      <alignment horizontal="center" vertical="top"/>
    </xf>
    <xf numFmtId="3" fontId="62" fillId="0" borderId="6" xfId="8" applyNumberFormat="1" applyFont="1" applyFill="1" applyBorder="1" applyAlignment="1" applyProtection="1">
      <alignment horizontal="center" vertical="center"/>
    </xf>
    <xf numFmtId="1" fontId="20" fillId="16" borderId="32" xfId="0" applyNumberFormat="1" applyFont="1" applyFill="1" applyBorder="1" applyAlignment="1">
      <alignment horizontal="center" vertical="center"/>
    </xf>
    <xf numFmtId="169" fontId="35" fillId="15" borderId="154" xfId="8" applyNumberFormat="1" applyFont="1" applyFill="1" applyBorder="1" applyAlignment="1" applyProtection="1">
      <alignment horizontal="center" vertical="center"/>
      <protection locked="0"/>
    </xf>
    <xf numFmtId="0" fontId="20" fillId="19" borderId="10" xfId="0" applyFont="1" applyFill="1" applyBorder="1" applyAlignment="1">
      <alignment vertical="top"/>
    </xf>
    <xf numFmtId="169" fontId="131" fillId="0" borderId="158" xfId="8" applyNumberFormat="1" applyFont="1" applyFill="1" applyBorder="1" applyAlignment="1" applyProtection="1">
      <alignment horizontal="center" vertical="center"/>
    </xf>
    <xf numFmtId="3" fontId="131" fillId="0" borderId="159" xfId="8" applyNumberFormat="1" applyFont="1" applyFill="1" applyBorder="1" applyAlignment="1" applyProtection="1">
      <alignment horizontal="center" vertical="center"/>
    </xf>
    <xf numFmtId="3" fontId="35" fillId="19" borderId="56" xfId="8" applyNumberFormat="1" applyFont="1" applyFill="1" applyBorder="1" applyAlignment="1" applyProtection="1">
      <alignment horizontal="center" vertical="center"/>
      <protection locked="0"/>
    </xf>
    <xf numFmtId="169" fontId="35" fillId="19" borderId="56" xfId="8" applyNumberFormat="1" applyFont="1" applyFill="1" applyBorder="1" applyAlignment="1" applyProtection="1">
      <alignment horizontal="center" vertical="center"/>
      <protection locked="0"/>
    </xf>
    <xf numFmtId="0" fontId="20" fillId="19" borderId="155" xfId="9" applyFont="1" applyFill="1" applyBorder="1" applyAlignment="1" applyProtection="1">
      <alignment horizontal="center" vertical="center"/>
    </xf>
    <xf numFmtId="9" fontId="4" fillId="0" borderId="91" xfId="3" applyFont="1" applyFill="1" applyBorder="1" applyAlignment="1">
      <alignment horizontal="center" vertical="top"/>
    </xf>
    <xf numFmtId="3" fontId="62" fillId="0" borderId="92" xfId="8" applyNumberFormat="1" applyFont="1" applyFill="1" applyBorder="1" applyAlignment="1" applyProtection="1">
      <alignment horizontal="center" vertical="center"/>
    </xf>
    <xf numFmtId="3" fontId="62" fillId="0" borderId="160" xfId="8" applyNumberFormat="1" applyFont="1" applyFill="1" applyBorder="1" applyAlignment="1" applyProtection="1">
      <alignment horizontal="center" vertical="center"/>
    </xf>
    <xf numFmtId="0" fontId="20" fillId="0" borderId="84" xfId="0" applyFont="1" applyBorder="1" applyAlignment="1" applyProtection="1">
      <alignment vertical="top"/>
      <protection locked="0"/>
    </xf>
    <xf numFmtId="0" fontId="20" fillId="19" borderId="10" xfId="0" applyFont="1" applyFill="1" applyBorder="1" applyAlignment="1" applyProtection="1">
      <alignment vertical="top"/>
      <protection locked="0"/>
    </xf>
    <xf numFmtId="0" fontId="29" fillId="19" borderId="153" xfId="9" applyFont="1" applyFill="1" applyBorder="1" applyAlignment="1" applyProtection="1">
      <alignment horizontal="center" vertical="center" wrapText="1"/>
      <protection locked="0"/>
    </xf>
    <xf numFmtId="0" fontId="4" fillId="15" borderId="30" xfId="0" applyFont="1" applyFill="1" applyBorder="1" applyAlignment="1">
      <alignment horizontal="left" vertical="center"/>
    </xf>
    <xf numFmtId="3" fontId="30" fillId="4" borderId="0" xfId="3" applyNumberFormat="1" applyFont="1" applyFill="1" applyAlignment="1" applyProtection="1">
      <alignment horizontal="center" vertical="center"/>
      <protection hidden="1"/>
    </xf>
    <xf numFmtId="0" fontId="30" fillId="4" borderId="0" xfId="0" applyFont="1" applyFill="1" applyAlignment="1" applyProtection="1">
      <alignment horizontal="center" vertical="center"/>
      <protection hidden="1"/>
    </xf>
    <xf numFmtId="3" fontId="30" fillId="4" borderId="0" xfId="1" applyNumberFormat="1" applyFont="1" applyFill="1" applyAlignment="1" applyProtection="1">
      <alignment horizontal="center" vertical="center"/>
      <protection hidden="1"/>
    </xf>
    <xf numFmtId="3" fontId="20" fillId="0" borderId="3" xfId="6" applyNumberFormat="1" applyFont="1" applyBorder="1"/>
    <xf numFmtId="0" fontId="60" fillId="0" borderId="3" xfId="0" applyFont="1" applyBorder="1" applyAlignment="1">
      <alignment horizontal="center"/>
    </xf>
    <xf numFmtId="0" fontId="4" fillId="4" borderId="3" xfId="0" applyFont="1" applyFill="1" applyBorder="1" applyAlignment="1">
      <alignment horizontal="center"/>
    </xf>
    <xf numFmtId="0" fontId="150" fillId="0" borderId="3" xfId="0" applyFont="1" applyBorder="1" applyAlignment="1">
      <alignment vertical="center"/>
    </xf>
    <xf numFmtId="3" fontId="150" fillId="0" borderId="3" xfId="0" applyNumberFormat="1" applyFont="1" applyBorder="1" applyAlignment="1">
      <alignment horizontal="right" vertical="center"/>
    </xf>
    <xf numFmtId="0" fontId="150" fillId="0" borderId="15" xfId="0" applyFont="1" applyBorder="1" applyAlignment="1">
      <alignment vertical="center"/>
    </xf>
    <xf numFmtId="3" fontId="150" fillId="0" borderId="15" xfId="0" applyNumberFormat="1" applyFont="1" applyBorder="1" applyAlignment="1">
      <alignment horizontal="right" vertical="center"/>
    </xf>
    <xf numFmtId="3" fontId="150" fillId="0" borderId="28" xfId="0" applyNumberFormat="1" applyFont="1" applyBorder="1" applyAlignment="1">
      <alignment horizontal="right" vertical="center"/>
    </xf>
    <xf numFmtId="3" fontId="150" fillId="0" borderId="11" xfId="0" applyNumberFormat="1" applyFont="1" applyBorder="1" applyAlignment="1">
      <alignment horizontal="right" vertical="center"/>
    </xf>
    <xf numFmtId="3" fontId="150" fillId="0" borderId="68" xfId="0" applyNumberFormat="1" applyFont="1" applyBorder="1" applyAlignment="1">
      <alignment horizontal="left" vertical="center"/>
    </xf>
    <xf numFmtId="3" fontId="150" fillId="0" borderId="68" xfId="0" applyNumberFormat="1" applyFont="1" applyBorder="1" applyAlignment="1">
      <alignment horizontal="right" vertical="center"/>
    </xf>
    <xf numFmtId="0" fontId="25" fillId="14" borderId="3" xfId="0" applyFont="1" applyFill="1" applyBorder="1" applyAlignment="1">
      <alignment horizontal="center" vertical="center"/>
    </xf>
    <xf numFmtId="0" fontId="20" fillId="25" borderId="3" xfId="0" applyFont="1" applyFill="1" applyBorder="1" applyAlignment="1">
      <alignment vertical="center"/>
    </xf>
    <xf numFmtId="1" fontId="20" fillId="4" borderId="0" xfId="0" applyNumberFormat="1" applyFont="1" applyFill="1" applyAlignment="1" applyProtection="1">
      <alignment horizontal="left" indent="1"/>
      <protection hidden="1"/>
    </xf>
    <xf numFmtId="0" fontId="29" fillId="4" borderId="0" xfId="0" applyFont="1" applyFill="1" applyProtection="1">
      <protection hidden="1"/>
    </xf>
    <xf numFmtId="4" fontId="29" fillId="4" borderId="0" xfId="0" applyNumberFormat="1" applyFont="1" applyFill="1" applyAlignment="1" applyProtection="1">
      <alignment horizontal="right" indent="1"/>
      <protection hidden="1"/>
    </xf>
    <xf numFmtId="0" fontId="31" fillId="4" borderId="0" xfId="0" applyFont="1" applyFill="1" applyProtection="1">
      <protection locked="0"/>
    </xf>
    <xf numFmtId="0" fontId="31" fillId="0" borderId="0" xfId="0" applyFont="1" applyProtection="1">
      <protection locked="0"/>
    </xf>
    <xf numFmtId="0" fontId="4" fillId="4" borderId="0" xfId="0" applyFont="1" applyFill="1" applyAlignment="1" applyProtection="1">
      <alignment vertical="center"/>
      <protection locked="0"/>
    </xf>
    <xf numFmtId="0" fontId="25" fillId="4" borderId="0" xfId="0" applyFont="1" applyFill="1" applyAlignment="1" applyProtection="1">
      <alignment horizontal="left"/>
      <protection locked="0"/>
    </xf>
    <xf numFmtId="0" fontId="54" fillId="4" borderId="0" xfId="0" applyFont="1" applyFill="1" applyProtection="1">
      <protection locked="0"/>
    </xf>
    <xf numFmtId="0" fontId="54" fillId="0" borderId="0" xfId="0" applyFont="1" applyProtection="1">
      <protection locked="0"/>
    </xf>
    <xf numFmtId="0" fontId="4" fillId="0" borderId="0" xfId="0" applyFont="1" applyProtection="1">
      <protection locked="0"/>
    </xf>
    <xf numFmtId="1" fontId="20" fillId="4" borderId="0" xfId="0" applyNumberFormat="1" applyFont="1" applyFill="1" applyAlignment="1" applyProtection="1">
      <alignment horizontal="right" indent="1"/>
      <protection locked="0"/>
    </xf>
    <xf numFmtId="0" fontId="37" fillId="4" borderId="0" xfId="0" applyFont="1" applyFill="1" applyProtection="1">
      <protection locked="0"/>
    </xf>
    <xf numFmtId="0" fontId="20" fillId="4" borderId="0" xfId="0" applyFont="1" applyFill="1" applyAlignment="1" applyProtection="1">
      <alignment horizontal="right"/>
      <protection locked="0"/>
    </xf>
    <xf numFmtId="0" fontId="20" fillId="0" borderId="0" xfId="0" applyFont="1" applyProtection="1">
      <protection locked="0"/>
    </xf>
    <xf numFmtId="0" fontId="20" fillId="0" borderId="0" xfId="0" applyFont="1" applyAlignment="1" applyProtection="1">
      <alignment horizontal="right"/>
      <protection locked="0"/>
    </xf>
    <xf numFmtId="0" fontId="31" fillId="0" borderId="0" xfId="0" applyFont="1" applyAlignment="1" applyProtection="1">
      <alignment vertical="center"/>
      <protection locked="0"/>
    </xf>
    <xf numFmtId="0" fontId="84" fillId="0" borderId="0" xfId="0" applyFont="1" applyAlignment="1" applyProtection="1">
      <alignment vertical="center"/>
      <protection locked="0"/>
    </xf>
    <xf numFmtId="1" fontId="37" fillId="4" borderId="0" xfId="0" applyNumberFormat="1" applyFont="1" applyFill="1" applyAlignment="1" applyProtection="1">
      <alignment horizontal="right" indent="1"/>
      <protection locked="0"/>
    </xf>
    <xf numFmtId="0" fontId="37" fillId="4" borderId="0" xfId="0" applyFont="1" applyFill="1" applyAlignment="1" applyProtection="1">
      <alignment horizontal="right"/>
      <protection locked="0"/>
    </xf>
    <xf numFmtId="0" fontId="37" fillId="0" borderId="0" xfId="0" applyFont="1" applyProtection="1">
      <protection locked="0"/>
    </xf>
    <xf numFmtId="0" fontId="55" fillId="0" borderId="0" xfId="0" applyFont="1" applyProtection="1">
      <protection locked="0"/>
    </xf>
    <xf numFmtId="1" fontId="20" fillId="4" borderId="0" xfId="0" applyNumberFormat="1" applyFont="1" applyFill="1" applyProtection="1">
      <protection locked="0"/>
    </xf>
    <xf numFmtId="1" fontId="20" fillId="4" borderId="0" xfId="0" applyNumberFormat="1" applyFont="1" applyFill="1" applyAlignment="1" applyProtection="1">
      <alignment vertical="center"/>
      <protection locked="0"/>
    </xf>
    <xf numFmtId="9" fontId="20" fillId="4" borderId="0" xfId="3" applyFont="1" applyFill="1" applyBorder="1" applyAlignment="1" applyProtection="1">
      <alignment horizontal="center"/>
      <protection locked="0"/>
    </xf>
    <xf numFmtId="1" fontId="20" fillId="4" borderId="0" xfId="3" applyNumberFormat="1" applyFont="1" applyFill="1" applyAlignment="1" applyProtection="1">
      <alignment horizontal="right" indent="1"/>
      <protection locked="0"/>
    </xf>
    <xf numFmtId="1" fontId="34" fillId="4" borderId="0" xfId="0" applyNumberFormat="1" applyFont="1" applyFill="1" applyAlignment="1" applyProtection="1">
      <alignment horizontal="center" vertical="center"/>
      <protection locked="0"/>
    </xf>
    <xf numFmtId="1" fontId="20" fillId="4" borderId="0" xfId="0" applyNumberFormat="1" applyFont="1" applyFill="1" applyAlignment="1" applyProtection="1">
      <alignment horizontal="center" vertical="center"/>
      <protection locked="0"/>
    </xf>
    <xf numFmtId="4" fontId="20" fillId="4" borderId="0" xfId="0" applyNumberFormat="1" applyFont="1" applyFill="1" applyAlignment="1" applyProtection="1">
      <alignment horizontal="right" indent="1"/>
      <protection locked="0"/>
    </xf>
    <xf numFmtId="3" fontId="34" fillId="4" borderId="0" xfId="0" applyNumberFormat="1" applyFont="1" applyFill="1" applyAlignment="1">
      <alignment horizontal="center" vertical="center"/>
    </xf>
    <xf numFmtId="3" fontId="9" fillId="4" borderId="0" xfId="0" applyNumberFormat="1" applyFont="1" applyFill="1" applyAlignment="1">
      <alignment horizontal="right" vertical="center" indent="1"/>
    </xf>
    <xf numFmtId="3" fontId="4" fillId="0" borderId="6" xfId="0" applyNumberFormat="1" applyFont="1" applyBorder="1" applyAlignment="1">
      <alignment vertical="center"/>
    </xf>
    <xf numFmtId="168" fontId="20" fillId="4" borderId="0" xfId="0" applyNumberFormat="1" applyFont="1" applyFill="1" applyAlignment="1">
      <alignment horizontal="right" vertical="center" indent="1"/>
    </xf>
    <xf numFmtId="168" fontId="9" fillId="4" borderId="0" xfId="0" applyNumberFormat="1" applyFont="1" applyFill="1" applyAlignment="1">
      <alignment horizontal="right" vertical="center" indent="1"/>
    </xf>
    <xf numFmtId="3" fontId="53" fillId="4" borderId="0" xfId="0" applyNumberFormat="1" applyFont="1" applyFill="1" applyAlignment="1">
      <alignment horizontal="right" vertical="center" indent="1"/>
    </xf>
    <xf numFmtId="0" fontId="20" fillId="4" borderId="0" xfId="0" applyFont="1" applyFill="1" applyAlignment="1">
      <alignment horizontal="right" vertical="top" indent="1"/>
    </xf>
    <xf numFmtId="169" fontId="25" fillId="0" borderId="39" xfId="0" applyNumberFormat="1" applyFont="1" applyBorder="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right"/>
      <protection locked="0"/>
    </xf>
    <xf numFmtId="1" fontId="0" fillId="0" borderId="0" xfId="0" applyNumberFormat="1" applyAlignment="1" applyProtection="1">
      <alignment horizontal="right" vertical="center"/>
      <protection locked="0"/>
    </xf>
    <xf numFmtId="169" fontId="0" fillId="0" borderId="0" xfId="0" applyNumberFormat="1" applyAlignment="1" applyProtection="1">
      <alignment horizontal="right"/>
      <protection locked="0"/>
    </xf>
    <xf numFmtId="0" fontId="2" fillId="0" borderId="0" xfId="0" applyFont="1" applyProtection="1">
      <protection locked="0"/>
    </xf>
    <xf numFmtId="181" fontId="0" fillId="0" borderId="0" xfId="0" applyNumberFormat="1" applyAlignment="1" applyProtection="1">
      <alignment horizontal="right" vertical="center"/>
      <protection locked="0"/>
    </xf>
    <xf numFmtId="0" fontId="13" fillId="0" borderId="0" xfId="0" applyFont="1" applyProtection="1">
      <protection locked="0"/>
    </xf>
    <xf numFmtId="3" fontId="4" fillId="0" borderId="0" xfId="8" applyNumberFormat="1" applyFont="1" applyFill="1" applyBorder="1" applyAlignment="1" applyProtection="1">
      <alignment horizontal="center" vertical="center"/>
    </xf>
    <xf numFmtId="0" fontId="31" fillId="4" borderId="0" xfId="0" applyFont="1" applyFill="1" applyAlignment="1" applyProtection="1">
      <alignment vertical="top"/>
      <protection locked="0"/>
    </xf>
    <xf numFmtId="3" fontId="20" fillId="4" borderId="0" xfId="0" applyNumberFormat="1" applyFont="1" applyFill="1" applyAlignment="1" applyProtection="1">
      <alignment horizontal="right" vertical="top" indent="1"/>
      <protection locked="0"/>
    </xf>
    <xf numFmtId="2" fontId="0" fillId="0" borderId="0" xfId="0" applyNumberFormat="1" applyProtection="1">
      <protection locked="0"/>
    </xf>
    <xf numFmtId="0" fontId="20" fillId="0" borderId="0" xfId="0" applyFont="1" applyAlignment="1" applyProtection="1">
      <alignment vertical="top"/>
      <protection locked="0"/>
    </xf>
    <xf numFmtId="0" fontId="31" fillId="0" borderId="0" xfId="0" applyFont="1" applyAlignment="1" applyProtection="1">
      <alignment vertical="top"/>
      <protection locked="0"/>
    </xf>
    <xf numFmtId="0" fontId="4" fillId="4" borderId="0" xfId="0" applyFont="1" applyFill="1" applyAlignment="1" applyProtection="1">
      <alignment vertical="top"/>
      <protection locked="0"/>
    </xf>
    <xf numFmtId="0" fontId="84" fillId="4" borderId="0" xfId="0" applyFont="1" applyFill="1" applyAlignment="1" applyProtection="1">
      <alignment vertical="top"/>
      <protection locked="0"/>
    </xf>
    <xf numFmtId="0" fontId="20" fillId="4" borderId="0" xfId="0" applyFont="1" applyFill="1" applyAlignment="1" applyProtection="1">
      <alignment horizontal="center" vertical="center"/>
      <protection locked="0"/>
    </xf>
    <xf numFmtId="0" fontId="94" fillId="0" borderId="161" xfId="0" applyFont="1" applyBorder="1" applyAlignment="1">
      <alignment vertical="center"/>
    </xf>
    <xf numFmtId="0" fontId="4" fillId="0" borderId="162" xfId="0" applyFont="1" applyBorder="1" applyAlignment="1">
      <alignment vertical="center"/>
    </xf>
    <xf numFmtId="3" fontId="126" fillId="0" borderId="105" xfId="0" applyNumberFormat="1" applyFont="1" applyBorder="1" applyAlignment="1" applyProtection="1">
      <alignment horizontal="right" vertical="center"/>
      <protection hidden="1"/>
    </xf>
    <xf numFmtId="0" fontId="4" fillId="0" borderId="163" xfId="0" applyFont="1" applyBorder="1" applyAlignment="1">
      <alignment vertical="center"/>
    </xf>
    <xf numFmtId="3" fontId="126" fillId="0" borderId="105" xfId="0" applyNumberFormat="1" applyFont="1" applyBorder="1" applyAlignment="1" applyProtection="1">
      <alignment vertical="center"/>
      <protection hidden="1"/>
    </xf>
    <xf numFmtId="3" fontId="20" fillId="0" borderId="31" xfId="6" applyNumberFormat="1" applyFont="1" applyBorder="1"/>
    <xf numFmtId="3" fontId="20" fillId="0" borderId="11" xfId="6" applyNumberFormat="1" applyFont="1" applyBorder="1"/>
    <xf numFmtId="3" fontId="33" fillId="0" borderId="3" xfId="0" applyNumberFormat="1" applyFont="1" applyBorder="1" applyProtection="1">
      <protection hidden="1"/>
    </xf>
    <xf numFmtId="0" fontId="9" fillId="4" borderId="0" xfId="0" applyFont="1" applyFill="1" applyAlignment="1" applyProtection="1">
      <alignment horizontal="center" vertical="center"/>
      <protection locked="0"/>
    </xf>
    <xf numFmtId="0" fontId="9" fillId="0" borderId="0" xfId="0" applyFont="1" applyAlignment="1" applyProtection="1">
      <alignment horizontal="center" vertical="center"/>
      <protection locked="0"/>
    </xf>
    <xf numFmtId="0" fontId="25" fillId="4" borderId="0" xfId="0" applyFont="1" applyFill="1" applyAlignment="1" applyProtection="1">
      <alignment vertical="center"/>
      <protection locked="0"/>
    </xf>
    <xf numFmtId="0" fontId="29" fillId="4" borderId="0" xfId="0" applyFont="1" applyFill="1" applyAlignment="1" applyProtection="1">
      <alignment vertical="center"/>
      <protection locked="0"/>
    </xf>
    <xf numFmtId="0" fontId="79" fillId="4" borderId="0" xfId="0" applyFont="1" applyFill="1" applyAlignment="1" applyProtection="1">
      <alignment vertical="center"/>
      <protection locked="0"/>
    </xf>
    <xf numFmtId="173" fontId="4" fillId="4" borderId="0" xfId="6" applyNumberFormat="1" applyFont="1" applyFill="1" applyBorder="1" applyAlignment="1" applyProtection="1">
      <alignment horizontal="center" vertical="center"/>
      <protection locked="0"/>
    </xf>
    <xf numFmtId="0" fontId="80" fillId="4" borderId="0" xfId="0" applyFont="1" applyFill="1" applyAlignment="1" applyProtection="1">
      <alignment vertical="center"/>
      <protection locked="0"/>
    </xf>
    <xf numFmtId="9" fontId="4" fillId="4" borderId="0" xfId="3" applyFont="1" applyFill="1" applyBorder="1" applyAlignment="1" applyProtection="1">
      <alignment vertical="center"/>
      <protection locked="0"/>
    </xf>
    <xf numFmtId="9" fontId="4" fillId="4" borderId="0" xfId="3" applyFont="1" applyFill="1" applyBorder="1" applyAlignment="1" applyProtection="1">
      <alignment horizontal="center" vertical="center"/>
      <protection locked="0"/>
    </xf>
    <xf numFmtId="0" fontId="4" fillId="4" borderId="0" xfId="0" applyFont="1" applyFill="1" applyAlignment="1" applyProtection="1">
      <alignment horizontal="center" vertical="center"/>
      <protection locked="0"/>
    </xf>
    <xf numFmtId="0" fontId="4" fillId="4" borderId="0" xfId="0" applyFont="1" applyFill="1" applyAlignment="1" applyProtection="1">
      <alignment horizontal="right" vertical="center"/>
      <protection locked="0"/>
    </xf>
    <xf numFmtId="0" fontId="29" fillId="4" borderId="0" xfId="0" applyFont="1" applyFill="1" applyAlignment="1" applyProtection="1">
      <alignment horizontal="center" vertical="center"/>
      <protection locked="0"/>
    </xf>
    <xf numFmtId="1" fontId="4" fillId="4" borderId="0" xfId="0" applyNumberFormat="1" applyFont="1" applyFill="1" applyAlignment="1" applyProtection="1">
      <alignment horizontal="center" vertical="center"/>
      <protection locked="0"/>
    </xf>
    <xf numFmtId="9" fontId="4" fillId="4" borderId="0" xfId="0" applyNumberFormat="1" applyFont="1" applyFill="1" applyAlignment="1" applyProtection="1">
      <alignment horizontal="center" vertical="center"/>
      <protection locked="0"/>
    </xf>
    <xf numFmtId="173" fontId="4" fillId="4" borderId="0" xfId="0" applyNumberFormat="1" applyFont="1" applyFill="1" applyAlignment="1" applyProtection="1">
      <alignment vertical="center"/>
      <protection locked="0"/>
    </xf>
    <xf numFmtId="0" fontId="37" fillId="4" borderId="0" xfId="0" applyFont="1" applyFill="1" applyAlignment="1" applyProtection="1">
      <alignment vertical="center"/>
      <protection locked="0"/>
    </xf>
    <xf numFmtId="0" fontId="35" fillId="4" borderId="0" xfId="0" applyFont="1" applyFill="1" applyAlignment="1">
      <alignment horizontal="center" vertical="top"/>
    </xf>
    <xf numFmtId="0" fontId="149" fillId="4" borderId="0" xfId="0" applyFont="1" applyFill="1" applyAlignment="1">
      <alignment horizontal="center" vertical="center"/>
    </xf>
    <xf numFmtId="3" fontId="20" fillId="0" borderId="45" xfId="6" applyNumberFormat="1" applyFont="1" applyFill="1" applyBorder="1" applyAlignment="1" applyProtection="1">
      <alignment horizontal="right" vertical="center"/>
    </xf>
    <xf numFmtId="3" fontId="20" fillId="19" borderId="36" xfId="0" applyNumberFormat="1" applyFont="1" applyFill="1" applyBorder="1" applyAlignment="1">
      <alignment horizontal="right" vertical="center"/>
    </xf>
    <xf numFmtId="0" fontId="60" fillId="4" borderId="0" xfId="0" applyFont="1" applyFill="1" applyAlignment="1" applyProtection="1">
      <alignment vertical="center"/>
      <protection hidden="1"/>
    </xf>
    <xf numFmtId="0" fontId="60" fillId="4" borderId="0" xfId="0" applyFont="1" applyFill="1" applyAlignment="1">
      <alignment horizontal="left" vertical="center"/>
    </xf>
    <xf numFmtId="0" fontId="66" fillId="4" borderId="0" xfId="0" applyFont="1" applyFill="1" applyAlignment="1">
      <alignment horizontal="left" vertical="center"/>
    </xf>
    <xf numFmtId="0" fontId="153" fillId="4" borderId="0" xfId="0" applyFont="1" applyFill="1" applyAlignment="1">
      <alignment vertical="center"/>
    </xf>
    <xf numFmtId="0" fontId="154" fillId="4" borderId="0" xfId="0" applyFont="1" applyFill="1" applyAlignment="1">
      <alignment vertical="center"/>
    </xf>
    <xf numFmtId="3" fontId="35" fillId="4" borderId="0" xfId="0" applyNumberFormat="1" applyFont="1" applyFill="1" applyAlignment="1">
      <alignment vertical="center"/>
    </xf>
    <xf numFmtId="1" fontId="155" fillId="0" borderId="0" xfId="0" applyNumberFormat="1" applyFont="1" applyAlignment="1">
      <alignment vertical="center"/>
    </xf>
    <xf numFmtId="1" fontId="35" fillId="0" borderId="10" xfId="0" applyNumberFormat="1" applyFont="1" applyBorder="1" applyAlignment="1">
      <alignment vertical="center"/>
    </xf>
    <xf numFmtId="1" fontId="35" fillId="0" borderId="0" xfId="0" applyNumberFormat="1" applyFont="1" applyAlignment="1">
      <alignment vertical="center"/>
    </xf>
    <xf numFmtId="1" fontId="62" fillId="0" borderId="10" xfId="0" applyNumberFormat="1" applyFont="1" applyBorder="1" applyAlignment="1">
      <alignment vertical="center"/>
    </xf>
    <xf numFmtId="1" fontId="62" fillId="0" borderId="0" xfId="0" applyNumberFormat="1" applyFont="1" applyAlignment="1">
      <alignment vertical="center"/>
    </xf>
    <xf numFmtId="3" fontId="35" fillId="0" borderId="0" xfId="0" applyNumberFormat="1" applyFont="1" applyAlignment="1">
      <alignment vertical="center"/>
    </xf>
    <xf numFmtId="0" fontId="35" fillId="4" borderId="0" xfId="0" applyFont="1" applyFill="1" applyAlignment="1" applyProtection="1">
      <alignment vertical="center"/>
      <protection hidden="1"/>
    </xf>
    <xf numFmtId="0" fontId="60" fillId="4" borderId="0" xfId="0" applyFont="1" applyFill="1" applyAlignment="1" applyProtection="1">
      <alignment horizontal="center" vertical="center"/>
      <protection hidden="1"/>
    </xf>
    <xf numFmtId="0" fontId="35" fillId="4" borderId="0" xfId="0" quotePrefix="1" applyFont="1" applyFill="1" applyAlignment="1">
      <alignment horizontal="left" vertical="top"/>
    </xf>
    <xf numFmtId="0" fontId="35" fillId="4" borderId="0" xfId="0" applyFont="1" applyFill="1" applyAlignment="1" applyProtection="1">
      <alignment horizontal="center" vertical="top"/>
      <protection hidden="1"/>
    </xf>
    <xf numFmtId="0" fontId="35" fillId="0" borderId="0" xfId="0" applyFont="1" applyAlignment="1">
      <alignment vertical="top"/>
    </xf>
    <xf numFmtId="0" fontId="35" fillId="0" borderId="0" xfId="0" applyFont="1" applyAlignment="1" applyProtection="1">
      <alignment vertical="top"/>
      <protection hidden="1"/>
    </xf>
    <xf numFmtId="0" fontId="35" fillId="0" borderId="0" xfId="0" applyFont="1" applyAlignment="1">
      <alignment horizontal="right" vertical="top"/>
    </xf>
    <xf numFmtId="0" fontId="35" fillId="24" borderId="0" xfId="0" applyFont="1" applyFill="1" applyAlignment="1" applyProtection="1">
      <alignment vertical="top"/>
      <protection hidden="1"/>
    </xf>
    <xf numFmtId="0" fontId="35" fillId="24" borderId="0" xfId="0" applyFont="1" applyFill="1" applyAlignment="1" applyProtection="1">
      <alignment horizontal="center" vertical="top"/>
      <protection hidden="1"/>
    </xf>
    <xf numFmtId="0" fontId="30" fillId="24" borderId="0" xfId="0" applyFont="1" applyFill="1" applyAlignment="1" applyProtection="1">
      <alignment vertical="top"/>
      <protection hidden="1"/>
    </xf>
    <xf numFmtId="0" fontId="30" fillId="24" borderId="0" xfId="0" applyFont="1" applyFill="1" applyAlignment="1" applyProtection="1">
      <alignment horizontal="center" vertical="top"/>
      <protection hidden="1"/>
    </xf>
    <xf numFmtId="0" fontId="2" fillId="0" borderId="0" xfId="0" applyFont="1" applyAlignment="1" applyProtection="1">
      <alignment vertical="center"/>
      <protection locked="0"/>
    </xf>
    <xf numFmtId="3" fontId="35" fillId="0" borderId="0" xfId="0" applyNumberFormat="1" applyFont="1" applyAlignment="1">
      <alignment horizontal="right" vertical="top" indent="1"/>
    </xf>
    <xf numFmtId="3" fontId="35" fillId="4" borderId="0" xfId="0" applyNumberFormat="1" applyFont="1" applyFill="1" applyAlignment="1">
      <alignment horizontal="right" vertical="center" indent="1"/>
    </xf>
    <xf numFmtId="0" fontId="35" fillId="4" borderId="0" xfId="0" applyFont="1" applyFill="1" applyAlignment="1" applyProtection="1">
      <alignment vertical="top"/>
      <protection hidden="1"/>
    </xf>
    <xf numFmtId="3" fontId="35" fillId="4" borderId="0" xfId="0" applyNumberFormat="1" applyFont="1" applyFill="1" applyAlignment="1">
      <alignment horizontal="right" vertical="center"/>
    </xf>
    <xf numFmtId="3" fontId="35" fillId="4" borderId="0" xfId="0" applyNumberFormat="1" applyFont="1" applyFill="1" applyAlignment="1" applyProtection="1">
      <alignment horizontal="right" vertical="top" indent="1"/>
      <protection hidden="1"/>
    </xf>
    <xf numFmtId="0" fontId="35" fillId="4" borderId="0" xfId="0" applyFont="1" applyFill="1" applyAlignment="1">
      <alignment vertical="top"/>
    </xf>
    <xf numFmtId="0" fontId="35" fillId="0" borderId="0" xfId="0" applyFont="1" applyAlignment="1">
      <alignment vertical="center"/>
    </xf>
    <xf numFmtId="0" fontId="35" fillId="4" borderId="0" xfId="0" applyFont="1" applyFill="1" applyAlignment="1">
      <alignment horizontal="right" vertical="top"/>
    </xf>
    <xf numFmtId="0" fontId="35" fillId="24" borderId="0" xfId="0" applyFont="1" applyFill="1" applyAlignment="1">
      <alignment vertical="top"/>
    </xf>
    <xf numFmtId="0" fontId="35" fillId="24" borderId="0" xfId="0" applyFont="1" applyFill="1" applyAlignment="1">
      <alignment horizontal="center" vertical="top"/>
    </xf>
    <xf numFmtId="0" fontId="17" fillId="0" borderId="0" xfId="0" applyFont="1" applyProtection="1">
      <protection locked="0"/>
    </xf>
    <xf numFmtId="0" fontId="35" fillId="4" borderId="0" xfId="0" applyFont="1" applyFill="1" applyAlignment="1">
      <alignment horizontal="right" vertical="center" indent="1"/>
    </xf>
    <xf numFmtId="9" fontId="47" fillId="0" borderId="0" xfId="3" applyFont="1" applyFill="1" applyBorder="1" applyAlignment="1" applyProtection="1">
      <alignment horizontal="center" vertical="center"/>
    </xf>
    <xf numFmtId="0" fontId="37" fillId="0" borderId="24" xfId="0" applyFont="1" applyBorder="1"/>
    <xf numFmtId="49" fontId="37" fillId="0" borderId="0" xfId="0" applyNumberFormat="1" applyFont="1" applyAlignment="1">
      <alignment horizontal="center" vertical="center"/>
    </xf>
    <xf numFmtId="3" fontId="37" fillId="0" borderId="0" xfId="0" applyNumberFormat="1" applyFont="1" applyAlignment="1">
      <alignment horizontal="left" vertical="center"/>
    </xf>
    <xf numFmtId="3" fontId="37" fillId="0" borderId="0" xfId="0" applyNumberFormat="1" applyFont="1" applyAlignment="1" applyProtection="1">
      <alignment vertical="center"/>
      <protection locked="0"/>
    </xf>
    <xf numFmtId="3" fontId="37" fillId="0" borderId="0" xfId="0" applyNumberFormat="1" applyFont="1" applyAlignment="1">
      <alignment vertical="center"/>
    </xf>
    <xf numFmtId="0" fontId="55" fillId="4" borderId="0" xfId="0" applyFont="1" applyFill="1" applyAlignment="1">
      <alignment horizontal="left"/>
    </xf>
    <xf numFmtId="0" fontId="55" fillId="4" borderId="0" xfId="0" applyFont="1" applyFill="1" applyAlignment="1">
      <alignment horizontal="left" vertical="center"/>
    </xf>
    <xf numFmtId="0" fontId="20" fillId="0" borderId="24" xfId="0" applyFont="1" applyBorder="1"/>
    <xf numFmtId="0" fontId="20" fillId="0" borderId="24" xfId="0" applyFont="1" applyBorder="1" applyAlignment="1">
      <alignment horizontal="right"/>
    </xf>
    <xf numFmtId="0" fontId="30" fillId="4" borderId="0" xfId="0" applyFont="1" applyFill="1" applyAlignment="1" applyProtection="1">
      <alignment horizontal="right" vertical="center"/>
      <protection hidden="1"/>
    </xf>
    <xf numFmtId="0" fontId="30" fillId="4" borderId="0" xfId="0" applyFont="1" applyFill="1" applyAlignment="1" applyProtection="1">
      <alignment horizontal="right" vertical="center" indent="1"/>
      <protection hidden="1"/>
    </xf>
    <xf numFmtId="3" fontId="30" fillId="4" borderId="0" xfId="0" applyNumberFormat="1" applyFont="1" applyFill="1" applyAlignment="1" applyProtection="1">
      <alignment horizontal="right" vertical="center"/>
      <protection hidden="1"/>
    </xf>
    <xf numFmtId="3" fontId="30" fillId="4" borderId="0" xfId="6" applyNumberFormat="1" applyFont="1" applyFill="1" applyAlignment="1" applyProtection="1">
      <alignment horizontal="center"/>
      <protection hidden="1"/>
    </xf>
    <xf numFmtId="1" fontId="30" fillId="4" borderId="0" xfId="0" applyNumberFormat="1" applyFont="1" applyFill="1" applyProtection="1">
      <protection hidden="1"/>
    </xf>
    <xf numFmtId="3" fontId="30" fillId="4" borderId="0" xfId="6" applyNumberFormat="1" applyFont="1" applyFill="1" applyAlignment="1" applyProtection="1">
      <alignment horizontal="right"/>
      <protection hidden="1"/>
    </xf>
    <xf numFmtId="3" fontId="30" fillId="4" borderId="0" xfId="6" applyNumberFormat="1" applyFont="1" applyFill="1" applyAlignment="1" applyProtection="1">
      <protection hidden="1"/>
    </xf>
    <xf numFmtId="3" fontId="30" fillId="4" borderId="0" xfId="6" applyNumberFormat="1" applyFont="1" applyFill="1" applyProtection="1">
      <protection hidden="1"/>
    </xf>
    <xf numFmtId="1" fontId="44" fillId="4" borderId="0" xfId="0" applyNumberFormat="1" applyFont="1" applyFill="1" applyProtection="1">
      <protection hidden="1"/>
    </xf>
    <xf numFmtId="3" fontId="30" fillId="4" borderId="0" xfId="6" applyNumberFormat="1" applyFont="1" applyFill="1" applyAlignment="1" applyProtection="1">
      <alignment horizontal="right" vertical="center"/>
      <protection hidden="1"/>
    </xf>
    <xf numFmtId="3" fontId="44" fillId="4" borderId="0" xfId="6" applyNumberFormat="1" applyFont="1" applyFill="1" applyAlignment="1" applyProtection="1">
      <protection hidden="1"/>
    </xf>
    <xf numFmtId="3" fontId="44" fillId="4" borderId="0" xfId="6" applyNumberFormat="1" applyFont="1" applyFill="1" applyProtection="1">
      <protection hidden="1"/>
    </xf>
    <xf numFmtId="1" fontId="23" fillId="4" borderId="0" xfId="0" applyNumberFormat="1" applyFont="1" applyFill="1" applyAlignment="1" applyProtection="1">
      <alignment horizontal="left"/>
      <protection hidden="1"/>
    </xf>
    <xf numFmtId="168" fontId="94" fillId="0" borderId="41" xfId="0" applyNumberFormat="1" applyFont="1" applyBorder="1" applyAlignment="1">
      <alignment vertical="center"/>
    </xf>
    <xf numFmtId="3" fontId="29" fillId="0" borderId="51" xfId="0" applyNumberFormat="1" applyFont="1" applyBorder="1" applyAlignment="1">
      <alignment horizontal="right" vertical="center"/>
    </xf>
    <xf numFmtId="9" fontId="80" fillId="12" borderId="7" xfId="3" applyFont="1" applyFill="1" applyBorder="1" applyAlignment="1" applyProtection="1">
      <alignment horizontal="center" vertical="center"/>
      <protection locked="0"/>
    </xf>
    <xf numFmtId="9" fontId="80" fillId="12" borderId="33" xfId="3" applyFont="1" applyFill="1" applyBorder="1" applyAlignment="1" applyProtection="1">
      <alignment horizontal="center" vertical="center"/>
      <protection locked="0"/>
    </xf>
    <xf numFmtId="9" fontId="80" fillId="12" borderId="73" xfId="3" applyFont="1" applyFill="1" applyBorder="1" applyAlignment="1" applyProtection="1">
      <alignment horizontal="center" vertical="center"/>
      <protection locked="0"/>
    </xf>
    <xf numFmtId="49" fontId="20" fillId="4" borderId="0" xfId="0" applyNumberFormat="1" applyFont="1" applyFill="1" applyAlignment="1" applyProtection="1">
      <alignment horizontal="center"/>
      <protection hidden="1"/>
    </xf>
    <xf numFmtId="1" fontId="20" fillId="0" borderId="0" xfId="0" applyNumberFormat="1" applyFont="1" applyAlignment="1" applyProtection="1">
      <alignment vertical="center"/>
      <protection hidden="1"/>
    </xf>
    <xf numFmtId="0" fontId="29" fillId="4" borderId="0" xfId="0" applyFont="1" applyFill="1" applyAlignment="1" applyProtection="1">
      <alignment horizontal="center"/>
      <protection hidden="1"/>
    </xf>
    <xf numFmtId="0" fontId="35" fillId="17" borderId="50" xfId="7" applyFont="1" applyFill="1" applyBorder="1" applyAlignment="1" applyProtection="1">
      <alignment horizontal="left" vertical="center"/>
      <protection locked="0"/>
    </xf>
    <xf numFmtId="0" fontId="35" fillId="17" borderId="50" xfId="7" applyFont="1" applyFill="1" applyBorder="1" applyAlignment="1" applyProtection="1">
      <alignment horizontal="left" vertical="center" indent="1"/>
      <protection locked="0"/>
    </xf>
    <xf numFmtId="0" fontId="30" fillId="4" borderId="0" xfId="0" applyFont="1" applyFill="1" applyAlignment="1">
      <alignment horizontal="left"/>
    </xf>
    <xf numFmtId="0" fontId="31" fillId="4" borderId="0" xfId="0" applyFont="1" applyFill="1" applyAlignment="1">
      <alignment horizontal="left" vertical="center"/>
    </xf>
    <xf numFmtId="4" fontId="29" fillId="4" borderId="0" xfId="0" applyNumberFormat="1" applyFont="1" applyFill="1" applyAlignment="1" applyProtection="1">
      <alignment horizontal="right" indent="1"/>
      <protection locked="0"/>
    </xf>
    <xf numFmtId="0" fontId="29" fillId="4" borderId="0" xfId="0" applyFont="1" applyFill="1" applyProtection="1">
      <protection locked="0"/>
    </xf>
    <xf numFmtId="173" fontId="4" fillId="4" borderId="0" xfId="6" applyNumberFormat="1" applyFont="1" applyFill="1" applyBorder="1" applyProtection="1">
      <protection locked="0"/>
    </xf>
    <xf numFmtId="1" fontId="4" fillId="4" borderId="0" xfId="0" applyNumberFormat="1" applyFont="1" applyFill="1" applyAlignment="1" applyProtection="1">
      <alignment horizontal="right" indent="1"/>
      <protection locked="0"/>
    </xf>
    <xf numFmtId="170" fontId="4" fillId="4" borderId="0" xfId="0" applyNumberFormat="1" applyFont="1" applyFill="1" applyAlignment="1" applyProtection="1">
      <alignment horizontal="right" indent="1"/>
      <protection locked="0"/>
    </xf>
    <xf numFmtId="167" fontId="20" fillId="4" borderId="0" xfId="6" applyNumberFormat="1" applyFont="1" applyFill="1" applyBorder="1" applyAlignment="1" applyProtection="1">
      <alignment horizontal="center"/>
      <protection locked="0"/>
    </xf>
    <xf numFmtId="0" fontId="20" fillId="4" borderId="0" xfId="0" applyFont="1" applyFill="1" applyAlignment="1" applyProtection="1">
      <alignment horizontal="center"/>
      <protection locked="0"/>
    </xf>
    <xf numFmtId="0" fontId="20" fillId="4" borderId="0" xfId="0" applyFont="1" applyFill="1" applyAlignment="1" applyProtection="1">
      <alignment horizontal="center" vertical="center" wrapText="1"/>
      <protection locked="0"/>
    </xf>
    <xf numFmtId="164" fontId="20" fillId="4" borderId="0" xfId="0" applyNumberFormat="1" applyFont="1" applyFill="1" applyAlignment="1" applyProtection="1">
      <alignment horizontal="center"/>
      <protection locked="0"/>
    </xf>
    <xf numFmtId="1" fontId="111" fillId="4" borderId="0" xfId="1" applyNumberFormat="1" applyFont="1" applyFill="1" applyBorder="1" applyAlignment="1" applyProtection="1">
      <alignment horizontal="right" indent="1"/>
      <protection locked="0"/>
    </xf>
    <xf numFmtId="165" fontId="20" fillId="4" borderId="0" xfId="6" applyFont="1" applyFill="1" applyBorder="1" applyAlignment="1" applyProtection="1">
      <alignment horizontal="center"/>
      <protection locked="0"/>
    </xf>
    <xf numFmtId="165" fontId="20" fillId="0" borderId="0" xfId="6" applyFont="1" applyFill="1" applyBorder="1" applyAlignment="1" applyProtection="1">
      <alignment horizontal="center"/>
      <protection locked="0"/>
    </xf>
    <xf numFmtId="0" fontId="20" fillId="0" borderId="0" xfId="0" applyFont="1" applyAlignment="1" applyProtection="1">
      <alignment horizontal="center"/>
      <protection locked="0"/>
    </xf>
    <xf numFmtId="1" fontId="20" fillId="0" borderId="0" xfId="0" applyNumberFormat="1" applyFont="1" applyAlignment="1" applyProtection="1">
      <alignment horizontal="right" indent="1"/>
      <protection locked="0"/>
    </xf>
    <xf numFmtId="178" fontId="20" fillId="4" borderId="0" xfId="0" applyNumberFormat="1" applyFont="1" applyFill="1" applyAlignment="1">
      <alignment vertical="center"/>
    </xf>
    <xf numFmtId="3" fontId="37" fillId="4" borderId="0" xfId="0" applyNumberFormat="1" applyFont="1" applyFill="1" applyAlignment="1">
      <alignment vertical="center"/>
    </xf>
    <xf numFmtId="0" fontId="37" fillId="4" borderId="0" xfId="0" applyFont="1" applyFill="1" applyAlignment="1" applyProtection="1">
      <alignment vertical="top"/>
      <protection locked="0"/>
    </xf>
    <xf numFmtId="1" fontId="20" fillId="4" borderId="0" xfId="0" applyNumberFormat="1" applyFont="1" applyFill="1" applyAlignment="1" applyProtection="1">
      <alignment horizontal="right" vertical="center"/>
      <protection locked="0"/>
    </xf>
    <xf numFmtId="0" fontId="56" fillId="4" borderId="0" xfId="0" applyFont="1" applyFill="1" applyAlignment="1" applyProtection="1">
      <alignment vertical="center"/>
      <protection locked="0"/>
    </xf>
    <xf numFmtId="3" fontId="56" fillId="4" borderId="0" xfId="0" applyNumberFormat="1" applyFont="1" applyFill="1" applyAlignment="1" applyProtection="1">
      <alignment vertical="center"/>
      <protection locked="0"/>
    </xf>
    <xf numFmtId="0" fontId="146" fillId="4" borderId="0" xfId="0" applyFont="1" applyFill="1" applyAlignment="1" applyProtection="1">
      <alignment vertical="center"/>
      <protection locked="0"/>
    </xf>
    <xf numFmtId="1" fontId="37" fillId="4" borderId="0" xfId="0" applyNumberFormat="1" applyFont="1" applyFill="1" applyAlignment="1" applyProtection="1">
      <alignment horizontal="right" vertical="center"/>
      <protection locked="0"/>
    </xf>
    <xf numFmtId="0" fontId="35" fillId="12" borderId="74" xfId="7" applyFont="1" applyFill="1" applyBorder="1" applyAlignment="1" applyProtection="1">
      <alignment horizontal="left" vertical="center" indent="1"/>
      <protection locked="0"/>
    </xf>
    <xf numFmtId="0" fontId="35" fillId="12" borderId="50" xfId="7" applyFont="1" applyFill="1" applyBorder="1" applyAlignment="1" applyProtection="1">
      <alignment horizontal="left" vertical="center" indent="1"/>
      <protection locked="0"/>
    </xf>
    <xf numFmtId="0" fontId="23" fillId="0" borderId="25" xfId="0" applyFont="1" applyBorder="1" applyAlignment="1">
      <alignment horizontal="center" vertical="center" wrapText="1"/>
    </xf>
    <xf numFmtId="172" fontId="35" fillId="0" borderId="84" xfId="8" applyNumberFormat="1" applyFont="1" applyFill="1" applyBorder="1" applyAlignment="1" applyProtection="1">
      <alignment horizontal="left" vertical="center"/>
    </xf>
    <xf numFmtId="3" fontId="131" fillId="0" borderId="108" xfId="0" applyNumberFormat="1" applyFont="1" applyBorder="1" applyAlignment="1">
      <alignment horizontal="center" vertical="center"/>
    </xf>
    <xf numFmtId="3" fontId="104" fillId="0" borderId="28" xfId="0" applyNumberFormat="1" applyFont="1" applyBorder="1" applyAlignment="1">
      <alignment horizontal="center" vertical="center" wrapText="1"/>
    </xf>
    <xf numFmtId="3" fontId="104" fillId="0" borderId="91" xfId="0" applyNumberFormat="1" applyFont="1" applyBorder="1" applyAlignment="1">
      <alignment horizontal="center" vertical="center" wrapText="1"/>
    </xf>
    <xf numFmtId="0" fontId="25" fillId="4" borderId="0" xfId="0" applyFont="1" applyFill="1" applyAlignment="1" applyProtection="1">
      <alignment vertical="center" readingOrder="1"/>
      <protection locked="0"/>
    </xf>
    <xf numFmtId="0" fontId="4" fillId="15" borderId="71" xfId="0" applyFont="1" applyFill="1" applyBorder="1" applyAlignment="1">
      <alignment horizontal="left" vertical="center"/>
    </xf>
    <xf numFmtId="0" fontId="147" fillId="14" borderId="3" xfId="0" applyFont="1" applyFill="1" applyBorder="1"/>
    <xf numFmtId="0" fontId="23" fillId="4" borderId="0" xfId="0" applyFont="1" applyFill="1" applyAlignment="1" applyProtection="1">
      <alignment vertical="center"/>
      <protection hidden="1"/>
    </xf>
    <xf numFmtId="9" fontId="30" fillId="4" borderId="0" xfId="0" applyNumberFormat="1" applyFont="1" applyFill="1" applyAlignment="1" applyProtection="1">
      <alignment vertical="center"/>
      <protection hidden="1"/>
    </xf>
    <xf numFmtId="0" fontId="13" fillId="0" borderId="0" xfId="0" applyFont="1" applyProtection="1">
      <protection hidden="1"/>
    </xf>
    <xf numFmtId="0" fontId="64" fillId="4" borderId="0" xfId="0" applyFont="1" applyFill="1" applyProtection="1">
      <protection hidden="1"/>
    </xf>
    <xf numFmtId="0" fontId="33" fillId="4" borderId="0" xfId="0" applyFont="1" applyFill="1" applyAlignment="1" applyProtection="1">
      <alignment vertical="center"/>
      <protection hidden="1"/>
    </xf>
    <xf numFmtId="0" fontId="13" fillId="2" borderId="0" xfId="0" applyFont="1" applyFill="1" applyProtection="1">
      <protection hidden="1"/>
    </xf>
    <xf numFmtId="0" fontId="23" fillId="2" borderId="0" xfId="0" applyFont="1" applyFill="1" applyAlignment="1" applyProtection="1">
      <alignment vertical="center"/>
      <protection hidden="1"/>
    </xf>
    <xf numFmtId="0" fontId="20" fillId="14" borderId="3" xfId="0" applyFont="1" applyFill="1" applyBorder="1" applyAlignment="1" applyProtection="1">
      <alignment horizontal="center" vertical="center"/>
      <protection locked="0"/>
    </xf>
    <xf numFmtId="3" fontId="20" fillId="12" borderId="45" xfId="0" applyNumberFormat="1" applyFont="1" applyFill="1" applyBorder="1" applyAlignment="1">
      <alignment horizontal="right"/>
    </xf>
    <xf numFmtId="3" fontId="20" fillId="0" borderId="35" xfId="0" applyNumberFormat="1" applyFont="1" applyBorder="1" applyAlignment="1">
      <alignment horizontal="right" vertical="top"/>
    </xf>
    <xf numFmtId="9" fontId="97" fillId="4" borderId="5" xfId="3" applyFont="1" applyFill="1" applyBorder="1" applyAlignment="1" applyProtection="1">
      <alignment horizontal="center" vertical="center"/>
    </xf>
    <xf numFmtId="9" fontId="156" fillId="0" borderId="125" xfId="3" applyFont="1" applyFill="1" applyBorder="1" applyAlignment="1">
      <alignment horizontal="center" vertical="center" wrapText="1"/>
    </xf>
    <xf numFmtId="0" fontId="7" fillId="4" borderId="0" xfId="0" applyFont="1" applyFill="1" applyAlignment="1">
      <alignment textRotation="90" wrapText="1"/>
    </xf>
    <xf numFmtId="9" fontId="156" fillId="0" borderId="126" xfId="3" applyFont="1" applyFill="1" applyBorder="1" applyAlignment="1">
      <alignment horizontal="center" vertical="center" wrapText="1"/>
    </xf>
    <xf numFmtId="9" fontId="156" fillId="0" borderId="0" xfId="3" applyFont="1" applyFill="1" applyBorder="1" applyAlignment="1">
      <alignment horizontal="center" vertical="center" wrapText="1"/>
    </xf>
    <xf numFmtId="9" fontId="156" fillId="0" borderId="127" xfId="3" applyFont="1" applyFill="1" applyBorder="1" applyAlignment="1">
      <alignment horizontal="center" vertical="center" wrapText="1"/>
    </xf>
    <xf numFmtId="9" fontId="156" fillId="0" borderId="146" xfId="3" applyFont="1" applyFill="1" applyBorder="1" applyAlignment="1">
      <alignment horizontal="center" vertical="center" wrapText="1"/>
    </xf>
    <xf numFmtId="0" fontId="97" fillId="4" borderId="0" xfId="0" applyFont="1" applyFill="1" applyAlignment="1">
      <alignment vertical="top"/>
    </xf>
    <xf numFmtId="0" fontId="7" fillId="0" borderId="0" xfId="0" applyFont="1" applyAlignment="1">
      <alignment vertical="top"/>
    </xf>
    <xf numFmtId="9" fontId="97" fillId="4" borderId="0" xfId="3" applyFont="1" applyFill="1" applyBorder="1" applyAlignment="1" applyProtection="1">
      <alignment horizontal="center" vertical="top"/>
    </xf>
    <xf numFmtId="0" fontId="7" fillId="0" borderId="0" xfId="0" applyFont="1" applyAlignment="1">
      <alignment textRotation="90" wrapText="1"/>
    </xf>
    <xf numFmtId="0" fontId="157" fillId="0" borderId="127" xfId="0" applyFont="1" applyBorder="1" applyAlignment="1">
      <alignment horizontal="center" vertical="center" wrapText="1"/>
    </xf>
    <xf numFmtId="9" fontId="123" fillId="12" borderId="56" xfId="3" applyFont="1" applyFill="1" applyBorder="1" applyAlignment="1">
      <alignment horizontal="center" vertical="center" wrapText="1"/>
    </xf>
    <xf numFmtId="9" fontId="123" fillId="12" borderId="45" xfId="3" applyFont="1" applyFill="1" applyBorder="1" applyAlignment="1">
      <alignment horizontal="center" vertical="center" wrapText="1"/>
    </xf>
    <xf numFmtId="9" fontId="123" fillId="12" borderId="41" xfId="3" applyFont="1" applyFill="1" applyBorder="1" applyAlignment="1">
      <alignment horizontal="center" vertical="center" wrapText="1"/>
    </xf>
    <xf numFmtId="0" fontId="7" fillId="4" borderId="0" xfId="0" applyFont="1" applyFill="1" applyAlignment="1">
      <alignment vertical="center" textRotation="90" wrapText="1"/>
    </xf>
    <xf numFmtId="9" fontId="97" fillId="4" borderId="0" xfId="3" applyFont="1" applyFill="1" applyBorder="1" applyAlignment="1" applyProtection="1">
      <alignment horizontal="center" vertical="center"/>
    </xf>
    <xf numFmtId="9" fontId="74" fillId="4" borderId="0" xfId="3" applyFont="1" applyFill="1" applyBorder="1" applyAlignment="1" applyProtection="1">
      <alignment horizontal="center" vertical="center"/>
    </xf>
    <xf numFmtId="9" fontId="123" fillId="12" borderId="3" xfId="3" applyFont="1" applyFill="1" applyBorder="1" applyAlignment="1">
      <alignment horizontal="center" vertical="center" wrapText="1"/>
    </xf>
    <xf numFmtId="0" fontId="2" fillId="0" borderId="0" xfId="0" applyFont="1" applyAlignment="1">
      <alignment horizontal="center" vertical="center"/>
    </xf>
    <xf numFmtId="0" fontId="2" fillId="0" borderId="11" xfId="0" applyFont="1" applyBorder="1" applyAlignment="1">
      <alignment horizontal="center"/>
    </xf>
    <xf numFmtId="0" fontId="0" fillId="0" borderId="0" xfId="0" applyAlignment="1">
      <alignment horizontal="center" vertical="center"/>
    </xf>
    <xf numFmtId="0" fontId="4" fillId="0" borderId="3" xfId="0" applyFont="1" applyBorder="1" applyAlignment="1">
      <alignment horizontal="center"/>
    </xf>
    <xf numFmtId="0" fontId="0" fillId="0" borderId="0" xfId="0" applyAlignment="1">
      <alignment horizontal="center"/>
    </xf>
    <xf numFmtId="0" fontId="4" fillId="12" borderId="3" xfId="0" applyFont="1" applyFill="1" applyBorder="1" applyAlignment="1">
      <alignment vertical="center"/>
    </xf>
    <xf numFmtId="0" fontId="4" fillId="13" borderId="3" xfId="0" applyFont="1" applyFill="1" applyBorder="1" applyAlignment="1">
      <alignment vertical="center"/>
    </xf>
    <xf numFmtId="0" fontId="0" fillId="27" borderId="3" xfId="0" applyFill="1" applyBorder="1"/>
    <xf numFmtId="0" fontId="13" fillId="26" borderId="3" xfId="0" applyFont="1" applyFill="1" applyBorder="1" applyAlignment="1">
      <alignment horizontal="center"/>
    </xf>
    <xf numFmtId="0" fontId="2" fillId="22" borderId="3" xfId="0" applyFont="1" applyFill="1" applyBorder="1" applyAlignment="1">
      <alignment horizontal="center"/>
    </xf>
    <xf numFmtId="0" fontId="2" fillId="25" borderId="3" xfId="0" applyFont="1" applyFill="1" applyBorder="1"/>
    <xf numFmtId="0" fontId="2" fillId="28" borderId="3" xfId="0" applyFont="1" applyFill="1" applyBorder="1"/>
    <xf numFmtId="0" fontId="29" fillId="0" borderId="0" xfId="0" applyFont="1" applyAlignment="1">
      <alignment horizontal="right"/>
    </xf>
    <xf numFmtId="0" fontId="20" fillId="0" borderId="0" xfId="0" applyFont="1" applyAlignment="1">
      <alignment horizontal="right"/>
    </xf>
    <xf numFmtId="0" fontId="0" fillId="0" borderId="3" xfId="0" applyBorder="1" applyAlignment="1">
      <alignment horizontal="center"/>
    </xf>
    <xf numFmtId="0" fontId="4" fillId="0" borderId="0" xfId="0" applyFont="1" applyAlignment="1">
      <alignment horizontal="center"/>
    </xf>
    <xf numFmtId="0" fontId="29" fillId="0" borderId="0" xfId="0" applyFont="1" applyAlignment="1">
      <alignment horizontal="center"/>
    </xf>
    <xf numFmtId="0" fontId="62" fillId="0" borderId="0" xfId="0" applyFont="1" applyAlignment="1">
      <alignment horizontal="center"/>
    </xf>
    <xf numFmtId="0" fontId="2" fillId="0" borderId="3" xfId="0" applyFont="1" applyBorder="1" applyAlignment="1">
      <alignment horizontal="center"/>
    </xf>
    <xf numFmtId="0" fontId="60" fillId="0" borderId="22" xfId="0" applyFont="1" applyBorder="1" applyAlignment="1">
      <alignment horizontal="right" indent="1"/>
    </xf>
    <xf numFmtId="0" fontId="2" fillId="0" borderId="17" xfId="0" applyFont="1" applyBorder="1" applyAlignment="1">
      <alignment horizontal="center"/>
    </xf>
    <xf numFmtId="0" fontId="0" fillId="0" borderId="17" xfId="0" applyBorder="1" applyAlignment="1">
      <alignment horizontal="center"/>
    </xf>
    <xf numFmtId="0" fontId="60" fillId="0" borderId="17" xfId="0" applyFont="1" applyBorder="1" applyAlignment="1">
      <alignment horizontal="center"/>
    </xf>
    <xf numFmtId="0" fontId="65" fillId="0" borderId="17" xfId="0" applyFont="1" applyBorder="1" applyAlignment="1">
      <alignment horizontal="center"/>
    </xf>
    <xf numFmtId="0" fontId="0" fillId="0" borderId="138" xfId="0" applyBorder="1"/>
    <xf numFmtId="0" fontId="4" fillId="0" borderId="18" xfId="0" applyFont="1" applyBorder="1" applyAlignment="1">
      <alignment horizontal="center"/>
    </xf>
    <xf numFmtId="0" fontId="0" fillId="0" borderId="18" xfId="0" applyBorder="1"/>
    <xf numFmtId="0" fontId="65" fillId="0" borderId="0" xfId="0" applyFont="1"/>
    <xf numFmtId="0" fontId="104" fillId="0" borderId="76" xfId="0" applyFont="1" applyBorder="1" applyAlignment="1">
      <alignment horizontal="center" vertical="center"/>
    </xf>
    <xf numFmtId="0" fontId="105" fillId="0" borderId="76" xfId="0" applyFont="1" applyBorder="1" applyAlignment="1">
      <alignment horizontal="center"/>
    </xf>
    <xf numFmtId="0" fontId="17" fillId="0" borderId="0" xfId="0" applyFont="1"/>
    <xf numFmtId="173" fontId="0" fillId="0" borderId="3" xfId="4" applyNumberFormat="1" applyFont="1" applyBorder="1" applyAlignment="1" applyProtection="1"/>
    <xf numFmtId="9" fontId="0" fillId="0" borderId="3" xfId="3" applyFont="1" applyBorder="1" applyAlignment="1" applyProtection="1">
      <alignment horizontal="center"/>
    </xf>
    <xf numFmtId="172" fontId="0" fillId="0" borderId="3" xfId="3" applyNumberFormat="1" applyFont="1" applyBorder="1" applyAlignment="1" applyProtection="1">
      <alignment horizontal="center"/>
    </xf>
    <xf numFmtId="179" fontId="0" fillId="0" borderId="3" xfId="3" applyNumberFormat="1" applyFont="1" applyBorder="1" applyProtection="1"/>
    <xf numFmtId="9" fontId="0" fillId="0" borderId="0" xfId="3" applyFont="1" applyProtection="1"/>
    <xf numFmtId="180" fontId="0" fillId="0" borderId="3" xfId="3" applyNumberFormat="1" applyFont="1" applyBorder="1" applyProtection="1"/>
    <xf numFmtId="9" fontId="0" fillId="0" borderId="0" xfId="3" applyFont="1" applyAlignment="1" applyProtection="1">
      <alignment horizontal="center"/>
    </xf>
    <xf numFmtId="166" fontId="0" fillId="0" borderId="0" xfId="4" applyNumberFormat="1" applyFont="1" applyAlignment="1" applyProtection="1">
      <alignment horizontal="center"/>
    </xf>
    <xf numFmtId="9" fontId="0" fillId="0" borderId="0" xfId="0" applyNumberFormat="1" applyAlignment="1">
      <alignment horizontal="center"/>
    </xf>
    <xf numFmtId="165" fontId="0" fillId="0" borderId="3" xfId="4" applyFont="1" applyBorder="1" applyAlignment="1" applyProtection="1"/>
    <xf numFmtId="165" fontId="0" fillId="0" borderId="3" xfId="0" applyNumberFormat="1" applyBorder="1"/>
    <xf numFmtId="0" fontId="17" fillId="0" borderId="0" xfId="0" applyFont="1" applyAlignment="1">
      <alignment horizontal="center"/>
    </xf>
    <xf numFmtId="0" fontId="17" fillId="0" borderId="0" xfId="0" applyFont="1" applyAlignment="1">
      <alignment horizontal="right" vertical="center" indent="1"/>
    </xf>
    <xf numFmtId="0" fontId="2" fillId="0" borderId="0" xfId="0" applyFont="1" applyAlignment="1">
      <alignment horizontal="right" indent="1"/>
    </xf>
    <xf numFmtId="0" fontId="0" fillId="0" borderId="0" xfId="0" applyAlignment="1">
      <alignment horizontal="right" vertical="center" indent="1"/>
    </xf>
    <xf numFmtId="172" fontId="0" fillId="0" borderId="3" xfId="0" applyNumberFormat="1" applyBorder="1" applyAlignment="1">
      <alignment horizontal="center"/>
    </xf>
    <xf numFmtId="9" fontId="0" fillId="0" borderId="3" xfId="0" applyNumberFormat="1" applyBorder="1" applyAlignment="1">
      <alignment horizontal="center"/>
    </xf>
    <xf numFmtId="3" fontId="0" fillId="0" borderId="3" xfId="4" applyNumberFormat="1" applyFont="1" applyBorder="1" applyAlignment="1" applyProtection="1">
      <alignment horizontal="center"/>
    </xf>
    <xf numFmtId="0" fontId="0" fillId="0" borderId="3" xfId="0" applyBorder="1"/>
    <xf numFmtId="0" fontId="4" fillId="0" borderId="3" xfId="0" applyFont="1" applyBorder="1" applyAlignment="1">
      <alignment horizontal="center" vertical="center"/>
    </xf>
    <xf numFmtId="3" fontId="0" fillId="0" borderId="0" xfId="0" applyNumberFormat="1"/>
    <xf numFmtId="173" fontId="0" fillId="0" borderId="0" xfId="4" applyNumberFormat="1" applyFont="1" applyProtection="1"/>
    <xf numFmtId="173" fontId="0" fillId="0" borderId="3" xfId="0" applyNumberFormat="1" applyBorder="1"/>
    <xf numFmtId="0" fontId="12" fillId="0" borderId="0" xfId="0" applyFont="1" applyAlignment="1">
      <alignment horizontal="center"/>
    </xf>
    <xf numFmtId="0" fontId="106" fillId="0" borderId="76" xfId="0" applyFont="1" applyBorder="1" applyAlignment="1">
      <alignment horizontal="center" vertical="center"/>
    </xf>
    <xf numFmtId="9" fontId="4" fillId="4" borderId="3" xfId="3" applyFont="1" applyFill="1" applyBorder="1" applyAlignment="1" applyProtection="1">
      <alignment horizontal="center" vertical="center"/>
    </xf>
    <xf numFmtId="3" fontId="4" fillId="4" borderId="3" xfId="6" applyNumberFormat="1" applyFont="1" applyFill="1" applyBorder="1" applyAlignment="1" applyProtection="1">
      <alignment horizontal="center" vertical="center"/>
    </xf>
    <xf numFmtId="0" fontId="2" fillId="0" borderId="0" xfId="0" applyFont="1" applyAlignment="1">
      <alignment horizontal="right"/>
    </xf>
    <xf numFmtId="0" fontId="0" fillId="0" borderId="0" xfId="0" applyAlignment="1">
      <alignment horizontal="left" indent="2"/>
    </xf>
    <xf numFmtId="0" fontId="4" fillId="4" borderId="3" xfId="0" applyFont="1" applyFill="1" applyBorder="1" applyAlignment="1">
      <alignment horizontal="center" vertical="center"/>
    </xf>
    <xf numFmtId="0" fontId="2" fillId="0" borderId="0" xfId="0" applyFont="1" applyAlignment="1">
      <alignment horizontal="left" indent="2"/>
    </xf>
    <xf numFmtId="0" fontId="2" fillId="0" borderId="0" xfId="0" applyFont="1" applyAlignment="1">
      <alignment horizontal="right" indent="2"/>
    </xf>
    <xf numFmtId="173" fontId="0" fillId="0" borderId="0" xfId="0" applyNumberFormat="1"/>
    <xf numFmtId="0" fontId="2" fillId="0" borderId="0" xfId="0" quotePrefix="1" applyFont="1" applyAlignment="1">
      <alignment horizontal="center"/>
    </xf>
    <xf numFmtId="173" fontId="2" fillId="0" borderId="0" xfId="0" applyNumberFormat="1" applyFont="1"/>
    <xf numFmtId="173" fontId="0" fillId="0" borderId="3" xfId="4" applyNumberFormat="1" applyFont="1" applyBorder="1" applyAlignment="1" applyProtection="1">
      <alignment horizontal="center"/>
    </xf>
    <xf numFmtId="0" fontId="29" fillId="4" borderId="0" xfId="0" applyFont="1" applyFill="1" applyAlignment="1">
      <alignment horizontal="left" vertical="center" indent="1"/>
    </xf>
    <xf numFmtId="1" fontId="29" fillId="0" borderId="3" xfId="0" applyNumberFormat="1" applyFont="1" applyBorder="1" applyAlignment="1">
      <alignment horizontal="center"/>
    </xf>
    <xf numFmtId="0" fontId="0" fillId="0" borderId="0" xfId="0" applyAlignment="1">
      <alignment horizontal="right" indent="1"/>
    </xf>
    <xf numFmtId="0" fontId="29" fillId="0" borderId="0" xfId="0" applyFont="1" applyAlignment="1">
      <alignment horizontal="left" indent="1"/>
    </xf>
    <xf numFmtId="0" fontId="62" fillId="4" borderId="3" xfId="0" applyFont="1" applyFill="1" applyBorder="1" applyAlignment="1">
      <alignment horizontal="center" vertical="center"/>
    </xf>
    <xf numFmtId="0" fontId="29" fillId="0" borderId="0" xfId="0" applyFont="1" applyAlignment="1">
      <alignment horizontal="left"/>
    </xf>
    <xf numFmtId="0" fontId="105" fillId="0" borderId="76" xfId="0" applyFont="1" applyBorder="1"/>
    <xf numFmtId="0" fontId="0" fillId="0" borderId="0" xfId="0" applyAlignment="1">
      <alignment horizontal="left"/>
    </xf>
    <xf numFmtId="9" fontId="0" fillId="2" borderId="0" xfId="0" applyNumberFormat="1" applyFill="1"/>
    <xf numFmtId="9" fontId="4" fillId="4" borderId="0" xfId="0" applyNumberFormat="1" applyFont="1" applyFill="1"/>
    <xf numFmtId="9" fontId="4" fillId="4" borderId="0" xfId="0" applyNumberFormat="1" applyFont="1" applyFill="1" applyAlignment="1">
      <alignment vertical="center"/>
    </xf>
    <xf numFmtId="0" fontId="158" fillId="4" borderId="0" xfId="0" applyFont="1" applyFill="1" applyAlignment="1">
      <alignment vertical="top"/>
    </xf>
    <xf numFmtId="0" fontId="25" fillId="30" borderId="63" xfId="0" applyFont="1" applyFill="1" applyBorder="1" applyAlignment="1" applyProtection="1">
      <alignment horizontal="center" vertical="center"/>
      <protection locked="0"/>
    </xf>
    <xf numFmtId="0" fontId="41" fillId="4" borderId="0" xfId="0" applyFont="1" applyFill="1" applyAlignment="1" applyProtection="1">
      <alignment vertical="center"/>
      <protection hidden="1"/>
    </xf>
    <xf numFmtId="0" fontId="23" fillId="4" borderId="0" xfId="0" quotePrefix="1" applyFont="1" applyFill="1" applyAlignment="1" applyProtection="1">
      <alignment horizontal="right" vertical="center"/>
      <protection hidden="1"/>
    </xf>
    <xf numFmtId="0" fontId="42" fillId="4" borderId="0" xfId="0" applyFont="1" applyFill="1" applyAlignment="1" applyProtection="1">
      <alignment vertical="center"/>
      <protection hidden="1"/>
    </xf>
    <xf numFmtId="0" fontId="47" fillId="4" borderId="0" xfId="0" applyFont="1" applyFill="1" applyAlignment="1" applyProtection="1">
      <alignment vertical="center"/>
      <protection hidden="1"/>
    </xf>
    <xf numFmtId="0" fontId="42" fillId="4" borderId="0" xfId="0" applyFont="1" applyFill="1" applyAlignment="1" applyProtection="1">
      <alignment horizontal="left" vertical="center"/>
      <protection hidden="1"/>
    </xf>
    <xf numFmtId="0" fontId="159" fillId="0" borderId="0" xfId="0" applyFont="1" applyAlignment="1" applyProtection="1">
      <alignment horizontal="center" vertical="center"/>
      <protection hidden="1"/>
    </xf>
    <xf numFmtId="0" fontId="42" fillId="4" borderId="0" xfId="0" applyFont="1" applyFill="1" applyAlignment="1" applyProtection="1">
      <alignment horizontal="center" vertical="center"/>
      <protection hidden="1"/>
    </xf>
    <xf numFmtId="0" fontId="55" fillId="4" borderId="0" xfId="0" applyFont="1" applyFill="1" applyAlignment="1" applyProtection="1">
      <alignment vertical="center"/>
      <protection hidden="1"/>
    </xf>
    <xf numFmtId="0" fontId="9" fillId="30" borderId="63" xfId="0" applyFont="1" applyFill="1" applyBorder="1" applyAlignment="1" applyProtection="1">
      <alignment horizontal="center" vertical="center"/>
      <protection locked="0"/>
    </xf>
    <xf numFmtId="0" fontId="41" fillId="4" borderId="0" xfId="0" applyFont="1" applyFill="1" applyAlignment="1" applyProtection="1">
      <alignment horizontal="center" vertical="center"/>
      <protection hidden="1"/>
    </xf>
    <xf numFmtId="0" fontId="160" fillId="0" borderId="0" xfId="0" applyFont="1" applyAlignment="1" applyProtection="1">
      <alignment horizontal="center" vertical="center"/>
      <protection hidden="1"/>
    </xf>
    <xf numFmtId="3" fontId="20" fillId="0" borderId="47" xfId="0" applyNumberFormat="1" applyFont="1" applyBorder="1" applyAlignment="1">
      <alignment horizontal="left" vertical="center"/>
    </xf>
    <xf numFmtId="3" fontId="131" fillId="0" borderId="134" xfId="0" applyNumberFormat="1" applyFont="1" applyBorder="1" applyAlignment="1">
      <alignment horizontal="right" vertical="center"/>
    </xf>
    <xf numFmtId="3" fontId="131" fillId="0" borderId="135" xfId="0" applyNumberFormat="1" applyFont="1" applyBorder="1" applyAlignment="1">
      <alignment horizontal="right" vertical="center"/>
    </xf>
    <xf numFmtId="3" fontId="20" fillId="0" borderId="47" xfId="0" applyNumberFormat="1" applyFont="1" applyBorder="1" applyAlignment="1">
      <alignment horizontal="right" vertical="center"/>
    </xf>
    <xf numFmtId="3" fontId="20" fillId="0" borderId="46" xfId="0" applyNumberFormat="1" applyFont="1" applyBorder="1" applyAlignment="1">
      <alignment horizontal="right" vertical="center"/>
    </xf>
    <xf numFmtId="169" fontId="30" fillId="4" borderId="6" xfId="0" applyNumberFormat="1" applyFont="1" applyFill="1" applyBorder="1" applyAlignment="1">
      <alignment horizontal="right" vertical="center"/>
    </xf>
    <xf numFmtId="169" fontId="20" fillId="4" borderId="0" xfId="0" applyNumberFormat="1" applyFont="1" applyFill="1" applyAlignment="1">
      <alignment horizontal="right" vertical="center"/>
    </xf>
    <xf numFmtId="3" fontId="20" fillId="12" borderId="47" xfId="0" applyNumberFormat="1" applyFont="1" applyFill="1" applyBorder="1" applyAlignment="1">
      <alignment horizontal="right" vertical="center"/>
    </xf>
    <xf numFmtId="0" fontId="35" fillId="12" borderId="50" xfId="7" applyFont="1" applyFill="1" applyBorder="1" applyAlignment="1" applyProtection="1">
      <alignment horizontal="left" vertical="center"/>
      <protection locked="0"/>
    </xf>
    <xf numFmtId="0" fontId="4" fillId="4" borderId="0" xfId="0" applyFont="1" applyFill="1" applyAlignment="1">
      <alignment vertical="center" textRotation="90" wrapText="1"/>
    </xf>
    <xf numFmtId="0" fontId="30" fillId="0" borderId="0" xfId="0" applyFont="1" applyAlignment="1">
      <alignment horizontal="center" vertical="center"/>
    </xf>
    <xf numFmtId="49" fontId="2" fillId="0" borderId="0" xfId="0" applyNumberFormat="1" applyFont="1" applyAlignment="1">
      <alignment vertical="center"/>
    </xf>
    <xf numFmtId="0" fontId="150" fillId="31" borderId="28" xfId="0" applyFont="1" applyFill="1" applyBorder="1" applyAlignment="1">
      <alignment vertical="center"/>
    </xf>
    <xf numFmtId="169" fontId="13" fillId="0" borderId="0" xfId="0" applyNumberFormat="1" applyFont="1" applyAlignment="1">
      <alignment horizontal="right" vertical="center"/>
    </xf>
    <xf numFmtId="0" fontId="20" fillId="0" borderId="3" xfId="0" applyFont="1" applyBorder="1" applyAlignment="1">
      <alignment horizontal="center" vertical="center"/>
    </xf>
    <xf numFmtId="0" fontId="51" fillId="0" borderId="0" xfId="0" applyFont="1" applyAlignment="1">
      <alignment horizontal="center" vertical="center"/>
    </xf>
    <xf numFmtId="49" fontId="162" fillId="4" borderId="1" xfId="0" applyNumberFormat="1" applyFont="1" applyFill="1" applyBorder="1" applyAlignment="1">
      <alignment horizontal="center" vertical="center"/>
    </xf>
    <xf numFmtId="0" fontId="30" fillId="0" borderId="0" xfId="0" applyFont="1" applyAlignment="1">
      <alignment horizontal="center" textRotation="90"/>
    </xf>
    <xf numFmtId="0" fontId="162" fillId="0" borderId="0" xfId="0" applyFont="1" applyAlignment="1">
      <alignment horizontal="center" vertical="center"/>
    </xf>
    <xf numFmtId="0" fontId="36" fillId="0" borderId="0" xfId="0" applyFont="1" applyAlignment="1">
      <alignment vertical="center" textRotation="90"/>
    </xf>
    <xf numFmtId="9" fontId="29" fillId="15" borderId="3" xfId="3" applyFont="1" applyFill="1" applyBorder="1" applyAlignment="1" applyProtection="1">
      <alignment horizontal="center" vertical="center"/>
      <protection locked="0"/>
    </xf>
    <xf numFmtId="0" fontId="4" fillId="0" borderId="0" xfId="0" applyFont="1" applyAlignment="1" applyProtection="1">
      <alignment horizontal="center"/>
      <protection hidden="1"/>
    </xf>
    <xf numFmtId="0" fontId="4" fillId="0" borderId="3" xfId="0" applyFont="1" applyBorder="1" applyAlignment="1" applyProtection="1">
      <alignment horizontal="center" vertical="center"/>
      <protection hidden="1"/>
    </xf>
    <xf numFmtId="1" fontId="55" fillId="0" borderId="0" xfId="0" applyNumberFormat="1" applyFont="1" applyProtection="1">
      <protection hidden="1"/>
    </xf>
    <xf numFmtId="1" fontId="4" fillId="0" borderId="0" xfId="0" applyNumberFormat="1" applyFont="1" applyAlignment="1" applyProtection="1">
      <alignment horizontal="right" vertical="center"/>
      <protection hidden="1"/>
    </xf>
    <xf numFmtId="0" fontId="163" fillId="4" borderId="0" xfId="0" applyFont="1" applyFill="1" applyAlignment="1">
      <alignment horizontal="left"/>
    </xf>
    <xf numFmtId="0" fontId="30" fillId="0" borderId="0" xfId="0" applyFont="1" applyAlignment="1">
      <alignment horizontal="center"/>
    </xf>
    <xf numFmtId="3" fontId="35" fillId="15" borderId="11" xfId="8" applyNumberFormat="1" applyFont="1" applyFill="1" applyBorder="1" applyAlignment="1" applyProtection="1">
      <alignment horizontal="center" vertical="center"/>
      <protection locked="0"/>
    </xf>
    <xf numFmtId="1" fontId="20" fillId="14" borderId="16" xfId="0" applyNumberFormat="1" applyFont="1" applyFill="1" applyBorder="1" applyAlignment="1" applyProtection="1">
      <alignment horizontal="center" vertical="center"/>
      <protection hidden="1"/>
    </xf>
    <xf numFmtId="1" fontId="20" fillId="14" borderId="9" xfId="0" applyNumberFormat="1" applyFont="1" applyFill="1" applyBorder="1" applyAlignment="1" applyProtection="1">
      <alignment horizontal="center" vertical="center"/>
      <protection hidden="1"/>
    </xf>
    <xf numFmtId="0" fontId="20" fillId="14" borderId="16" xfId="0" applyFont="1" applyFill="1" applyBorder="1" applyAlignment="1">
      <alignment horizontal="left" vertical="center"/>
    </xf>
    <xf numFmtId="1" fontId="20" fillId="14" borderId="16" xfId="0" applyNumberFormat="1" applyFont="1" applyFill="1" applyBorder="1" applyAlignment="1">
      <alignment horizontal="center" vertical="center"/>
    </xf>
    <xf numFmtId="1" fontId="20" fillId="14" borderId="53" xfId="0" applyNumberFormat="1" applyFont="1" applyFill="1" applyBorder="1" applyAlignment="1">
      <alignment horizontal="center" vertical="center"/>
    </xf>
    <xf numFmtId="1" fontId="20" fillId="14" borderId="9" xfId="0" applyNumberFormat="1" applyFont="1" applyFill="1" applyBorder="1" applyAlignment="1">
      <alignment horizontal="center" vertical="center"/>
    </xf>
    <xf numFmtId="0" fontId="97" fillId="4" borderId="0" xfId="0" applyFont="1" applyFill="1" applyAlignment="1">
      <alignment vertical="center"/>
    </xf>
    <xf numFmtId="3" fontId="20" fillId="0" borderId="3" xfId="0" applyNumberFormat="1" applyFont="1" applyBorder="1" applyAlignment="1">
      <alignment horizontal="left"/>
    </xf>
    <xf numFmtId="169" fontId="20" fillId="0" borderId="3" xfId="0" applyNumberFormat="1" applyFont="1" applyBorder="1" applyAlignment="1">
      <alignment horizontal="right"/>
    </xf>
    <xf numFmtId="1" fontId="29" fillId="0" borderId="0" xfId="0" applyNumberFormat="1" applyFont="1" applyAlignment="1">
      <alignment vertical="top"/>
    </xf>
    <xf numFmtId="1" fontId="95" fillId="4" borderId="3" xfId="3" applyNumberFormat="1" applyFont="1" applyFill="1" applyBorder="1" applyAlignment="1" applyProtection="1">
      <alignment horizontal="center" vertical="center"/>
    </xf>
    <xf numFmtId="0" fontId="20" fillId="0" borderId="16" xfId="0" applyFont="1" applyBorder="1" applyAlignment="1">
      <alignment vertical="top"/>
    </xf>
    <xf numFmtId="0" fontId="20" fillId="0" borderId="53" xfId="0" applyFont="1" applyBorder="1" applyAlignment="1">
      <alignment vertical="top"/>
    </xf>
    <xf numFmtId="1" fontId="156" fillId="0" borderId="0" xfId="3" applyNumberFormat="1" applyFont="1" applyFill="1" applyBorder="1" applyAlignment="1">
      <alignment horizontal="center" vertical="center" wrapText="1"/>
    </xf>
    <xf numFmtId="1" fontId="7" fillId="4" borderId="0" xfId="0" applyNumberFormat="1" applyFont="1" applyFill="1" applyAlignment="1">
      <alignment textRotation="90" wrapText="1"/>
    </xf>
    <xf numFmtId="1" fontId="7" fillId="0" borderId="0" xfId="0" applyNumberFormat="1" applyFont="1" applyAlignment="1">
      <alignment vertical="top"/>
    </xf>
    <xf numFmtId="1" fontId="97" fillId="4" borderId="0" xfId="3" applyNumberFormat="1" applyFont="1" applyFill="1" applyBorder="1" applyAlignment="1" applyProtection="1">
      <alignment horizontal="center" vertical="top"/>
    </xf>
    <xf numFmtId="3" fontId="20" fillId="0" borderId="28" xfId="0" applyNumberFormat="1" applyFont="1" applyBorder="1" applyAlignment="1">
      <alignment horizontal="left"/>
    </xf>
    <xf numFmtId="169" fontId="20" fillId="0" borderId="1" xfId="0" applyNumberFormat="1" applyFont="1" applyBorder="1" applyAlignment="1">
      <alignment horizontal="right"/>
    </xf>
    <xf numFmtId="3" fontId="20" fillId="0" borderId="3" xfId="0" applyNumberFormat="1" applyFont="1" applyBorder="1" applyAlignment="1">
      <alignment horizontal="right" vertical="top"/>
    </xf>
    <xf numFmtId="172" fontId="4" fillId="0" borderId="3" xfId="3" applyNumberFormat="1" applyFont="1" applyFill="1" applyBorder="1" applyAlignment="1">
      <alignment horizontal="center" vertical="top"/>
    </xf>
    <xf numFmtId="3" fontId="35" fillId="15" borderId="45" xfId="7" applyNumberFormat="1" applyFont="1" applyFill="1" applyBorder="1" applyAlignment="1" applyProtection="1">
      <alignment horizontal="center" vertical="center"/>
      <protection locked="0"/>
    </xf>
    <xf numFmtId="3" fontId="20" fillId="0" borderId="45" xfId="7" applyNumberFormat="1" applyFont="1" applyFill="1" applyBorder="1" applyAlignment="1" applyProtection="1">
      <alignment horizontal="center" vertical="center"/>
    </xf>
    <xf numFmtId="3" fontId="35" fillId="15" borderId="28" xfId="7" applyNumberFormat="1" applyFont="1" applyFill="1" applyBorder="1" applyAlignment="1" applyProtection="1">
      <alignment horizontal="center" vertical="center"/>
      <protection locked="0"/>
    </xf>
    <xf numFmtId="3" fontId="20" fillId="0" borderId="28" xfId="7" applyNumberFormat="1" applyFont="1" applyFill="1" applyBorder="1" applyAlignment="1" applyProtection="1">
      <alignment horizontal="center" vertical="center"/>
    </xf>
    <xf numFmtId="3" fontId="131" fillId="0" borderId="128" xfId="0" applyNumberFormat="1" applyFont="1" applyBorder="1" applyAlignment="1">
      <alignment horizontal="right"/>
    </xf>
    <xf numFmtId="3" fontId="20" fillId="0" borderId="28" xfId="0" applyNumberFormat="1" applyFont="1" applyBorder="1" applyAlignment="1" applyProtection="1">
      <alignment horizontal="left"/>
      <protection locked="0"/>
    </xf>
    <xf numFmtId="3" fontId="131" fillId="0" borderId="147" xfId="0" applyNumberFormat="1" applyFont="1" applyBorder="1" applyAlignment="1">
      <alignment horizontal="right"/>
    </xf>
    <xf numFmtId="3" fontId="35" fillId="15" borderId="56" xfId="8" applyNumberFormat="1" applyFont="1" applyFill="1" applyBorder="1" applyAlignment="1" applyProtection="1">
      <alignment horizontal="center" vertical="center"/>
      <protection locked="0"/>
    </xf>
    <xf numFmtId="0" fontId="20" fillId="0" borderId="11" xfId="9" applyFont="1" applyFill="1" applyBorder="1" applyAlignment="1" applyProtection="1">
      <alignment horizontal="left" vertical="center" indent="1"/>
    </xf>
    <xf numFmtId="0" fontId="20" fillId="0" borderId="3" xfId="9" applyFont="1" applyFill="1" applyBorder="1" applyAlignment="1" applyProtection="1">
      <alignment horizontal="left" vertical="center" indent="1"/>
    </xf>
    <xf numFmtId="0" fontId="20" fillId="0" borderId="70" xfId="9" applyFont="1" applyFill="1" applyBorder="1" applyAlignment="1" applyProtection="1">
      <alignment horizontal="left" vertical="center" indent="1"/>
    </xf>
    <xf numFmtId="0" fontId="20" fillId="0" borderId="62" xfId="9" applyFont="1" applyFill="1" applyBorder="1" applyAlignment="1" applyProtection="1">
      <alignment horizontal="left" vertical="center" wrapText="1" indent="1"/>
    </xf>
    <xf numFmtId="0" fontId="20" fillId="0" borderId="69" xfId="9" applyFont="1" applyFill="1" applyBorder="1" applyAlignment="1" applyProtection="1">
      <alignment horizontal="left" vertical="center" indent="1"/>
    </xf>
    <xf numFmtId="0" fontId="20" fillId="0" borderId="30" xfId="9" applyFont="1" applyFill="1" applyBorder="1" applyAlignment="1" applyProtection="1">
      <alignment horizontal="left" vertical="center" indent="1"/>
    </xf>
    <xf numFmtId="9" fontId="4" fillId="0" borderId="41" xfId="3" applyFont="1" applyFill="1" applyBorder="1" applyAlignment="1">
      <alignment horizontal="center" vertical="top"/>
    </xf>
    <xf numFmtId="0" fontId="4" fillId="0" borderId="93" xfId="0" applyFont="1" applyBorder="1" applyAlignment="1">
      <alignment vertical="center" wrapText="1"/>
    </xf>
    <xf numFmtId="0" fontId="20" fillId="0" borderId="84" xfId="0" applyFont="1" applyBorder="1" applyAlignment="1">
      <alignment horizontal="left" vertical="top" indent="1"/>
    </xf>
    <xf numFmtId="0" fontId="20" fillId="0" borderId="98" xfId="0" applyFont="1" applyBorder="1" applyAlignment="1">
      <alignment horizontal="left" vertical="top" indent="1"/>
    </xf>
    <xf numFmtId="3" fontId="20" fillId="0" borderId="13" xfId="0" applyNumberFormat="1" applyFont="1" applyBorder="1" applyAlignment="1">
      <alignment horizontal="center" vertical="top"/>
    </xf>
    <xf numFmtId="0" fontId="20" fillId="19" borderId="84" xfId="0" applyFont="1" applyFill="1" applyBorder="1" applyAlignment="1">
      <alignment vertical="top"/>
    </xf>
    <xf numFmtId="0" fontId="23" fillId="19" borderId="25" xfId="0" applyFont="1" applyFill="1" applyBorder="1" applyAlignment="1">
      <alignment horizontal="center" vertical="center" wrapText="1"/>
    </xf>
    <xf numFmtId="0" fontId="4" fillId="0" borderId="166" xfId="0" applyFont="1" applyBorder="1" applyAlignment="1">
      <alignment horizontal="center" vertical="center"/>
    </xf>
    <xf numFmtId="3" fontId="35" fillId="0" borderId="11" xfId="8" applyNumberFormat="1" applyFont="1" applyFill="1" applyBorder="1" applyAlignment="1" applyProtection="1">
      <alignment horizontal="center" vertical="center"/>
    </xf>
    <xf numFmtId="0" fontId="20" fillId="0" borderId="167" xfId="9" applyFont="1" applyFill="1" applyBorder="1" applyAlignment="1" applyProtection="1">
      <alignment horizontal="left" vertical="center" indent="1"/>
    </xf>
    <xf numFmtId="3" fontId="35" fillId="15" borderId="19" xfId="8" applyNumberFormat="1" applyFont="1" applyFill="1" applyBorder="1" applyAlignment="1" applyProtection="1">
      <alignment horizontal="center" vertical="center"/>
      <protection locked="0"/>
    </xf>
    <xf numFmtId="0" fontId="20" fillId="0" borderId="168" xfId="0" applyFont="1" applyBorder="1" applyAlignment="1">
      <alignment vertical="top"/>
    </xf>
    <xf numFmtId="169" fontId="35" fillId="15" borderId="169" xfId="8" applyNumberFormat="1" applyFont="1" applyFill="1" applyBorder="1" applyAlignment="1" applyProtection="1">
      <alignment horizontal="center" vertical="center"/>
      <protection locked="0"/>
    </xf>
    <xf numFmtId="0" fontId="20" fillId="0" borderId="171" xfId="9" applyFont="1" applyFill="1" applyBorder="1" applyAlignment="1" applyProtection="1">
      <alignment horizontal="left" vertical="center" indent="1"/>
    </xf>
    <xf numFmtId="3" fontId="35" fillId="0" borderId="172" xfId="8" applyNumberFormat="1" applyFont="1" applyFill="1" applyBorder="1" applyAlignment="1" applyProtection="1">
      <alignment horizontal="center" vertical="center"/>
    </xf>
    <xf numFmtId="0" fontId="20" fillId="0" borderId="172" xfId="9" applyFont="1" applyFill="1" applyBorder="1" applyAlignment="1" applyProtection="1">
      <alignment vertical="center"/>
    </xf>
    <xf numFmtId="3" fontId="35" fillId="0" borderId="173" xfId="8" applyNumberFormat="1" applyFont="1" applyFill="1" applyBorder="1" applyAlignment="1" applyProtection="1">
      <alignment horizontal="center" vertical="center"/>
    </xf>
    <xf numFmtId="3" fontId="35" fillId="0" borderId="174" xfId="8" applyNumberFormat="1" applyFont="1" applyFill="1" applyBorder="1" applyAlignment="1" applyProtection="1">
      <alignment horizontal="center" vertical="center"/>
    </xf>
    <xf numFmtId="0" fontId="20" fillId="0" borderId="34" xfId="9" applyFont="1" applyFill="1" applyBorder="1" applyAlignment="1" applyProtection="1">
      <alignment horizontal="left" vertical="center" indent="1"/>
    </xf>
    <xf numFmtId="0" fontId="20" fillId="0" borderId="175" xfId="9" applyFont="1" applyFill="1" applyBorder="1" applyAlignment="1" applyProtection="1">
      <alignment horizontal="center" vertical="center"/>
    </xf>
    <xf numFmtId="3" fontId="131" fillId="0" borderId="176" xfId="8" applyNumberFormat="1" applyFont="1" applyFill="1" applyBorder="1" applyAlignment="1" applyProtection="1">
      <alignment horizontal="center" vertical="center"/>
    </xf>
    <xf numFmtId="3" fontId="131" fillId="0" borderId="177" xfId="8" applyNumberFormat="1" applyFont="1" applyFill="1" applyBorder="1" applyAlignment="1" applyProtection="1">
      <alignment horizontal="center" vertical="center"/>
    </xf>
    <xf numFmtId="3" fontId="35" fillId="0" borderId="35" xfId="8" applyNumberFormat="1" applyFont="1" applyFill="1" applyBorder="1" applyAlignment="1" applyProtection="1">
      <alignment horizontal="center" vertical="center"/>
      <protection locked="0"/>
    </xf>
    <xf numFmtId="3" fontId="62" fillId="0" borderId="0" xfId="8" applyNumberFormat="1" applyFont="1" applyFill="1" applyBorder="1" applyAlignment="1" applyProtection="1">
      <alignment horizontal="center" vertical="center"/>
    </xf>
    <xf numFmtId="0" fontId="20" fillId="19" borderId="178" xfId="9" applyFont="1" applyFill="1" applyBorder="1" applyAlignment="1" applyProtection="1">
      <alignment horizontal="center" vertical="center"/>
    </xf>
    <xf numFmtId="3" fontId="62" fillId="0" borderId="22" xfId="8" applyNumberFormat="1" applyFont="1" applyFill="1" applyBorder="1" applyAlignment="1" applyProtection="1">
      <alignment horizontal="center" vertical="center"/>
    </xf>
    <xf numFmtId="0" fontId="20" fillId="0" borderId="37" xfId="9" applyFont="1" applyFill="1" applyBorder="1" applyAlignment="1" applyProtection="1">
      <alignment horizontal="left" vertical="center" indent="1"/>
    </xf>
    <xf numFmtId="0" fontId="20" fillId="0" borderId="36" xfId="9" applyFont="1" applyFill="1" applyBorder="1" applyAlignment="1" applyProtection="1">
      <alignment horizontal="center" vertical="center"/>
    </xf>
    <xf numFmtId="169" fontId="131" fillId="0" borderId="179" xfId="8" applyNumberFormat="1" applyFont="1" applyFill="1" applyBorder="1" applyAlignment="1" applyProtection="1">
      <alignment horizontal="center" vertical="center"/>
    </xf>
    <xf numFmtId="169" fontId="131" fillId="0" borderId="180" xfId="8" applyNumberFormat="1" applyFont="1" applyFill="1" applyBorder="1" applyAlignment="1" applyProtection="1">
      <alignment horizontal="center" vertical="center"/>
    </xf>
    <xf numFmtId="169" fontId="35" fillId="15" borderId="181" xfId="8" applyNumberFormat="1" applyFont="1" applyFill="1" applyBorder="1" applyAlignment="1" applyProtection="1">
      <alignment horizontal="center" vertical="center"/>
      <protection locked="0"/>
    </xf>
    <xf numFmtId="0" fontId="4" fillId="19" borderId="37" xfId="0" applyFont="1" applyFill="1" applyBorder="1" applyAlignment="1">
      <alignment vertical="top"/>
    </xf>
    <xf numFmtId="0" fontId="4" fillId="0" borderId="182" xfId="0" applyFont="1" applyBorder="1" applyAlignment="1">
      <alignment horizontal="center" vertical="center"/>
    </xf>
    <xf numFmtId="169" fontId="35" fillId="15" borderId="183" xfId="8" applyNumberFormat="1" applyFont="1" applyFill="1" applyBorder="1" applyAlignment="1" applyProtection="1">
      <alignment horizontal="center" vertical="center"/>
      <protection locked="0"/>
    </xf>
    <xf numFmtId="0" fontId="20" fillId="0" borderId="184" xfId="9" applyFont="1" applyFill="1" applyBorder="1" applyAlignment="1" applyProtection="1">
      <alignment horizontal="left" vertical="center" indent="1"/>
    </xf>
    <xf numFmtId="0" fontId="20" fillId="0" borderId="185" xfId="9" applyFont="1" applyFill="1" applyBorder="1" applyAlignment="1" applyProtection="1">
      <alignment horizontal="center" vertical="center"/>
    </xf>
    <xf numFmtId="169" fontId="131" fillId="0" borderId="186" xfId="8" applyNumberFormat="1" applyFont="1" applyFill="1" applyBorder="1" applyAlignment="1" applyProtection="1">
      <alignment horizontal="center" vertical="center"/>
    </xf>
    <xf numFmtId="169" fontId="131" fillId="0" borderId="187" xfId="8" applyNumberFormat="1" applyFont="1" applyFill="1" applyBorder="1" applyAlignment="1" applyProtection="1">
      <alignment horizontal="center" vertical="center"/>
    </xf>
    <xf numFmtId="169" fontId="35" fillId="15" borderId="188" xfId="8" applyNumberFormat="1" applyFont="1" applyFill="1" applyBorder="1" applyAlignment="1" applyProtection="1">
      <alignment horizontal="center" vertical="center"/>
      <protection locked="0"/>
    </xf>
    <xf numFmtId="0" fontId="4" fillId="19" borderId="169" xfId="0" applyFont="1" applyFill="1" applyBorder="1" applyAlignment="1">
      <alignment vertical="top"/>
    </xf>
    <xf numFmtId="0" fontId="4" fillId="0" borderId="170" xfId="0" applyFont="1" applyBorder="1" applyAlignment="1">
      <alignment horizontal="center" vertical="center"/>
    </xf>
    <xf numFmtId="3" fontId="35" fillId="19" borderId="169" xfId="8" applyNumberFormat="1" applyFont="1" applyFill="1" applyBorder="1" applyAlignment="1" applyProtection="1">
      <alignment horizontal="center" vertical="center"/>
      <protection locked="0"/>
    </xf>
    <xf numFmtId="169" fontId="35" fillId="19" borderId="169" xfId="8" applyNumberFormat="1" applyFont="1" applyFill="1" applyBorder="1" applyAlignment="1" applyProtection="1">
      <alignment horizontal="center" vertical="center"/>
      <protection locked="0"/>
    </xf>
    <xf numFmtId="0" fontId="20" fillId="0" borderId="189" xfId="9" applyFont="1" applyFill="1" applyBorder="1" applyAlignment="1" applyProtection="1">
      <alignment horizontal="left" vertical="center" indent="1"/>
    </xf>
    <xf numFmtId="0" fontId="20" fillId="0" borderId="190" xfId="9" applyFont="1" applyFill="1" applyBorder="1" applyAlignment="1" applyProtection="1">
      <alignment horizontal="center" vertical="center"/>
    </xf>
    <xf numFmtId="3" fontId="131" fillId="0" borderId="191" xfId="8" applyNumberFormat="1" applyFont="1" applyFill="1" applyBorder="1" applyAlignment="1" applyProtection="1">
      <alignment horizontal="center" vertical="center"/>
    </xf>
    <xf numFmtId="3" fontId="131" fillId="0" borderId="192" xfId="8" applyNumberFormat="1" applyFont="1" applyFill="1" applyBorder="1" applyAlignment="1" applyProtection="1">
      <alignment horizontal="center" vertical="center"/>
    </xf>
    <xf numFmtId="0" fontId="20" fillId="19" borderId="193" xfId="0" applyFont="1" applyFill="1" applyBorder="1" applyAlignment="1">
      <alignment vertical="top"/>
    </xf>
    <xf numFmtId="3" fontId="35" fillId="0" borderId="173" xfId="8" applyNumberFormat="1" applyFont="1" applyFill="1" applyBorder="1" applyAlignment="1" applyProtection="1">
      <alignment horizontal="center" vertical="center"/>
      <protection locked="0"/>
    </xf>
    <xf numFmtId="3" fontId="62" fillId="0" borderId="194" xfId="8" applyNumberFormat="1" applyFont="1" applyFill="1" applyBorder="1" applyAlignment="1" applyProtection="1">
      <alignment horizontal="center" vertical="center"/>
    </xf>
    <xf numFmtId="0" fontId="20" fillId="19" borderId="195" xfId="9" applyFont="1" applyFill="1" applyBorder="1" applyAlignment="1" applyProtection="1">
      <alignment horizontal="center" vertical="center"/>
    </xf>
    <xf numFmtId="3" fontId="62" fillId="0" borderId="196" xfId="8" applyNumberFormat="1" applyFont="1" applyFill="1" applyBorder="1" applyAlignment="1" applyProtection="1">
      <alignment horizontal="center" vertical="center"/>
    </xf>
    <xf numFmtId="0" fontId="20" fillId="0" borderId="3" xfId="0" applyFont="1" applyBorder="1" applyAlignment="1" applyProtection="1">
      <alignment horizontal="left" vertical="top"/>
      <protection hidden="1"/>
    </xf>
    <xf numFmtId="0" fontId="20" fillId="0" borderId="1" xfId="9" applyFont="1" applyFill="1" applyBorder="1" applyAlignment="1" applyProtection="1">
      <alignment horizontal="center" vertical="center" wrapText="1"/>
    </xf>
    <xf numFmtId="0" fontId="4" fillId="0" borderId="56" xfId="9" applyFont="1" applyFill="1" applyBorder="1" applyAlignment="1" applyProtection="1">
      <alignment horizontal="left" vertical="center"/>
    </xf>
    <xf numFmtId="0" fontId="4" fillId="0" borderId="11" xfId="9" applyFont="1" applyFill="1" applyBorder="1" applyAlignment="1" applyProtection="1">
      <alignment horizontal="left" vertical="center" wrapText="1"/>
    </xf>
    <xf numFmtId="0" fontId="29" fillId="0" borderId="3" xfId="0" applyFont="1" applyBorder="1" applyAlignment="1">
      <alignment horizontal="center" vertical="center"/>
    </xf>
    <xf numFmtId="0" fontId="29" fillId="0" borderId="166" xfId="0" applyFont="1" applyBorder="1" applyAlignment="1">
      <alignment horizontal="center" vertical="center"/>
    </xf>
    <xf numFmtId="3" fontId="62" fillId="0" borderId="29" xfId="8" applyNumberFormat="1" applyFont="1" applyFill="1" applyBorder="1" applyAlignment="1" applyProtection="1">
      <alignment horizontal="center" vertical="center"/>
    </xf>
    <xf numFmtId="3" fontId="4" fillId="0" borderId="56" xfId="0" applyNumberFormat="1" applyFont="1" applyBorder="1" applyAlignment="1">
      <alignment horizontal="center" vertical="top"/>
    </xf>
    <xf numFmtId="3" fontId="62" fillId="0" borderId="29" xfId="8" applyNumberFormat="1" applyFont="1" applyFill="1" applyBorder="1" applyAlignment="1" applyProtection="1">
      <alignment horizontal="left" vertical="center" indent="1"/>
    </xf>
    <xf numFmtId="0" fontId="29" fillId="0" borderId="56" xfId="0" applyFont="1" applyBorder="1" applyAlignment="1">
      <alignment horizontal="center" vertical="center"/>
    </xf>
    <xf numFmtId="1" fontId="4" fillId="16" borderId="3" xfId="0" applyNumberFormat="1" applyFont="1" applyFill="1" applyBorder="1" applyAlignment="1">
      <alignment horizontal="center" vertical="center"/>
    </xf>
    <xf numFmtId="3" fontId="131" fillId="0" borderId="3" xfId="8" applyNumberFormat="1" applyFont="1" applyFill="1" applyBorder="1" applyAlignment="1" applyProtection="1">
      <alignment horizontal="center" vertical="center"/>
    </xf>
    <xf numFmtId="0" fontId="20" fillId="19" borderId="108" xfId="0" applyFont="1" applyFill="1" applyBorder="1" applyAlignment="1">
      <alignment vertical="top"/>
    </xf>
    <xf numFmtId="0" fontId="23" fillId="19" borderId="91" xfId="0" applyFont="1" applyFill="1" applyBorder="1" applyAlignment="1">
      <alignment horizontal="center" vertical="center" wrapText="1"/>
    </xf>
    <xf numFmtId="169" fontId="20" fillId="4" borderId="6" xfId="0" applyNumberFormat="1" applyFont="1" applyFill="1" applyBorder="1" applyAlignment="1">
      <alignment horizontal="right" vertical="center" indent="1"/>
    </xf>
    <xf numFmtId="3" fontId="4" fillId="4" borderId="83" xfId="0" applyNumberFormat="1" applyFont="1" applyFill="1" applyBorder="1" applyAlignment="1" applyProtection="1">
      <alignment horizontal="center" vertical="center"/>
      <protection locked="0"/>
    </xf>
    <xf numFmtId="3" fontId="4" fillId="0" borderId="83" xfId="0" applyNumberFormat="1" applyFont="1" applyBorder="1" applyAlignment="1" applyProtection="1">
      <alignment horizontal="center" vertical="center"/>
      <protection locked="0"/>
    </xf>
    <xf numFmtId="3" fontId="118" fillId="0" borderId="112" xfId="0" applyNumberFormat="1" applyFont="1" applyBorder="1" applyAlignment="1" applyProtection="1">
      <alignment horizontal="left" vertical="center" indent="1"/>
      <protection hidden="1"/>
    </xf>
    <xf numFmtId="3" fontId="118" fillId="0" borderId="90" xfId="0" applyNumberFormat="1" applyFont="1" applyBorder="1" applyAlignment="1" applyProtection="1">
      <alignment horizontal="center" vertical="center"/>
      <protection hidden="1"/>
    </xf>
    <xf numFmtId="3" fontId="118" fillId="0" borderId="90" xfId="0" applyNumberFormat="1" applyFont="1" applyBorder="1" applyAlignment="1" applyProtection="1">
      <alignment horizontal="left" vertical="center" indent="1"/>
      <protection hidden="1"/>
    </xf>
    <xf numFmtId="3" fontId="94" fillId="21" borderId="118" xfId="0" applyNumberFormat="1" applyFont="1" applyFill="1" applyBorder="1" applyAlignment="1" applyProtection="1">
      <alignment horizontal="center"/>
      <protection hidden="1"/>
    </xf>
    <xf numFmtId="3" fontId="94" fillId="0" borderId="113" xfId="0" applyNumberFormat="1" applyFont="1" applyBorder="1" applyAlignment="1" applyProtection="1">
      <alignment horizontal="center"/>
      <protection hidden="1"/>
    </xf>
    <xf numFmtId="3" fontId="4" fillId="12" borderId="9" xfId="0" applyNumberFormat="1" applyFont="1" applyFill="1" applyBorder="1" applyAlignment="1" applyProtection="1">
      <alignment horizontal="center" vertical="center"/>
      <protection locked="0"/>
    </xf>
    <xf numFmtId="3" fontId="20" fillId="0" borderId="12" xfId="0" applyNumberFormat="1" applyFont="1" applyBorder="1" applyAlignment="1">
      <alignment horizontal="right" indent="1"/>
    </xf>
    <xf numFmtId="3" fontId="80" fillId="10" borderId="20" xfId="0" applyNumberFormat="1" applyFont="1" applyFill="1" applyBorder="1" applyAlignment="1">
      <alignment horizontal="right" vertical="center" indent="1"/>
    </xf>
    <xf numFmtId="1" fontId="4" fillId="12" borderId="9" xfId="0" applyNumberFormat="1" applyFont="1" applyFill="1" applyBorder="1" applyAlignment="1" applyProtection="1">
      <alignment horizontal="center" vertical="center"/>
      <protection locked="0"/>
    </xf>
    <xf numFmtId="1" fontId="7" fillId="14" borderId="3" xfId="0" applyNumberFormat="1" applyFont="1" applyFill="1" applyBorder="1" applyAlignment="1">
      <alignment horizontal="center" vertical="center" wrapText="1"/>
    </xf>
    <xf numFmtId="1" fontId="7" fillId="11" borderId="3" xfId="0" applyNumberFormat="1" applyFont="1" applyFill="1" applyBorder="1" applyAlignment="1">
      <alignment horizontal="center" vertical="center" wrapText="1"/>
    </xf>
    <xf numFmtId="1" fontId="146" fillId="4" borderId="0" xfId="0" applyNumberFormat="1" applyFont="1" applyFill="1" applyAlignment="1">
      <alignment horizontal="right" vertical="center" indent="1"/>
    </xf>
    <xf numFmtId="9" fontId="4" fillId="12" borderId="9" xfId="0" applyNumberFormat="1" applyFont="1" applyFill="1" applyBorder="1" applyAlignment="1" applyProtection="1">
      <alignment horizontal="center" vertical="center"/>
      <protection locked="0"/>
    </xf>
    <xf numFmtId="0" fontId="29" fillId="0" borderId="37" xfId="9" applyFont="1" applyFill="1" applyBorder="1" applyAlignment="1" applyProtection="1">
      <alignment horizontal="center" vertical="center"/>
    </xf>
    <xf numFmtId="0" fontId="29" fillId="0" borderId="36" xfId="9" applyFont="1" applyFill="1" applyBorder="1" applyAlignment="1" applyProtection="1">
      <alignment horizontal="center" vertical="center" wrapText="1"/>
    </xf>
    <xf numFmtId="0" fontId="9" fillId="0" borderId="45" xfId="0" applyFont="1" applyBorder="1" applyAlignment="1">
      <alignment vertical="center"/>
    </xf>
    <xf numFmtId="0" fontId="58" fillId="0" borderId="0" xfId="0" applyFont="1"/>
    <xf numFmtId="0" fontId="37" fillId="0" borderId="0" xfId="0" applyFont="1" applyAlignment="1">
      <alignment horizontal="center"/>
    </xf>
    <xf numFmtId="0" fontId="58" fillId="4" borderId="0" xfId="0" applyFont="1" applyFill="1" applyAlignment="1" applyProtection="1">
      <alignment horizontal="center" vertical="center"/>
      <protection hidden="1"/>
    </xf>
    <xf numFmtId="0" fontId="19" fillId="0" borderId="0" xfId="0" applyFont="1" applyProtection="1">
      <protection hidden="1"/>
    </xf>
    <xf numFmtId="0" fontId="19" fillId="0" borderId="0" xfId="0" applyFont="1" applyAlignment="1" applyProtection="1">
      <alignment horizontal="center"/>
      <protection hidden="1"/>
    </xf>
    <xf numFmtId="166" fontId="37" fillId="0" borderId="0" xfId="0" applyNumberFormat="1" applyFont="1" applyAlignment="1" applyProtection="1">
      <alignment horizontal="center" vertical="center"/>
      <protection hidden="1"/>
    </xf>
    <xf numFmtId="49" fontId="30" fillId="0" borderId="0" xfId="0" applyNumberFormat="1" applyFont="1" applyAlignment="1" applyProtection="1">
      <alignment vertical="center"/>
      <protection hidden="1"/>
    </xf>
    <xf numFmtId="166" fontId="30" fillId="0" borderId="0" xfId="0" applyNumberFormat="1" applyFont="1" applyAlignment="1" applyProtection="1">
      <alignment horizontal="left" vertical="center"/>
      <protection hidden="1"/>
    </xf>
    <xf numFmtId="166" fontId="30" fillId="0" borderId="0" xfId="0" applyNumberFormat="1" applyFont="1" applyAlignment="1" applyProtection="1">
      <alignment horizontal="right" vertical="center"/>
      <protection hidden="1"/>
    </xf>
    <xf numFmtId="166" fontId="30" fillId="0" borderId="0" xfId="0" applyNumberFormat="1" applyFont="1" applyAlignment="1" applyProtection="1">
      <alignment horizontal="center" vertical="center"/>
      <protection hidden="1"/>
    </xf>
    <xf numFmtId="0" fontId="30" fillId="0" borderId="0" xfId="0" applyFont="1" applyAlignment="1" applyProtection="1">
      <alignment vertical="center"/>
      <protection hidden="1"/>
    </xf>
    <xf numFmtId="49" fontId="23" fillId="0" borderId="0" xfId="0" applyNumberFormat="1" applyFont="1" applyAlignment="1" applyProtection="1">
      <alignment horizontal="left" vertical="center"/>
      <protection hidden="1"/>
    </xf>
    <xf numFmtId="0" fontId="23" fillId="0" borderId="0" xfId="0" applyFont="1"/>
    <xf numFmtId="49" fontId="44" fillId="0" borderId="0" xfId="0" applyNumberFormat="1" applyFont="1" applyAlignment="1" applyProtection="1">
      <alignment vertical="center"/>
      <protection hidden="1"/>
    </xf>
    <xf numFmtId="166" fontId="44" fillId="0" borderId="0" xfId="0" applyNumberFormat="1" applyFont="1" applyAlignment="1" applyProtection="1">
      <alignment horizontal="left" vertical="center"/>
      <protection hidden="1"/>
    </xf>
    <xf numFmtId="166" fontId="44" fillId="0" borderId="0" xfId="0" applyNumberFormat="1" applyFont="1" applyAlignment="1" applyProtection="1">
      <alignment horizontal="center" vertical="center"/>
      <protection hidden="1"/>
    </xf>
    <xf numFmtId="0" fontId="44" fillId="0" borderId="0" xfId="0" applyFont="1" applyAlignment="1" applyProtection="1">
      <alignment vertical="center"/>
      <protection hidden="1"/>
    </xf>
    <xf numFmtId="0" fontId="164" fillId="4" borderId="0" xfId="0" applyFont="1" applyFill="1" applyAlignment="1" applyProtection="1">
      <alignment vertical="center"/>
      <protection hidden="1"/>
    </xf>
    <xf numFmtId="0" fontId="44" fillId="4" borderId="0" xfId="0" applyFont="1" applyFill="1" applyAlignment="1" applyProtection="1">
      <alignment vertical="center"/>
      <protection hidden="1"/>
    </xf>
    <xf numFmtId="49" fontId="30" fillId="4" borderId="0" xfId="0" applyNumberFormat="1" applyFont="1" applyFill="1" applyAlignment="1">
      <alignment horizontal="left" vertical="center"/>
    </xf>
    <xf numFmtId="166" fontId="30" fillId="4" borderId="0" xfId="0" applyNumberFormat="1" applyFont="1" applyFill="1" applyAlignment="1">
      <alignment horizontal="right" vertical="center"/>
    </xf>
    <xf numFmtId="49" fontId="30" fillId="4" borderId="0" xfId="0" applyNumberFormat="1" applyFont="1" applyFill="1" applyAlignment="1">
      <alignment horizontal="center" vertical="center"/>
    </xf>
    <xf numFmtId="0" fontId="43" fillId="4" borderId="0" xfId="0" applyFont="1" applyFill="1" applyAlignment="1">
      <alignment vertical="center"/>
    </xf>
    <xf numFmtId="0" fontId="43" fillId="4" borderId="0" xfId="0" applyFont="1" applyFill="1" applyAlignment="1" applyProtection="1">
      <alignment vertical="center"/>
      <protection hidden="1"/>
    </xf>
    <xf numFmtId="0" fontId="4" fillId="15" borderId="71" xfId="0" applyFont="1" applyFill="1" applyBorder="1" applyAlignment="1" applyProtection="1">
      <alignment horizontal="left" vertical="center"/>
      <protection locked="0"/>
    </xf>
    <xf numFmtId="0" fontId="4" fillId="15" borderId="41" xfId="0" applyFont="1" applyFill="1" applyBorder="1" applyAlignment="1" applyProtection="1">
      <alignment horizontal="left" vertical="center"/>
      <protection locked="0"/>
    </xf>
    <xf numFmtId="3" fontId="20" fillId="12" borderId="35" xfId="0" applyNumberFormat="1" applyFont="1" applyFill="1" applyBorder="1" applyAlignment="1" applyProtection="1">
      <alignment vertical="center"/>
      <protection locked="0"/>
    </xf>
    <xf numFmtId="3" fontId="131" fillId="0" borderId="35" xfId="0" applyNumberFormat="1" applyFont="1" applyBorder="1" applyAlignment="1">
      <alignment vertical="center"/>
    </xf>
    <xf numFmtId="0" fontId="20" fillId="0" borderId="45" xfId="0" applyFont="1" applyBorder="1" applyAlignment="1" applyProtection="1">
      <alignment vertical="center"/>
      <protection locked="0"/>
    </xf>
    <xf numFmtId="0" fontId="20" fillId="15" borderId="45" xfId="0" applyFont="1" applyFill="1" applyBorder="1" applyAlignment="1" applyProtection="1">
      <alignment vertical="center"/>
      <protection locked="0"/>
    </xf>
    <xf numFmtId="166" fontId="20" fillId="5" borderId="3" xfId="0" applyNumberFormat="1" applyFont="1" applyFill="1" applyBorder="1" applyAlignment="1">
      <alignment horizontal="center" vertical="center"/>
    </xf>
    <xf numFmtId="166" fontId="20" fillId="5" borderId="16" xfId="0" applyNumberFormat="1" applyFont="1" applyFill="1" applyBorder="1" applyAlignment="1">
      <alignment horizontal="center" vertical="center"/>
    </xf>
    <xf numFmtId="166" fontId="20" fillId="5" borderId="9" xfId="0" applyNumberFormat="1" applyFont="1" applyFill="1" applyBorder="1" applyAlignment="1">
      <alignment horizontal="center" vertical="center"/>
    </xf>
    <xf numFmtId="166" fontId="20" fillId="0" borderId="0" xfId="0" applyNumberFormat="1" applyFont="1" applyAlignment="1">
      <alignment horizontal="center" vertical="center"/>
    </xf>
    <xf numFmtId="166" fontId="20" fillId="4" borderId="0" xfId="0" applyNumberFormat="1" applyFont="1" applyFill="1" applyAlignment="1">
      <alignment horizontal="right" vertical="center"/>
    </xf>
    <xf numFmtId="49" fontId="20" fillId="4" borderId="0" xfId="0" applyNumberFormat="1" applyFont="1" applyFill="1" applyAlignment="1">
      <alignment horizontal="left" vertical="center"/>
    </xf>
    <xf numFmtId="1" fontId="20" fillId="4" borderId="3" xfId="0" applyNumberFormat="1" applyFont="1" applyFill="1" applyBorder="1" applyAlignment="1">
      <alignment horizontal="center" vertical="center"/>
    </xf>
    <xf numFmtId="0" fontId="20" fillId="4" borderId="3" xfId="0" applyFont="1" applyFill="1" applyBorder="1" applyAlignment="1">
      <alignment horizontal="center" vertical="center"/>
    </xf>
    <xf numFmtId="1" fontId="20" fillId="4" borderId="16" xfId="0" applyNumberFormat="1" applyFont="1" applyFill="1" applyBorder="1" applyAlignment="1">
      <alignment horizontal="center" vertical="center"/>
    </xf>
    <xf numFmtId="1" fontId="20" fillId="4" borderId="9" xfId="0" applyNumberFormat="1" applyFont="1" applyFill="1" applyBorder="1" applyAlignment="1">
      <alignment horizontal="center" vertical="center"/>
    </xf>
    <xf numFmtId="1" fontId="20" fillId="0" borderId="0" xfId="0" applyNumberFormat="1" applyFont="1" applyAlignment="1">
      <alignment horizontal="center" vertical="center"/>
    </xf>
    <xf numFmtId="49" fontId="20" fillId="4" borderId="3" xfId="0" applyNumberFormat="1" applyFont="1" applyFill="1" applyBorder="1" applyAlignment="1">
      <alignment horizontal="center" vertical="center"/>
    </xf>
    <xf numFmtId="174" fontId="20" fillId="4" borderId="3" xfId="0" applyNumberFormat="1" applyFont="1" applyFill="1" applyBorder="1" applyAlignment="1">
      <alignment horizontal="center" vertical="center"/>
    </xf>
    <xf numFmtId="0" fontId="20" fillId="4" borderId="9" xfId="0" applyFont="1" applyFill="1" applyBorder="1" applyAlignment="1">
      <alignment horizontal="center" vertical="center"/>
    </xf>
    <xf numFmtId="0" fontId="20" fillId="4" borderId="53" xfId="0" applyFont="1" applyFill="1" applyBorder="1" applyAlignment="1">
      <alignment horizontal="center" vertical="center"/>
    </xf>
    <xf numFmtId="0" fontId="20" fillId="4" borderId="16" xfId="0" applyFont="1" applyFill="1" applyBorder="1" applyAlignment="1">
      <alignment horizontal="center" vertical="center"/>
    </xf>
    <xf numFmtId="1" fontId="20" fillId="0" borderId="3" xfId="0" applyNumberFormat="1" applyFont="1" applyBorder="1" applyAlignment="1">
      <alignment horizontal="center" vertical="center"/>
    </xf>
    <xf numFmtId="1" fontId="20" fillId="0" borderId="9" xfId="0" applyNumberFormat="1" applyFont="1" applyBorder="1" applyAlignment="1">
      <alignment horizontal="center" vertical="center"/>
    </xf>
    <xf numFmtId="1" fontId="20" fillId="0" borderId="53" xfId="0" applyNumberFormat="1" applyFont="1" applyBorder="1" applyAlignment="1">
      <alignment horizontal="center" vertical="center"/>
    </xf>
    <xf numFmtId="0" fontId="34" fillId="4" borderId="0" xfId="0" applyFont="1" applyFill="1" applyAlignment="1">
      <alignment horizontal="center" vertical="center"/>
    </xf>
    <xf numFmtId="166" fontId="20" fillId="5" borderId="53" xfId="0" applyNumberFormat="1" applyFont="1" applyFill="1" applyBorder="1" applyAlignment="1">
      <alignment horizontal="center" vertical="center"/>
    </xf>
    <xf numFmtId="1" fontId="20" fillId="4" borderId="0" xfId="0" applyNumberFormat="1" applyFont="1" applyFill="1" applyAlignment="1">
      <alignment vertical="center"/>
    </xf>
    <xf numFmtId="1" fontId="20" fillId="4" borderId="0" xfId="0" applyNumberFormat="1" applyFont="1" applyFill="1" applyAlignment="1">
      <alignment horizontal="center" vertical="center"/>
    </xf>
    <xf numFmtId="0" fontId="51" fillId="4" borderId="0" xfId="0" applyFont="1" applyFill="1" applyAlignment="1" applyProtection="1">
      <alignment vertical="center"/>
      <protection hidden="1"/>
    </xf>
    <xf numFmtId="166" fontId="51" fillId="4" borderId="0" xfId="0" applyNumberFormat="1" applyFont="1" applyFill="1" applyAlignment="1">
      <alignment horizontal="right"/>
    </xf>
    <xf numFmtId="0" fontId="51" fillId="4" borderId="0" xfId="0" applyFont="1" applyFill="1" applyAlignment="1">
      <alignment vertical="center" wrapText="1"/>
    </xf>
    <xf numFmtId="49" fontId="2" fillId="14" borderId="3" xfId="0" applyNumberFormat="1" applyFont="1" applyFill="1" applyBorder="1" applyAlignment="1">
      <alignment horizontal="center"/>
    </xf>
    <xf numFmtId="49" fontId="2" fillId="14" borderId="16" xfId="0" applyNumberFormat="1" applyFont="1" applyFill="1" applyBorder="1" applyAlignment="1">
      <alignment horizontal="center"/>
    </xf>
    <xf numFmtId="49" fontId="2" fillId="14" borderId="9" xfId="0" applyNumberFormat="1" applyFont="1" applyFill="1" applyBorder="1" applyAlignment="1">
      <alignment horizontal="center"/>
    </xf>
    <xf numFmtId="49" fontId="2" fillId="0" borderId="0" xfId="0" applyNumberFormat="1" applyFont="1" applyAlignment="1">
      <alignment horizontal="center"/>
    </xf>
    <xf numFmtId="1" fontId="20" fillId="4" borderId="3" xfId="0" applyNumberFormat="1" applyFont="1" applyFill="1" applyBorder="1"/>
    <xf numFmtId="1" fontId="20" fillId="4" borderId="16" xfId="0" applyNumberFormat="1" applyFont="1" applyFill="1" applyBorder="1"/>
    <xf numFmtId="1" fontId="20" fillId="0" borderId="3" xfId="0" applyNumberFormat="1" applyFont="1" applyBorder="1"/>
    <xf numFmtId="1" fontId="20" fillId="0" borderId="16" xfId="0" applyNumberFormat="1" applyFont="1" applyBorder="1"/>
    <xf numFmtId="1" fontId="20" fillId="2" borderId="0" xfId="0" applyNumberFormat="1" applyFont="1" applyFill="1" applyAlignment="1">
      <alignment horizontal="center" vertical="center"/>
    </xf>
    <xf numFmtId="174" fontId="20" fillId="4" borderId="0" xfId="0" applyNumberFormat="1" applyFont="1" applyFill="1"/>
    <xf numFmtId="1" fontId="20" fillId="2" borderId="0" xfId="0" applyNumberFormat="1" applyFont="1" applyFill="1" applyAlignment="1" applyProtection="1">
      <alignment horizontal="center" vertical="center"/>
      <protection hidden="1"/>
    </xf>
    <xf numFmtId="174" fontId="20" fillId="4" borderId="0" xfId="0" applyNumberFormat="1" applyFont="1" applyFill="1" applyProtection="1">
      <protection hidden="1"/>
    </xf>
    <xf numFmtId="166" fontId="37" fillId="5" borderId="3" xfId="0" applyNumberFormat="1" applyFont="1" applyFill="1" applyBorder="1" applyAlignment="1">
      <alignment horizontal="center" vertical="center"/>
    </xf>
    <xf numFmtId="1" fontId="37" fillId="4" borderId="3" xfId="0" applyNumberFormat="1" applyFont="1" applyFill="1" applyBorder="1" applyAlignment="1">
      <alignment horizontal="center" vertical="center"/>
    </xf>
    <xf numFmtId="49" fontId="37" fillId="4" borderId="0" xfId="0" applyNumberFormat="1" applyFont="1" applyFill="1" applyAlignment="1">
      <alignment horizontal="left" vertical="center"/>
    </xf>
    <xf numFmtId="166" fontId="37" fillId="5" borderId="9" xfId="0" applyNumberFormat="1" applyFont="1" applyFill="1" applyBorder="1" applyAlignment="1">
      <alignment horizontal="center" vertical="center"/>
    </xf>
    <xf numFmtId="0" fontId="37" fillId="4" borderId="9" xfId="0" applyFont="1" applyFill="1" applyBorder="1" applyAlignment="1">
      <alignment horizontal="center" vertical="center"/>
    </xf>
    <xf numFmtId="0" fontId="37" fillId="4" borderId="3" xfId="0" applyFont="1" applyFill="1" applyBorder="1" applyAlignment="1">
      <alignment horizontal="center" vertical="center"/>
    </xf>
    <xf numFmtId="1" fontId="37" fillId="0" borderId="9" xfId="0" applyNumberFormat="1" applyFont="1" applyBorder="1" applyAlignment="1">
      <alignment horizontal="center" vertical="center"/>
    </xf>
    <xf numFmtId="174" fontId="37" fillId="4" borderId="3" xfId="0" applyNumberFormat="1" applyFont="1" applyFill="1" applyBorder="1" applyAlignment="1">
      <alignment horizontal="center" vertical="center"/>
    </xf>
    <xf numFmtId="49" fontId="19" fillId="14" borderId="3" xfId="0" applyNumberFormat="1" applyFont="1" applyFill="1" applyBorder="1" applyAlignment="1">
      <alignment horizontal="center"/>
    </xf>
    <xf numFmtId="1" fontId="37" fillId="4" borderId="3" xfId="0" applyNumberFormat="1" applyFont="1" applyFill="1" applyBorder="1"/>
    <xf numFmtId="1" fontId="37" fillId="0" borderId="3" xfId="0" applyNumberFormat="1" applyFont="1" applyBorder="1"/>
    <xf numFmtId="0" fontId="20" fillId="0" borderId="154" xfId="9" applyFont="1" applyFill="1" applyBorder="1" applyAlignment="1" applyProtection="1">
      <alignment horizontal="center" vertical="center"/>
      <protection locked="0"/>
    </xf>
    <xf numFmtId="174" fontId="20" fillId="0" borderId="188" xfId="9" applyNumberFormat="1" applyFont="1" applyFill="1" applyBorder="1" applyAlignment="1" applyProtection="1">
      <alignment horizontal="center" vertical="center"/>
      <protection locked="0"/>
    </xf>
    <xf numFmtId="3" fontId="4" fillId="4" borderId="0" xfId="0" applyNumberFormat="1" applyFont="1" applyFill="1" applyAlignment="1" applyProtection="1">
      <alignment horizontal="center"/>
      <protection hidden="1"/>
    </xf>
    <xf numFmtId="3" fontId="4" fillId="0" borderId="0" xfId="0" applyNumberFormat="1" applyFont="1" applyAlignment="1" applyProtection="1">
      <alignment horizontal="center"/>
      <protection hidden="1"/>
    </xf>
    <xf numFmtId="1" fontId="4" fillId="4" borderId="0" xfId="0" applyNumberFormat="1" applyFont="1" applyFill="1" applyAlignment="1" applyProtection="1">
      <alignment horizontal="right" indent="1"/>
      <protection hidden="1"/>
    </xf>
    <xf numFmtId="0" fontId="4" fillId="4" borderId="0" xfId="0" applyFont="1" applyFill="1" applyAlignment="1" applyProtection="1">
      <alignment horizontal="center"/>
      <protection hidden="1"/>
    </xf>
    <xf numFmtId="3" fontId="4" fillId="4" borderId="0" xfId="0" applyNumberFormat="1" applyFont="1" applyFill="1" applyProtection="1">
      <protection hidden="1"/>
    </xf>
    <xf numFmtId="3" fontId="4" fillId="4" borderId="0" xfId="0" applyNumberFormat="1" applyFont="1" applyFill="1" applyAlignment="1" applyProtection="1">
      <alignment horizontal="right" indent="1"/>
      <protection hidden="1"/>
    </xf>
    <xf numFmtId="3" fontId="4" fillId="4" borderId="0" xfId="0" applyNumberFormat="1" applyFont="1" applyFill="1" applyAlignment="1" applyProtection="1">
      <alignment horizontal="left"/>
      <protection hidden="1"/>
    </xf>
    <xf numFmtId="0" fontId="4" fillId="4" borderId="0" xfId="0" applyFont="1" applyFill="1" applyAlignment="1" applyProtection="1">
      <alignment horizontal="center" vertical="center" wrapText="1"/>
      <protection hidden="1"/>
    </xf>
    <xf numFmtId="3" fontId="4" fillId="4" borderId="0" xfId="0" applyNumberFormat="1" applyFont="1" applyFill="1" applyAlignment="1" applyProtection="1">
      <alignment horizontal="center"/>
      <protection locked="0"/>
    </xf>
    <xf numFmtId="0" fontId="4" fillId="4" borderId="0" xfId="0" applyFont="1" applyFill="1" applyAlignment="1" applyProtection="1">
      <alignment horizontal="center" vertical="center" wrapText="1"/>
      <protection locked="0"/>
    </xf>
    <xf numFmtId="3" fontId="4" fillId="4" borderId="0" xfId="0" applyNumberFormat="1" applyFont="1" applyFill="1" applyAlignment="1" applyProtection="1">
      <alignment horizontal="center" vertical="center" wrapText="1"/>
      <protection hidden="1"/>
    </xf>
    <xf numFmtId="1" fontId="4" fillId="4" borderId="0" xfId="0" applyNumberFormat="1" applyFont="1" applyFill="1" applyAlignment="1" applyProtection="1">
      <alignment horizontal="center"/>
      <protection hidden="1"/>
    </xf>
    <xf numFmtId="3" fontId="4" fillId="0" borderId="0" xfId="0" applyNumberFormat="1" applyFont="1" applyAlignment="1" applyProtection="1">
      <alignment vertical="center"/>
      <protection hidden="1"/>
    </xf>
    <xf numFmtId="3" fontId="4" fillId="4" borderId="0" xfId="0" applyNumberFormat="1" applyFont="1" applyFill="1" applyAlignment="1" applyProtection="1">
      <alignment horizontal="right"/>
      <protection hidden="1"/>
    </xf>
    <xf numFmtId="3" fontId="4" fillId="0" borderId="0" xfId="0" applyNumberFormat="1" applyFont="1" applyProtection="1">
      <protection hidden="1"/>
    </xf>
    <xf numFmtId="3" fontId="4" fillId="4" borderId="0" xfId="6" applyNumberFormat="1" applyFont="1" applyFill="1" applyBorder="1" applyProtection="1">
      <protection hidden="1"/>
    </xf>
    <xf numFmtId="3" fontId="4" fillId="4" borderId="0" xfId="6" applyNumberFormat="1" applyFont="1" applyFill="1" applyBorder="1" applyAlignment="1" applyProtection="1">
      <alignment horizontal="center"/>
      <protection hidden="1"/>
    </xf>
    <xf numFmtId="3" fontId="4" fillId="4" borderId="0" xfId="6" applyNumberFormat="1" applyFont="1" applyFill="1" applyBorder="1" applyAlignment="1" applyProtection="1">
      <alignment horizontal="center"/>
      <protection locked="0"/>
    </xf>
    <xf numFmtId="3" fontId="4" fillId="4" borderId="0" xfId="0" applyNumberFormat="1" applyFont="1" applyFill="1" applyAlignment="1" applyProtection="1">
      <alignment vertical="center"/>
      <protection hidden="1"/>
    </xf>
    <xf numFmtId="3" fontId="4" fillId="0" borderId="0" xfId="6" applyNumberFormat="1" applyFont="1" applyFill="1" applyBorder="1" applyProtection="1">
      <protection hidden="1"/>
    </xf>
    <xf numFmtId="3" fontId="4" fillId="0" borderId="0" xfId="6" applyNumberFormat="1" applyFont="1" applyFill="1" applyBorder="1" applyAlignment="1" applyProtection="1">
      <alignment horizontal="center"/>
      <protection hidden="1"/>
    </xf>
    <xf numFmtId="3" fontId="4" fillId="0" borderId="0" xfId="6" applyNumberFormat="1" applyFont="1" applyFill="1" applyBorder="1" applyAlignment="1" applyProtection="1">
      <alignment horizontal="center"/>
      <protection locked="0"/>
    </xf>
    <xf numFmtId="173" fontId="4" fillId="0" borderId="0" xfId="6" applyNumberFormat="1" applyFont="1" applyFill="1" applyBorder="1" applyProtection="1">
      <protection hidden="1"/>
    </xf>
    <xf numFmtId="173" fontId="4" fillId="0" borderId="0" xfId="6" applyNumberFormat="1" applyFont="1" applyFill="1" applyBorder="1" applyAlignment="1" applyProtection="1">
      <alignment horizontal="center"/>
      <protection hidden="1"/>
    </xf>
    <xf numFmtId="173" fontId="4" fillId="0" borderId="0" xfId="6" applyNumberFormat="1" applyFont="1" applyFill="1" applyBorder="1" applyAlignment="1" applyProtection="1">
      <alignment horizontal="center"/>
      <protection locked="0"/>
    </xf>
    <xf numFmtId="1" fontId="29" fillId="4" borderId="0" xfId="0" applyNumberFormat="1" applyFont="1" applyFill="1" applyAlignment="1" applyProtection="1">
      <alignment horizontal="center"/>
      <protection hidden="1"/>
    </xf>
    <xf numFmtId="1" fontId="29" fillId="4" borderId="0" xfId="0" applyNumberFormat="1" applyFont="1" applyFill="1" applyAlignment="1" applyProtection="1">
      <alignment horizontal="right" indent="1"/>
      <protection hidden="1"/>
    </xf>
    <xf numFmtId="1" fontId="29" fillId="4" borderId="0" xfId="3" applyNumberFormat="1" applyFont="1" applyFill="1" applyBorder="1" applyAlignment="1" applyProtection="1">
      <alignment horizontal="right" indent="1"/>
      <protection hidden="1"/>
    </xf>
    <xf numFmtId="1" fontId="29" fillId="4" borderId="0" xfId="0" applyNumberFormat="1" applyFont="1" applyFill="1" applyAlignment="1" applyProtection="1">
      <alignment horizontal="left"/>
      <protection hidden="1"/>
    </xf>
    <xf numFmtId="1" fontId="29" fillId="4" borderId="0" xfId="0" applyNumberFormat="1" applyFont="1" applyFill="1" applyAlignment="1" applyProtection="1">
      <alignment horizontal="left" indent="1"/>
      <protection hidden="1"/>
    </xf>
    <xf numFmtId="1" fontId="29" fillId="4" borderId="0" xfId="0" applyNumberFormat="1" applyFont="1" applyFill="1" applyAlignment="1" applyProtection="1">
      <alignment horizontal="right" indent="1"/>
      <protection locked="0"/>
    </xf>
    <xf numFmtId="1" fontId="29" fillId="4" borderId="0" xfId="0" applyNumberFormat="1" applyFont="1" applyFill="1" applyAlignment="1" applyProtection="1">
      <alignment horizontal="center"/>
      <protection locked="0"/>
    </xf>
    <xf numFmtId="1" fontId="4" fillId="4" borderId="0" xfId="0" applyNumberFormat="1" applyFont="1" applyFill="1" applyProtection="1">
      <protection locked="0"/>
    </xf>
    <xf numFmtId="173" fontId="4" fillId="4" borderId="0" xfId="0" applyNumberFormat="1" applyFont="1" applyFill="1" applyProtection="1">
      <protection hidden="1"/>
    </xf>
    <xf numFmtId="173" fontId="4" fillId="4" borderId="0" xfId="0" applyNumberFormat="1" applyFont="1" applyFill="1" applyProtection="1">
      <protection locked="0"/>
    </xf>
    <xf numFmtId="1" fontId="4" fillId="0" borderId="0" xfId="0" applyNumberFormat="1" applyFont="1" applyAlignment="1" applyProtection="1">
      <alignment horizontal="center"/>
      <protection hidden="1"/>
    </xf>
    <xf numFmtId="1" fontId="4" fillId="4" borderId="0" xfId="0" applyNumberFormat="1" applyFont="1" applyFill="1" applyAlignment="1" applyProtection="1">
      <alignment horizontal="center"/>
      <protection locked="0"/>
    </xf>
    <xf numFmtId="0" fontId="4" fillId="4" borderId="0" xfId="0" applyFont="1" applyFill="1" applyAlignment="1" applyProtection="1">
      <alignment horizontal="center"/>
      <protection locked="0"/>
    </xf>
    <xf numFmtId="1" fontId="29" fillId="4" borderId="0" xfId="0" applyNumberFormat="1" applyFont="1" applyFill="1" applyProtection="1">
      <protection hidden="1"/>
    </xf>
    <xf numFmtId="173" fontId="4" fillId="4" borderId="0" xfId="6" applyNumberFormat="1" applyFont="1" applyFill="1" applyBorder="1" applyAlignment="1" applyProtection="1">
      <alignment horizontal="center"/>
      <protection hidden="1"/>
    </xf>
    <xf numFmtId="0" fontId="4" fillId="0" borderId="0" xfId="0" applyFont="1" applyAlignment="1" applyProtection="1">
      <alignment horizontal="right" vertical="center"/>
      <protection hidden="1"/>
    </xf>
    <xf numFmtId="1" fontId="4" fillId="4" borderId="0" xfId="6" applyNumberFormat="1" applyFont="1" applyFill="1" applyBorder="1" applyAlignment="1" applyProtection="1">
      <alignment horizontal="center"/>
      <protection hidden="1"/>
    </xf>
    <xf numFmtId="173" fontId="4" fillId="4" borderId="0" xfId="6" applyNumberFormat="1" applyFont="1" applyFill="1" applyBorder="1" applyAlignment="1" applyProtection="1">
      <alignment horizontal="center"/>
      <protection locked="0"/>
    </xf>
    <xf numFmtId="1" fontId="4" fillId="0" borderId="0" xfId="3" applyNumberFormat="1" applyFont="1" applyFill="1" applyBorder="1" applyAlignment="1" applyProtection="1">
      <alignment horizontal="center"/>
      <protection hidden="1"/>
    </xf>
    <xf numFmtId="167" fontId="4" fillId="0" borderId="0" xfId="6" applyNumberFormat="1" applyFont="1" applyFill="1" applyBorder="1" applyAlignment="1" applyProtection="1">
      <alignment horizontal="center" vertical="center"/>
      <protection hidden="1"/>
    </xf>
    <xf numFmtId="1" fontId="4" fillId="4" borderId="0" xfId="0" applyNumberFormat="1" applyFont="1" applyFill="1" applyAlignment="1" applyProtection="1">
      <alignment horizontal="center" vertical="center"/>
      <protection hidden="1"/>
    </xf>
    <xf numFmtId="3" fontId="4" fillId="4" borderId="0" xfId="0" applyNumberFormat="1" applyFont="1" applyFill="1" applyAlignment="1" applyProtection="1">
      <alignment horizontal="center" vertical="center"/>
      <protection hidden="1"/>
    </xf>
    <xf numFmtId="3" fontId="4" fillId="4" borderId="0" xfId="0" applyNumberFormat="1" applyFont="1" applyFill="1" applyAlignment="1" applyProtection="1">
      <alignment horizontal="center" vertical="center"/>
      <protection locked="0"/>
    </xf>
    <xf numFmtId="173" fontId="4" fillId="4" borderId="0" xfId="6" applyNumberFormat="1" applyFont="1" applyFill="1" applyBorder="1" applyAlignment="1" applyProtection="1">
      <protection hidden="1"/>
    </xf>
    <xf numFmtId="3" fontId="20" fillId="15" borderId="197" xfId="0" applyNumberFormat="1" applyFont="1" applyFill="1" applyBorder="1" applyAlignment="1" applyProtection="1">
      <alignment vertical="center"/>
      <protection locked="0"/>
    </xf>
    <xf numFmtId="169" fontId="4" fillId="4" borderId="0" xfId="0" applyNumberFormat="1" applyFont="1" applyFill="1" applyAlignment="1" applyProtection="1">
      <alignment horizontal="center"/>
      <protection hidden="1"/>
    </xf>
    <xf numFmtId="169" fontId="4" fillId="4" borderId="0" xfId="0" applyNumberFormat="1" applyFont="1" applyFill="1" applyAlignment="1" applyProtection="1">
      <alignment horizontal="center"/>
      <protection locked="0"/>
    </xf>
    <xf numFmtId="3" fontId="20" fillId="15" borderId="56" xfId="0" applyNumberFormat="1" applyFont="1" applyFill="1" applyBorder="1" applyAlignment="1" applyProtection="1">
      <alignment vertical="center"/>
      <protection locked="0"/>
    </xf>
    <xf numFmtId="1" fontId="20" fillId="15" borderId="56" xfId="2" applyNumberFormat="1" applyFont="1" applyFill="1" applyBorder="1" applyAlignment="1" applyProtection="1">
      <alignment horizontal="center" vertical="center"/>
      <protection locked="0"/>
    </xf>
    <xf numFmtId="172" fontId="4" fillId="15" borderId="56" xfId="3" applyNumberFormat="1" applyFont="1" applyFill="1" applyBorder="1" applyAlignment="1" applyProtection="1">
      <alignment horizontal="center"/>
      <protection locked="0"/>
    </xf>
    <xf numFmtId="1" fontId="20" fillId="15" borderId="70" xfId="3" applyNumberFormat="1" applyFont="1" applyFill="1" applyBorder="1" applyAlignment="1" applyProtection="1">
      <alignment horizontal="center"/>
      <protection locked="0"/>
    </xf>
    <xf numFmtId="1" fontId="20" fillId="15" borderId="60" xfId="3" applyNumberFormat="1" applyFont="1" applyFill="1" applyBorder="1" applyAlignment="1" applyProtection="1">
      <alignment horizontal="center"/>
      <protection locked="0"/>
    </xf>
    <xf numFmtId="3" fontId="20" fillId="15" borderId="9" xfId="0" applyNumberFormat="1" applyFont="1" applyFill="1" applyBorder="1" applyAlignment="1" applyProtection="1">
      <alignment vertical="center"/>
      <protection locked="0"/>
    </xf>
    <xf numFmtId="3" fontId="20" fillId="15" borderId="48" xfId="0" applyNumberFormat="1" applyFont="1" applyFill="1" applyBorder="1" applyAlignment="1" applyProtection="1">
      <alignment vertical="center"/>
      <protection locked="0"/>
    </xf>
    <xf numFmtId="3" fontId="20" fillId="15" borderId="52" xfId="0" applyNumberFormat="1" applyFont="1" applyFill="1" applyBorder="1" applyAlignment="1" applyProtection="1">
      <alignment vertical="center"/>
      <protection locked="0"/>
    </xf>
    <xf numFmtId="1" fontId="20" fillId="15" borderId="198" xfId="3" applyNumberFormat="1" applyFont="1" applyFill="1" applyBorder="1" applyAlignment="1" applyProtection="1">
      <alignment horizontal="center"/>
      <protection locked="0"/>
    </xf>
    <xf numFmtId="1" fontId="20" fillId="15" borderId="199" xfId="3" applyNumberFormat="1" applyFont="1" applyFill="1" applyBorder="1" applyAlignment="1" applyProtection="1">
      <alignment horizontal="center"/>
      <protection locked="0"/>
    </xf>
    <xf numFmtId="0" fontId="23" fillId="4" borderId="0" xfId="0" applyFont="1" applyFill="1" applyAlignment="1" applyProtection="1">
      <alignment horizontal="right"/>
      <protection hidden="1"/>
    </xf>
    <xf numFmtId="0" fontId="15" fillId="0" borderId="0" xfId="0" applyFont="1"/>
    <xf numFmtId="0" fontId="165" fillId="2" borderId="0" xfId="0" applyFont="1" applyFill="1"/>
    <xf numFmtId="0" fontId="166" fillId="2" borderId="0" xfId="0" applyFont="1" applyFill="1"/>
    <xf numFmtId="3" fontId="23" fillId="4" borderId="0" xfId="0" applyNumberFormat="1" applyFont="1" applyFill="1" applyProtection="1">
      <protection hidden="1"/>
    </xf>
    <xf numFmtId="3" fontId="23" fillId="4" borderId="0" xfId="0" applyNumberFormat="1" applyFont="1" applyFill="1" applyAlignment="1" applyProtection="1">
      <alignment horizontal="right" indent="1"/>
      <protection hidden="1"/>
    </xf>
    <xf numFmtId="3" fontId="23" fillId="4" borderId="0" xfId="0" applyNumberFormat="1" applyFont="1" applyFill="1" applyAlignment="1" applyProtection="1">
      <alignment horizontal="left"/>
      <protection hidden="1"/>
    </xf>
    <xf numFmtId="168" fontId="20" fillId="0" borderId="41" xfId="0" applyNumberFormat="1" applyFont="1" applyBorder="1" applyAlignment="1">
      <alignment vertical="center"/>
    </xf>
    <xf numFmtId="0" fontId="167" fillId="2" borderId="0" xfId="0" applyFont="1" applyFill="1"/>
    <xf numFmtId="14" fontId="0" fillId="0" borderId="0" xfId="0" applyNumberFormat="1"/>
    <xf numFmtId="3" fontId="20" fillId="4" borderId="0" xfId="0" applyNumberFormat="1" applyFont="1" applyFill="1" applyAlignment="1">
      <alignment horizontal="center"/>
    </xf>
    <xf numFmtId="3" fontId="4" fillId="0" borderId="48" xfId="0" applyNumberFormat="1" applyFont="1" applyBorder="1" applyAlignment="1">
      <alignment horizontal="center" vertical="top"/>
    </xf>
    <xf numFmtId="168" fontId="20" fillId="0" borderId="75" xfId="0" applyNumberFormat="1" applyFont="1" applyBorder="1" applyAlignment="1" applyProtection="1">
      <alignment horizontal="right" vertical="center"/>
      <protection locked="0"/>
    </xf>
    <xf numFmtId="168" fontId="20" fillId="0" borderId="3" xfId="0" applyNumberFormat="1" applyFont="1" applyBorder="1" applyAlignment="1">
      <alignment horizontal="right" vertical="center"/>
    </xf>
    <xf numFmtId="0" fontId="20" fillId="0" borderId="24" xfId="0" applyFont="1" applyBorder="1" applyAlignment="1">
      <alignment vertical="top"/>
    </xf>
    <xf numFmtId="0" fontId="20" fillId="0" borderId="25" xfId="9" applyFont="1" applyFill="1" applyBorder="1" applyAlignment="1" applyProtection="1">
      <alignment vertical="center"/>
    </xf>
    <xf numFmtId="0" fontId="20" fillId="0" borderId="25" xfId="0" applyFont="1" applyBorder="1" applyAlignment="1">
      <alignment vertical="top"/>
    </xf>
    <xf numFmtId="0" fontId="20" fillId="0" borderId="25" xfId="0" applyFont="1" applyBorder="1" applyAlignment="1">
      <alignment vertical="center"/>
    </xf>
    <xf numFmtId="0" fontId="4" fillId="0" borderId="0" xfId="0" applyFont="1" applyAlignment="1">
      <alignment horizontal="left" wrapText="1"/>
    </xf>
    <xf numFmtId="0" fontId="2" fillId="0" borderId="0" xfId="0" applyFont="1" applyAlignment="1" applyProtection="1">
      <alignment horizontal="center"/>
      <protection hidden="1"/>
    </xf>
    <xf numFmtId="3" fontId="80" fillId="0" borderId="3" xfId="0" applyNumberFormat="1" applyFont="1" applyBorder="1" applyAlignment="1">
      <alignment vertical="center"/>
    </xf>
    <xf numFmtId="3" fontId="80" fillId="0" borderId="3" xfId="4" applyNumberFormat="1" applyFont="1" applyBorder="1" applyAlignment="1">
      <alignment vertical="center"/>
    </xf>
    <xf numFmtId="3" fontId="125" fillId="0" borderId="122" xfId="0" applyNumberFormat="1" applyFont="1" applyBorder="1" applyProtection="1">
      <protection hidden="1"/>
    </xf>
    <xf numFmtId="3" fontId="125" fillId="0" borderId="115" xfId="0" applyNumberFormat="1" applyFont="1" applyBorder="1" applyAlignment="1" applyProtection="1">
      <alignment vertical="center"/>
      <protection hidden="1"/>
    </xf>
    <xf numFmtId="3" fontId="80" fillId="0" borderId="111" xfId="0" applyNumberFormat="1" applyFont="1" applyBorder="1" applyAlignment="1">
      <alignment vertical="center"/>
    </xf>
    <xf numFmtId="3" fontId="20" fillId="0" borderId="108" xfId="0" applyNumberFormat="1" applyFont="1" applyBorder="1" applyAlignment="1">
      <alignment vertical="center"/>
    </xf>
    <xf numFmtId="14" fontId="9" fillId="12" borderId="0" xfId="0" applyNumberFormat="1" applyFont="1" applyFill="1" applyAlignment="1" applyProtection="1">
      <alignment vertical="center"/>
      <protection locked="0"/>
    </xf>
    <xf numFmtId="0" fontId="29" fillId="23" borderId="15" xfId="0" applyFont="1" applyFill="1" applyBorder="1" applyAlignment="1">
      <alignment horizontal="right" vertical="center"/>
    </xf>
    <xf numFmtId="0" fontId="168" fillId="4" borderId="0" xfId="0" applyFont="1" applyFill="1"/>
    <xf numFmtId="0" fontId="168" fillId="4" borderId="0" xfId="0" applyFont="1" applyFill="1" applyAlignment="1">
      <alignment vertical="center"/>
    </xf>
    <xf numFmtId="0" fontId="168" fillId="4" borderId="0" xfId="0" applyFont="1" applyFill="1" applyProtection="1">
      <protection locked="0"/>
    </xf>
    <xf numFmtId="0" fontId="168" fillId="4" borderId="0" xfId="0" applyFont="1" applyFill="1" applyAlignment="1">
      <alignment horizontal="center"/>
    </xf>
    <xf numFmtId="0" fontId="166" fillId="4" borderId="0" xfId="0" applyFont="1" applyFill="1" applyAlignment="1">
      <alignment horizontal="left"/>
    </xf>
    <xf numFmtId="0" fontId="166" fillId="4" borderId="0" xfId="0" applyFont="1" applyFill="1" applyAlignment="1">
      <alignment horizontal="left" vertical="center"/>
    </xf>
    <xf numFmtId="0" fontId="166" fillId="0" borderId="0" xfId="0" applyFont="1" applyAlignment="1">
      <alignment horizontal="left" vertical="center"/>
    </xf>
    <xf numFmtId="0" fontId="169" fillId="0" borderId="0" xfId="0" applyFont="1"/>
    <xf numFmtId="1" fontId="168" fillId="4" borderId="0" xfId="0" applyNumberFormat="1" applyFont="1" applyFill="1" applyAlignment="1" applyProtection="1">
      <alignment horizontal="center"/>
      <protection hidden="1"/>
    </xf>
    <xf numFmtId="1" fontId="168" fillId="4" borderId="0" xfId="0" applyNumberFormat="1" applyFont="1" applyFill="1" applyAlignment="1" applyProtection="1">
      <alignment horizontal="center" vertical="center"/>
      <protection hidden="1"/>
    </xf>
    <xf numFmtId="1" fontId="168" fillId="4" borderId="0" xfId="0" applyNumberFormat="1" applyFont="1" applyFill="1" applyProtection="1">
      <protection hidden="1"/>
    </xf>
    <xf numFmtId="1" fontId="166" fillId="4" borderId="0" xfId="0" applyNumberFormat="1" applyFont="1" applyFill="1" applyAlignment="1" applyProtection="1">
      <alignment horizontal="left"/>
      <protection hidden="1"/>
    </xf>
    <xf numFmtId="1" fontId="166" fillId="0" borderId="0" xfId="0" applyNumberFormat="1" applyFont="1" applyAlignment="1" applyProtection="1">
      <alignment horizontal="left" vertical="center"/>
      <protection hidden="1"/>
    </xf>
    <xf numFmtId="1" fontId="169" fillId="0" borderId="0" xfId="0" applyNumberFormat="1" applyFont="1" applyProtection="1">
      <protection hidden="1"/>
    </xf>
    <xf numFmtId="1" fontId="166" fillId="4" borderId="0" xfId="0" applyNumberFormat="1" applyFont="1" applyFill="1" applyAlignment="1" applyProtection="1">
      <alignment horizontal="left" vertical="center"/>
      <protection hidden="1"/>
    </xf>
    <xf numFmtId="1" fontId="168" fillId="4" borderId="0" xfId="6" applyNumberFormat="1" applyFont="1" applyFill="1" applyBorder="1" applyAlignment="1" applyProtection="1">
      <alignment horizontal="center"/>
      <protection hidden="1"/>
    </xf>
    <xf numFmtId="1" fontId="168" fillId="0" borderId="0" xfId="0" applyNumberFormat="1" applyFont="1" applyProtection="1">
      <protection hidden="1"/>
    </xf>
    <xf numFmtId="1" fontId="168" fillId="4" borderId="0" xfId="6" applyNumberFormat="1" applyFont="1" applyFill="1" applyBorder="1" applyAlignment="1" applyProtection="1">
      <alignment horizontal="center" vertical="center"/>
      <protection hidden="1"/>
    </xf>
    <xf numFmtId="0" fontId="170" fillId="4" borderId="0" xfId="0" applyFont="1" applyFill="1"/>
    <xf numFmtId="0" fontId="168" fillId="0" borderId="0" xfId="0" applyFont="1"/>
    <xf numFmtId="0" fontId="166" fillId="0" borderId="0" xfId="0" applyFont="1" applyAlignment="1">
      <alignment horizontal="left"/>
    </xf>
    <xf numFmtId="0" fontId="166" fillId="0" borderId="0" xfId="0" applyFont="1"/>
    <xf numFmtId="0" fontId="168" fillId="4" borderId="0" xfId="0" applyFont="1" applyFill="1" applyAlignment="1" applyProtection="1">
      <alignment horizontal="center" vertical="center"/>
      <protection hidden="1"/>
    </xf>
    <xf numFmtId="0" fontId="168" fillId="4" borderId="0" xfId="0" applyFont="1" applyFill="1" applyAlignment="1" applyProtection="1">
      <alignment horizontal="left" vertical="center"/>
      <protection hidden="1"/>
    </xf>
    <xf numFmtId="0" fontId="168" fillId="4" borderId="0" xfId="0" applyFont="1" applyFill="1" applyProtection="1">
      <protection hidden="1"/>
    </xf>
    <xf numFmtId="0" fontId="168" fillId="0" borderId="0" xfId="0" applyFont="1" applyAlignment="1" applyProtection="1">
      <alignment horizontal="center" vertical="center"/>
      <protection hidden="1"/>
    </xf>
    <xf numFmtId="0" fontId="165" fillId="0" borderId="0" xfId="0" applyFont="1" applyAlignment="1" applyProtection="1">
      <alignment horizontal="center" vertical="center"/>
      <protection hidden="1"/>
    </xf>
    <xf numFmtId="1" fontId="171" fillId="0" borderId="0" xfId="0" applyNumberFormat="1" applyFont="1" applyAlignment="1" applyProtection="1">
      <alignment horizontal="center" vertical="center"/>
      <protection hidden="1"/>
    </xf>
    <xf numFmtId="1" fontId="165" fillId="0" borderId="0" xfId="0" applyNumberFormat="1" applyFont="1" applyAlignment="1" applyProtection="1">
      <alignment horizontal="right" vertical="center"/>
      <protection hidden="1"/>
    </xf>
    <xf numFmtId="1" fontId="172" fillId="0" borderId="0" xfId="6" applyNumberFormat="1" applyFont="1" applyFill="1" applyBorder="1" applyAlignment="1" applyProtection="1">
      <alignment horizontal="center" vertical="center"/>
      <protection hidden="1"/>
    </xf>
    <xf numFmtId="1" fontId="168" fillId="0" borderId="0" xfId="0" applyNumberFormat="1" applyFont="1" applyAlignment="1" applyProtection="1">
      <alignment horizontal="center" vertical="center"/>
      <protection hidden="1"/>
    </xf>
    <xf numFmtId="1" fontId="168" fillId="0" borderId="0" xfId="0" applyNumberFormat="1" applyFont="1" applyAlignment="1" applyProtection="1">
      <alignment horizontal="right" vertical="center"/>
      <protection hidden="1"/>
    </xf>
    <xf numFmtId="1" fontId="165" fillId="0" borderId="0" xfId="0" applyNumberFormat="1" applyFont="1" applyAlignment="1" applyProtection="1">
      <alignment horizontal="center" vertical="center"/>
      <protection hidden="1"/>
    </xf>
    <xf numFmtId="1" fontId="166" fillId="0" borderId="0" xfId="0" applyNumberFormat="1" applyFont="1" applyAlignment="1" applyProtection="1">
      <alignment horizontal="center" vertical="center"/>
      <protection hidden="1"/>
    </xf>
    <xf numFmtId="1" fontId="166" fillId="0" borderId="0" xfId="0" applyNumberFormat="1" applyFont="1" applyAlignment="1" applyProtection="1">
      <alignment vertical="center"/>
      <protection hidden="1"/>
    </xf>
    <xf numFmtId="1" fontId="173" fillId="0" borderId="0" xfId="0" applyNumberFormat="1" applyFont="1" applyAlignment="1" applyProtection="1">
      <alignment horizontal="center" vertical="center"/>
      <protection hidden="1"/>
    </xf>
    <xf numFmtId="1" fontId="165" fillId="0" borderId="0" xfId="6" applyNumberFormat="1" applyFont="1" applyFill="1" applyBorder="1" applyAlignment="1" applyProtection="1">
      <alignment horizontal="center" vertical="center"/>
      <protection hidden="1"/>
    </xf>
    <xf numFmtId="1" fontId="174" fillId="0" borderId="0" xfId="0" applyNumberFormat="1" applyFont="1" applyAlignment="1" applyProtection="1">
      <alignment horizontal="center" vertical="center"/>
      <protection hidden="1"/>
    </xf>
    <xf numFmtId="0" fontId="168" fillId="4" borderId="0" xfId="0" applyFont="1" applyFill="1" applyAlignment="1">
      <alignment horizontal="left"/>
    </xf>
    <xf numFmtId="1" fontId="166" fillId="4" borderId="0" xfId="0" applyNumberFormat="1" applyFont="1" applyFill="1"/>
    <xf numFmtId="1" fontId="166" fillId="2" borderId="0" xfId="0" applyNumberFormat="1" applyFont="1" applyFill="1" applyAlignment="1">
      <alignment horizontal="center" vertical="center"/>
    </xf>
    <xf numFmtId="1" fontId="170" fillId="4" borderId="0" xfId="0" applyNumberFormat="1" applyFont="1" applyFill="1" applyAlignment="1" applyProtection="1">
      <alignment horizontal="center" vertical="center"/>
      <protection hidden="1"/>
    </xf>
    <xf numFmtId="3" fontId="166" fillId="4" borderId="0" xfId="0" applyNumberFormat="1" applyFont="1" applyFill="1"/>
    <xf numFmtId="0" fontId="166" fillId="4" borderId="0" xfId="0" applyFont="1" applyFill="1" applyProtection="1">
      <protection hidden="1"/>
    </xf>
    <xf numFmtId="0" fontId="166" fillId="0" borderId="0" xfId="0" applyFont="1" applyProtection="1">
      <protection hidden="1"/>
    </xf>
    <xf numFmtId="1" fontId="166" fillId="4" borderId="0" xfId="0" applyNumberFormat="1" applyFont="1" applyFill="1" applyProtection="1">
      <protection hidden="1"/>
    </xf>
    <xf numFmtId="1" fontId="166" fillId="4" borderId="0" xfId="0" applyNumberFormat="1" applyFont="1" applyFill="1" applyAlignment="1" applyProtection="1">
      <alignment horizontal="center"/>
      <protection hidden="1"/>
    </xf>
    <xf numFmtId="1" fontId="166" fillId="4" borderId="0" xfId="0" applyNumberFormat="1" applyFont="1" applyFill="1" applyProtection="1">
      <protection locked="0"/>
    </xf>
    <xf numFmtId="173" fontId="166" fillId="4" borderId="0" xfId="0" applyNumberFormat="1" applyFont="1" applyFill="1" applyProtection="1">
      <protection hidden="1"/>
    </xf>
    <xf numFmtId="0" fontId="166" fillId="0" borderId="0" xfId="0" applyFont="1" applyAlignment="1" applyProtection="1">
      <alignment horizontal="right"/>
      <protection hidden="1"/>
    </xf>
    <xf numFmtId="0" fontId="166" fillId="0" borderId="0" xfId="0" applyFont="1" applyAlignment="1" applyProtection="1">
      <alignment vertical="center"/>
      <protection hidden="1"/>
    </xf>
    <xf numFmtId="1" fontId="166" fillId="0" borderId="0" xfId="0" applyNumberFormat="1" applyFont="1" applyAlignment="1" applyProtection="1">
      <alignment horizontal="center"/>
      <protection hidden="1"/>
    </xf>
    <xf numFmtId="1" fontId="166" fillId="0" borderId="0" xfId="0" applyNumberFormat="1" applyFont="1" applyAlignment="1" applyProtection="1">
      <alignment horizontal="center"/>
      <protection locked="0"/>
    </xf>
    <xf numFmtId="1" fontId="166" fillId="4" borderId="0" xfId="0" applyNumberFormat="1" applyFont="1" applyFill="1" applyAlignment="1" applyProtection="1">
      <alignment horizontal="center"/>
      <protection locked="0"/>
    </xf>
    <xf numFmtId="0" fontId="166" fillId="4" borderId="0" xfId="0" applyFont="1" applyFill="1" applyAlignment="1" applyProtection="1">
      <alignment horizontal="center"/>
      <protection hidden="1"/>
    </xf>
    <xf numFmtId="0" fontId="166" fillId="4" borderId="0" xfId="0" applyFont="1" applyFill="1" applyAlignment="1" applyProtection="1">
      <alignment horizontal="center"/>
      <protection locked="0"/>
    </xf>
    <xf numFmtId="0" fontId="166" fillId="4" borderId="0" xfId="0" applyFont="1" applyFill="1" applyAlignment="1" applyProtection="1">
      <alignment horizontal="right"/>
      <protection hidden="1"/>
    </xf>
    <xf numFmtId="1" fontId="166" fillId="4" borderId="0" xfId="0" applyNumberFormat="1" applyFont="1" applyFill="1" applyAlignment="1" applyProtection="1">
      <alignment horizontal="right" indent="1"/>
      <protection hidden="1"/>
    </xf>
    <xf numFmtId="1" fontId="166" fillId="4" borderId="0" xfId="0" applyNumberFormat="1" applyFont="1" applyFill="1" applyAlignment="1" applyProtection="1">
      <alignment horizontal="right" indent="1"/>
      <protection locked="0"/>
    </xf>
    <xf numFmtId="0" fontId="166" fillId="4" borderId="0" xfId="0" applyFont="1" applyFill="1" applyProtection="1">
      <protection locked="0"/>
    </xf>
    <xf numFmtId="167" fontId="166" fillId="4" borderId="0" xfId="6" applyNumberFormat="1" applyFont="1" applyFill="1" applyBorder="1" applyAlignment="1" applyProtection="1">
      <alignment horizontal="center"/>
      <protection hidden="1"/>
    </xf>
    <xf numFmtId="3" fontId="166" fillId="4" borderId="0" xfId="0" applyNumberFormat="1" applyFont="1" applyFill="1" applyAlignment="1" applyProtection="1">
      <alignment horizontal="center"/>
      <protection hidden="1"/>
    </xf>
    <xf numFmtId="3" fontId="166" fillId="0" borderId="0" xfId="0" applyNumberFormat="1" applyFont="1" applyAlignment="1" applyProtection="1">
      <alignment horizontal="center"/>
      <protection hidden="1"/>
    </xf>
    <xf numFmtId="0" fontId="166" fillId="4" borderId="0" xfId="0" applyFont="1" applyFill="1" applyAlignment="1" applyProtection="1">
      <alignment horizontal="left"/>
      <protection hidden="1"/>
    </xf>
    <xf numFmtId="0" fontId="166" fillId="4" borderId="0" xfId="0" applyFont="1" applyFill="1" applyAlignment="1" applyProtection="1">
      <alignment horizontal="left"/>
      <protection locked="0"/>
    </xf>
    <xf numFmtId="167" fontId="166" fillId="4" borderId="0" xfId="6" applyNumberFormat="1" applyFont="1" applyFill="1" applyBorder="1" applyAlignment="1" applyProtection="1">
      <alignment horizontal="left"/>
      <protection hidden="1"/>
    </xf>
    <xf numFmtId="3" fontId="20" fillId="0" borderId="66" xfId="0" applyNumberFormat="1" applyFont="1" applyBorder="1" applyAlignment="1">
      <alignment horizontal="right" vertical="center"/>
    </xf>
    <xf numFmtId="0" fontId="12" fillId="2" borderId="0" xfId="0" applyFont="1" applyFill="1" applyAlignment="1">
      <alignment horizontal="left" wrapText="1"/>
    </xf>
    <xf numFmtId="0" fontId="0" fillId="0" borderId="0" xfId="0" applyAlignment="1">
      <alignment wrapText="1"/>
    </xf>
    <xf numFmtId="0" fontId="75" fillId="2" borderId="0" xfId="0" applyFont="1" applyFill="1" applyAlignment="1">
      <alignment horizontal="center" vertical="center" wrapText="1"/>
    </xf>
    <xf numFmtId="0" fontId="19" fillId="2" borderId="0" xfId="0" applyFont="1" applyFill="1" applyAlignment="1">
      <alignment horizontal="center"/>
    </xf>
    <xf numFmtId="0" fontId="9" fillId="12" borderId="0" xfId="0" applyFont="1" applyFill="1" applyAlignment="1" applyProtection="1">
      <alignment horizontal="left" vertical="center"/>
      <protection locked="0"/>
    </xf>
    <xf numFmtId="0" fontId="20" fillId="0" borderId="0" xfId="0" applyFont="1" applyAlignment="1" applyProtection="1">
      <alignment vertical="center"/>
      <protection locked="0"/>
    </xf>
    <xf numFmtId="0" fontId="25" fillId="29" borderId="0" xfId="0" applyFont="1" applyFill="1" applyAlignment="1" applyProtection="1">
      <alignment horizontal="left" vertical="center"/>
      <protection locked="0"/>
    </xf>
    <xf numFmtId="0" fontId="25" fillId="30" borderId="64" xfId="0" applyFont="1" applyFill="1" applyBorder="1" applyAlignment="1" applyProtection="1">
      <alignment horizontal="center" vertical="center"/>
      <protection locked="0"/>
    </xf>
    <xf numFmtId="0" fontId="25" fillId="30" borderId="65" xfId="0" applyFont="1" applyFill="1" applyBorder="1" applyAlignment="1" applyProtection="1">
      <alignment horizontal="center" vertical="center"/>
      <protection locked="0"/>
    </xf>
    <xf numFmtId="0" fontId="55" fillId="4" borderId="165" xfId="0" applyFont="1" applyFill="1" applyBorder="1" applyAlignment="1">
      <alignment horizontal="center" vertical="center"/>
    </xf>
    <xf numFmtId="0" fontId="30" fillId="0" borderId="7" xfId="0" applyFont="1" applyBorder="1" applyAlignment="1">
      <alignment horizontal="center" vertical="center" textRotation="90"/>
    </xf>
    <xf numFmtId="0" fontId="30" fillId="0" borderId="7" xfId="0" applyFont="1" applyBorder="1" applyAlignment="1">
      <alignment horizontal="center" textRotation="90"/>
    </xf>
    <xf numFmtId="0" fontId="20" fillId="4" borderId="0" xfId="0" applyFont="1" applyFill="1" applyAlignment="1">
      <alignment horizontal="center" vertical="center" wrapText="1"/>
    </xf>
    <xf numFmtId="0" fontId="20" fillId="4" borderId="30" xfId="0" applyFont="1" applyFill="1" applyBorder="1" applyAlignment="1">
      <alignment horizontal="center" vertical="center" wrapText="1"/>
    </xf>
    <xf numFmtId="2" fontId="9" fillId="0" borderId="16" xfId="0" applyNumberFormat="1" applyFont="1" applyBorder="1" applyAlignment="1">
      <alignment horizontal="right" vertical="center" indent="1"/>
    </xf>
    <xf numFmtId="2" fontId="9" fillId="0" borderId="9" xfId="0" applyNumberFormat="1" applyFont="1" applyBorder="1" applyAlignment="1">
      <alignment horizontal="right" vertical="center" indent="1"/>
    </xf>
    <xf numFmtId="0" fontId="9" fillId="0" borderId="16" xfId="0" applyFont="1" applyBorder="1" applyAlignment="1">
      <alignment horizontal="right" vertical="center" indent="1"/>
    </xf>
    <xf numFmtId="0" fontId="9" fillId="0" borderId="9" xfId="0" applyFont="1" applyBorder="1" applyAlignment="1">
      <alignment horizontal="right" vertical="center" indent="1"/>
    </xf>
    <xf numFmtId="0" fontId="33" fillId="0" borderId="16" xfId="0" applyFont="1" applyBorder="1" applyAlignment="1" applyProtection="1">
      <alignment horizontal="right" indent="1"/>
      <protection hidden="1"/>
    </xf>
    <xf numFmtId="0" fontId="33" fillId="0" borderId="9" xfId="0" applyFont="1" applyBorder="1" applyAlignment="1" applyProtection="1">
      <alignment horizontal="right" indent="1"/>
      <protection hidden="1"/>
    </xf>
    <xf numFmtId="0" fontId="9" fillId="4" borderId="0" xfId="0" applyFont="1" applyFill="1" applyAlignment="1">
      <alignment horizontal="center" vertical="center"/>
    </xf>
    <xf numFmtId="3" fontId="20" fillId="12" borderId="43" xfId="0" applyNumberFormat="1" applyFont="1" applyFill="1" applyBorder="1" applyAlignment="1" applyProtection="1">
      <alignment horizontal="left" vertical="center"/>
      <protection locked="0"/>
    </xf>
    <xf numFmtId="3" fontId="20" fillId="12" borderId="96" xfId="0" applyNumberFormat="1" applyFont="1" applyFill="1" applyBorder="1" applyAlignment="1" applyProtection="1">
      <alignment horizontal="left" vertical="center"/>
      <protection locked="0"/>
    </xf>
    <xf numFmtId="3" fontId="20" fillId="12" borderId="33" xfId="0" applyNumberFormat="1" applyFont="1" applyFill="1" applyBorder="1" applyAlignment="1" applyProtection="1">
      <alignment horizontal="left" vertical="center"/>
      <protection locked="0"/>
    </xf>
    <xf numFmtId="3" fontId="20" fillId="0" borderId="98" xfId="0" applyNumberFormat="1" applyFont="1" applyBorder="1" applyAlignment="1">
      <alignment horizontal="left" vertical="center"/>
    </xf>
    <xf numFmtId="3" fontId="20" fillId="0" borderId="84" xfId="0" applyNumberFormat="1" applyFont="1" applyBorder="1" applyAlignment="1">
      <alignment horizontal="left" vertical="center"/>
    </xf>
    <xf numFmtId="3" fontId="20" fillId="0" borderId="85" xfId="0" applyNumberFormat="1" applyFont="1" applyBorder="1" applyAlignment="1">
      <alignment horizontal="left" vertical="center"/>
    </xf>
    <xf numFmtId="0" fontId="70" fillId="4" borderId="6" xfId="0" applyFont="1" applyFill="1" applyBorder="1" applyAlignment="1">
      <alignment horizontal="center" vertical="center"/>
    </xf>
    <xf numFmtId="0" fontId="70" fillId="4" borderId="0" xfId="0" applyFont="1" applyFill="1" applyAlignment="1">
      <alignment horizontal="center" vertical="center"/>
    </xf>
    <xf numFmtId="3" fontId="20" fillId="0" borderId="0" xfId="0" applyNumberFormat="1" applyFont="1" applyAlignment="1">
      <alignment horizontal="center" vertical="center"/>
    </xf>
    <xf numFmtId="3" fontId="20" fillId="0" borderId="94" xfId="0" applyNumberFormat="1" applyFont="1" applyBorder="1" applyAlignment="1">
      <alignment horizontal="right" vertical="center" indent="1"/>
    </xf>
    <xf numFmtId="3" fontId="20" fillId="0" borderId="93" xfId="0" applyNumberFormat="1" applyFont="1" applyBorder="1" applyAlignment="1">
      <alignment horizontal="right" vertical="center" indent="1"/>
    </xf>
    <xf numFmtId="3" fontId="20" fillId="0" borderId="66" xfId="0" applyNumberFormat="1" applyFont="1" applyBorder="1" applyAlignment="1">
      <alignment horizontal="right" vertical="center" indent="1"/>
    </xf>
    <xf numFmtId="3" fontId="20" fillId="0" borderId="51" xfId="0" applyNumberFormat="1" applyFont="1" applyBorder="1" applyAlignment="1">
      <alignment horizontal="left" vertical="center"/>
    </xf>
    <xf numFmtId="3" fontId="20" fillId="0" borderId="53" xfId="0" applyNumberFormat="1" applyFont="1" applyBorder="1" applyAlignment="1">
      <alignment horizontal="left" vertical="center"/>
    </xf>
    <xf numFmtId="3" fontId="20" fillId="0" borderId="9" xfId="0" applyNumberFormat="1" applyFont="1" applyBorder="1" applyAlignment="1">
      <alignment horizontal="left" vertical="center"/>
    </xf>
    <xf numFmtId="2" fontId="94" fillId="16" borderId="16" xfId="0" applyNumberFormat="1" applyFont="1" applyFill="1" applyBorder="1" applyAlignment="1">
      <alignment horizontal="center" vertical="center"/>
    </xf>
    <xf numFmtId="2" fontId="94" fillId="16" borderId="53" xfId="0" applyNumberFormat="1" applyFont="1" applyFill="1" applyBorder="1" applyAlignment="1">
      <alignment horizontal="center" vertical="center"/>
    </xf>
    <xf numFmtId="1" fontId="20" fillId="4" borderId="16" xfId="0" applyNumberFormat="1" applyFont="1" applyFill="1" applyBorder="1" applyAlignment="1">
      <alignment horizontal="right" vertical="center"/>
    </xf>
    <xf numFmtId="1" fontId="20" fillId="4" borderId="53" xfId="0" applyNumberFormat="1" applyFont="1" applyFill="1" applyBorder="1" applyAlignment="1">
      <alignment horizontal="right" vertical="center"/>
    </xf>
    <xf numFmtId="0" fontId="70" fillId="14" borderId="16" xfId="0" applyFont="1" applyFill="1" applyBorder="1" applyAlignment="1">
      <alignment horizontal="center" vertical="center"/>
    </xf>
    <xf numFmtId="0" fontId="70" fillId="14" borderId="53" xfId="0" applyFont="1" applyFill="1" applyBorder="1" applyAlignment="1">
      <alignment horizontal="center" vertical="center"/>
    </xf>
    <xf numFmtId="0" fontId="70" fillId="14" borderId="9" xfId="0" applyFont="1" applyFill="1" applyBorder="1" applyAlignment="1">
      <alignment horizontal="center" vertical="center"/>
    </xf>
    <xf numFmtId="0" fontId="29" fillId="0" borderId="1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8" xfId="0" applyFont="1" applyBorder="1" applyAlignment="1">
      <alignment horizontal="center" vertical="center" wrapText="1"/>
    </xf>
    <xf numFmtId="3" fontId="20" fillId="0" borderId="69" xfId="0" applyNumberFormat="1" applyFont="1" applyBorder="1" applyAlignment="1">
      <alignment horizontal="left" vertical="center"/>
    </xf>
    <xf numFmtId="3" fontId="20" fillId="0" borderId="16" xfId="0" applyNumberFormat="1" applyFont="1" applyBorder="1" applyAlignment="1">
      <alignment horizontal="right" vertical="center"/>
    </xf>
    <xf numFmtId="3" fontId="20" fillId="0" borderId="53" xfId="0" applyNumberFormat="1" applyFont="1" applyBorder="1" applyAlignment="1">
      <alignment horizontal="right" vertical="center"/>
    </xf>
    <xf numFmtId="3" fontId="20" fillId="0" borderId="9" xfId="0" applyNumberFormat="1" applyFont="1" applyBorder="1" applyAlignment="1">
      <alignment horizontal="right" vertical="center"/>
    </xf>
    <xf numFmtId="2" fontId="20" fillId="0" borderId="13" xfId="0" applyNumberFormat="1" applyFont="1" applyBorder="1" applyAlignment="1">
      <alignment horizontal="right" vertical="center"/>
    </xf>
    <xf numFmtId="2" fontId="20" fillId="6" borderId="16" xfId="0" applyNumberFormat="1" applyFont="1" applyFill="1" applyBorder="1" applyAlignment="1" applyProtection="1">
      <alignment horizontal="center" vertical="center"/>
      <protection locked="0"/>
    </xf>
    <xf numFmtId="2" fontId="20" fillId="6" borderId="53" xfId="0" applyNumberFormat="1" applyFont="1" applyFill="1" applyBorder="1" applyAlignment="1" applyProtection="1">
      <alignment horizontal="center" vertical="center"/>
      <protection locked="0"/>
    </xf>
    <xf numFmtId="2" fontId="20" fillId="6" borderId="9" xfId="0" applyNumberFormat="1" applyFont="1" applyFill="1" applyBorder="1" applyAlignment="1" applyProtection="1">
      <alignment horizontal="center" vertical="center"/>
      <protection locked="0"/>
    </xf>
    <xf numFmtId="0" fontId="114" fillId="0" borderId="7" xfId="0" applyFont="1" applyBorder="1" applyAlignment="1">
      <alignment horizontal="center" vertical="center" wrapText="1"/>
    </xf>
    <xf numFmtId="0" fontId="114" fillId="0" borderId="139" xfId="0" applyFont="1" applyBorder="1" applyAlignment="1">
      <alignment horizontal="center" vertical="center" wrapText="1"/>
    </xf>
    <xf numFmtId="3" fontId="20" fillId="0" borderId="61" xfId="0" applyNumberFormat="1" applyFont="1" applyBorder="1" applyAlignment="1">
      <alignment horizontal="right" vertical="center"/>
    </xf>
    <xf numFmtId="3" fontId="20" fillId="0" borderId="93" xfId="0" applyNumberFormat="1" applyFont="1" applyBorder="1" applyAlignment="1">
      <alignment horizontal="right" vertical="center"/>
    </xf>
    <xf numFmtId="3" fontId="20" fillId="0" borderId="66" xfId="0" applyNumberFormat="1" applyFont="1" applyBorder="1" applyAlignment="1">
      <alignment horizontal="right" vertical="center"/>
    </xf>
    <xf numFmtId="9" fontId="115" fillId="0" borderId="86" xfId="3" applyFont="1" applyFill="1" applyBorder="1" applyAlignment="1" applyProtection="1">
      <alignment horizontal="center" vertical="center"/>
    </xf>
    <xf numFmtId="9" fontId="115" fillId="0" borderId="87" xfId="3" applyFont="1" applyFill="1" applyBorder="1" applyAlignment="1" applyProtection="1">
      <alignment horizontal="center" vertical="center"/>
    </xf>
    <xf numFmtId="9" fontId="115" fillId="0" borderId="88" xfId="3" applyFont="1" applyFill="1" applyBorder="1" applyAlignment="1" applyProtection="1">
      <alignment horizontal="center" vertical="center"/>
    </xf>
    <xf numFmtId="3" fontId="20" fillId="0" borderId="16" xfId="0" applyNumberFormat="1" applyFont="1" applyBorder="1" applyAlignment="1">
      <alignment horizontal="left" vertical="center"/>
    </xf>
    <xf numFmtId="2" fontId="9" fillId="16" borderId="16" xfId="0" applyNumberFormat="1" applyFont="1" applyFill="1" applyBorder="1" applyAlignment="1">
      <alignment horizontal="center" vertical="center"/>
    </xf>
    <xf numFmtId="2" fontId="9" fillId="16" borderId="53" xfId="0" applyNumberFormat="1" applyFont="1" applyFill="1" applyBorder="1" applyAlignment="1">
      <alignment horizontal="center" vertical="center"/>
    </xf>
    <xf numFmtId="2" fontId="9" fillId="16" borderId="9" xfId="0" applyNumberFormat="1" applyFont="1" applyFill="1" applyBorder="1" applyAlignment="1">
      <alignment horizontal="center" vertical="center"/>
    </xf>
    <xf numFmtId="3" fontId="20" fillId="16" borderId="51" xfId="0" applyNumberFormat="1" applyFont="1" applyFill="1" applyBorder="1" applyAlignment="1">
      <alignment horizontal="center" vertical="center"/>
    </xf>
    <xf numFmtId="3" fontId="20" fillId="16" borderId="101" xfId="0" applyNumberFormat="1" applyFont="1" applyFill="1" applyBorder="1" applyAlignment="1">
      <alignment horizontal="center" vertical="center"/>
    </xf>
    <xf numFmtId="0" fontId="70" fillId="14" borderId="51" xfId="0" applyFont="1" applyFill="1" applyBorder="1" applyAlignment="1">
      <alignment horizontal="center" vertical="center"/>
    </xf>
    <xf numFmtId="0" fontId="70" fillId="14" borderId="90" xfId="0" applyFont="1" applyFill="1" applyBorder="1" applyAlignment="1">
      <alignment horizontal="center" vertical="center"/>
    </xf>
    <xf numFmtId="3" fontId="20" fillId="16" borderId="9" xfId="0" applyNumberFormat="1" applyFont="1" applyFill="1" applyBorder="1" applyAlignment="1">
      <alignment horizontal="center" vertical="center"/>
    </xf>
    <xf numFmtId="0" fontId="37" fillId="0" borderId="24" xfId="0" applyFont="1" applyBorder="1" applyAlignment="1">
      <alignment horizontal="center"/>
    </xf>
    <xf numFmtId="0" fontId="117" fillId="14" borderId="16" xfId="0" applyFont="1" applyFill="1" applyBorder="1" applyAlignment="1">
      <alignment horizontal="center" vertical="center"/>
    </xf>
    <xf numFmtId="0" fontId="117" fillId="14" borderId="53" xfId="0" applyFont="1" applyFill="1" applyBorder="1" applyAlignment="1">
      <alignment horizontal="center" vertical="center"/>
    </xf>
    <xf numFmtId="2" fontId="20" fillId="16" borderId="51" xfId="0" applyNumberFormat="1" applyFont="1" applyFill="1" applyBorder="1" applyAlignment="1">
      <alignment horizontal="center" vertical="center"/>
    </xf>
    <xf numFmtId="2" fontId="20" fillId="16" borderId="53" xfId="0" applyNumberFormat="1" applyFont="1" applyFill="1" applyBorder="1" applyAlignment="1">
      <alignment horizontal="center" vertical="center"/>
    </xf>
    <xf numFmtId="2" fontId="20" fillId="16" borderId="90" xfId="0" applyNumberFormat="1" applyFont="1" applyFill="1" applyBorder="1" applyAlignment="1">
      <alignment horizontal="center" vertical="center"/>
    </xf>
    <xf numFmtId="0" fontId="43" fillId="0" borderId="0" xfId="0" applyFont="1" applyAlignment="1">
      <alignment horizontal="center"/>
    </xf>
    <xf numFmtId="2" fontId="9" fillId="4" borderId="34" xfId="0" applyNumberFormat="1" applyFont="1" applyFill="1" applyBorder="1" applyAlignment="1">
      <alignment horizontal="left" vertical="center" wrapText="1"/>
    </xf>
    <xf numFmtId="2" fontId="9" fillId="4" borderId="24" xfId="0" applyNumberFormat="1" applyFont="1" applyFill="1" applyBorder="1" applyAlignment="1">
      <alignment horizontal="left" vertical="center" wrapText="1"/>
    </xf>
    <xf numFmtId="2" fontId="9" fillId="4" borderId="31" xfId="0" applyNumberFormat="1" applyFont="1" applyFill="1" applyBorder="1" applyAlignment="1">
      <alignment horizontal="left" vertical="center" wrapText="1"/>
    </xf>
    <xf numFmtId="2" fontId="9" fillId="4" borderId="30" xfId="0" applyNumberFormat="1" applyFont="1" applyFill="1" applyBorder="1" applyAlignment="1">
      <alignment horizontal="left" vertical="center" wrapText="1"/>
    </xf>
    <xf numFmtId="2" fontId="9" fillId="4" borderId="25" xfId="0" applyNumberFormat="1" applyFont="1" applyFill="1" applyBorder="1" applyAlignment="1">
      <alignment horizontal="left" vertical="center" wrapText="1"/>
    </xf>
    <xf numFmtId="2" fontId="9" fillId="4" borderId="29" xfId="0" applyNumberFormat="1" applyFont="1" applyFill="1" applyBorder="1" applyAlignment="1">
      <alignment horizontal="left" vertical="center" wrapText="1"/>
    </xf>
    <xf numFmtId="2" fontId="9" fillId="4" borderId="6" xfId="0" applyNumberFormat="1" applyFont="1" applyFill="1" applyBorder="1" applyAlignment="1">
      <alignment horizontal="left" vertical="center" wrapText="1"/>
    </xf>
    <xf numFmtId="2" fontId="9" fillId="4" borderId="0" xfId="0" applyNumberFormat="1" applyFont="1" applyFill="1" applyAlignment="1">
      <alignment horizontal="left" vertical="center" wrapText="1"/>
    </xf>
    <xf numFmtId="2" fontId="9" fillId="4" borderId="7" xfId="0" applyNumberFormat="1" applyFont="1" applyFill="1" applyBorder="1" applyAlignment="1">
      <alignment horizontal="left" vertical="center" wrapText="1"/>
    </xf>
    <xf numFmtId="0" fontId="9" fillId="4" borderId="34" xfId="0" applyFont="1" applyFill="1" applyBorder="1" applyAlignment="1">
      <alignment horizontal="left" vertical="center"/>
    </xf>
    <xf numFmtId="0" fontId="9" fillId="4" borderId="31" xfId="0" applyFont="1" applyFill="1" applyBorder="1" applyAlignment="1">
      <alignment horizontal="left" vertical="center"/>
    </xf>
    <xf numFmtId="0" fontId="9" fillId="4" borderId="30" xfId="0" applyFont="1" applyFill="1" applyBorder="1" applyAlignment="1">
      <alignment horizontal="left" vertical="center"/>
    </xf>
    <xf numFmtId="0" fontId="9" fillId="4" borderId="29" xfId="0" applyFont="1" applyFill="1" applyBorder="1" applyAlignment="1">
      <alignment horizontal="left" vertical="center"/>
    </xf>
    <xf numFmtId="2" fontId="9" fillId="4" borderId="3" xfId="0" applyNumberFormat="1" applyFont="1" applyFill="1" applyBorder="1" applyAlignment="1">
      <alignment horizontal="left" vertical="center" wrapText="1"/>
    </xf>
    <xf numFmtId="0" fontId="9" fillId="4" borderId="3" xfId="0" applyFont="1" applyFill="1" applyBorder="1" applyAlignment="1">
      <alignment horizontal="left" vertical="center"/>
    </xf>
    <xf numFmtId="0" fontId="29" fillId="0" borderId="11" xfId="0" applyFont="1" applyBorder="1" applyAlignment="1">
      <alignment horizontal="center" wrapText="1"/>
    </xf>
    <xf numFmtId="0" fontId="29" fillId="0" borderId="1" xfId="0" applyFont="1" applyBorder="1" applyAlignment="1">
      <alignment horizontal="center" wrapText="1"/>
    </xf>
    <xf numFmtId="0" fontId="29" fillId="0" borderId="28" xfId="0" applyFont="1" applyBorder="1" applyAlignment="1">
      <alignment horizontal="center" wrapText="1"/>
    </xf>
    <xf numFmtId="9" fontId="4" fillId="15" borderId="11" xfId="3" applyFont="1" applyFill="1" applyBorder="1" applyAlignment="1" applyProtection="1">
      <alignment horizontal="center" vertical="center"/>
      <protection locked="0"/>
    </xf>
    <xf numFmtId="9" fontId="4" fillId="15" borderId="1" xfId="3" applyFont="1" applyFill="1" applyBorder="1" applyAlignment="1" applyProtection="1">
      <alignment horizontal="center" vertical="center"/>
      <protection locked="0"/>
    </xf>
    <xf numFmtId="9" fontId="4" fillId="15" borderId="28" xfId="3" applyFont="1" applyFill="1" applyBorder="1" applyAlignment="1" applyProtection="1">
      <alignment horizontal="center" vertical="center"/>
      <protection locked="0"/>
    </xf>
    <xf numFmtId="0" fontId="36" fillId="0" borderId="0" xfId="0" applyFont="1" applyAlignment="1">
      <alignment horizontal="center" vertical="top" textRotation="90"/>
    </xf>
    <xf numFmtId="0" fontId="70" fillId="14" borderId="16" xfId="0" applyFont="1" applyFill="1" applyBorder="1" applyAlignment="1">
      <alignment horizontal="center"/>
    </xf>
    <xf numFmtId="0" fontId="70" fillId="14" borderId="53" xfId="0" applyFont="1" applyFill="1" applyBorder="1" applyAlignment="1">
      <alignment horizontal="center"/>
    </xf>
    <xf numFmtId="0" fontId="70" fillId="14" borderId="9" xfId="0" applyFont="1" applyFill="1" applyBorder="1" applyAlignment="1">
      <alignment horizontal="center"/>
    </xf>
    <xf numFmtId="2" fontId="20" fillId="16" borderId="16" xfId="0" applyNumberFormat="1" applyFont="1" applyFill="1" applyBorder="1" applyAlignment="1">
      <alignment horizontal="center" vertical="center"/>
    </xf>
    <xf numFmtId="2" fontId="20" fillId="16" borderId="9" xfId="0" applyNumberFormat="1" applyFont="1" applyFill="1" applyBorder="1" applyAlignment="1">
      <alignment horizontal="center" vertical="center"/>
    </xf>
    <xf numFmtId="2" fontId="80" fillId="0" borderId="3" xfId="0" applyNumberFormat="1" applyFont="1" applyBorder="1" applyAlignment="1">
      <alignment horizontal="right" vertical="center"/>
    </xf>
    <xf numFmtId="3" fontId="20" fillId="12" borderId="42" xfId="0" applyNumberFormat="1" applyFont="1" applyFill="1" applyBorder="1" applyAlignment="1" applyProtection="1">
      <alignment horizontal="left" vertical="center"/>
      <protection locked="0"/>
    </xf>
    <xf numFmtId="0" fontId="36" fillId="0" borderId="24" xfId="0" applyFont="1" applyBorder="1" applyAlignment="1">
      <alignment horizontal="center" vertical="center" textRotation="90"/>
    </xf>
    <xf numFmtId="0" fontId="36" fillId="0" borderId="0" xfId="0" applyFont="1" applyAlignment="1">
      <alignment horizontal="center" vertical="center" textRotation="90"/>
    </xf>
    <xf numFmtId="3" fontId="30" fillId="0" borderId="24" xfId="0" applyNumberFormat="1" applyFont="1" applyBorder="1" applyAlignment="1">
      <alignment horizontal="center" vertical="center"/>
    </xf>
    <xf numFmtId="0" fontId="30" fillId="0" borderId="0" xfId="0" applyFont="1" applyAlignment="1">
      <alignment horizontal="center"/>
    </xf>
    <xf numFmtId="3" fontId="40" fillId="4" borderId="24" xfId="0" applyNumberFormat="1" applyFont="1" applyFill="1" applyBorder="1" applyAlignment="1">
      <alignment horizontal="center" vertical="center" wrapText="1"/>
    </xf>
    <xf numFmtId="3" fontId="40" fillId="4" borderId="0" xfId="0" applyNumberFormat="1" applyFont="1" applyFill="1" applyAlignment="1">
      <alignment horizontal="center" vertical="center" wrapText="1"/>
    </xf>
    <xf numFmtId="0" fontId="40" fillId="0" borderId="0" xfId="0" applyFont="1" applyAlignment="1">
      <alignment horizontal="center" vertical="center" wrapText="1"/>
    </xf>
    <xf numFmtId="3" fontId="20" fillId="0" borderId="70" xfId="0" applyNumberFormat="1" applyFont="1" applyBorder="1" applyAlignment="1">
      <alignment horizontal="left" vertical="center"/>
    </xf>
    <xf numFmtId="3" fontId="20" fillId="0" borderId="77" xfId="0" applyNumberFormat="1" applyFont="1" applyBorder="1" applyAlignment="1">
      <alignment horizontal="left" vertical="center"/>
    </xf>
    <xf numFmtId="3" fontId="20" fillId="0" borderId="48" xfId="0" applyNumberFormat="1" applyFont="1" applyBorder="1" applyAlignment="1">
      <alignment horizontal="left" vertical="center"/>
    </xf>
    <xf numFmtId="1" fontId="9" fillId="16" borderId="51" xfId="0" applyNumberFormat="1" applyFont="1" applyFill="1" applyBorder="1" applyAlignment="1">
      <alignment horizontal="center" vertical="center"/>
    </xf>
    <xf numFmtId="1" fontId="9" fillId="16" borderId="53" xfId="0" applyNumberFormat="1" applyFont="1" applyFill="1" applyBorder="1" applyAlignment="1">
      <alignment horizontal="center" vertical="center"/>
    </xf>
    <xf numFmtId="1" fontId="9" fillId="16" borderId="9" xfId="0" applyNumberFormat="1" applyFont="1" applyFill="1" applyBorder="1" applyAlignment="1">
      <alignment horizontal="center" vertical="center"/>
    </xf>
    <xf numFmtId="0" fontId="23" fillId="4" borderId="0" xfId="0" applyFont="1" applyFill="1" applyAlignment="1">
      <alignment horizontal="center" vertical="center" wrapText="1"/>
    </xf>
    <xf numFmtId="0" fontId="20" fillId="14" borderId="16" xfId="0" applyFont="1" applyFill="1" applyBorder="1" applyAlignment="1">
      <alignment vertical="center"/>
    </xf>
    <xf numFmtId="0" fontId="20" fillId="14" borderId="9" xfId="0" applyFont="1" applyFill="1" applyBorder="1" applyAlignment="1">
      <alignment vertical="center"/>
    </xf>
    <xf numFmtId="1" fontId="35" fillId="15" borderId="70" xfId="7" applyNumberFormat="1" applyFont="1" applyFill="1" applyBorder="1" applyAlignment="1" applyProtection="1">
      <alignment horizontal="left" vertical="center"/>
      <protection locked="0"/>
    </xf>
    <xf numFmtId="1" fontId="35" fillId="15" borderId="48" xfId="7" applyNumberFormat="1" applyFont="1" applyFill="1" applyBorder="1" applyAlignment="1" applyProtection="1">
      <alignment horizontal="left" vertical="center"/>
      <protection locked="0"/>
    </xf>
    <xf numFmtId="0" fontId="9" fillId="4" borderId="0" xfId="0" applyFont="1" applyFill="1" applyAlignment="1">
      <alignment horizontal="left" vertical="center"/>
    </xf>
    <xf numFmtId="0" fontId="9" fillId="4" borderId="25" xfId="0" applyFont="1" applyFill="1" applyBorder="1" applyAlignment="1">
      <alignment horizontal="left" vertical="center"/>
    </xf>
    <xf numFmtId="1" fontId="9" fillId="14" borderId="16" xfId="0" applyNumberFormat="1" applyFont="1" applyFill="1" applyBorder="1" applyAlignment="1">
      <alignment horizontal="center" vertical="center"/>
    </xf>
    <xf numFmtId="1" fontId="9" fillId="14" borderId="9" xfId="0" applyNumberFormat="1" applyFont="1" applyFill="1" applyBorder="1" applyAlignment="1">
      <alignment horizontal="center" vertical="center"/>
    </xf>
    <xf numFmtId="1" fontId="9" fillId="14" borderId="16" xfId="0" applyNumberFormat="1" applyFont="1" applyFill="1" applyBorder="1" applyAlignment="1">
      <alignment horizontal="left" vertical="center" indent="1"/>
    </xf>
    <xf numFmtId="1" fontId="9" fillId="14" borderId="9" xfId="0" applyNumberFormat="1" applyFont="1" applyFill="1" applyBorder="1" applyAlignment="1">
      <alignment horizontal="left" vertical="center" indent="1"/>
    </xf>
    <xf numFmtId="0" fontId="2" fillId="0" borderId="0" xfId="0" applyFont="1" applyAlignment="1" applyProtection="1">
      <alignment horizontal="center" vertical="center"/>
      <protection locked="0"/>
    </xf>
    <xf numFmtId="3" fontId="35" fillId="15" borderId="1" xfId="8" applyNumberFormat="1" applyFont="1" applyFill="1" applyBorder="1" applyAlignment="1" applyProtection="1">
      <alignment horizontal="center" vertical="center"/>
      <protection locked="0"/>
    </xf>
    <xf numFmtId="3" fontId="35" fillId="15" borderId="5" xfId="8" applyNumberFormat="1" applyFont="1" applyFill="1" applyBorder="1" applyAlignment="1" applyProtection="1">
      <alignment horizontal="center" vertical="center"/>
      <protection locked="0"/>
    </xf>
    <xf numFmtId="0" fontId="9" fillId="4" borderId="24" xfId="0" applyFont="1" applyFill="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4" fillId="0" borderId="1" xfId="9" applyFont="1" applyFill="1" applyBorder="1" applyAlignment="1" applyProtection="1">
      <alignment horizontal="left" vertical="center" wrapText="1" indent="1"/>
    </xf>
    <xf numFmtId="0" fontId="4" fillId="0" borderId="5" xfId="9" applyFont="1" applyFill="1" applyBorder="1" applyAlignment="1" applyProtection="1">
      <alignment horizontal="left" vertical="center" wrapText="1" indent="1"/>
    </xf>
    <xf numFmtId="0" fontId="20" fillId="0" borderId="69" xfId="9" applyFont="1" applyFill="1" applyBorder="1" applyAlignment="1" applyProtection="1">
      <alignment horizontal="left" vertical="center" indent="1"/>
    </xf>
    <xf numFmtId="0" fontId="20" fillId="0" borderId="84" xfId="9" applyFont="1" applyFill="1" applyBorder="1" applyAlignment="1" applyProtection="1">
      <alignment horizontal="left" vertical="center" indent="1"/>
    </xf>
    <xf numFmtId="0" fontId="20" fillId="0" borderId="85" xfId="9" applyFont="1" applyFill="1" applyBorder="1" applyAlignment="1" applyProtection="1">
      <alignment horizontal="left" vertical="center" indent="1"/>
    </xf>
    <xf numFmtId="0" fontId="20" fillId="0" borderId="61" xfId="0" applyFont="1" applyBorder="1" applyAlignment="1">
      <alignment horizontal="left" vertical="top" indent="1"/>
    </xf>
    <xf numFmtId="0" fontId="20" fillId="0" borderId="93" xfId="0" applyFont="1" applyBorder="1" applyAlignment="1">
      <alignment horizontal="left" vertical="top" indent="1"/>
    </xf>
    <xf numFmtId="0" fontId="20" fillId="0" borderId="66" xfId="0" applyFont="1" applyBorder="1" applyAlignment="1">
      <alignment horizontal="left" vertical="top" indent="1"/>
    </xf>
    <xf numFmtId="0" fontId="9" fillId="0" borderId="0" xfId="0" applyFont="1" applyAlignment="1">
      <alignment horizontal="left" vertical="center"/>
    </xf>
    <xf numFmtId="3" fontId="20" fillId="16" borderId="53" xfId="0" applyNumberFormat="1" applyFont="1" applyFill="1" applyBorder="1" applyAlignment="1">
      <alignment horizontal="right" vertical="top"/>
    </xf>
    <xf numFmtId="0" fontId="20" fillId="0" borderId="16" xfId="0" applyFont="1" applyBorder="1" applyAlignment="1" applyProtection="1">
      <alignment horizontal="left" vertical="top"/>
      <protection hidden="1"/>
    </xf>
    <xf numFmtId="0" fontId="20" fillId="0" borderId="9" xfId="0" applyFont="1" applyBorder="1" applyAlignment="1" applyProtection="1">
      <alignment horizontal="left" vertical="top"/>
      <protection hidden="1"/>
    </xf>
    <xf numFmtId="3" fontId="35" fillId="15" borderId="11" xfId="8" applyNumberFormat="1" applyFont="1" applyFill="1" applyBorder="1" applyAlignment="1" applyProtection="1">
      <alignment horizontal="center" vertical="center"/>
      <protection locked="0"/>
    </xf>
    <xf numFmtId="0" fontId="122" fillId="4" borderId="0" xfId="0" applyFont="1" applyFill="1" applyAlignment="1">
      <alignment horizontal="center" vertical="center" wrapText="1"/>
    </xf>
    <xf numFmtId="0" fontId="122" fillId="4" borderId="25" xfId="0" applyFont="1" applyFill="1" applyBorder="1" applyAlignment="1">
      <alignment horizontal="center" vertical="center" wrapText="1"/>
    </xf>
    <xf numFmtId="169" fontId="7" fillId="16" borderId="16" xfId="0" applyNumberFormat="1" applyFont="1" applyFill="1" applyBorder="1" applyAlignment="1">
      <alignment horizontal="center" vertical="center"/>
    </xf>
    <xf numFmtId="169" fontId="7" fillId="16" borderId="53" xfId="0" applyNumberFormat="1" applyFont="1" applyFill="1" applyBorder="1" applyAlignment="1">
      <alignment horizontal="center" vertical="center"/>
    </xf>
    <xf numFmtId="169" fontId="7" fillId="16" borderId="9" xfId="0" applyNumberFormat="1" applyFont="1" applyFill="1" applyBorder="1" applyAlignment="1">
      <alignment horizontal="center" vertical="center"/>
    </xf>
    <xf numFmtId="169" fontId="29" fillId="16" borderId="16" xfId="0" applyNumberFormat="1" applyFont="1" applyFill="1" applyBorder="1" applyAlignment="1">
      <alignment horizontal="center" vertical="center"/>
    </xf>
    <xf numFmtId="169" fontId="29" fillId="16" borderId="53" xfId="0" applyNumberFormat="1" applyFont="1" applyFill="1" applyBorder="1" applyAlignment="1">
      <alignment horizontal="center" vertical="center"/>
    </xf>
    <xf numFmtId="169" fontId="29" fillId="16" borderId="9" xfId="0" applyNumberFormat="1" applyFont="1" applyFill="1" applyBorder="1" applyAlignment="1">
      <alignment horizontal="center" vertical="center"/>
    </xf>
    <xf numFmtId="1" fontId="35" fillId="15" borderId="71" xfId="7" applyNumberFormat="1" applyFont="1" applyFill="1" applyBorder="1" applyAlignment="1" applyProtection="1">
      <alignment horizontal="left" vertical="center"/>
      <protection locked="0"/>
    </xf>
    <xf numFmtId="1" fontId="35" fillId="15" borderId="54" xfId="7" applyNumberFormat="1" applyFont="1" applyFill="1" applyBorder="1" applyAlignment="1" applyProtection="1">
      <alignment horizontal="left" vertical="center"/>
      <protection locked="0"/>
    </xf>
    <xf numFmtId="1" fontId="35" fillId="15" borderId="60" xfId="7" applyNumberFormat="1" applyFont="1" applyFill="1" applyBorder="1" applyAlignment="1" applyProtection="1">
      <alignment horizontal="left" vertical="center"/>
      <protection locked="0"/>
    </xf>
    <xf numFmtId="1" fontId="35" fillId="15" borderId="52" xfId="7" applyNumberFormat="1" applyFont="1" applyFill="1" applyBorder="1" applyAlignment="1" applyProtection="1">
      <alignment horizontal="left" vertical="center"/>
      <protection locked="0"/>
    </xf>
    <xf numFmtId="1" fontId="9" fillId="14" borderId="3" xfId="0" applyNumberFormat="1"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166" fontId="88" fillId="0" borderId="16" xfId="0" applyNumberFormat="1" applyFont="1" applyBorder="1" applyAlignment="1" applyProtection="1">
      <alignment horizontal="left" vertical="center"/>
      <protection hidden="1"/>
    </xf>
    <xf numFmtId="166" fontId="88" fillId="0" borderId="9" xfId="0" applyNumberFormat="1" applyFont="1" applyBorder="1" applyAlignment="1" applyProtection="1">
      <alignment horizontal="left" vertical="center"/>
      <protection hidden="1"/>
    </xf>
    <xf numFmtId="166" fontId="20" fillId="0" borderId="16" xfId="0" applyNumberFormat="1" applyFont="1" applyBorder="1" applyAlignment="1" applyProtection="1">
      <alignment horizontal="left" vertical="center"/>
      <protection hidden="1"/>
    </xf>
    <xf numFmtId="166" fontId="20" fillId="0" borderId="9" xfId="0" applyNumberFormat="1" applyFont="1" applyBorder="1" applyAlignment="1" applyProtection="1">
      <alignment horizontal="left" vertical="center"/>
      <protection hidden="1"/>
    </xf>
    <xf numFmtId="0" fontId="4" fillId="0" borderId="16" xfId="0" applyFont="1" applyBorder="1" applyAlignment="1">
      <alignment horizontal="left" vertical="center"/>
    </xf>
    <xf numFmtId="0" fontId="4" fillId="0" borderId="53" xfId="0" applyFont="1" applyBorder="1" applyAlignment="1">
      <alignment horizontal="left" vertical="center"/>
    </xf>
    <xf numFmtId="0" fontId="4" fillId="0" borderId="9" xfId="0" applyFont="1" applyBorder="1" applyAlignment="1">
      <alignment horizontal="left" vertical="center"/>
    </xf>
    <xf numFmtId="0" fontId="4" fillId="0" borderId="70" xfId="0" applyFont="1" applyBorder="1" applyAlignment="1">
      <alignment horizontal="left" vertical="center"/>
    </xf>
    <xf numFmtId="0" fontId="4" fillId="0" borderId="77" xfId="0" applyFont="1" applyBorder="1" applyAlignment="1">
      <alignment horizontal="left" vertical="center"/>
    </xf>
    <xf numFmtId="0" fontId="4" fillId="0" borderId="48" xfId="0" applyFont="1" applyBorder="1" applyAlignment="1">
      <alignment horizontal="left" vertical="center"/>
    </xf>
    <xf numFmtId="3" fontId="4" fillId="0" borderId="0" xfId="0" applyNumberFormat="1" applyFont="1" applyAlignment="1" applyProtection="1">
      <alignment horizontal="center" vertical="center" wrapText="1"/>
      <protection hidden="1"/>
    </xf>
    <xf numFmtId="0" fontId="4" fillId="15" borderId="60" xfId="0" applyFont="1" applyFill="1" applyBorder="1" applyAlignment="1">
      <alignment horizontal="left" vertical="center"/>
    </xf>
    <xf numFmtId="0" fontId="4" fillId="15" borderId="78" xfId="0" applyFont="1" applyFill="1" applyBorder="1" applyAlignment="1">
      <alignment horizontal="left" vertical="center"/>
    </xf>
    <xf numFmtId="0" fontId="4" fillId="15" borderId="52" xfId="0" applyFont="1" applyFill="1" applyBorder="1" applyAlignment="1">
      <alignment horizontal="left" vertical="center"/>
    </xf>
    <xf numFmtId="1" fontId="9" fillId="14" borderId="11" xfId="0" applyNumberFormat="1" applyFont="1" applyFill="1" applyBorder="1" applyAlignment="1">
      <alignment horizontal="center" vertical="center"/>
    </xf>
    <xf numFmtId="1" fontId="9" fillId="14" borderId="28" xfId="0" applyNumberFormat="1" applyFont="1" applyFill="1" applyBorder="1" applyAlignment="1">
      <alignment horizontal="center" vertical="center"/>
    </xf>
    <xf numFmtId="0" fontId="25" fillId="14" borderId="11" xfId="0" applyFont="1" applyFill="1" applyBorder="1" applyAlignment="1">
      <alignment horizontal="center" vertical="center"/>
    </xf>
    <xf numFmtId="0" fontId="25" fillId="14" borderId="28" xfId="0" applyFont="1" applyFill="1" applyBorder="1" applyAlignment="1">
      <alignment horizontal="center" vertical="center"/>
    </xf>
    <xf numFmtId="1" fontId="9" fillId="11" borderId="16" xfId="0" applyNumberFormat="1" applyFont="1" applyFill="1" applyBorder="1" applyAlignment="1">
      <alignment horizontal="center" vertical="center"/>
    </xf>
    <xf numFmtId="1" fontId="9" fillId="11" borderId="9" xfId="0" applyNumberFormat="1" applyFont="1" applyFill="1" applyBorder="1" applyAlignment="1">
      <alignment horizontal="center" vertical="center"/>
    </xf>
    <xf numFmtId="1" fontId="9" fillId="11" borderId="53" xfId="0" applyNumberFormat="1" applyFont="1" applyFill="1" applyBorder="1" applyAlignment="1">
      <alignment horizontal="center" vertical="center"/>
    </xf>
    <xf numFmtId="1" fontId="9" fillId="11" borderId="79" xfId="0" applyNumberFormat="1" applyFont="1" applyFill="1" applyBorder="1" applyAlignment="1">
      <alignment horizontal="center" vertical="center"/>
    </xf>
    <xf numFmtId="0" fontId="20" fillId="0" borderId="13" xfId="0" applyFont="1" applyBorder="1" applyAlignment="1">
      <alignment horizontal="left"/>
    </xf>
    <xf numFmtId="0" fontId="4" fillId="0" borderId="0" xfId="0" applyFont="1"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7" fillId="4" borderId="0" xfId="0" applyFont="1" applyFill="1" applyAlignment="1">
      <alignment textRotation="90" wrapText="1"/>
    </xf>
    <xf numFmtId="0" fontId="74" fillId="0" borderId="0" xfId="0" applyFont="1" applyAlignment="1">
      <alignment textRotation="90" wrapText="1"/>
    </xf>
    <xf numFmtId="0" fontId="7" fillId="4" borderId="0" xfId="0" applyFont="1" applyFill="1" applyAlignment="1">
      <alignment horizontal="left" vertical="top" textRotation="180" wrapText="1"/>
    </xf>
    <xf numFmtId="0" fontId="74" fillId="0" borderId="0" xfId="0" applyFont="1" applyAlignment="1">
      <alignment horizontal="left" vertical="top" textRotation="180" wrapText="1"/>
    </xf>
    <xf numFmtId="1" fontId="29" fillId="0" borderId="1" xfId="0" applyNumberFormat="1" applyFont="1" applyBorder="1" applyAlignment="1">
      <alignment horizontal="center" textRotation="90" wrapText="1"/>
    </xf>
    <xf numFmtId="0" fontId="4" fillId="15" borderId="71" xfId="0" applyFont="1" applyFill="1" applyBorder="1" applyAlignment="1" applyProtection="1">
      <alignment horizontal="left" vertical="center"/>
      <protection locked="0"/>
    </xf>
    <xf numFmtId="0" fontId="4" fillId="15" borderId="164" xfId="0" applyFont="1" applyFill="1" applyBorder="1" applyAlignment="1" applyProtection="1">
      <alignment horizontal="left" vertical="center"/>
      <protection locked="0"/>
    </xf>
    <xf numFmtId="0" fontId="4" fillId="15" borderId="54" xfId="0" applyFont="1" applyFill="1" applyBorder="1" applyAlignment="1" applyProtection="1">
      <alignment horizontal="left" vertical="center"/>
      <protection locked="0"/>
    </xf>
    <xf numFmtId="0" fontId="97" fillId="0" borderId="0" xfId="0" applyFont="1" applyAlignment="1">
      <alignment horizontal="center" vertical="center" textRotation="90" wrapText="1"/>
    </xf>
    <xf numFmtId="0" fontId="97" fillId="0" borderId="0" xfId="0" applyFont="1" applyAlignment="1">
      <alignment horizontal="center" vertical="top" textRotation="180" wrapText="1"/>
    </xf>
    <xf numFmtId="1" fontId="4" fillId="0" borderId="0" xfId="0" applyNumberFormat="1" applyFont="1" applyAlignment="1">
      <alignment horizontal="center" vertical="top" textRotation="180" wrapText="1"/>
    </xf>
    <xf numFmtId="0" fontId="25" fillId="14" borderId="34" xfId="0" applyFont="1" applyFill="1" applyBorder="1" applyAlignment="1">
      <alignment horizontal="center" vertical="center"/>
    </xf>
    <xf numFmtId="0" fontId="25" fillId="14" borderId="30" xfId="0" applyFont="1" applyFill="1" applyBorder="1" applyAlignment="1">
      <alignment horizontal="center" vertical="center"/>
    </xf>
    <xf numFmtId="1" fontId="9" fillId="14" borderId="53" xfId="0" applyNumberFormat="1" applyFont="1" applyFill="1" applyBorder="1" applyAlignment="1">
      <alignment horizontal="center" vertical="center"/>
    </xf>
    <xf numFmtId="0" fontId="25" fillId="14" borderId="24" xfId="0" applyFont="1" applyFill="1" applyBorder="1" applyAlignment="1">
      <alignment horizontal="center" vertical="center"/>
    </xf>
    <xf numFmtId="0" fontId="25" fillId="14" borderId="31" xfId="0" applyFont="1" applyFill="1" applyBorder="1" applyAlignment="1">
      <alignment horizontal="center" vertical="center"/>
    </xf>
    <xf numFmtId="0" fontId="25" fillId="14" borderId="25" xfId="0" applyFont="1" applyFill="1" applyBorder="1" applyAlignment="1">
      <alignment horizontal="center" vertical="center"/>
    </xf>
    <xf numFmtId="0" fontId="25" fillId="14" borderId="29" xfId="0" applyFont="1" applyFill="1" applyBorder="1" applyAlignment="1">
      <alignment horizontal="center" vertical="center"/>
    </xf>
    <xf numFmtId="0" fontId="4" fillId="0" borderId="30" xfId="0" applyFont="1" applyBorder="1" applyAlignment="1">
      <alignment horizontal="left" vertical="center"/>
    </xf>
    <xf numFmtId="0" fontId="4" fillId="0" borderId="25" xfId="0" applyFont="1" applyBorder="1" applyAlignment="1">
      <alignment horizontal="left" vertical="center"/>
    </xf>
    <xf numFmtId="0" fontId="4" fillId="0" borderId="29" xfId="0" applyFont="1" applyBorder="1" applyAlignment="1">
      <alignment horizontal="left" vertical="center"/>
    </xf>
    <xf numFmtId="0" fontId="0" fillId="0" borderId="21" xfId="0" applyBorder="1" applyAlignment="1">
      <alignment horizontal="center"/>
    </xf>
    <xf numFmtId="0" fontId="0" fillId="0" borderId="18" xfId="0" applyBorder="1" applyAlignment="1">
      <alignment horizontal="center"/>
    </xf>
    <xf numFmtId="0" fontId="2" fillId="0" borderId="3" xfId="0" applyFont="1" applyBorder="1" applyAlignment="1">
      <alignment horizontal="center"/>
    </xf>
    <xf numFmtId="0" fontId="7" fillId="4" borderId="11"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29" fillId="0" borderId="0" xfId="0" applyFont="1" applyAlignment="1">
      <alignment horizontal="right"/>
    </xf>
    <xf numFmtId="0" fontId="0" fillId="0" borderId="27" xfId="0" applyBorder="1" applyAlignment="1">
      <alignment horizontal="center"/>
    </xf>
    <xf numFmtId="0" fontId="0" fillId="0" borderId="21" xfId="0" applyBorder="1" applyAlignment="1">
      <alignment horizontal="left"/>
    </xf>
    <xf numFmtId="0" fontId="0" fillId="0" borderId="18" xfId="0" applyBorder="1" applyAlignment="1">
      <alignment horizontal="left"/>
    </xf>
    <xf numFmtId="0" fontId="0" fillId="0" borderId="27" xfId="0" applyBorder="1" applyAlignment="1">
      <alignment horizontal="left"/>
    </xf>
    <xf numFmtId="0" fontId="2" fillId="0" borderId="24" xfId="0" applyFont="1" applyBorder="1" applyAlignment="1">
      <alignment horizontal="center"/>
    </xf>
    <xf numFmtId="0" fontId="60" fillId="0" borderId="26" xfId="0" applyFont="1" applyBorder="1" applyAlignment="1">
      <alignment horizontal="center" vertical="center"/>
    </xf>
    <xf numFmtId="0" fontId="60" fillId="0" borderId="0" xfId="0" applyFont="1" applyAlignment="1">
      <alignment horizontal="center" vertical="center"/>
    </xf>
    <xf numFmtId="0" fontId="0" fillId="0" borderId="55" xfId="0" applyBorder="1" applyAlignment="1">
      <alignment horizontal="center" vertical="center"/>
    </xf>
    <xf numFmtId="0" fontId="0" fillId="0" borderId="57"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cellXfs>
  <cellStyles count="11">
    <cellStyle name="20 % - Akzent3" xfId="7" builtinId="38"/>
    <cellStyle name="40 % - Akzent3" xfId="8" builtinId="39"/>
    <cellStyle name="60 % - Akzent3" xfId="9" builtinId="40"/>
    <cellStyle name="Komma" xfId="4" builtinId="3"/>
    <cellStyle name="Komma 2" xfId="6" xr:uid="{00000000-0005-0000-0000-000004000000}"/>
    <cellStyle name="Link" xfId="1" builtinId="8"/>
    <cellStyle name="Neutral" xfId="2" builtinId="28"/>
    <cellStyle name="Prozent" xfId="3" builtinId="5"/>
    <cellStyle name="Standard" xfId="0" builtinId="0"/>
    <cellStyle name="Standard 2" xfId="5" xr:uid="{00000000-0005-0000-0000-000009000000}"/>
    <cellStyle name="Standard 3" xfId="10" xr:uid="{00000000-0005-0000-0000-00000A000000}"/>
  </cellStyles>
  <dxfs count="717">
    <dxf>
      <fill>
        <patternFill>
          <bgColor theme="0" tint="-4.9989318521683403E-2"/>
        </patternFill>
      </fill>
    </dxf>
    <dxf>
      <fill>
        <patternFill patternType="none">
          <bgColor auto="1"/>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tint="-0.24994659260841701"/>
      </font>
      <fill>
        <patternFill patternType="none">
          <bgColor auto="1"/>
        </patternFill>
      </fill>
    </dxf>
    <dxf>
      <font>
        <color rgb="FF00B050"/>
      </font>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bgColor rgb="FFFF0000"/>
        </patternFill>
      </fill>
    </dxf>
    <dxf>
      <font>
        <color theme="0" tint="-0.24994659260841701"/>
      </font>
      <fill>
        <patternFill patternType="none">
          <bgColor auto="1"/>
        </patternFill>
      </fill>
    </dxf>
    <dxf>
      <font>
        <color rgb="FF00B050"/>
      </font>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ont>
        <color rgb="FF00B050"/>
      </font>
      <fill>
        <patternFill patternType="none">
          <bgColor auto="1"/>
        </patternFill>
      </fill>
    </dxf>
    <dxf>
      <font>
        <color theme="0" tint="-0.24994659260841701"/>
      </font>
      <fill>
        <patternFill patternType="none">
          <bgColor auto="1"/>
        </patternFill>
      </fill>
    </dxf>
    <dxf>
      <font>
        <color theme="0"/>
      </font>
      <fill>
        <patternFill>
          <bgColor rgb="FFFF0000"/>
        </patternFill>
      </fill>
      <border>
        <left style="thin">
          <color theme="0"/>
        </left>
        <right style="thin">
          <color theme="0"/>
        </right>
        <top style="thin">
          <color theme="0"/>
        </top>
        <bottom style="thin">
          <color theme="0"/>
        </bottom>
      </border>
    </dxf>
    <dxf>
      <font>
        <color theme="0"/>
      </font>
      <fill>
        <patternFill>
          <bgColor rgb="FFFF0000"/>
        </patternFill>
      </fill>
      <border>
        <left style="thin">
          <color theme="0"/>
        </left>
        <right style="thin">
          <color theme="0"/>
        </right>
        <top style="thin">
          <color theme="0"/>
        </top>
        <bottom style="thin">
          <color theme="0"/>
        </bottom>
      </border>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rgb="FF00B050"/>
      </font>
      <fill>
        <patternFill patternType="none">
          <bgColor auto="1"/>
        </patternFill>
      </fill>
    </dxf>
    <dxf>
      <font>
        <color theme="0" tint="-0.24994659260841701"/>
      </font>
      <fill>
        <patternFill patternType="none">
          <bgColor auto="1"/>
        </patternFill>
      </fill>
    </dxf>
    <dxf>
      <font>
        <color theme="0"/>
      </font>
      <fill>
        <patternFill>
          <bgColor rgb="FFFF0000"/>
        </patternFill>
      </fill>
    </dxf>
    <dxf>
      <fill>
        <patternFill patternType="none">
          <bgColor auto="1"/>
        </patternFill>
      </fill>
    </dxf>
    <dxf>
      <font>
        <color rgb="FF00B050"/>
      </font>
      <fill>
        <patternFill patternType="none">
          <bgColor auto="1"/>
        </patternFill>
      </fill>
    </dxf>
    <dxf>
      <font>
        <color theme="0" tint="-0.24994659260841701"/>
      </font>
      <fill>
        <patternFill patternType="none">
          <bgColor auto="1"/>
        </patternFill>
      </fill>
    </dxf>
    <dxf>
      <font>
        <color rgb="FF00B050"/>
      </font>
      <fill>
        <patternFill patternType="none">
          <bgColor auto="1"/>
        </patternFill>
      </fill>
    </dxf>
    <dxf>
      <font>
        <color theme="0" tint="-0.24994659260841701"/>
      </font>
      <fill>
        <patternFill patternType="none">
          <bgColor auto="1"/>
        </patternFill>
      </fill>
    </dxf>
    <dxf>
      <font>
        <color theme="0"/>
      </font>
      <fill>
        <patternFill>
          <bgColor rgb="FFFF0000"/>
        </patternFill>
      </fill>
      <border>
        <top style="thin">
          <color theme="0"/>
        </top>
        <bottom style="thin">
          <color theme="0"/>
        </bottom>
      </border>
    </dxf>
    <dxf>
      <font>
        <color theme="0"/>
      </font>
      <fill>
        <patternFill>
          <bgColor rgb="FFFF0000"/>
        </patternFill>
      </fill>
      <border>
        <bottom style="thin">
          <color theme="0"/>
        </bottom>
      </border>
    </dxf>
    <dxf>
      <font>
        <color theme="0"/>
      </font>
      <fill>
        <patternFill>
          <bgColor rgb="FFFF0000"/>
        </patternFill>
      </fill>
      <border>
        <top style="thin">
          <color theme="0"/>
        </top>
        <bottom style="thin">
          <color theme="0"/>
        </bottom>
      </border>
    </dxf>
    <dxf>
      <font>
        <color theme="0"/>
      </font>
      <fill>
        <patternFill>
          <bgColor rgb="FFFF0000"/>
        </patternFill>
      </fill>
      <border>
        <top style="thin">
          <color theme="0"/>
        </top>
        <bottom style="thin">
          <color theme="0"/>
        </bottom>
      </border>
    </dxf>
    <dxf>
      <fill>
        <patternFill>
          <bgColor theme="0" tint="-4.9989318521683403E-2"/>
        </patternFill>
      </fill>
    </dxf>
    <dxf>
      <fill>
        <patternFill patternType="none">
          <bgColor auto="1"/>
        </patternFill>
      </fill>
    </dxf>
    <dxf>
      <fill>
        <patternFill>
          <bgColor theme="0" tint="-4.9989318521683403E-2"/>
        </patternFill>
      </fill>
    </dxf>
    <dxf>
      <fill>
        <patternFill patternType="none">
          <bgColor auto="1"/>
        </patternFill>
      </fill>
    </dxf>
    <dxf>
      <fill>
        <patternFill>
          <bgColor theme="0" tint="-4.9989318521683403E-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4.9989318521683403E-2"/>
        </patternFill>
      </fill>
    </dxf>
    <dxf>
      <fill>
        <patternFill patternType="solid">
          <bgColor theme="0" tint="-4.9989318521683403E-2"/>
        </patternFill>
      </fill>
    </dxf>
    <dxf>
      <fill>
        <patternFill patternType="solid">
          <bgColor theme="0" tint="-4.9989318521683403E-2"/>
        </patternFill>
      </fill>
    </dxf>
    <dxf>
      <fill>
        <patternFill patternType="solid">
          <bgColor theme="0" tint="-4.9989318521683403E-2"/>
        </patternFill>
      </fill>
    </dxf>
    <dxf>
      <fill>
        <patternFill patternType="solid">
          <bgColor theme="0" tint="-4.9989318521683403E-2"/>
        </patternFill>
      </fill>
    </dxf>
    <dxf>
      <fill>
        <patternFill patternType="solid">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none">
          <bgColor auto="1"/>
        </patternFill>
      </fill>
    </dxf>
    <dxf>
      <font>
        <b/>
        <i val="0"/>
        <strike val="0"/>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b/>
        <i val="0"/>
        <strike val="0"/>
        <color theme="0"/>
      </font>
      <fill>
        <patternFill>
          <bgColor rgb="FFFF0000"/>
        </patternFill>
      </fill>
    </dxf>
    <dxf>
      <fill>
        <patternFill patternType="none">
          <bgColor auto="1"/>
        </patternFill>
      </fill>
    </dxf>
    <dxf>
      <font>
        <b/>
        <i val="0"/>
        <strike val="0"/>
        <color theme="0"/>
      </font>
      <fill>
        <patternFill>
          <bgColor rgb="FFFF0000"/>
        </patternFill>
      </fill>
    </dxf>
    <dxf>
      <font>
        <color theme="0"/>
      </font>
      <fill>
        <patternFill>
          <bgColor rgb="FFFF0000"/>
        </patternFill>
      </fill>
    </dxf>
    <dxf>
      <font>
        <b/>
        <i val="0"/>
        <strike val="0"/>
        <color theme="0"/>
      </font>
      <fill>
        <patternFill>
          <bgColor rgb="FFFF0000"/>
        </patternFill>
      </fill>
    </dxf>
    <dxf>
      <font>
        <b/>
        <i val="0"/>
        <color theme="0"/>
      </font>
      <fill>
        <patternFill>
          <bgColor rgb="FFFF0000"/>
        </patternFill>
      </fill>
    </dxf>
    <dxf>
      <font>
        <b/>
        <i val="0"/>
        <strike val="0"/>
        <color theme="0"/>
      </font>
      <fill>
        <patternFill>
          <bgColor rgb="FFFF0000"/>
        </patternFill>
      </fill>
    </dxf>
    <dxf>
      <font>
        <color theme="0"/>
      </font>
      <fill>
        <patternFill>
          <bgColor rgb="FFFF0000"/>
        </patternFill>
      </fill>
    </dxf>
    <dxf>
      <fill>
        <patternFill patternType="none">
          <bgColor auto="1"/>
        </patternFill>
      </fill>
    </dxf>
    <dxf>
      <font>
        <b/>
        <i val="0"/>
        <strike val="0"/>
        <color theme="0"/>
      </font>
      <fill>
        <patternFill>
          <bgColor rgb="FFFF0000"/>
        </patternFill>
      </fill>
    </dxf>
    <dxf>
      <font>
        <b/>
        <i val="0"/>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dxf>
    <dxf>
      <font>
        <b val="0"/>
        <i val="0"/>
        <color rgb="FF007434"/>
      </font>
    </dxf>
    <dxf>
      <font>
        <b val="0"/>
        <i val="0"/>
        <color rgb="FFFF0000"/>
      </font>
    </dxf>
    <dxf>
      <fill>
        <patternFill patternType="none">
          <bgColor auto="1"/>
        </patternFill>
      </fill>
    </dxf>
    <dxf>
      <fill>
        <patternFill>
          <bgColor theme="0" tint="-4.9989318521683403E-2"/>
        </patternFill>
      </fill>
    </dxf>
    <dxf>
      <fill>
        <patternFill patternType="none">
          <bgColor auto="1"/>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patternType="solid">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bgColor rgb="FFFF0000"/>
        </patternFill>
      </fill>
      <border>
        <left style="thin">
          <color auto="1"/>
        </left>
        <right style="thin">
          <color auto="1"/>
        </right>
        <top style="thin">
          <color auto="1"/>
        </top>
        <bottom style="thin">
          <color auto="1"/>
        </bottom>
      </border>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bgColor rgb="FFFF0000"/>
        </patternFill>
      </fill>
      <border>
        <left style="thin">
          <color auto="1"/>
        </left>
        <right style="thin">
          <color auto="1"/>
        </right>
        <top style="thin">
          <color auto="1"/>
        </top>
        <bottom style="thin">
          <color auto="1"/>
        </bottom>
      </border>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val="0"/>
        <color theme="0"/>
      </font>
      <fill>
        <patternFill>
          <bgColor rgb="FFFF0000"/>
        </patternFill>
      </fill>
    </dxf>
    <dxf>
      <font>
        <color theme="0"/>
      </font>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FF00"/>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solid">
          <bgColor theme="0" tint="-4.9989318521683403E-2"/>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bgColor rgb="FFFF0000"/>
        </patternFill>
      </fill>
    </dxf>
    <dxf>
      <fill>
        <patternFill patternType="solid">
          <bgColor theme="0" tint="-4.9989318521683403E-2"/>
        </patternFill>
      </fill>
    </dxf>
    <dxf>
      <fill>
        <patternFill patternType="none">
          <bgColor auto="1"/>
        </patternFill>
      </fill>
    </dxf>
    <dxf>
      <font>
        <color theme="0"/>
      </font>
      <fill>
        <patternFill>
          <bgColor rgb="FFFF0000"/>
        </patternFill>
      </fill>
    </dxf>
    <dxf>
      <font>
        <color theme="0"/>
      </font>
    </dxf>
    <dxf>
      <font>
        <b/>
        <i val="0"/>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ill>
        <patternFill>
          <bgColor rgb="FFFFFF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ont>
        <color auto="1"/>
      </font>
      <fill>
        <patternFill patternType="none">
          <bgColor auto="1"/>
        </patternFill>
      </fill>
    </dxf>
    <dxf>
      <fill>
        <patternFill>
          <bgColor rgb="FFFFFF00"/>
        </patternFill>
      </fill>
    </dxf>
    <dxf>
      <font>
        <color theme="0"/>
      </font>
      <fill>
        <patternFill>
          <bgColor rgb="FFFF00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solid">
          <bgColor rgb="FFF5F7EF"/>
        </patternFill>
      </fill>
    </dxf>
    <dxf>
      <fill>
        <patternFill patternType="solid">
          <bgColor rgb="FFF5F7EF"/>
        </patternFill>
      </fill>
    </dxf>
    <dxf>
      <fill>
        <patternFill patternType="solid">
          <bgColor rgb="FFF5F7EF"/>
        </patternFill>
      </fill>
    </dxf>
    <dxf>
      <fill>
        <patternFill patternType="solid">
          <bgColor rgb="FFF5F7EF"/>
        </patternFill>
      </fill>
    </dxf>
    <dxf>
      <fill>
        <patternFill patternType="solid">
          <bgColor rgb="FFF5F7EF"/>
        </patternFill>
      </fill>
    </dxf>
    <dxf>
      <fill>
        <patternFill patternType="solid">
          <bgColor rgb="FFF5F7EF"/>
        </patternFill>
      </fill>
    </dxf>
    <dxf>
      <fill>
        <patternFill patternType="solid">
          <bgColor rgb="FFF5F7EF"/>
        </patternFill>
      </fill>
    </dxf>
    <dxf>
      <fill>
        <patternFill patternType="solid">
          <bgColor rgb="FFF5F7EF"/>
        </patternFill>
      </fill>
    </dxf>
    <dxf>
      <fill>
        <patternFill patternType="solid">
          <bgColor rgb="FFF5F7EF"/>
        </patternFill>
      </fill>
    </dxf>
    <dxf>
      <fill>
        <patternFill patternType="solid">
          <bgColor rgb="FFF5F7EF"/>
        </patternFill>
      </fill>
    </dxf>
    <dxf>
      <fill>
        <patternFill patternType="solid">
          <bgColor rgb="FFF5F7EF"/>
        </patternFill>
      </fill>
    </dxf>
    <dxf>
      <fill>
        <patternFill patternType="solid">
          <bgColor rgb="FFF5F7E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solid">
          <bgColor rgb="FFF5F7EF"/>
        </patternFill>
      </fill>
    </dxf>
    <dxf>
      <fill>
        <patternFill patternType="none">
          <bgColor auto="1"/>
        </patternFill>
      </fill>
    </dxf>
    <dxf>
      <fill>
        <patternFill patternType="none">
          <bgColor auto="1"/>
        </patternFill>
      </fill>
    </dxf>
    <dxf>
      <font>
        <color rgb="FFEBF2DE"/>
      </font>
    </dxf>
    <dxf>
      <fill>
        <patternFill patternType="none">
          <bgColor auto="1"/>
        </patternFill>
      </fill>
    </dxf>
    <dxf>
      <font>
        <color theme="0"/>
      </font>
      <fill>
        <patternFill patternType="solid">
          <bgColor theme="0"/>
        </patternFill>
      </fill>
    </dxf>
    <dxf>
      <font>
        <color theme="0"/>
      </font>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solid">
          <bgColor theme="0"/>
        </patternFill>
      </fill>
    </dxf>
    <dxf>
      <fill>
        <patternFill patternType="gray0625">
          <bgColor auto="1"/>
        </patternFill>
      </fill>
    </dxf>
    <dxf>
      <fill>
        <patternFill patternType="none">
          <bgColor auto="1"/>
        </patternFill>
      </fill>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border>
        <left style="thin">
          <color theme="0" tint="-0.499984740745262"/>
        </left>
        <right style="thin">
          <color theme="0" tint="-0.499984740745262"/>
        </right>
        <bottom style="thin">
          <color theme="0" tint="-0.499984740745262"/>
        </bottom>
        <vertical/>
        <horizontal/>
      </border>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gray0625">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patternType="solid">
          <bgColor theme="0"/>
        </patternFill>
      </fill>
    </dxf>
    <dxf>
      <fill>
        <patternFill patternType="gray0625">
          <bgColor auto="1"/>
        </patternFill>
      </fill>
    </dxf>
    <dxf>
      <fill>
        <patternFill patternType="none">
          <bgColor auto="1"/>
        </patternFill>
      </fill>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gray0625">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border>
        <left style="thin">
          <color theme="0" tint="-0.499984740745262"/>
        </left>
        <right style="thin">
          <color theme="0" tint="-0.499984740745262"/>
        </right>
        <bottom style="thin">
          <color theme="0" tint="-0.499984740745262"/>
        </bottom>
        <vertical/>
        <horizontal/>
      </border>
    </dxf>
    <dxf>
      <fill>
        <patternFill patternType="none">
          <bgColor auto="1"/>
        </patternFill>
      </fill>
    </dxf>
    <dxf>
      <fill>
        <patternFill patternType="none">
          <bgColor auto="1"/>
        </patternFill>
      </fill>
    </dxf>
    <dxf>
      <font>
        <color theme="0"/>
      </font>
      <fill>
        <patternFill patternType="gray0625"/>
      </fill>
    </dxf>
    <dxf>
      <font>
        <color theme="0"/>
      </font>
      <fill>
        <patternFill patternType="gray0625"/>
      </fill>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strike val="0"/>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border>
        <left style="thin">
          <color theme="0" tint="-0.499984740745262"/>
        </left>
        <right style="thin">
          <color theme="0" tint="-0.499984740745262"/>
        </right>
        <bottom style="thin">
          <color theme="0" tint="-0.499984740745262"/>
        </bottom>
        <vertical/>
        <horizontal/>
      </border>
    </dxf>
    <dxf>
      <fill>
        <patternFill patternType="none">
          <bgColor auto="1"/>
        </patternFill>
      </fill>
    </dxf>
    <dxf>
      <fill>
        <patternFill patternType="none">
          <bgColor auto="1"/>
        </patternFill>
      </fill>
    </dxf>
    <dxf>
      <font>
        <color theme="0"/>
      </font>
      <fill>
        <patternFill patternType="gray0625"/>
      </fill>
    </dxf>
    <dxf>
      <font>
        <color theme="0"/>
      </font>
      <fill>
        <patternFill patternType="gray0625"/>
      </fill>
    </dxf>
    <dxf>
      <fill>
        <patternFill patternType="none">
          <bgColor auto="1"/>
        </patternFill>
      </fill>
    </dxf>
    <dxf>
      <fill>
        <patternFill patternType="none">
          <bgColor auto="1"/>
        </patternFill>
      </fill>
    </dxf>
    <dxf>
      <font>
        <color theme="0"/>
      </font>
      <fill>
        <patternFill patternType="solid">
          <bgColor theme="0"/>
        </patternFill>
      </fill>
    </dxf>
    <dxf>
      <font>
        <color theme="0"/>
      </font>
      <fill>
        <patternFill>
          <bgColor theme="0"/>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patternType="solid">
          <bgColor theme="0"/>
        </patternFill>
      </fill>
    </dxf>
    <dxf>
      <fill>
        <patternFill patternType="none">
          <bgColor auto="1"/>
        </patternFill>
      </fill>
    </dxf>
    <dxf>
      <font>
        <color theme="0"/>
      </font>
      <fill>
        <patternFill>
          <bgColor rgb="FFFF0000"/>
        </patternFill>
      </fill>
    </dxf>
    <dxf>
      <font>
        <color theme="0"/>
      </font>
      <fill>
        <patternFill patternType="solid">
          <bgColor theme="0"/>
        </patternFill>
      </fill>
    </dxf>
    <dxf>
      <font>
        <color theme="0"/>
      </font>
    </dxf>
    <dxf>
      <font>
        <color theme="0"/>
      </font>
      <fill>
        <patternFill patternType="solid">
          <bgColor theme="0"/>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ont>
        <color theme="0"/>
      </font>
      <fill>
        <patternFill patternType="solid">
          <bgColor theme="0"/>
        </patternFill>
      </fill>
    </dxf>
    <dxf>
      <fill>
        <patternFill patternType="none">
          <bgColor auto="1"/>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patternType="solid">
          <bgColor theme="0"/>
        </patternFill>
      </fill>
    </dxf>
    <dxf>
      <font>
        <b val="0"/>
        <i val="0"/>
        <color theme="0"/>
      </font>
      <fill>
        <patternFill>
          <bgColor rgb="FFFF00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ont>
        <color theme="0"/>
      </font>
    </dxf>
    <dxf>
      <font>
        <color theme="0"/>
      </font>
      <fill>
        <patternFill patternType="gray0625"/>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ont>
        <color theme="0"/>
      </font>
      <fill>
        <patternFill>
          <bgColor rgb="FFFF0000"/>
        </patternFill>
      </fill>
    </dxf>
    <dxf>
      <font>
        <color theme="0"/>
      </font>
      <fill>
        <patternFill patternType="solid">
          <bgColor theme="0"/>
        </patternFill>
      </fill>
    </dxf>
    <dxf>
      <fill>
        <patternFill patternType="none">
          <bgColor auto="1"/>
        </patternFill>
      </fill>
    </dxf>
    <dxf>
      <font>
        <color theme="0"/>
      </font>
      <fill>
        <patternFill patternType="solid">
          <bgColor theme="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
      <font>
        <color theme="0"/>
      </font>
    </dxf>
    <dxf>
      <font>
        <color theme="0"/>
      </font>
      <fill>
        <patternFill>
          <bgColor rgb="FFFF0000"/>
        </patternFill>
      </fill>
    </dxf>
    <dxf>
      <font>
        <color theme="0"/>
      </font>
      <fill>
        <patternFill>
          <bgColor theme="0"/>
        </patternFill>
      </fill>
    </dxf>
    <dxf>
      <font>
        <color theme="0"/>
      </font>
      <fill>
        <patternFill>
          <bgColor rgb="FFFF0000"/>
        </patternFill>
      </fill>
    </dxf>
    <dxf>
      <font>
        <color theme="0"/>
      </font>
      <fill>
        <patternFill patternType="gray0625"/>
      </fill>
    </dxf>
    <dxf>
      <font>
        <color theme="0"/>
      </font>
      <fill>
        <patternFill>
          <bgColor rgb="FFFF0000"/>
        </patternFill>
      </fill>
    </dxf>
    <dxf>
      <font>
        <color theme="0"/>
      </font>
      <fill>
        <patternFill>
          <bgColor rgb="FFFF0000"/>
        </patternFill>
      </fill>
    </dxf>
    <dxf>
      <font>
        <color theme="0"/>
      </font>
    </dxf>
    <dxf>
      <fill>
        <patternFill patternType="none">
          <bgColor auto="1"/>
        </patternFill>
      </fill>
    </dxf>
    <dxf>
      <font>
        <color theme="0"/>
      </font>
      <fill>
        <patternFill patternType="gray0625"/>
      </fill>
    </dxf>
    <dxf>
      <font>
        <color theme="0"/>
      </font>
      <fill>
        <patternFill>
          <bgColor rgb="FFFF0000"/>
        </patternFill>
      </fill>
    </dxf>
    <dxf>
      <font>
        <color theme="0"/>
      </font>
      <fill>
        <patternFill patternType="gray0625"/>
      </fill>
    </dxf>
    <dxf>
      <font>
        <color theme="0"/>
      </font>
      <fill>
        <patternFill>
          <bgColor rgb="FFFF0000"/>
        </patternFill>
      </fill>
    </dxf>
    <dxf>
      <font>
        <color theme="0"/>
      </font>
      <fill>
        <patternFill>
          <bgColor rgb="FFFF0000"/>
        </patternFill>
      </fill>
    </dxf>
    <dxf>
      <fill>
        <patternFill patternType="gray0625">
          <bgColor auto="1"/>
        </patternFill>
      </fill>
    </dxf>
    <dxf>
      <font>
        <color theme="0"/>
      </font>
      <fill>
        <patternFill patternType="gray0625">
          <bgColor auto="1"/>
        </patternFill>
      </fill>
    </dxf>
    <dxf>
      <font>
        <color theme="0"/>
      </font>
      <fill>
        <patternFill>
          <bgColor rgb="FFFF0000"/>
        </patternFill>
      </fill>
    </dxf>
    <dxf>
      <font>
        <color theme="0"/>
      </font>
      <fill>
        <patternFill>
          <bgColor rgb="FFFF0000"/>
        </patternFill>
      </fill>
    </dxf>
    <dxf>
      <font>
        <color theme="0"/>
      </font>
      <fill>
        <patternFill>
          <bgColor theme="0"/>
        </patternFill>
      </fill>
    </dxf>
    <dxf>
      <font>
        <color theme="0"/>
      </font>
      <fill>
        <patternFill>
          <bgColor rgb="FFFF0000"/>
        </patternFill>
      </fill>
    </dxf>
    <dxf>
      <font>
        <color theme="0"/>
      </font>
      <fill>
        <patternFill>
          <bgColor theme="0"/>
        </patternFill>
      </fill>
    </dxf>
    <dxf>
      <font>
        <color theme="0"/>
      </font>
      <fill>
        <patternFill>
          <bgColor rgb="FFFF0000"/>
        </patternFill>
      </fill>
    </dxf>
    <dxf>
      <font>
        <color theme="0"/>
      </font>
      <fill>
        <patternFill>
          <bgColor theme="0"/>
        </patternFill>
      </fill>
    </dxf>
    <dxf>
      <font>
        <color theme="0"/>
      </font>
      <fill>
        <patternFill>
          <bgColor rgb="FFFF0000"/>
        </patternFill>
      </fill>
    </dxf>
    <dxf>
      <fill>
        <patternFill patternType="none">
          <bgColor auto="1"/>
        </patternFill>
      </fill>
    </dxf>
    <dxf>
      <font>
        <color theme="0"/>
      </font>
      <fill>
        <patternFill>
          <bgColor theme="0"/>
        </patternFill>
      </fill>
    </dxf>
    <dxf>
      <font>
        <color theme="0"/>
      </font>
      <fill>
        <patternFill patternType="gray0625"/>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patternType="gray0625"/>
      </fill>
    </dxf>
    <dxf>
      <font>
        <color theme="0"/>
      </font>
      <fill>
        <patternFill>
          <bgColor rgb="FFFF0000"/>
        </patternFill>
      </fill>
    </dxf>
    <dxf>
      <font>
        <color theme="0"/>
      </font>
      <fill>
        <patternFill>
          <bgColor theme="0"/>
        </patternFill>
      </fill>
    </dxf>
    <dxf>
      <font>
        <color theme="0"/>
      </font>
      <fill>
        <patternFill>
          <bgColor rgb="FFFF0000"/>
        </patternFill>
      </fill>
    </dxf>
    <dxf>
      <font>
        <color theme="0"/>
      </font>
      <fill>
        <patternFill>
          <bgColor theme="0"/>
        </patternFill>
      </fill>
    </dxf>
    <dxf>
      <font>
        <color theme="0"/>
      </font>
      <fill>
        <patternFill>
          <bgColor rgb="FFFF0000"/>
        </patternFill>
      </fill>
    </dxf>
    <dxf>
      <font>
        <color theme="0"/>
      </font>
      <fill>
        <patternFill>
          <bgColor theme="0"/>
        </patternFill>
      </fill>
    </dxf>
    <dxf>
      <font>
        <color theme="0"/>
      </font>
      <fill>
        <patternFill>
          <bgColor rgb="FFFF0000"/>
        </patternFill>
      </fill>
    </dxf>
    <dxf>
      <fill>
        <patternFill patternType="none">
          <bgColor auto="1"/>
        </patternFill>
      </fill>
    </dxf>
    <dxf>
      <font>
        <color theme="0"/>
      </font>
      <fill>
        <patternFill>
          <bgColor theme="0"/>
        </patternFill>
      </fill>
    </dxf>
    <dxf>
      <font>
        <color theme="0"/>
      </font>
      <fill>
        <patternFill patternType="gray0625"/>
      </fill>
    </dxf>
    <dxf>
      <font>
        <color theme="0"/>
      </font>
      <fill>
        <patternFill>
          <bgColor rgb="FFFF0000"/>
        </patternFill>
      </fill>
    </dxf>
    <dxf>
      <font>
        <color theme="0"/>
      </font>
      <fill>
        <patternFill>
          <bgColor rgb="FFFF0000"/>
        </patternFill>
      </fill>
    </dxf>
    <dxf>
      <font>
        <color theme="0"/>
      </font>
      <fill>
        <patternFill patternType="gray0625"/>
      </fill>
    </dxf>
    <dxf>
      <font>
        <color theme="0"/>
      </font>
      <fill>
        <patternFill>
          <bgColor rgb="FFFF0000"/>
        </patternFill>
      </fill>
    </dxf>
    <dxf>
      <fill>
        <patternFill patternType="none">
          <bgColor auto="1"/>
        </patternFill>
      </fill>
    </dxf>
    <dxf>
      <font>
        <color theme="0"/>
      </font>
      <fill>
        <patternFill patternType="gray0625"/>
      </fill>
    </dxf>
    <dxf>
      <font>
        <color theme="0"/>
      </font>
      <fill>
        <patternFill>
          <bgColor rgb="FFFF0000"/>
        </patternFill>
      </fill>
    </dxf>
    <dxf>
      <font>
        <color theme="0"/>
      </font>
      <fill>
        <patternFill patternType="gray0625"/>
      </fill>
    </dxf>
    <dxf>
      <font>
        <color theme="0"/>
      </font>
      <fill>
        <patternFill patternType="solid">
          <bgColor theme="0"/>
        </patternFill>
      </fill>
    </dxf>
    <dxf>
      <font>
        <color theme="0"/>
      </font>
      <fill>
        <patternFill>
          <bgColor theme="0"/>
        </patternFill>
      </fill>
    </dxf>
    <dxf>
      <font>
        <color theme="0"/>
      </font>
      <fill>
        <patternFill patternType="none">
          <bgColor auto="1"/>
        </patternFill>
      </fill>
    </dxf>
    <dxf>
      <font>
        <color theme="0"/>
      </font>
      <fill>
        <patternFill patternType="solid">
          <bgColor theme="0"/>
        </patternFill>
      </fill>
    </dxf>
    <dxf>
      <font>
        <color theme="0"/>
      </font>
      <fill>
        <patternFill>
          <bgColor theme="0"/>
        </patternFill>
      </fill>
    </dxf>
    <dxf>
      <fill>
        <patternFill patternType="none">
          <bgColor auto="1"/>
        </patternFill>
      </fill>
    </dxf>
    <dxf>
      <fill>
        <patternFill patternType="none">
          <bgColor auto="1"/>
        </patternFill>
      </fill>
    </dxf>
    <dxf>
      <fill>
        <patternFill patternType="solid">
          <bgColor theme="2"/>
        </patternFill>
      </fill>
    </dxf>
    <dxf>
      <font>
        <b val="0"/>
        <i val="0"/>
        <color theme="0"/>
      </font>
      <fill>
        <patternFill>
          <bgColor rgb="FFFF0000"/>
        </patternFill>
      </fill>
    </dxf>
    <dxf>
      <fill>
        <patternFill patternType="solid">
          <bgColor theme="2"/>
        </patternFill>
      </fill>
    </dxf>
    <dxf>
      <font>
        <b val="0"/>
        <i val="0"/>
        <color theme="0"/>
      </font>
      <fill>
        <patternFill>
          <bgColor rgb="FFFF0000"/>
        </patternFill>
      </fill>
    </dxf>
    <dxf>
      <font>
        <color theme="0"/>
      </font>
    </dxf>
    <dxf>
      <font>
        <color theme="0"/>
      </font>
      <fill>
        <patternFill>
          <bgColor rgb="FFFF0000"/>
        </patternFill>
      </fill>
    </dxf>
    <dxf>
      <font>
        <color theme="0"/>
      </font>
      <fill>
        <patternFill>
          <bgColor theme="0"/>
        </patternFill>
      </fill>
    </dxf>
    <dxf>
      <font>
        <color theme="0"/>
      </font>
      <fill>
        <patternFill>
          <bgColor rgb="FFFF0000"/>
        </patternFill>
      </fill>
    </dxf>
    <dxf>
      <font>
        <color theme="0"/>
      </font>
    </dxf>
    <dxf>
      <font>
        <color theme="0"/>
      </font>
    </dxf>
    <dxf>
      <font>
        <color theme="0"/>
      </font>
    </dxf>
    <dxf>
      <font>
        <color theme="0"/>
      </font>
    </dxf>
    <dxf>
      <font>
        <color theme="0"/>
      </font>
    </dxf>
    <dxf>
      <font>
        <color rgb="FFFF0000"/>
      </font>
    </dxf>
    <dxf>
      <font>
        <b/>
        <i val="0"/>
        <color rgb="FFFF0000"/>
      </font>
      <fill>
        <patternFill>
          <bgColor theme="0"/>
        </patternFill>
      </fill>
    </dxf>
    <dxf>
      <fill>
        <patternFill>
          <bgColor theme="0" tint="-4.9989318521683403E-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gray0625"/>
      </fill>
    </dxf>
    <dxf>
      <fill>
        <patternFill patternType="none">
          <bgColor auto="1"/>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ont>
        <color auto="1"/>
      </font>
      <fill>
        <patternFill patternType="none">
          <bgColor auto="1"/>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bgColor theme="0" tint="-4.9989318521683403E-2"/>
        </patternFill>
      </fill>
    </dxf>
    <dxf>
      <fill>
        <patternFill>
          <bgColor rgb="FFFF0000"/>
        </patternFill>
      </fill>
    </dxf>
    <dxf>
      <fill>
        <patternFill patternType="gray0625"/>
      </fill>
    </dxf>
    <dxf>
      <font>
        <color theme="0"/>
      </font>
      <fill>
        <patternFill>
          <bgColor rgb="FFFF0000"/>
        </patternFill>
      </fill>
    </dxf>
    <dxf>
      <fill>
        <patternFill patternType="none">
          <bgColor auto="1"/>
        </patternFill>
      </fill>
    </dxf>
    <dxf>
      <fill>
        <patternFill>
          <bgColor rgb="FFFAFBF7"/>
        </patternFill>
      </fill>
    </dxf>
    <dxf>
      <fill>
        <patternFill>
          <bgColor rgb="FFFAFBF7"/>
        </patternFill>
      </fill>
    </dxf>
    <dxf>
      <fill>
        <patternFill>
          <bgColor rgb="FFFAFBF7"/>
        </patternFill>
      </fill>
    </dxf>
    <dxf>
      <font>
        <color theme="0"/>
      </font>
      <fill>
        <patternFill>
          <bgColor rgb="FFFF0000"/>
        </patternFill>
      </fill>
    </dxf>
    <dxf>
      <font>
        <color theme="0"/>
      </font>
      <fill>
        <patternFill>
          <bgColor rgb="FFFF0000"/>
        </patternFill>
      </fill>
    </dxf>
    <dxf>
      <fill>
        <patternFill>
          <bgColor rgb="FFFAFBF7"/>
        </patternFill>
      </fill>
    </dxf>
    <dxf>
      <font>
        <color theme="0"/>
      </font>
    </dxf>
    <dxf>
      <font>
        <color theme="0"/>
      </font>
    </dxf>
    <dxf>
      <font>
        <color theme="0"/>
      </font>
      <fill>
        <patternFill>
          <bgColor rgb="FFFF0000"/>
        </patternFill>
      </fill>
      <border>
        <left style="thin">
          <color auto="1"/>
        </left>
        <right style="thin">
          <color auto="1"/>
        </right>
        <top style="thin">
          <color auto="1"/>
        </top>
        <bottom style="thin">
          <color auto="1"/>
        </bottom>
      </border>
    </dxf>
    <dxf>
      <font>
        <color theme="0"/>
      </font>
      <fill>
        <patternFill>
          <bgColor rgb="FFFF0000"/>
        </patternFill>
      </fill>
      <border>
        <left style="thin">
          <color auto="1"/>
        </left>
        <right style="thin">
          <color auto="1"/>
        </right>
        <top style="thin">
          <color auto="1"/>
        </top>
        <bottom style="thin">
          <color auto="1"/>
        </bottom>
      </border>
    </dxf>
    <dxf>
      <fill>
        <patternFill>
          <bgColor theme="0" tint="-4.9989318521683403E-2"/>
        </patternFill>
      </fill>
      <border>
        <left/>
        <right/>
        <top/>
        <bottom/>
      </border>
    </dxf>
    <dxf>
      <fill>
        <patternFill patternType="solid">
          <bgColor theme="0" tint="-4.9989318521683403E-2"/>
        </patternFill>
      </fill>
      <border>
        <left/>
        <right/>
        <top/>
        <bottom/>
      </border>
    </dxf>
    <dxf>
      <fill>
        <patternFill patternType="solid">
          <bgColor theme="0" tint="-4.9989318521683403E-2"/>
        </patternFill>
      </fill>
      <border>
        <left/>
        <right/>
        <top/>
        <bottom/>
        <vertical/>
        <horizontal/>
      </border>
    </dxf>
    <dxf>
      <fill>
        <patternFill>
          <bgColor theme="0" tint="-4.9989318521683403E-2"/>
        </patternFill>
      </fill>
      <border>
        <left/>
        <right/>
        <top/>
        <bottom/>
      </border>
    </dxf>
    <dxf>
      <fill>
        <patternFill>
          <bgColor theme="0" tint="-4.9989318521683403E-2"/>
        </patternFill>
      </fill>
      <border>
        <left/>
        <right/>
        <top/>
        <bottom/>
      </border>
    </dxf>
    <dxf>
      <fill>
        <patternFill>
          <bgColor theme="0" tint="-4.9989318521683403E-2"/>
        </patternFill>
      </fill>
      <border>
        <left/>
        <right/>
        <top/>
        <bottom/>
      </border>
    </dxf>
    <dxf>
      <fill>
        <patternFill patternType="solid">
          <bgColor theme="0" tint="-4.9989318521683403E-2"/>
        </patternFill>
      </fill>
      <border>
        <left/>
        <right/>
        <top/>
        <bottom/>
      </border>
    </dxf>
    <dxf>
      <fill>
        <patternFill patternType="none">
          <bgColor auto="1"/>
        </patternFill>
      </fill>
    </dxf>
    <dxf>
      <fill>
        <patternFill patternType="none">
          <bgColor auto="1"/>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val="0"/>
        <i val="0"/>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border>
        <left style="hair">
          <color theme="0" tint="-0.14996795556505021"/>
        </left>
        <right style="hair">
          <color theme="0" tint="-0.14996795556505021"/>
        </right>
        <top style="hair">
          <color theme="0" tint="-0.14996795556505021"/>
        </top>
        <bottom style="hair">
          <color theme="0" tint="-0.14996795556505021"/>
        </bottom>
        <vertical/>
        <horizontal/>
      </border>
    </dxf>
    <dxf>
      <font>
        <b/>
        <i val="0"/>
        <color rgb="FFFF0000"/>
      </font>
    </dxf>
  </dxfs>
  <tableStyles count="0" defaultTableStyle="TableStyleMedium9" defaultPivotStyle="PivotStyleLight16"/>
  <colors>
    <mruColors>
      <color rgb="FFF5F7EF"/>
      <color rgb="FFFAFBF7"/>
      <color rgb="FFF8F7F2"/>
      <color rgb="FFFFB9B9"/>
      <color rgb="FFF7BBDA"/>
      <color rgb="FFF2DBDA"/>
      <color rgb="FFFF7D7D"/>
      <color rgb="FFFFFFE7"/>
      <color rgb="FFEDEBDF"/>
      <color rgb="FFFCFD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 Private Kosten|Costs'!$CX$50</c:f>
          <c:strCache>
            <c:ptCount val="1"/>
            <c:pt idx="0">
              <c:v>Persönliche Ausgaben (EUR)</c:v>
            </c:pt>
          </c:strCache>
        </c:strRef>
      </c:tx>
      <c:layout>
        <c:manualLayout>
          <c:xMode val="edge"/>
          <c:yMode val="edge"/>
          <c:x val="0.2758672565530037"/>
          <c:y val="4.6434489344930009E-3"/>
        </c:manualLayout>
      </c:layout>
      <c:overlay val="0"/>
      <c:txPr>
        <a:bodyPr/>
        <a:lstStyle/>
        <a:p>
          <a:pPr>
            <a:defRPr sz="2400" b="0"/>
          </a:pPr>
          <a:endParaRPr lang="de-DE"/>
        </a:p>
      </c:txPr>
    </c:title>
    <c:autoTitleDeleted val="0"/>
    <c:plotArea>
      <c:layout>
        <c:manualLayout>
          <c:layoutTarget val="inner"/>
          <c:xMode val="edge"/>
          <c:yMode val="edge"/>
          <c:x val="0.13276245603632819"/>
          <c:y val="9.5637701107520179E-2"/>
          <c:w val="0.86723750494848206"/>
          <c:h val="0.83715377005316127"/>
        </c:manualLayout>
      </c:layout>
      <c:barChart>
        <c:barDir val="col"/>
        <c:grouping val="stacked"/>
        <c:varyColors val="0"/>
        <c:dLbls>
          <c:showLegendKey val="0"/>
          <c:showVal val="1"/>
          <c:showCatName val="0"/>
          <c:showSerName val="0"/>
          <c:showPercent val="0"/>
          <c:showBubbleSize val="0"/>
        </c:dLbls>
        <c:gapWidth val="40"/>
        <c:overlap val="100"/>
        <c:axId val="433517416"/>
        <c:axId val="433519376"/>
      </c:barChart>
      <c:catAx>
        <c:axId val="433517416"/>
        <c:scaling>
          <c:orientation val="minMax"/>
        </c:scaling>
        <c:delete val="0"/>
        <c:axPos val="b"/>
        <c:numFmt formatCode="General" sourceLinked="1"/>
        <c:majorTickMark val="out"/>
        <c:minorTickMark val="none"/>
        <c:tickLblPos val="nextTo"/>
        <c:spPr>
          <a:ln w="9525">
            <a:solidFill>
              <a:schemeClr val="tx1">
                <a:lumMod val="85000"/>
                <a:lumOff val="15000"/>
              </a:schemeClr>
            </a:solidFill>
          </a:ln>
        </c:spPr>
        <c:txPr>
          <a:bodyPr/>
          <a:lstStyle/>
          <a:p>
            <a:pPr>
              <a:defRPr sz="1800"/>
            </a:pPr>
            <a:endParaRPr lang="de-DE"/>
          </a:p>
        </c:txPr>
        <c:crossAx val="433519376"/>
        <c:crosses val="autoZero"/>
        <c:auto val="1"/>
        <c:lblAlgn val="ctr"/>
        <c:lblOffset val="100"/>
        <c:noMultiLvlLbl val="0"/>
      </c:catAx>
      <c:valAx>
        <c:axId val="433519376"/>
        <c:scaling>
          <c:orientation val="minMax"/>
        </c:scaling>
        <c:delete val="0"/>
        <c:axPos val="l"/>
        <c:majorGridlines>
          <c:spPr>
            <a:ln>
              <a:solidFill>
                <a:schemeClr val="bg1">
                  <a:lumMod val="85000"/>
                </a:schemeClr>
              </a:solidFill>
            </a:ln>
          </c:spPr>
        </c:majorGridlines>
        <c:numFmt formatCode="General" sourceLinked="1"/>
        <c:majorTickMark val="out"/>
        <c:minorTickMark val="none"/>
        <c:tickLblPos val="nextTo"/>
        <c:spPr>
          <a:ln>
            <a:solidFill>
              <a:schemeClr val="tx1">
                <a:lumMod val="75000"/>
                <a:lumOff val="25000"/>
              </a:schemeClr>
            </a:solidFill>
          </a:ln>
        </c:spPr>
        <c:txPr>
          <a:bodyPr/>
          <a:lstStyle/>
          <a:p>
            <a:pPr>
              <a:defRPr sz="1800"/>
            </a:pPr>
            <a:endParaRPr lang="de-DE"/>
          </a:p>
        </c:txPr>
        <c:crossAx val="433517416"/>
        <c:crosses val="autoZero"/>
        <c:crossBetween val="between"/>
      </c:valAx>
      <c:spPr>
        <a:solidFill>
          <a:schemeClr val="bg1"/>
        </a:solidFill>
        <a:ln>
          <a:solidFill>
            <a:schemeClr val="bg1">
              <a:lumMod val="75000"/>
            </a:schemeClr>
          </a:solidFill>
        </a:ln>
      </c:spPr>
    </c:plotArea>
    <c:plotVisOnly val="1"/>
    <c:dispBlanksAs val="gap"/>
    <c:showDLblsOverMax val="0"/>
  </c:chart>
  <c:spPr>
    <a:solidFill>
      <a:schemeClr val="bg1"/>
    </a:solidFill>
    <a:ln>
      <a:noFill/>
    </a:ln>
  </c:spPr>
  <c:printSettings>
    <c:headerFooter/>
    <c:pageMargins b="0.78740157499999996" l="0.70000000000000062" r="0.70000000000000062" t="0.78740157499999996"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 Rendite|Profit'!$CY$45</c:f>
          <c:strCache>
            <c:ptCount val="1"/>
            <c:pt idx="0">
              <c:v>Jährlicher Gewinn/Verlust</c:v>
            </c:pt>
          </c:strCache>
        </c:strRef>
      </c:tx>
      <c:layout>
        <c:manualLayout>
          <c:xMode val="edge"/>
          <c:yMode val="edge"/>
          <c:x val="0.37154661520759691"/>
          <c:y val="1.1978609222161464E-2"/>
        </c:manualLayout>
      </c:layout>
      <c:overlay val="0"/>
      <c:txPr>
        <a:bodyPr/>
        <a:lstStyle/>
        <a:p>
          <a:pPr>
            <a:defRPr sz="1800" b="0">
              <a:solidFill>
                <a:sysClr val="windowText" lastClr="000000"/>
              </a:solidFill>
            </a:defRPr>
          </a:pPr>
          <a:endParaRPr lang="de-DE"/>
        </a:p>
      </c:txPr>
    </c:title>
    <c:autoTitleDeleted val="0"/>
    <c:plotArea>
      <c:layout>
        <c:manualLayout>
          <c:layoutTarget val="inner"/>
          <c:xMode val="edge"/>
          <c:yMode val="edge"/>
          <c:x val="0.13078837684704206"/>
          <c:y val="0.17794621951532666"/>
          <c:w val="0.9188794433829377"/>
          <c:h val="0.73697472517980911"/>
        </c:manualLayout>
      </c:layout>
      <c:barChart>
        <c:barDir val="col"/>
        <c:grouping val="stacked"/>
        <c:varyColors val="0"/>
        <c:ser>
          <c:idx val="1"/>
          <c:order val="1"/>
          <c:tx>
            <c:strRef>
              <c:f>'5 Rendite|Profit'!$D$117</c:f>
              <c:strCache>
                <c:ptCount val="1"/>
                <c:pt idx="0">
                  <c:v>+  Jahreswerte  -</c:v>
                </c:pt>
              </c:strCache>
            </c:strRef>
          </c:tx>
          <c:spPr>
            <a:solidFill>
              <a:schemeClr val="accent3">
                <a:lumMod val="40000"/>
                <a:lumOff val="60000"/>
              </a:schemeClr>
            </a:solidFill>
            <a:ln>
              <a:solidFill>
                <a:schemeClr val="bg1">
                  <a:lumMod val="50000"/>
                </a:schemeClr>
              </a:solidFill>
            </a:ln>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'5 Rendite|Profit'!$E$120:$I$120</c:f>
              <c:numCache>
                <c:formatCode>0</c:formatCode>
                <c:ptCount val="5"/>
                <c:pt idx="0">
                  <c:v>2026</c:v>
                </c:pt>
                <c:pt idx="1">
                  <c:v>2027</c:v>
                </c:pt>
                <c:pt idx="2">
                  <c:v>2028</c:v>
                </c:pt>
                <c:pt idx="3">
                  <c:v>2029</c:v>
                </c:pt>
                <c:pt idx="4">
                  <c:v>2030</c:v>
                </c:pt>
              </c:numCache>
            </c:numRef>
          </c:cat>
          <c:val>
            <c:numRef>
              <c:f>'5 Rendite|Profit'!$E$117:$I$117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D0CD-434E-90AD-D1498FD1A3FE}"/>
            </c:ext>
          </c:extLst>
        </c:ser>
        <c:ser>
          <c:idx val="2"/>
          <c:order val="2"/>
          <c:tx>
            <c:strRef>
              <c:f>'5 Rendite|Profit'!$D$118</c:f>
              <c:strCache>
                <c:ptCount val="1"/>
              </c:strCache>
            </c:strRef>
          </c:tx>
          <c:spPr>
            <a:solidFill>
              <a:schemeClr val="accent6">
                <a:lumMod val="40000"/>
                <a:lumOff val="60000"/>
              </a:schemeClr>
            </a:solidFill>
            <a:ln>
              <a:solidFill>
                <a:schemeClr val="accent1"/>
              </a:solidFill>
            </a:ln>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'5 Rendite|Profit'!$E$120:$I$120</c:f>
              <c:numCache>
                <c:formatCode>0</c:formatCode>
                <c:ptCount val="5"/>
                <c:pt idx="0">
                  <c:v>2026</c:v>
                </c:pt>
                <c:pt idx="1">
                  <c:v>2027</c:v>
                </c:pt>
                <c:pt idx="2">
                  <c:v>2028</c:v>
                </c:pt>
                <c:pt idx="3">
                  <c:v>2029</c:v>
                </c:pt>
                <c:pt idx="4">
                  <c:v>2030</c:v>
                </c:pt>
              </c:numCache>
            </c:numRef>
          </c:cat>
          <c:val>
            <c:numRef>
              <c:f>'5 Rendite|Profit'!$E$118:$I$118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D0CD-434E-90AD-D1498FD1A3FE}"/>
            </c:ext>
          </c:extLst>
        </c:ser>
        <c:dLbls>
          <c:showLegendKey val="0"/>
          <c:showVal val="0"/>
          <c:showCatName val="0"/>
          <c:showSerName val="0"/>
          <c:showPercent val="0"/>
          <c:showBubbleSize val="0"/>
        </c:dLbls>
        <c:gapWidth val="50"/>
        <c:overlap val="100"/>
        <c:axId val="442634680"/>
        <c:axId val="442636248"/>
        <c:extLst>
          <c:ext xmlns:c15="http://schemas.microsoft.com/office/drawing/2012/chart" uri="{02D57815-91ED-43cb-92C2-25804820EDAC}">
            <c15:filteredBarSeries>
              <c15:ser>
                <c:idx val="0"/>
                <c:order val="0"/>
                <c:tx>
                  <c:strRef>
                    <c:extLst>
                      <c:ext uri="{02D57815-91ED-43cb-92C2-25804820EDAC}">
                        <c15:formulaRef>
                          <c15:sqref>'5 Rendite|Profit'!$D$116</c15:sqref>
                        </c15:formulaRef>
                      </c:ext>
                    </c:extLst>
                    <c:strCache>
                      <c:ptCount val="1"/>
                      <c:pt idx="0">
                        <c:v>Ergebnis</c:v>
                      </c:pt>
                    </c:strCache>
                  </c:strRef>
                </c:tx>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numRef>
                    <c:extLst>
                      <c:ext uri="{02D57815-91ED-43cb-92C2-25804820EDAC}">
                        <c15:formulaRef>
                          <c15:sqref>'5 Rendite|Profit'!$E$120:$I$120</c15:sqref>
                        </c15:formulaRef>
                      </c:ext>
                    </c:extLst>
                    <c:numCache>
                      <c:formatCode>0</c:formatCode>
                      <c:ptCount val="5"/>
                      <c:pt idx="0">
                        <c:v>2026</c:v>
                      </c:pt>
                      <c:pt idx="1">
                        <c:v>2027</c:v>
                      </c:pt>
                      <c:pt idx="2">
                        <c:v>2028</c:v>
                      </c:pt>
                      <c:pt idx="3">
                        <c:v>2029</c:v>
                      </c:pt>
                      <c:pt idx="4">
                        <c:v>2030</c:v>
                      </c:pt>
                    </c:numCache>
                  </c:numRef>
                </c:cat>
                <c:val>
                  <c:numRef>
                    <c:extLst>
                      <c:ext uri="{02D57815-91ED-43cb-92C2-25804820EDAC}">
                        <c15:formulaRef>
                          <c15:sqref>'5 Rendite|Profit'!$E$116:$I$116</c15:sqref>
                        </c15:formulaRef>
                      </c:ext>
                    </c:extLst>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D0CD-434E-90AD-D1498FD1A3FE}"/>
                  </c:ext>
                </c:extLst>
              </c15:ser>
            </c15:filteredBarSeries>
          </c:ext>
        </c:extLst>
      </c:barChart>
      <c:lineChart>
        <c:grouping val="standard"/>
        <c:varyColors val="0"/>
        <c:ser>
          <c:idx val="3"/>
          <c:order val="3"/>
          <c:tx>
            <c:strRef>
              <c:f>'5 Rendite|Profit'!$D$119</c:f>
              <c:strCache>
                <c:ptCount val="1"/>
                <c:pt idx="0">
                  <c:v>akkumuliert</c:v>
                </c:pt>
              </c:strCache>
            </c:strRef>
          </c:tx>
          <c:spPr>
            <a:ln cap="sq">
              <a:solidFill>
                <a:schemeClr val="accent1"/>
              </a:solidFill>
            </a:ln>
          </c:spPr>
          <c:marker>
            <c:symbol val="square"/>
            <c:size val="7"/>
            <c:spPr>
              <a:solidFill>
                <a:schemeClr val="accent1"/>
              </a:solidFill>
              <a:ln>
                <a:solidFill>
                  <a:schemeClr val="bg1">
                    <a:lumMod val="50000"/>
                  </a:schemeClr>
                </a:solidFill>
              </a:ln>
            </c:spPr>
          </c:marker>
          <c:cat>
            <c:numRef>
              <c:f>'5 Rendite|Profit'!$E$120:$I$120</c:f>
              <c:numCache>
                <c:formatCode>0</c:formatCode>
                <c:ptCount val="5"/>
                <c:pt idx="0">
                  <c:v>2026</c:v>
                </c:pt>
                <c:pt idx="1">
                  <c:v>2027</c:v>
                </c:pt>
                <c:pt idx="2">
                  <c:v>2028</c:v>
                </c:pt>
                <c:pt idx="3">
                  <c:v>2029</c:v>
                </c:pt>
                <c:pt idx="4">
                  <c:v>2030</c:v>
                </c:pt>
              </c:numCache>
            </c:numRef>
          </c:cat>
          <c:val>
            <c:numRef>
              <c:f>'5 Rendite|Profit'!$E$119:$I$119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4-D0CD-434E-90AD-D1498FD1A3FE}"/>
            </c:ext>
          </c:extLst>
        </c:ser>
        <c:dLbls>
          <c:showLegendKey val="0"/>
          <c:showVal val="0"/>
          <c:showCatName val="0"/>
          <c:showSerName val="0"/>
          <c:showPercent val="0"/>
          <c:showBubbleSize val="0"/>
        </c:dLbls>
        <c:marker val="1"/>
        <c:smooth val="0"/>
        <c:axId val="442634680"/>
        <c:axId val="442636248"/>
      </c:lineChart>
      <c:catAx>
        <c:axId val="442634680"/>
        <c:scaling>
          <c:orientation val="minMax"/>
        </c:scaling>
        <c:delete val="0"/>
        <c:axPos val="b"/>
        <c:numFmt formatCode="0" sourceLinked="0"/>
        <c:majorTickMark val="out"/>
        <c:minorTickMark val="none"/>
        <c:tickLblPos val="nextTo"/>
        <c:spPr>
          <a:noFill/>
          <a:ln w="9525">
            <a:solidFill>
              <a:schemeClr val="tx1">
                <a:lumMod val="75000"/>
                <a:lumOff val="25000"/>
              </a:schemeClr>
            </a:solidFill>
          </a:ln>
        </c:spPr>
        <c:txPr>
          <a:bodyPr/>
          <a:lstStyle/>
          <a:p>
            <a:pPr>
              <a:defRPr sz="1600"/>
            </a:pPr>
            <a:endParaRPr lang="de-DE"/>
          </a:p>
        </c:txPr>
        <c:crossAx val="442636248"/>
        <c:crosses val="autoZero"/>
        <c:auto val="1"/>
        <c:lblAlgn val="ctr"/>
        <c:lblOffset val="100"/>
        <c:noMultiLvlLbl val="0"/>
      </c:catAx>
      <c:valAx>
        <c:axId val="442636248"/>
        <c:scaling>
          <c:orientation val="minMax"/>
        </c:scaling>
        <c:delete val="0"/>
        <c:axPos val="l"/>
        <c:majorGridlines>
          <c:spPr>
            <a:ln>
              <a:solidFill>
                <a:schemeClr val="bg1">
                  <a:lumMod val="75000"/>
                </a:schemeClr>
              </a:solidFill>
            </a:ln>
          </c:spPr>
        </c:majorGridlines>
        <c:title>
          <c:tx>
            <c:rich>
              <a:bodyPr rot="0" vert="horz" anchor="t" anchorCtr="0"/>
              <a:lstStyle/>
              <a:p>
                <a:pPr>
                  <a:defRPr sz="1600" b="0"/>
                </a:pPr>
                <a:r>
                  <a:rPr lang="de-DE" sz="1600" b="0"/>
                  <a:t>EUR</a:t>
                </a:r>
              </a:p>
            </c:rich>
          </c:tx>
          <c:layout>
            <c:manualLayout>
              <c:xMode val="edge"/>
              <c:yMode val="edge"/>
              <c:x val="5.6074766355140183E-3"/>
              <c:y val="3.1855700777772673E-2"/>
            </c:manualLayout>
          </c:layout>
          <c:overlay val="0"/>
        </c:title>
        <c:numFmt formatCode="#,##0" sourceLinked="0"/>
        <c:majorTickMark val="out"/>
        <c:minorTickMark val="none"/>
        <c:tickLblPos val="nextTo"/>
        <c:spPr>
          <a:ln>
            <a:solidFill>
              <a:schemeClr val="tx1">
                <a:lumMod val="95000"/>
                <a:lumOff val="5000"/>
              </a:schemeClr>
            </a:solidFill>
          </a:ln>
        </c:spPr>
        <c:txPr>
          <a:bodyPr/>
          <a:lstStyle/>
          <a:p>
            <a:pPr>
              <a:defRPr sz="1400"/>
            </a:pPr>
            <a:endParaRPr lang="de-DE"/>
          </a:p>
        </c:txPr>
        <c:crossAx val="442634680"/>
        <c:crosses val="autoZero"/>
        <c:crossBetween val="between"/>
      </c:valAx>
    </c:plotArea>
    <c:legend>
      <c:legendPos val="t"/>
      <c:layout>
        <c:manualLayout>
          <c:xMode val="edge"/>
          <c:yMode val="edge"/>
          <c:x val="0.23573791561937349"/>
          <c:y val="8.2320886800694146E-2"/>
          <c:w val="0.56553545386692827"/>
          <c:h val="7.6194423065537864E-2"/>
        </c:manualLayout>
      </c:layout>
      <c:overlay val="0"/>
      <c:txPr>
        <a:bodyPr/>
        <a:lstStyle/>
        <a:p>
          <a:pPr>
            <a:defRPr sz="1600"/>
          </a:pPr>
          <a:endParaRPr lang="de-DE"/>
        </a:p>
      </c:txPr>
    </c:legend>
    <c:plotVisOnly val="1"/>
    <c:dispBlanksAs val="gap"/>
    <c:showDLblsOverMax val="0"/>
  </c:chart>
  <c:spPr>
    <a:solidFill>
      <a:schemeClr val="bg1"/>
    </a:solidFill>
    <a:ln>
      <a:solidFill>
        <a:schemeClr val="bg1"/>
      </a:solidFill>
    </a:ln>
  </c:spPr>
  <c:txPr>
    <a:bodyPr/>
    <a:lstStyle/>
    <a:p>
      <a:pPr>
        <a:defRPr sz="1200"/>
      </a:pPr>
      <a:endParaRPr lang="de-DE"/>
    </a:p>
  </c:txPr>
  <c:printSettings>
    <c:headerFooter/>
    <c:pageMargins b="0.78740157499999996" l="0.70000000000000062" r="0.70000000000000062" t="0.78740157499999996"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 Rendite|Profit'!$CY$29</c:f>
          <c:strCache>
            <c:ptCount val="1"/>
            <c:pt idx="0">
              <c:v>Gewinn/Verlust für die Jahre 2026 und 2027</c:v>
            </c:pt>
          </c:strCache>
        </c:strRef>
      </c:tx>
      <c:layout>
        <c:manualLayout>
          <c:xMode val="edge"/>
          <c:yMode val="edge"/>
          <c:x val="0.36981261404782223"/>
          <c:y val="3.5314514682635127E-2"/>
        </c:manualLayout>
      </c:layout>
      <c:overlay val="0"/>
      <c:txPr>
        <a:bodyPr/>
        <a:lstStyle/>
        <a:p>
          <a:pPr>
            <a:defRPr sz="2000" b="0"/>
          </a:pPr>
          <a:endParaRPr lang="de-DE"/>
        </a:p>
      </c:txPr>
    </c:title>
    <c:autoTitleDeleted val="0"/>
    <c:plotArea>
      <c:layout>
        <c:manualLayout>
          <c:layoutTarget val="inner"/>
          <c:xMode val="edge"/>
          <c:yMode val="edge"/>
          <c:x val="4.5876525722786984E-2"/>
          <c:y val="0.20624894200928462"/>
          <c:w val="0.97808758494229242"/>
          <c:h val="0.67779356656236422"/>
        </c:manualLayout>
      </c:layout>
      <c:barChart>
        <c:barDir val="col"/>
        <c:grouping val="clustered"/>
        <c:varyColors val="0"/>
        <c:ser>
          <c:idx val="0"/>
          <c:order val="0"/>
          <c:tx>
            <c:strRef>
              <c:f>'5 Rendite|Profit'!$C$111</c:f>
              <c:strCache>
                <c:ptCount val="1"/>
                <c:pt idx="0">
                  <c:v>+  Monatswerte  -</c:v>
                </c:pt>
              </c:strCache>
            </c:strRef>
          </c:tx>
          <c:spPr>
            <a:solidFill>
              <a:schemeClr val="accent3">
                <a:alpha val="99000"/>
              </a:schemeClr>
            </a:solidFill>
            <a:ln>
              <a:solidFill>
                <a:schemeClr val="tx1">
                  <a:lumMod val="50000"/>
                  <a:lumOff val="50000"/>
                </a:schemeClr>
              </a:solidFill>
            </a:ln>
          </c:spPr>
          <c:invertIfNegative val="0"/>
          <c:dLbls>
            <c:numFmt formatCode="[=0]&quot;&quot;;#,##0" sourceLinked="0"/>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 Rendite|Profit'!$E$110:$AB$110</c:f>
              <c:strCache>
                <c:ptCount val="24"/>
                <c:pt idx="0">
                  <c:v>1.26</c:v>
                </c:pt>
                <c:pt idx="1">
                  <c:v>2.26</c:v>
                </c:pt>
                <c:pt idx="2">
                  <c:v>3.26</c:v>
                </c:pt>
                <c:pt idx="3">
                  <c:v>4.26</c:v>
                </c:pt>
                <c:pt idx="4">
                  <c:v>5.26</c:v>
                </c:pt>
                <c:pt idx="5">
                  <c:v>6.26</c:v>
                </c:pt>
                <c:pt idx="6">
                  <c:v>7.26</c:v>
                </c:pt>
                <c:pt idx="7">
                  <c:v>8.26</c:v>
                </c:pt>
                <c:pt idx="8">
                  <c:v>9.26</c:v>
                </c:pt>
                <c:pt idx="9">
                  <c:v>10.26</c:v>
                </c:pt>
                <c:pt idx="10">
                  <c:v>11.26</c:v>
                </c:pt>
                <c:pt idx="11">
                  <c:v>12.26</c:v>
                </c:pt>
                <c:pt idx="12">
                  <c:v>1.27</c:v>
                </c:pt>
                <c:pt idx="13">
                  <c:v>2.27</c:v>
                </c:pt>
                <c:pt idx="14">
                  <c:v>3.27</c:v>
                </c:pt>
                <c:pt idx="15">
                  <c:v>4.27</c:v>
                </c:pt>
                <c:pt idx="16">
                  <c:v>5.27</c:v>
                </c:pt>
                <c:pt idx="17">
                  <c:v>6.27</c:v>
                </c:pt>
                <c:pt idx="18">
                  <c:v>7.27</c:v>
                </c:pt>
                <c:pt idx="19">
                  <c:v>8.27</c:v>
                </c:pt>
                <c:pt idx="20">
                  <c:v>9.27</c:v>
                </c:pt>
                <c:pt idx="21">
                  <c:v>10.27</c:v>
                </c:pt>
                <c:pt idx="22">
                  <c:v>11.27</c:v>
                </c:pt>
                <c:pt idx="23">
                  <c:v>12.27</c:v>
                </c:pt>
              </c:strCache>
            </c:strRef>
          </c:cat>
          <c:val>
            <c:numRef>
              <c:f>'5 Rendite|Profit'!$E$112:$AB$112</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CDE4-4FEF-8BA9-4CE50EB8090F}"/>
            </c:ext>
          </c:extLst>
        </c:ser>
        <c:ser>
          <c:idx val="1"/>
          <c:order val="1"/>
          <c:tx>
            <c:strRef>
              <c:f>'5 Rendite|Profit'!$C$112</c:f>
              <c:strCache>
                <c:ptCount val="1"/>
              </c:strCache>
            </c:strRef>
          </c:tx>
          <c:spPr>
            <a:solidFill>
              <a:schemeClr val="accent6">
                <a:lumMod val="40000"/>
                <a:lumOff val="60000"/>
              </a:schemeClr>
            </a:solidFill>
            <a:ln>
              <a:solidFill>
                <a:schemeClr val="tx1">
                  <a:lumMod val="50000"/>
                  <a:lumOff val="50000"/>
                </a:schemeClr>
              </a:solidFill>
            </a:ln>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 Rendite|Profit'!$E$110:$AB$110</c:f>
              <c:strCache>
                <c:ptCount val="24"/>
                <c:pt idx="0">
                  <c:v>1.26</c:v>
                </c:pt>
                <c:pt idx="1">
                  <c:v>2.26</c:v>
                </c:pt>
                <c:pt idx="2">
                  <c:v>3.26</c:v>
                </c:pt>
                <c:pt idx="3">
                  <c:v>4.26</c:v>
                </c:pt>
                <c:pt idx="4">
                  <c:v>5.26</c:v>
                </c:pt>
                <c:pt idx="5">
                  <c:v>6.26</c:v>
                </c:pt>
                <c:pt idx="6">
                  <c:v>7.26</c:v>
                </c:pt>
                <c:pt idx="7">
                  <c:v>8.26</c:v>
                </c:pt>
                <c:pt idx="8">
                  <c:v>9.26</c:v>
                </c:pt>
                <c:pt idx="9">
                  <c:v>10.26</c:v>
                </c:pt>
                <c:pt idx="10">
                  <c:v>11.26</c:v>
                </c:pt>
                <c:pt idx="11">
                  <c:v>12.26</c:v>
                </c:pt>
                <c:pt idx="12">
                  <c:v>1.27</c:v>
                </c:pt>
                <c:pt idx="13">
                  <c:v>2.27</c:v>
                </c:pt>
                <c:pt idx="14">
                  <c:v>3.27</c:v>
                </c:pt>
                <c:pt idx="15">
                  <c:v>4.27</c:v>
                </c:pt>
                <c:pt idx="16">
                  <c:v>5.27</c:v>
                </c:pt>
                <c:pt idx="17">
                  <c:v>6.27</c:v>
                </c:pt>
                <c:pt idx="18">
                  <c:v>7.27</c:v>
                </c:pt>
                <c:pt idx="19">
                  <c:v>8.27</c:v>
                </c:pt>
                <c:pt idx="20">
                  <c:v>9.27</c:v>
                </c:pt>
                <c:pt idx="21">
                  <c:v>10.27</c:v>
                </c:pt>
                <c:pt idx="22">
                  <c:v>11.27</c:v>
                </c:pt>
                <c:pt idx="23">
                  <c:v>12.27</c:v>
                </c:pt>
              </c:strCache>
            </c:strRef>
          </c:cat>
          <c:val>
            <c:numRef>
              <c:f>'5 Rendite|Profit'!$E$113:$AB$113</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2-CDE4-4FEF-8BA9-4CE50EB8090F}"/>
            </c:ext>
          </c:extLst>
        </c:ser>
        <c:dLbls>
          <c:showLegendKey val="0"/>
          <c:showVal val="0"/>
          <c:showCatName val="0"/>
          <c:showSerName val="0"/>
          <c:showPercent val="0"/>
          <c:showBubbleSize val="0"/>
        </c:dLbls>
        <c:gapWidth val="50"/>
        <c:overlap val="100"/>
        <c:axId val="540900144"/>
        <c:axId val="540903280"/>
      </c:barChart>
      <c:lineChart>
        <c:grouping val="standard"/>
        <c:varyColors val="0"/>
        <c:ser>
          <c:idx val="2"/>
          <c:order val="2"/>
          <c:tx>
            <c:strRef>
              <c:f>'5 Rendite|Profit'!$C$113</c:f>
              <c:strCache>
                <c:ptCount val="1"/>
                <c:pt idx="0">
                  <c:v>akkumuliert</c:v>
                </c:pt>
              </c:strCache>
            </c:strRef>
          </c:tx>
          <c:spPr>
            <a:ln w="19050">
              <a:solidFill>
                <a:schemeClr val="accent1"/>
              </a:solidFill>
            </a:ln>
          </c:spPr>
          <c:marker>
            <c:symbol val="square"/>
            <c:size val="7"/>
            <c:spPr>
              <a:solidFill>
                <a:schemeClr val="accent1"/>
              </a:solidFill>
              <a:ln>
                <a:solidFill>
                  <a:schemeClr val="tx1">
                    <a:lumMod val="50000"/>
                    <a:lumOff val="50000"/>
                  </a:schemeClr>
                </a:solidFill>
              </a:ln>
            </c:spPr>
          </c:marker>
          <c:val>
            <c:numRef>
              <c:f>'5 Rendite|Profit'!$E$114:$AB$114</c:f>
              <c:numCache>
                <c:formatCode>0</c:formatCode>
                <c:ptCount val="24"/>
              </c:numCache>
            </c:numRef>
          </c:val>
          <c:smooth val="0"/>
          <c:extLst>
            <c:ext xmlns:c16="http://schemas.microsoft.com/office/drawing/2014/chart" uri="{C3380CC4-5D6E-409C-BE32-E72D297353CC}">
              <c16:uniqueId val="{00000003-CDE4-4FEF-8BA9-4CE50EB8090F}"/>
            </c:ext>
          </c:extLst>
        </c:ser>
        <c:dLbls>
          <c:showLegendKey val="0"/>
          <c:showVal val="0"/>
          <c:showCatName val="0"/>
          <c:showSerName val="0"/>
          <c:showPercent val="0"/>
          <c:showBubbleSize val="0"/>
        </c:dLbls>
        <c:marker val="1"/>
        <c:smooth val="0"/>
        <c:axId val="540900144"/>
        <c:axId val="540903280"/>
      </c:lineChart>
      <c:catAx>
        <c:axId val="540900144"/>
        <c:scaling>
          <c:orientation val="minMax"/>
        </c:scaling>
        <c:delete val="0"/>
        <c:axPos val="b"/>
        <c:numFmt formatCode="General" sourceLinked="1"/>
        <c:majorTickMark val="out"/>
        <c:minorTickMark val="none"/>
        <c:tickLblPos val="nextTo"/>
        <c:spPr>
          <a:ln w="9525">
            <a:solidFill>
              <a:schemeClr val="tx1">
                <a:lumMod val="75000"/>
                <a:lumOff val="25000"/>
              </a:schemeClr>
            </a:solidFill>
          </a:ln>
        </c:spPr>
        <c:txPr>
          <a:bodyPr/>
          <a:lstStyle/>
          <a:p>
            <a:pPr>
              <a:defRPr sz="1400"/>
            </a:pPr>
            <a:endParaRPr lang="de-DE"/>
          </a:p>
        </c:txPr>
        <c:crossAx val="540903280"/>
        <c:crosses val="autoZero"/>
        <c:auto val="1"/>
        <c:lblAlgn val="ctr"/>
        <c:lblOffset val="100"/>
        <c:noMultiLvlLbl val="0"/>
      </c:catAx>
      <c:valAx>
        <c:axId val="540903280"/>
        <c:scaling>
          <c:orientation val="minMax"/>
        </c:scaling>
        <c:delete val="0"/>
        <c:axPos val="l"/>
        <c:majorGridlines>
          <c:spPr>
            <a:ln>
              <a:solidFill>
                <a:schemeClr val="bg1">
                  <a:lumMod val="85000"/>
                </a:schemeClr>
              </a:solidFill>
            </a:ln>
          </c:spPr>
        </c:majorGridlines>
        <c:title>
          <c:tx>
            <c:rich>
              <a:bodyPr rot="0" vert="horz"/>
              <a:lstStyle/>
              <a:p>
                <a:pPr>
                  <a:defRPr sz="1600" b="0"/>
                </a:pPr>
                <a:r>
                  <a:rPr lang="en-US" sz="1600" b="0"/>
                  <a:t>EUR</a:t>
                </a:r>
              </a:p>
            </c:rich>
          </c:tx>
          <c:layout>
            <c:manualLayout>
              <c:xMode val="edge"/>
              <c:yMode val="edge"/>
              <c:x val="1.2292943033504511E-2"/>
              <c:y val="4.3507881708508495E-3"/>
            </c:manualLayout>
          </c:layout>
          <c:overlay val="0"/>
        </c:title>
        <c:numFmt formatCode="#,##0" sourceLinked="0"/>
        <c:majorTickMark val="out"/>
        <c:minorTickMark val="none"/>
        <c:tickLblPos val="nextTo"/>
        <c:spPr>
          <a:ln>
            <a:solidFill>
              <a:schemeClr val="tx1">
                <a:lumMod val="75000"/>
                <a:lumOff val="25000"/>
              </a:schemeClr>
            </a:solidFill>
          </a:ln>
        </c:spPr>
        <c:txPr>
          <a:bodyPr/>
          <a:lstStyle/>
          <a:p>
            <a:pPr>
              <a:defRPr sz="1400"/>
            </a:pPr>
            <a:endParaRPr lang="de-DE"/>
          </a:p>
        </c:txPr>
        <c:crossAx val="540900144"/>
        <c:crosses val="autoZero"/>
        <c:crossBetween val="between"/>
      </c:valAx>
      <c:spPr>
        <a:noFill/>
      </c:spPr>
    </c:plotArea>
    <c:legend>
      <c:legendPos val="t"/>
      <c:layout>
        <c:manualLayout>
          <c:xMode val="edge"/>
          <c:yMode val="edge"/>
          <c:x val="0.72879038900625226"/>
          <c:y val="5.4166498418466921E-2"/>
          <c:w val="0.23085689832249226"/>
          <c:h val="0.1084995531875432"/>
        </c:manualLayout>
      </c:layout>
      <c:overlay val="0"/>
      <c:spPr>
        <a:ln>
          <a:noFill/>
        </a:ln>
      </c:spPr>
      <c:txPr>
        <a:bodyPr/>
        <a:lstStyle/>
        <a:p>
          <a:pPr>
            <a:defRPr sz="1600"/>
          </a:pPr>
          <a:endParaRPr lang="de-DE"/>
        </a:p>
      </c:txPr>
    </c:legend>
    <c:plotVisOnly val="1"/>
    <c:dispBlanksAs val="gap"/>
    <c:showDLblsOverMax val="0"/>
  </c:chart>
  <c:spPr>
    <a:solidFill>
      <a:schemeClr val="bg1"/>
    </a:solidFill>
    <a:ln>
      <a:solidFill>
        <a:schemeClr val="bg1"/>
      </a:solidFill>
    </a:ln>
  </c:spPr>
  <c:printSettings>
    <c:headerFooter/>
    <c:pageMargins b="0.78740157499999996" l="0.70000000000000062" r="0.70000000000000062" t="0.78740157499999996" header="0.30000000000000032" footer="0.30000000000000032"/>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 Liquiditaet|Liquidity'!$CU$107</c:f>
          <c:strCache>
            <c:ptCount val="1"/>
            <c:pt idx="0">
              <c:v>Liquiditätsentwicklung 2026</c:v>
            </c:pt>
          </c:strCache>
        </c:strRef>
      </c:tx>
      <c:overlay val="0"/>
      <c:txPr>
        <a:bodyPr/>
        <a:lstStyle/>
        <a:p>
          <a:pPr>
            <a:defRPr b="0"/>
          </a:pPr>
          <a:endParaRPr lang="de-DE"/>
        </a:p>
      </c:txPr>
    </c:title>
    <c:autoTitleDeleted val="0"/>
    <c:plotArea>
      <c:layout>
        <c:manualLayout>
          <c:layoutTarget val="inner"/>
          <c:xMode val="edge"/>
          <c:yMode val="edge"/>
          <c:x val="0.10527976173824348"/>
          <c:y val="0.25258283132152631"/>
          <c:w val="0.94117508132359384"/>
          <c:h val="0.54669198574097644"/>
        </c:manualLayout>
      </c:layout>
      <c:barChart>
        <c:barDir val="col"/>
        <c:grouping val="stacked"/>
        <c:varyColors val="0"/>
        <c:ser>
          <c:idx val="0"/>
          <c:order val="0"/>
          <c:spPr>
            <a:solidFill>
              <a:schemeClr val="accent3"/>
            </a:solidFill>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 Liquiditaet|Liquidity'!$E$194:$P$194</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'7 Liquiditaet|Liquidity'!$E$195:$P$195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BD9A-432E-87DB-7AE71BB5C1D0}"/>
            </c:ext>
          </c:extLst>
        </c:ser>
        <c:ser>
          <c:idx val="1"/>
          <c:order val="1"/>
          <c:spPr>
            <a:solidFill>
              <a:schemeClr val="accent6">
                <a:lumMod val="40000"/>
                <a:lumOff val="60000"/>
              </a:schemeClr>
            </a:solidFill>
            <a:ln>
              <a:solidFill>
                <a:schemeClr val="bg1">
                  <a:lumMod val="50000"/>
                </a:schemeClr>
              </a:solidFill>
            </a:ln>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 Liquiditaet|Liquidity'!$E$194:$P$194</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'7 Liquiditaet|Liquidity'!$E$196:$P$196</c:f>
              <c:numCache>
                <c:formatCode>General</c:formatCode>
                <c:ptCount val="12"/>
                <c:pt idx="0">
                  <c:v>0</c:v>
                </c:pt>
                <c:pt idx="1">
                  <c:v>0</c:v>
                </c:pt>
                <c:pt idx="2">
                  <c:v>0</c:v>
                </c:pt>
                <c:pt idx="3" formatCode="#,##0">
                  <c:v>0</c:v>
                </c:pt>
                <c:pt idx="4" formatCode="#,##0">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BD9A-432E-87DB-7AE71BB5C1D0}"/>
            </c:ext>
          </c:extLst>
        </c:ser>
        <c:dLbls>
          <c:showLegendKey val="0"/>
          <c:showVal val="0"/>
          <c:showCatName val="0"/>
          <c:showSerName val="0"/>
          <c:showPercent val="0"/>
          <c:showBubbleSize val="0"/>
        </c:dLbls>
        <c:gapWidth val="33"/>
        <c:overlap val="100"/>
        <c:axId val="540898968"/>
        <c:axId val="540902888"/>
      </c:barChart>
      <c:catAx>
        <c:axId val="540898968"/>
        <c:scaling>
          <c:orientation val="minMax"/>
        </c:scaling>
        <c:delete val="0"/>
        <c:axPos val="b"/>
        <c:numFmt formatCode="General" sourceLinked="0"/>
        <c:majorTickMark val="out"/>
        <c:minorTickMark val="none"/>
        <c:tickLblPos val="nextTo"/>
        <c:spPr>
          <a:ln w="19050">
            <a:solidFill>
              <a:schemeClr val="tx1">
                <a:lumMod val="50000"/>
                <a:lumOff val="50000"/>
              </a:schemeClr>
            </a:solidFill>
          </a:ln>
        </c:spPr>
        <c:txPr>
          <a:bodyPr/>
          <a:lstStyle/>
          <a:p>
            <a:pPr>
              <a:defRPr sz="1400"/>
            </a:pPr>
            <a:endParaRPr lang="de-DE"/>
          </a:p>
        </c:txPr>
        <c:crossAx val="540902888"/>
        <c:crosses val="autoZero"/>
        <c:auto val="1"/>
        <c:lblAlgn val="ctr"/>
        <c:lblOffset val="100"/>
        <c:noMultiLvlLbl val="0"/>
      </c:catAx>
      <c:valAx>
        <c:axId val="540902888"/>
        <c:scaling>
          <c:orientation val="minMax"/>
        </c:scaling>
        <c:delete val="0"/>
        <c:axPos val="l"/>
        <c:majorGridlines/>
        <c:numFmt formatCode="#,##0" sourceLinked="1"/>
        <c:majorTickMark val="out"/>
        <c:minorTickMark val="none"/>
        <c:tickLblPos val="nextTo"/>
        <c:spPr>
          <a:ln w="19050">
            <a:solidFill>
              <a:schemeClr val="tx1">
                <a:lumMod val="50000"/>
                <a:lumOff val="50000"/>
              </a:schemeClr>
            </a:solidFill>
          </a:ln>
        </c:spPr>
        <c:txPr>
          <a:bodyPr/>
          <a:lstStyle/>
          <a:p>
            <a:pPr>
              <a:defRPr sz="1400"/>
            </a:pPr>
            <a:endParaRPr lang="de-DE"/>
          </a:p>
        </c:txPr>
        <c:crossAx val="540898968"/>
        <c:crosses val="autoZero"/>
        <c:crossBetween val="between"/>
      </c:valAx>
      <c:spPr>
        <a:noFill/>
      </c:spPr>
    </c:plotArea>
    <c:plotVisOnly val="1"/>
    <c:dispBlanksAs val="gap"/>
    <c:showDLblsOverMax val="0"/>
  </c:chart>
  <c:spPr>
    <a:solidFill>
      <a:schemeClr val="bg1"/>
    </a:solidFill>
    <a:ln>
      <a:solidFill>
        <a:schemeClr val="bg1"/>
      </a:solidFill>
    </a:ln>
  </c:spPr>
  <c:printSettings>
    <c:headerFooter/>
    <c:pageMargins b="0.78740157499999996" l="0.70000000000000062" r="0.70000000000000062" t="0.78740157499999996"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 Liquiditaet|Liquidity'!$CU$108</c:f>
          <c:strCache>
            <c:ptCount val="1"/>
            <c:pt idx="0">
              <c:v>Liquiditätsentwicklung 2027</c:v>
            </c:pt>
          </c:strCache>
        </c:strRef>
      </c:tx>
      <c:layout>
        <c:manualLayout>
          <c:xMode val="edge"/>
          <c:yMode val="edge"/>
          <c:x val="0.30746991555852438"/>
          <c:y val="2.7431246273810713E-2"/>
        </c:manualLayout>
      </c:layout>
      <c:overlay val="0"/>
      <c:txPr>
        <a:bodyPr/>
        <a:lstStyle/>
        <a:p>
          <a:pPr>
            <a:defRPr b="0"/>
          </a:pPr>
          <a:endParaRPr lang="de-DE"/>
        </a:p>
      </c:txPr>
    </c:title>
    <c:autoTitleDeleted val="0"/>
    <c:plotArea>
      <c:layout>
        <c:manualLayout>
          <c:layoutTarget val="inner"/>
          <c:xMode val="edge"/>
          <c:yMode val="edge"/>
          <c:x val="5.8824963535981829E-2"/>
          <c:y val="0.22692950197451142"/>
          <c:w val="0.94117508132359384"/>
          <c:h val="0.5577920889681186"/>
        </c:manualLayout>
      </c:layout>
      <c:barChart>
        <c:barDir val="col"/>
        <c:grouping val="stacked"/>
        <c:varyColors val="0"/>
        <c:ser>
          <c:idx val="0"/>
          <c:order val="0"/>
          <c:spPr>
            <a:solidFill>
              <a:schemeClr val="accent6">
                <a:lumMod val="40000"/>
                <a:lumOff val="60000"/>
              </a:schemeClr>
            </a:solidFill>
            <a:ln>
              <a:solidFill>
                <a:schemeClr val="bg1">
                  <a:lumMod val="50000"/>
                </a:schemeClr>
              </a:solidFill>
            </a:ln>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 Liquiditaet|Liquidity'!$E$38:$P$38</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'7 Liquiditaet|Liquidity'!$E$200:$P$200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1D4-4904-AA6B-DFBFA9975A5A}"/>
            </c:ext>
          </c:extLst>
        </c:ser>
        <c:ser>
          <c:idx val="1"/>
          <c:order val="1"/>
          <c:spPr>
            <a:solidFill>
              <a:schemeClr val="accent3"/>
            </a:solidFill>
            <a:ln>
              <a:solidFill>
                <a:schemeClr val="bg1">
                  <a:lumMod val="50000"/>
                </a:schemeClr>
              </a:solidFill>
            </a:ln>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'7 Liquiditaet|Liquidity'!$E$199:$P$199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1D4-4904-AA6B-DFBFA9975A5A}"/>
            </c:ext>
          </c:extLst>
        </c:ser>
        <c:dLbls>
          <c:showLegendKey val="0"/>
          <c:showVal val="0"/>
          <c:showCatName val="0"/>
          <c:showSerName val="0"/>
          <c:showPercent val="0"/>
          <c:showBubbleSize val="0"/>
        </c:dLbls>
        <c:gapWidth val="33"/>
        <c:overlap val="100"/>
        <c:axId val="540903672"/>
        <c:axId val="540904848"/>
      </c:barChart>
      <c:catAx>
        <c:axId val="540903672"/>
        <c:scaling>
          <c:orientation val="minMax"/>
        </c:scaling>
        <c:delete val="0"/>
        <c:axPos val="b"/>
        <c:numFmt formatCode="General" sourceLinked="1"/>
        <c:majorTickMark val="out"/>
        <c:minorTickMark val="none"/>
        <c:tickLblPos val="nextTo"/>
        <c:spPr>
          <a:ln w="19050">
            <a:solidFill>
              <a:schemeClr val="tx1">
                <a:lumMod val="75000"/>
                <a:lumOff val="25000"/>
              </a:schemeClr>
            </a:solidFill>
          </a:ln>
        </c:spPr>
        <c:txPr>
          <a:bodyPr/>
          <a:lstStyle/>
          <a:p>
            <a:pPr>
              <a:defRPr sz="1400"/>
            </a:pPr>
            <a:endParaRPr lang="de-DE"/>
          </a:p>
        </c:txPr>
        <c:crossAx val="540904848"/>
        <c:crosses val="autoZero"/>
        <c:auto val="1"/>
        <c:lblAlgn val="ctr"/>
        <c:lblOffset val="100"/>
        <c:noMultiLvlLbl val="0"/>
      </c:catAx>
      <c:valAx>
        <c:axId val="540904848"/>
        <c:scaling>
          <c:orientation val="minMax"/>
        </c:scaling>
        <c:delete val="0"/>
        <c:axPos val="l"/>
        <c:majorGridlines/>
        <c:numFmt formatCode="#,##0" sourceLinked="1"/>
        <c:majorTickMark val="out"/>
        <c:minorTickMark val="none"/>
        <c:tickLblPos val="nextTo"/>
        <c:spPr>
          <a:ln w="19050">
            <a:solidFill>
              <a:schemeClr val="tx1">
                <a:lumMod val="50000"/>
                <a:lumOff val="50000"/>
              </a:schemeClr>
            </a:solidFill>
          </a:ln>
        </c:spPr>
        <c:txPr>
          <a:bodyPr/>
          <a:lstStyle/>
          <a:p>
            <a:pPr>
              <a:defRPr sz="1400"/>
            </a:pPr>
            <a:endParaRPr lang="de-DE"/>
          </a:p>
        </c:txPr>
        <c:crossAx val="540903672"/>
        <c:crosses val="autoZero"/>
        <c:crossBetween val="between"/>
      </c:valAx>
      <c:spPr>
        <a:noFill/>
      </c:spPr>
    </c:plotArea>
    <c:plotVisOnly val="1"/>
    <c:dispBlanksAs val="gap"/>
    <c:showDLblsOverMax val="0"/>
  </c:chart>
  <c:spPr>
    <a:solidFill>
      <a:schemeClr val="bg1"/>
    </a:solidFill>
    <a:ln>
      <a:solidFill>
        <a:schemeClr val="bg1"/>
      </a:solidFill>
    </a:ln>
  </c:sp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 Liquiditaet|Liquidity'!$CU$109</c:f>
          <c:strCache>
            <c:ptCount val="1"/>
            <c:pt idx="0">
              <c:v>Liquiditätsentwicklung der Jahre 2026 - 2030</c:v>
            </c:pt>
          </c:strCache>
        </c:strRef>
      </c:tx>
      <c:overlay val="0"/>
      <c:txPr>
        <a:bodyPr/>
        <a:lstStyle/>
        <a:p>
          <a:pPr>
            <a:defRPr b="0"/>
          </a:pPr>
          <a:endParaRPr lang="de-DE"/>
        </a:p>
      </c:txPr>
    </c:title>
    <c:autoTitleDeleted val="0"/>
    <c:plotArea>
      <c:layout>
        <c:manualLayout>
          <c:layoutTarget val="inner"/>
          <c:xMode val="edge"/>
          <c:yMode val="edge"/>
          <c:x val="5.4022585124643377E-2"/>
          <c:y val="0.25426870448260325"/>
          <c:w val="0.94597741487535658"/>
          <c:h val="0.5231956822454481"/>
        </c:manualLayout>
      </c:layout>
      <c:barChart>
        <c:barDir val="col"/>
        <c:grouping val="stacked"/>
        <c:varyColors val="0"/>
        <c:ser>
          <c:idx val="0"/>
          <c:order val="0"/>
          <c:spPr>
            <a:solidFill>
              <a:schemeClr val="accent3"/>
            </a:solidFill>
            <a:ln>
              <a:solidFill>
                <a:schemeClr val="bg1">
                  <a:lumMod val="50000"/>
                </a:schemeClr>
              </a:solidFill>
            </a:ln>
          </c:spPr>
          <c:invertIfNegative val="0"/>
          <c:dLbls>
            <c:numFmt formatCode="[=0]&quot;&quot;;#,##0" sourceLinked="0"/>
            <c:spPr>
              <a:noFill/>
              <a:ln>
                <a:noFill/>
              </a:ln>
              <a:effectLst/>
            </c:spPr>
            <c:txPr>
              <a:bodyPr/>
              <a:lstStyle/>
              <a:p>
                <a:pPr>
                  <a:defRPr sz="14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Liquiditaet|Liquidity'!$E$203:$I$203</c:f>
              <c:numCache>
                <c:formatCode>General</c:formatCode>
                <c:ptCount val="5"/>
                <c:pt idx="0">
                  <c:v>2026</c:v>
                </c:pt>
                <c:pt idx="1">
                  <c:v>2027</c:v>
                </c:pt>
                <c:pt idx="2">
                  <c:v>2028</c:v>
                </c:pt>
                <c:pt idx="3">
                  <c:v>2029</c:v>
                </c:pt>
                <c:pt idx="4">
                  <c:v>2030</c:v>
                </c:pt>
              </c:numCache>
            </c:numRef>
          </c:cat>
          <c:val>
            <c:numRef>
              <c:f>'7 Liquiditaet|Liquidity'!$E$204:$I$204</c:f>
              <c:numCache>
                <c:formatCode>#,##0</c:formatCode>
                <c:ptCount val="5"/>
                <c:pt idx="0">
                  <c:v>0</c:v>
                </c:pt>
                <c:pt idx="1">
                  <c:v>0</c:v>
                </c:pt>
                <c:pt idx="2">
                  <c:v>0</c:v>
                </c:pt>
                <c:pt idx="3">
                  <c:v>0</c:v>
                </c:pt>
                <c:pt idx="4">
                  <c:v>0</c:v>
                </c:pt>
              </c:numCache>
            </c:numRef>
          </c:val>
          <c:extLst>
            <c:ext xmlns:c15="http://schemas.microsoft.com/office/drawing/2012/chart" uri="{02D57815-91ED-43cb-92C2-25804820EDAC}">
              <c15:filteredSeriesTitle>
                <c15:tx>
                  <c:strRef>
                    <c:extLst>
                      <c:ext uri="{02D57815-91ED-43cb-92C2-25804820EDAC}">
                        <c15:formulaRef>
                          <c15:sqref>'6  Liquiditaet|Liquidity'!#REF!</c15:sqref>
                        </c15:formulaRef>
                      </c:ext>
                    </c:extLst>
                    <c:strCache>
                      <c:ptCount val="1"/>
                      <c:pt idx="0">
                        <c:v>#REF!</c:v>
                      </c:pt>
                    </c:strCache>
                  </c:strRef>
                </c15:tx>
              </c15:filteredSeriesTitle>
            </c:ext>
            <c:ext xmlns:c16="http://schemas.microsoft.com/office/drawing/2014/chart" uri="{C3380CC4-5D6E-409C-BE32-E72D297353CC}">
              <c16:uniqueId val="{00000000-FF05-4254-887A-87403ADCDC15}"/>
            </c:ext>
          </c:extLst>
        </c:ser>
        <c:ser>
          <c:idx val="1"/>
          <c:order val="1"/>
          <c:spPr>
            <a:solidFill>
              <a:schemeClr val="accent6">
                <a:lumMod val="40000"/>
                <a:lumOff val="60000"/>
              </a:schemeClr>
            </a:solidFill>
            <a:ln>
              <a:solidFill>
                <a:schemeClr val="bg1">
                  <a:lumMod val="50000"/>
                </a:schemeClr>
              </a:solidFill>
            </a:ln>
          </c:spPr>
          <c:invertIfNegative val="0"/>
          <c:dLbls>
            <c:numFmt formatCode="[=0]&quot;&quot;;#,##0" sourceLinked="0"/>
            <c:spPr>
              <a:noFill/>
              <a:ln>
                <a:noFill/>
              </a:ln>
              <a:effectLst/>
            </c:spPr>
            <c:txPr>
              <a:bodyPr/>
              <a:lstStyle/>
              <a:p>
                <a:pPr>
                  <a:defRPr sz="14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Liquiditaet|Liquidity'!$E$203:$I$203</c:f>
              <c:numCache>
                <c:formatCode>General</c:formatCode>
                <c:ptCount val="5"/>
                <c:pt idx="0">
                  <c:v>2026</c:v>
                </c:pt>
                <c:pt idx="1">
                  <c:v>2027</c:v>
                </c:pt>
                <c:pt idx="2">
                  <c:v>2028</c:v>
                </c:pt>
                <c:pt idx="3">
                  <c:v>2029</c:v>
                </c:pt>
                <c:pt idx="4">
                  <c:v>2030</c:v>
                </c:pt>
              </c:numCache>
            </c:numRef>
          </c:cat>
          <c:val>
            <c:numRef>
              <c:f>'7 Liquiditaet|Liquidity'!$E$205:$I$205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FF05-4254-887A-87403ADCDC15}"/>
            </c:ext>
          </c:extLst>
        </c:ser>
        <c:dLbls>
          <c:showLegendKey val="0"/>
          <c:showVal val="0"/>
          <c:showCatName val="0"/>
          <c:showSerName val="0"/>
          <c:showPercent val="0"/>
          <c:showBubbleSize val="0"/>
        </c:dLbls>
        <c:gapWidth val="75"/>
        <c:overlap val="100"/>
        <c:axId val="540904064"/>
        <c:axId val="540904456"/>
      </c:barChart>
      <c:catAx>
        <c:axId val="540904064"/>
        <c:scaling>
          <c:orientation val="minMax"/>
        </c:scaling>
        <c:delete val="0"/>
        <c:axPos val="b"/>
        <c:numFmt formatCode="General" sourceLinked="1"/>
        <c:majorTickMark val="out"/>
        <c:minorTickMark val="none"/>
        <c:tickLblPos val="nextTo"/>
        <c:spPr>
          <a:ln w="19050">
            <a:solidFill>
              <a:schemeClr val="tx1">
                <a:lumMod val="50000"/>
                <a:lumOff val="50000"/>
              </a:schemeClr>
            </a:solidFill>
          </a:ln>
        </c:spPr>
        <c:txPr>
          <a:bodyPr/>
          <a:lstStyle/>
          <a:p>
            <a:pPr>
              <a:defRPr sz="1600"/>
            </a:pPr>
            <a:endParaRPr lang="de-DE"/>
          </a:p>
        </c:txPr>
        <c:crossAx val="540904456"/>
        <c:crosses val="autoZero"/>
        <c:auto val="1"/>
        <c:lblAlgn val="ctr"/>
        <c:lblOffset val="100"/>
        <c:noMultiLvlLbl val="0"/>
      </c:catAx>
      <c:valAx>
        <c:axId val="540904456"/>
        <c:scaling>
          <c:orientation val="minMax"/>
        </c:scaling>
        <c:delete val="0"/>
        <c:axPos val="l"/>
        <c:majorGridlines/>
        <c:numFmt formatCode="#,##0" sourceLinked="1"/>
        <c:majorTickMark val="out"/>
        <c:minorTickMark val="none"/>
        <c:tickLblPos val="nextTo"/>
        <c:spPr>
          <a:ln w="19050">
            <a:solidFill>
              <a:schemeClr val="bg1">
                <a:lumMod val="50000"/>
              </a:schemeClr>
            </a:solidFill>
          </a:ln>
        </c:spPr>
        <c:txPr>
          <a:bodyPr/>
          <a:lstStyle/>
          <a:p>
            <a:pPr>
              <a:defRPr sz="1400"/>
            </a:pPr>
            <a:endParaRPr lang="de-DE"/>
          </a:p>
        </c:txPr>
        <c:crossAx val="540904064"/>
        <c:crosses val="autoZero"/>
        <c:crossBetween val="between"/>
      </c:valAx>
      <c:spPr>
        <a:noFill/>
        <a:ln>
          <a:solidFill>
            <a:schemeClr val="tx1">
              <a:lumMod val="50000"/>
              <a:lumOff val="50000"/>
            </a:schemeClr>
          </a:solidFill>
        </a:ln>
      </c:spPr>
    </c:plotArea>
    <c:plotVisOnly val="1"/>
    <c:dispBlanksAs val="gap"/>
    <c:showDLblsOverMax val="0"/>
  </c:chart>
  <c:spPr>
    <a:solidFill>
      <a:schemeClr val="bg1"/>
    </a:solidFill>
    <a:ln>
      <a:solidFill>
        <a:schemeClr val="bg1"/>
      </a:solidFill>
    </a:ln>
  </c:spPr>
  <c:printSettings>
    <c:headerFooter/>
    <c:pageMargins b="0.78740157499999996" l="0.70000000000000062" r="0.70000000000000062" t="0.78740157499999996"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 Kapital|Capital'!$CV$57</c:f>
          <c:strCache>
            <c:ptCount val="1"/>
            <c:pt idx="0">
              <c:v>Kapitalbeschaffung für die Monate der Jahre 2026 - 2027</c:v>
            </c:pt>
          </c:strCache>
        </c:strRef>
      </c:tx>
      <c:layout>
        <c:manualLayout>
          <c:xMode val="edge"/>
          <c:yMode val="edge"/>
          <c:x val="0.13192866179285948"/>
          <c:y val="2.4403079565969904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6.4385191450326257E-2"/>
          <c:y val="0.1995628343210907"/>
          <c:w val="0.87508788038543672"/>
          <c:h val="0.67539143099294774"/>
        </c:manualLayout>
      </c:layout>
      <c:barChart>
        <c:barDir val="col"/>
        <c:grouping val="stacked"/>
        <c:varyColors val="0"/>
        <c:ser>
          <c:idx val="0"/>
          <c:order val="0"/>
          <c:tx>
            <c:strRef>
              <c:f>'8 Kapital|Capital'!$D$104</c:f>
              <c:strCache>
                <c:ptCount val="1"/>
              </c:strCache>
            </c:strRef>
          </c:tx>
          <c:spPr>
            <a:solidFill>
              <a:schemeClr val="accent6">
                <a:lumMod val="60000"/>
                <a:lumOff val="4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Kapital|Capital'!$E$103:$AZ$103</c:f>
              <c:strCache>
                <c:ptCount val="48"/>
                <c:pt idx="0">
                  <c:v>     1.26</c:v>
                </c:pt>
                <c:pt idx="1">
                  <c:v>     1.26</c:v>
                </c:pt>
                <c:pt idx="2">
                  <c:v>     2.26</c:v>
                </c:pt>
                <c:pt idx="3">
                  <c:v>     2.26</c:v>
                </c:pt>
                <c:pt idx="4">
                  <c:v>     3.26</c:v>
                </c:pt>
                <c:pt idx="5">
                  <c:v>     3.26</c:v>
                </c:pt>
                <c:pt idx="6">
                  <c:v>     4.26</c:v>
                </c:pt>
                <c:pt idx="7">
                  <c:v>     4.26</c:v>
                </c:pt>
                <c:pt idx="8">
                  <c:v>     5.26</c:v>
                </c:pt>
                <c:pt idx="9">
                  <c:v>     5.26</c:v>
                </c:pt>
                <c:pt idx="10">
                  <c:v>     6.26</c:v>
                </c:pt>
                <c:pt idx="11">
                  <c:v>     6.26</c:v>
                </c:pt>
                <c:pt idx="12">
                  <c:v>     7.26</c:v>
                </c:pt>
                <c:pt idx="13">
                  <c:v>     7.26</c:v>
                </c:pt>
                <c:pt idx="14">
                  <c:v>     8.26</c:v>
                </c:pt>
                <c:pt idx="15">
                  <c:v>     8.26</c:v>
                </c:pt>
                <c:pt idx="16">
                  <c:v>     9.26</c:v>
                </c:pt>
                <c:pt idx="17">
                  <c:v>     9.26</c:v>
                </c:pt>
                <c:pt idx="18">
                  <c:v>     10.26</c:v>
                </c:pt>
                <c:pt idx="19">
                  <c:v>     10.26</c:v>
                </c:pt>
                <c:pt idx="20">
                  <c:v>     11.26</c:v>
                </c:pt>
                <c:pt idx="21">
                  <c:v>     11.26</c:v>
                </c:pt>
                <c:pt idx="22">
                  <c:v>     12.26</c:v>
                </c:pt>
                <c:pt idx="23">
                  <c:v>     12.26</c:v>
                </c:pt>
                <c:pt idx="24">
                  <c:v>     1.27</c:v>
                </c:pt>
                <c:pt idx="25">
                  <c:v>     1.27</c:v>
                </c:pt>
                <c:pt idx="26">
                  <c:v>     2.27</c:v>
                </c:pt>
                <c:pt idx="27">
                  <c:v>     2.27</c:v>
                </c:pt>
                <c:pt idx="28">
                  <c:v>     3.27</c:v>
                </c:pt>
                <c:pt idx="29">
                  <c:v>     3.27</c:v>
                </c:pt>
                <c:pt idx="30">
                  <c:v>     4.27</c:v>
                </c:pt>
                <c:pt idx="31">
                  <c:v>     4.27</c:v>
                </c:pt>
                <c:pt idx="32">
                  <c:v>     5.27</c:v>
                </c:pt>
                <c:pt idx="33">
                  <c:v>     5.27</c:v>
                </c:pt>
                <c:pt idx="34">
                  <c:v>     6.27</c:v>
                </c:pt>
                <c:pt idx="35">
                  <c:v>     6.27</c:v>
                </c:pt>
                <c:pt idx="36">
                  <c:v>     7.27</c:v>
                </c:pt>
                <c:pt idx="37">
                  <c:v>     7.27</c:v>
                </c:pt>
                <c:pt idx="38">
                  <c:v>     8.27</c:v>
                </c:pt>
                <c:pt idx="39">
                  <c:v>     8.27</c:v>
                </c:pt>
                <c:pt idx="40">
                  <c:v>     9.27</c:v>
                </c:pt>
                <c:pt idx="41">
                  <c:v>     9.27</c:v>
                </c:pt>
                <c:pt idx="42">
                  <c:v>     10.27</c:v>
                </c:pt>
                <c:pt idx="43">
                  <c:v>     10.27</c:v>
                </c:pt>
                <c:pt idx="44">
                  <c:v>     11.27</c:v>
                </c:pt>
                <c:pt idx="45">
                  <c:v>     11.27</c:v>
                </c:pt>
                <c:pt idx="46">
                  <c:v>     12.27</c:v>
                </c:pt>
                <c:pt idx="47">
                  <c:v>     12.27</c:v>
                </c:pt>
              </c:strCache>
            </c:strRef>
          </c:cat>
          <c:val>
            <c:numRef>
              <c:f>'8 Kapital|Capital'!$E$104:$AZ$104</c:f>
              <c:numCache>
                <c:formatCode>0</c:formatCode>
                <c:ptCount val="48"/>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numCache>
            </c:numRef>
          </c:val>
          <c:extLst>
            <c:ext xmlns:c16="http://schemas.microsoft.com/office/drawing/2014/chart" uri="{C3380CC4-5D6E-409C-BE32-E72D297353CC}">
              <c16:uniqueId val="{00000002-FE5E-4682-BCB9-A33A74D70A18}"/>
            </c:ext>
          </c:extLst>
        </c:ser>
        <c:ser>
          <c:idx val="1"/>
          <c:order val="1"/>
          <c:tx>
            <c:strRef>
              <c:f>'8 Kapital|Capital'!$D$105</c:f>
              <c:strCache>
                <c:ptCount val="1"/>
              </c:strCache>
            </c:strRef>
          </c:tx>
          <c:spPr>
            <a:solidFill>
              <a:schemeClr val="accent6">
                <a:lumMod val="40000"/>
                <a:lumOff val="6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Kapital|Capital'!$E$103:$AZ$103</c:f>
              <c:strCache>
                <c:ptCount val="48"/>
                <c:pt idx="0">
                  <c:v>     1.26</c:v>
                </c:pt>
                <c:pt idx="1">
                  <c:v>     1.26</c:v>
                </c:pt>
                <c:pt idx="2">
                  <c:v>     2.26</c:v>
                </c:pt>
                <c:pt idx="3">
                  <c:v>     2.26</c:v>
                </c:pt>
                <c:pt idx="4">
                  <c:v>     3.26</c:v>
                </c:pt>
                <c:pt idx="5">
                  <c:v>     3.26</c:v>
                </c:pt>
                <c:pt idx="6">
                  <c:v>     4.26</c:v>
                </c:pt>
                <c:pt idx="7">
                  <c:v>     4.26</c:v>
                </c:pt>
                <c:pt idx="8">
                  <c:v>     5.26</c:v>
                </c:pt>
                <c:pt idx="9">
                  <c:v>     5.26</c:v>
                </c:pt>
                <c:pt idx="10">
                  <c:v>     6.26</c:v>
                </c:pt>
                <c:pt idx="11">
                  <c:v>     6.26</c:v>
                </c:pt>
                <c:pt idx="12">
                  <c:v>     7.26</c:v>
                </c:pt>
                <c:pt idx="13">
                  <c:v>     7.26</c:v>
                </c:pt>
                <c:pt idx="14">
                  <c:v>     8.26</c:v>
                </c:pt>
                <c:pt idx="15">
                  <c:v>     8.26</c:v>
                </c:pt>
                <c:pt idx="16">
                  <c:v>     9.26</c:v>
                </c:pt>
                <c:pt idx="17">
                  <c:v>     9.26</c:v>
                </c:pt>
                <c:pt idx="18">
                  <c:v>     10.26</c:v>
                </c:pt>
                <c:pt idx="19">
                  <c:v>     10.26</c:v>
                </c:pt>
                <c:pt idx="20">
                  <c:v>     11.26</c:v>
                </c:pt>
                <c:pt idx="21">
                  <c:v>     11.26</c:v>
                </c:pt>
                <c:pt idx="22">
                  <c:v>     12.26</c:v>
                </c:pt>
                <c:pt idx="23">
                  <c:v>     12.26</c:v>
                </c:pt>
                <c:pt idx="24">
                  <c:v>     1.27</c:v>
                </c:pt>
                <c:pt idx="25">
                  <c:v>     1.27</c:v>
                </c:pt>
                <c:pt idx="26">
                  <c:v>     2.27</c:v>
                </c:pt>
                <c:pt idx="27">
                  <c:v>     2.27</c:v>
                </c:pt>
                <c:pt idx="28">
                  <c:v>     3.27</c:v>
                </c:pt>
                <c:pt idx="29">
                  <c:v>     3.27</c:v>
                </c:pt>
                <c:pt idx="30">
                  <c:v>     4.27</c:v>
                </c:pt>
                <c:pt idx="31">
                  <c:v>     4.27</c:v>
                </c:pt>
                <c:pt idx="32">
                  <c:v>     5.27</c:v>
                </c:pt>
                <c:pt idx="33">
                  <c:v>     5.27</c:v>
                </c:pt>
                <c:pt idx="34">
                  <c:v>     6.27</c:v>
                </c:pt>
                <c:pt idx="35">
                  <c:v>     6.27</c:v>
                </c:pt>
                <c:pt idx="36">
                  <c:v>     7.27</c:v>
                </c:pt>
                <c:pt idx="37">
                  <c:v>     7.27</c:v>
                </c:pt>
                <c:pt idx="38">
                  <c:v>     8.27</c:v>
                </c:pt>
                <c:pt idx="39">
                  <c:v>     8.27</c:v>
                </c:pt>
                <c:pt idx="40">
                  <c:v>     9.27</c:v>
                </c:pt>
                <c:pt idx="41">
                  <c:v>     9.27</c:v>
                </c:pt>
                <c:pt idx="42">
                  <c:v>     10.27</c:v>
                </c:pt>
                <c:pt idx="43">
                  <c:v>     10.27</c:v>
                </c:pt>
                <c:pt idx="44">
                  <c:v>     11.27</c:v>
                </c:pt>
                <c:pt idx="45">
                  <c:v>     11.27</c:v>
                </c:pt>
                <c:pt idx="46">
                  <c:v>     12.27</c:v>
                </c:pt>
                <c:pt idx="47">
                  <c:v>     12.27</c:v>
                </c:pt>
              </c:strCache>
            </c:strRef>
          </c:cat>
          <c:val>
            <c:numRef>
              <c:f>'8 Kapital|Capital'!$E$105:$AZ$105</c:f>
              <c:numCache>
                <c:formatCode>0</c:formatCode>
                <c:ptCount val="48"/>
                <c:pt idx="0">
                  <c:v>0</c:v>
                </c:pt>
                <c:pt idx="2">
                  <c:v>0</c:v>
                </c:pt>
                <c:pt idx="4">
                  <c:v>0</c:v>
                </c:pt>
                <c:pt idx="6">
                  <c:v>0</c:v>
                </c:pt>
                <c:pt idx="8">
                  <c:v>0</c:v>
                </c:pt>
                <c:pt idx="10">
                  <c:v>0</c:v>
                </c:pt>
                <c:pt idx="12">
                  <c:v>0</c:v>
                </c:pt>
                <c:pt idx="14">
                  <c:v>0</c:v>
                </c:pt>
                <c:pt idx="16">
                  <c:v>0</c:v>
                </c:pt>
                <c:pt idx="18">
                  <c:v>0</c:v>
                </c:pt>
                <c:pt idx="20">
                  <c:v>0</c:v>
                </c:pt>
                <c:pt idx="22">
                  <c:v>0</c:v>
                </c:pt>
                <c:pt idx="24">
                  <c:v>0</c:v>
                </c:pt>
                <c:pt idx="26">
                  <c:v>0</c:v>
                </c:pt>
                <c:pt idx="28">
                  <c:v>0</c:v>
                </c:pt>
                <c:pt idx="30">
                  <c:v>0</c:v>
                </c:pt>
                <c:pt idx="32">
                  <c:v>0</c:v>
                </c:pt>
                <c:pt idx="34">
                  <c:v>0</c:v>
                </c:pt>
                <c:pt idx="36">
                  <c:v>0</c:v>
                </c:pt>
                <c:pt idx="38">
                  <c:v>0</c:v>
                </c:pt>
                <c:pt idx="40">
                  <c:v>0</c:v>
                </c:pt>
                <c:pt idx="42">
                  <c:v>0</c:v>
                </c:pt>
                <c:pt idx="44">
                  <c:v>0</c:v>
                </c:pt>
                <c:pt idx="46">
                  <c:v>0</c:v>
                </c:pt>
              </c:numCache>
            </c:numRef>
          </c:val>
          <c:extLst>
            <c:ext xmlns:c16="http://schemas.microsoft.com/office/drawing/2014/chart" uri="{C3380CC4-5D6E-409C-BE32-E72D297353CC}">
              <c16:uniqueId val="{00000003-FE5E-4682-BCB9-A33A74D70A18}"/>
            </c:ext>
          </c:extLst>
        </c:ser>
        <c:dLbls>
          <c:showLegendKey val="0"/>
          <c:showVal val="1"/>
          <c:showCatName val="0"/>
          <c:showSerName val="0"/>
          <c:showPercent val="0"/>
          <c:showBubbleSize val="0"/>
        </c:dLbls>
        <c:gapWidth val="20"/>
        <c:overlap val="100"/>
        <c:axId val="470937808"/>
        <c:axId val="470933128"/>
      </c:barChart>
      <c:barChart>
        <c:barDir val="col"/>
        <c:grouping val="stacked"/>
        <c:varyColors val="0"/>
        <c:ser>
          <c:idx val="2"/>
          <c:order val="2"/>
          <c:tx>
            <c:strRef>
              <c:f>'8 Kapital|Capital'!$D$106</c:f>
              <c:strCache>
                <c:ptCount val="1"/>
              </c:strCache>
            </c:strRef>
          </c:tx>
          <c:spPr>
            <a:solidFill>
              <a:schemeClr val="accent3"/>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Kapital|Capital'!$E$103:$AZ$103</c:f>
              <c:strCache>
                <c:ptCount val="48"/>
                <c:pt idx="0">
                  <c:v>     1.26</c:v>
                </c:pt>
                <c:pt idx="1">
                  <c:v>     1.26</c:v>
                </c:pt>
                <c:pt idx="2">
                  <c:v>     2.26</c:v>
                </c:pt>
                <c:pt idx="3">
                  <c:v>     2.26</c:v>
                </c:pt>
                <c:pt idx="4">
                  <c:v>     3.26</c:v>
                </c:pt>
                <c:pt idx="5">
                  <c:v>     3.26</c:v>
                </c:pt>
                <c:pt idx="6">
                  <c:v>     4.26</c:v>
                </c:pt>
                <c:pt idx="7">
                  <c:v>     4.26</c:v>
                </c:pt>
                <c:pt idx="8">
                  <c:v>     5.26</c:v>
                </c:pt>
                <c:pt idx="9">
                  <c:v>     5.26</c:v>
                </c:pt>
                <c:pt idx="10">
                  <c:v>     6.26</c:v>
                </c:pt>
                <c:pt idx="11">
                  <c:v>     6.26</c:v>
                </c:pt>
                <c:pt idx="12">
                  <c:v>     7.26</c:v>
                </c:pt>
                <c:pt idx="13">
                  <c:v>     7.26</c:v>
                </c:pt>
                <c:pt idx="14">
                  <c:v>     8.26</c:v>
                </c:pt>
                <c:pt idx="15">
                  <c:v>     8.26</c:v>
                </c:pt>
                <c:pt idx="16">
                  <c:v>     9.26</c:v>
                </c:pt>
                <c:pt idx="17">
                  <c:v>     9.26</c:v>
                </c:pt>
                <c:pt idx="18">
                  <c:v>     10.26</c:v>
                </c:pt>
                <c:pt idx="19">
                  <c:v>     10.26</c:v>
                </c:pt>
                <c:pt idx="20">
                  <c:v>     11.26</c:v>
                </c:pt>
                <c:pt idx="21">
                  <c:v>     11.26</c:v>
                </c:pt>
                <c:pt idx="22">
                  <c:v>     12.26</c:v>
                </c:pt>
                <c:pt idx="23">
                  <c:v>     12.26</c:v>
                </c:pt>
                <c:pt idx="24">
                  <c:v>     1.27</c:v>
                </c:pt>
                <c:pt idx="25">
                  <c:v>     1.27</c:v>
                </c:pt>
                <c:pt idx="26">
                  <c:v>     2.27</c:v>
                </c:pt>
                <c:pt idx="27">
                  <c:v>     2.27</c:v>
                </c:pt>
                <c:pt idx="28">
                  <c:v>     3.27</c:v>
                </c:pt>
                <c:pt idx="29">
                  <c:v>     3.27</c:v>
                </c:pt>
                <c:pt idx="30">
                  <c:v>     4.27</c:v>
                </c:pt>
                <c:pt idx="31">
                  <c:v>     4.27</c:v>
                </c:pt>
                <c:pt idx="32">
                  <c:v>     5.27</c:v>
                </c:pt>
                <c:pt idx="33">
                  <c:v>     5.27</c:v>
                </c:pt>
                <c:pt idx="34">
                  <c:v>     6.27</c:v>
                </c:pt>
                <c:pt idx="35">
                  <c:v>     6.27</c:v>
                </c:pt>
                <c:pt idx="36">
                  <c:v>     7.27</c:v>
                </c:pt>
                <c:pt idx="37">
                  <c:v>     7.27</c:v>
                </c:pt>
                <c:pt idx="38">
                  <c:v>     8.27</c:v>
                </c:pt>
                <c:pt idx="39">
                  <c:v>     8.27</c:v>
                </c:pt>
                <c:pt idx="40">
                  <c:v>     9.27</c:v>
                </c:pt>
                <c:pt idx="41">
                  <c:v>     9.27</c:v>
                </c:pt>
                <c:pt idx="42">
                  <c:v>     10.27</c:v>
                </c:pt>
                <c:pt idx="43">
                  <c:v>     10.27</c:v>
                </c:pt>
                <c:pt idx="44">
                  <c:v>     11.27</c:v>
                </c:pt>
                <c:pt idx="45">
                  <c:v>     11.27</c:v>
                </c:pt>
                <c:pt idx="46">
                  <c:v>     12.27</c:v>
                </c:pt>
                <c:pt idx="47">
                  <c:v>     12.27</c:v>
                </c:pt>
              </c:strCache>
            </c:strRef>
          </c:cat>
          <c:val>
            <c:numRef>
              <c:f>'8 Kapital|Capital'!$E$106:$AZ$106</c:f>
              <c:numCache>
                <c:formatCode>0</c:formatCode>
                <c:ptCount val="48"/>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numCache>
            </c:numRef>
          </c:val>
          <c:extLst>
            <c:ext xmlns:c16="http://schemas.microsoft.com/office/drawing/2014/chart" uri="{C3380CC4-5D6E-409C-BE32-E72D297353CC}">
              <c16:uniqueId val="{00000004-FE5E-4682-BCB9-A33A74D70A18}"/>
            </c:ext>
          </c:extLst>
        </c:ser>
        <c:ser>
          <c:idx val="3"/>
          <c:order val="3"/>
          <c:tx>
            <c:strRef>
              <c:f>'8 Kapital|Capital'!$D$107</c:f>
              <c:strCache>
                <c:ptCount val="1"/>
              </c:strCache>
            </c:strRef>
          </c:tx>
          <c:spPr>
            <a:solidFill>
              <a:schemeClr val="accent3">
                <a:lumMod val="60000"/>
                <a:lumOff val="4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Kapital|Capital'!$E$103:$AZ$103</c:f>
              <c:strCache>
                <c:ptCount val="48"/>
                <c:pt idx="0">
                  <c:v>     1.26</c:v>
                </c:pt>
                <c:pt idx="1">
                  <c:v>     1.26</c:v>
                </c:pt>
                <c:pt idx="2">
                  <c:v>     2.26</c:v>
                </c:pt>
                <c:pt idx="3">
                  <c:v>     2.26</c:v>
                </c:pt>
                <c:pt idx="4">
                  <c:v>     3.26</c:v>
                </c:pt>
                <c:pt idx="5">
                  <c:v>     3.26</c:v>
                </c:pt>
                <c:pt idx="6">
                  <c:v>     4.26</c:v>
                </c:pt>
                <c:pt idx="7">
                  <c:v>     4.26</c:v>
                </c:pt>
                <c:pt idx="8">
                  <c:v>     5.26</c:v>
                </c:pt>
                <c:pt idx="9">
                  <c:v>     5.26</c:v>
                </c:pt>
                <c:pt idx="10">
                  <c:v>     6.26</c:v>
                </c:pt>
                <c:pt idx="11">
                  <c:v>     6.26</c:v>
                </c:pt>
                <c:pt idx="12">
                  <c:v>     7.26</c:v>
                </c:pt>
                <c:pt idx="13">
                  <c:v>     7.26</c:v>
                </c:pt>
                <c:pt idx="14">
                  <c:v>     8.26</c:v>
                </c:pt>
                <c:pt idx="15">
                  <c:v>     8.26</c:v>
                </c:pt>
                <c:pt idx="16">
                  <c:v>     9.26</c:v>
                </c:pt>
                <c:pt idx="17">
                  <c:v>     9.26</c:v>
                </c:pt>
                <c:pt idx="18">
                  <c:v>     10.26</c:v>
                </c:pt>
                <c:pt idx="19">
                  <c:v>     10.26</c:v>
                </c:pt>
                <c:pt idx="20">
                  <c:v>     11.26</c:v>
                </c:pt>
                <c:pt idx="21">
                  <c:v>     11.26</c:v>
                </c:pt>
                <c:pt idx="22">
                  <c:v>     12.26</c:v>
                </c:pt>
                <c:pt idx="23">
                  <c:v>     12.26</c:v>
                </c:pt>
                <c:pt idx="24">
                  <c:v>     1.27</c:v>
                </c:pt>
                <c:pt idx="25">
                  <c:v>     1.27</c:v>
                </c:pt>
                <c:pt idx="26">
                  <c:v>     2.27</c:v>
                </c:pt>
                <c:pt idx="27">
                  <c:v>     2.27</c:v>
                </c:pt>
                <c:pt idx="28">
                  <c:v>     3.27</c:v>
                </c:pt>
                <c:pt idx="29">
                  <c:v>     3.27</c:v>
                </c:pt>
                <c:pt idx="30">
                  <c:v>     4.27</c:v>
                </c:pt>
                <c:pt idx="31">
                  <c:v>     4.27</c:v>
                </c:pt>
                <c:pt idx="32">
                  <c:v>     5.27</c:v>
                </c:pt>
                <c:pt idx="33">
                  <c:v>     5.27</c:v>
                </c:pt>
                <c:pt idx="34">
                  <c:v>     6.27</c:v>
                </c:pt>
                <c:pt idx="35">
                  <c:v>     6.27</c:v>
                </c:pt>
                <c:pt idx="36">
                  <c:v>     7.27</c:v>
                </c:pt>
                <c:pt idx="37">
                  <c:v>     7.27</c:v>
                </c:pt>
                <c:pt idx="38">
                  <c:v>     8.27</c:v>
                </c:pt>
                <c:pt idx="39">
                  <c:v>     8.27</c:v>
                </c:pt>
                <c:pt idx="40">
                  <c:v>     9.27</c:v>
                </c:pt>
                <c:pt idx="41">
                  <c:v>     9.27</c:v>
                </c:pt>
                <c:pt idx="42">
                  <c:v>     10.27</c:v>
                </c:pt>
                <c:pt idx="43">
                  <c:v>     10.27</c:v>
                </c:pt>
                <c:pt idx="44">
                  <c:v>     11.27</c:v>
                </c:pt>
                <c:pt idx="45">
                  <c:v>     11.27</c:v>
                </c:pt>
                <c:pt idx="46">
                  <c:v>     12.27</c:v>
                </c:pt>
                <c:pt idx="47">
                  <c:v>     12.27</c:v>
                </c:pt>
              </c:strCache>
            </c:strRef>
          </c:cat>
          <c:val>
            <c:numRef>
              <c:f>'8 Kapital|Capital'!$E$107:$AZ$107</c:f>
              <c:numCache>
                <c:formatCode>0</c:formatCode>
                <c:ptCount val="48"/>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numCache>
            </c:numRef>
          </c:val>
          <c:extLst>
            <c:ext xmlns:c16="http://schemas.microsoft.com/office/drawing/2014/chart" uri="{C3380CC4-5D6E-409C-BE32-E72D297353CC}">
              <c16:uniqueId val="{00000005-FE5E-4682-BCB9-A33A74D70A18}"/>
            </c:ext>
          </c:extLst>
        </c:ser>
        <c:ser>
          <c:idx val="4"/>
          <c:order val="4"/>
          <c:tx>
            <c:strRef>
              <c:f>'8 Kapital|Capital'!$D$108</c:f>
              <c:strCache>
                <c:ptCount val="1"/>
              </c:strCache>
            </c:strRef>
          </c:tx>
          <c:spPr>
            <a:solidFill>
              <a:schemeClr val="accent3">
                <a:lumMod val="40000"/>
                <a:lumOff val="6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Kapital|Capital'!$E$103:$AZ$103</c:f>
              <c:strCache>
                <c:ptCount val="48"/>
                <c:pt idx="0">
                  <c:v>     1.26</c:v>
                </c:pt>
                <c:pt idx="1">
                  <c:v>     1.26</c:v>
                </c:pt>
                <c:pt idx="2">
                  <c:v>     2.26</c:v>
                </c:pt>
                <c:pt idx="3">
                  <c:v>     2.26</c:v>
                </c:pt>
                <c:pt idx="4">
                  <c:v>     3.26</c:v>
                </c:pt>
                <c:pt idx="5">
                  <c:v>     3.26</c:v>
                </c:pt>
                <c:pt idx="6">
                  <c:v>     4.26</c:v>
                </c:pt>
                <c:pt idx="7">
                  <c:v>     4.26</c:v>
                </c:pt>
                <c:pt idx="8">
                  <c:v>     5.26</c:v>
                </c:pt>
                <c:pt idx="9">
                  <c:v>     5.26</c:v>
                </c:pt>
                <c:pt idx="10">
                  <c:v>     6.26</c:v>
                </c:pt>
                <c:pt idx="11">
                  <c:v>     6.26</c:v>
                </c:pt>
                <c:pt idx="12">
                  <c:v>     7.26</c:v>
                </c:pt>
                <c:pt idx="13">
                  <c:v>     7.26</c:v>
                </c:pt>
                <c:pt idx="14">
                  <c:v>     8.26</c:v>
                </c:pt>
                <c:pt idx="15">
                  <c:v>     8.26</c:v>
                </c:pt>
                <c:pt idx="16">
                  <c:v>     9.26</c:v>
                </c:pt>
                <c:pt idx="17">
                  <c:v>     9.26</c:v>
                </c:pt>
                <c:pt idx="18">
                  <c:v>     10.26</c:v>
                </c:pt>
                <c:pt idx="19">
                  <c:v>     10.26</c:v>
                </c:pt>
                <c:pt idx="20">
                  <c:v>     11.26</c:v>
                </c:pt>
                <c:pt idx="21">
                  <c:v>     11.26</c:v>
                </c:pt>
                <c:pt idx="22">
                  <c:v>     12.26</c:v>
                </c:pt>
                <c:pt idx="23">
                  <c:v>     12.26</c:v>
                </c:pt>
                <c:pt idx="24">
                  <c:v>     1.27</c:v>
                </c:pt>
                <c:pt idx="25">
                  <c:v>     1.27</c:v>
                </c:pt>
                <c:pt idx="26">
                  <c:v>     2.27</c:v>
                </c:pt>
                <c:pt idx="27">
                  <c:v>     2.27</c:v>
                </c:pt>
                <c:pt idx="28">
                  <c:v>     3.27</c:v>
                </c:pt>
                <c:pt idx="29">
                  <c:v>     3.27</c:v>
                </c:pt>
                <c:pt idx="30">
                  <c:v>     4.27</c:v>
                </c:pt>
                <c:pt idx="31">
                  <c:v>     4.27</c:v>
                </c:pt>
                <c:pt idx="32">
                  <c:v>     5.27</c:v>
                </c:pt>
                <c:pt idx="33">
                  <c:v>     5.27</c:v>
                </c:pt>
                <c:pt idx="34">
                  <c:v>     6.27</c:v>
                </c:pt>
                <c:pt idx="35">
                  <c:v>     6.27</c:v>
                </c:pt>
                <c:pt idx="36">
                  <c:v>     7.27</c:v>
                </c:pt>
                <c:pt idx="37">
                  <c:v>     7.27</c:v>
                </c:pt>
                <c:pt idx="38">
                  <c:v>     8.27</c:v>
                </c:pt>
                <c:pt idx="39">
                  <c:v>     8.27</c:v>
                </c:pt>
                <c:pt idx="40">
                  <c:v>     9.27</c:v>
                </c:pt>
                <c:pt idx="41">
                  <c:v>     9.27</c:v>
                </c:pt>
                <c:pt idx="42">
                  <c:v>     10.27</c:v>
                </c:pt>
                <c:pt idx="43">
                  <c:v>     10.27</c:v>
                </c:pt>
                <c:pt idx="44">
                  <c:v>     11.27</c:v>
                </c:pt>
                <c:pt idx="45">
                  <c:v>     11.27</c:v>
                </c:pt>
                <c:pt idx="46">
                  <c:v>     12.27</c:v>
                </c:pt>
                <c:pt idx="47">
                  <c:v>     12.27</c:v>
                </c:pt>
              </c:strCache>
            </c:strRef>
          </c:cat>
          <c:val>
            <c:numRef>
              <c:f>'8 Kapital|Capital'!$E$108:$AZ$108</c:f>
              <c:numCache>
                <c:formatCode>0</c:formatCode>
                <c:ptCount val="48"/>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numCache>
            </c:numRef>
          </c:val>
          <c:extLst>
            <c:ext xmlns:c16="http://schemas.microsoft.com/office/drawing/2014/chart" uri="{C3380CC4-5D6E-409C-BE32-E72D297353CC}">
              <c16:uniqueId val="{00000006-FE5E-4682-BCB9-A33A74D70A18}"/>
            </c:ext>
          </c:extLst>
        </c:ser>
        <c:dLbls>
          <c:showLegendKey val="0"/>
          <c:showVal val="1"/>
          <c:showCatName val="0"/>
          <c:showSerName val="0"/>
          <c:showPercent val="0"/>
          <c:showBubbleSize val="0"/>
        </c:dLbls>
        <c:gapWidth val="20"/>
        <c:overlap val="100"/>
        <c:axId val="118599039"/>
        <c:axId val="118596639"/>
      </c:barChart>
      <c:catAx>
        <c:axId val="470937808"/>
        <c:scaling>
          <c:orientation val="minMax"/>
        </c:scaling>
        <c:delete val="0"/>
        <c:axPos val="b"/>
        <c:numFmt formatCode="[=0]&quot;&quot;;#,##0" sourceLinked="0"/>
        <c:majorTickMark val="out"/>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70933128"/>
        <c:crosses val="autoZero"/>
        <c:auto val="0"/>
        <c:lblAlgn val="ctr"/>
        <c:lblOffset val="100"/>
        <c:tickLblSkip val="2"/>
        <c:noMultiLvlLbl val="0"/>
      </c:catAx>
      <c:valAx>
        <c:axId val="470933128"/>
        <c:scaling>
          <c:orientation val="minMax"/>
          <c:min val="0"/>
        </c:scaling>
        <c:delete val="0"/>
        <c:axPos val="l"/>
        <c:majorGridlines>
          <c:spPr>
            <a:ln w="9525" cap="flat" cmpd="sng" algn="ctr">
              <a:solidFill>
                <a:schemeClr val="tx1">
                  <a:lumMod val="15000"/>
                  <a:lumOff val="85000"/>
                </a:schemeClr>
              </a:solidFill>
              <a:round/>
            </a:ln>
            <a:effectLst/>
          </c:spPr>
        </c:majorGridlines>
        <c:title>
          <c:tx>
            <c:strRef>
              <c:f>'8 Kapital|Capital'!$CV$58</c:f>
              <c:strCache>
                <c:ptCount val="1"/>
                <c:pt idx="0">
                  <c:v>Zins und Tilgung</c:v>
                </c:pt>
              </c:strCache>
            </c:strRef>
          </c:tx>
          <c:layout>
            <c:manualLayout>
              <c:xMode val="edge"/>
              <c:yMode val="edge"/>
              <c:x val="4.7202084710711804E-3"/>
              <c:y val="0.2013389153627997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de-DE"/>
          </a:p>
        </c:txPr>
        <c:crossAx val="470937808"/>
        <c:crosses val="autoZero"/>
        <c:crossBetween val="between"/>
      </c:valAx>
      <c:valAx>
        <c:axId val="118596639"/>
        <c:scaling>
          <c:orientation val="minMax"/>
        </c:scaling>
        <c:delete val="0"/>
        <c:axPos val="r"/>
        <c:title>
          <c:tx>
            <c:strRef>
              <c:f>'8 Kapital|Capital'!$CV$61</c:f>
              <c:strCache>
                <c:ptCount val="1"/>
                <c:pt idx="0">
                  <c:v>Kapitalzugang</c:v>
                </c:pt>
              </c:strCache>
            </c:strRef>
          </c:tx>
          <c:layout>
            <c:manualLayout>
              <c:xMode val="edge"/>
              <c:yMode val="edge"/>
              <c:x val="0.98061634846894752"/>
              <c:y val="0.2353963691084830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118599039"/>
        <c:crosses val="max"/>
        <c:crossBetween val="between"/>
      </c:valAx>
      <c:catAx>
        <c:axId val="118599039"/>
        <c:scaling>
          <c:orientation val="minMax"/>
        </c:scaling>
        <c:delete val="1"/>
        <c:axPos val="b"/>
        <c:numFmt formatCode="General" sourceLinked="1"/>
        <c:majorTickMark val="out"/>
        <c:minorTickMark val="none"/>
        <c:tickLblPos val="nextTo"/>
        <c:crossAx val="118596639"/>
        <c:crosses val="autoZero"/>
        <c:auto val="1"/>
        <c:lblAlgn val="ctr"/>
        <c:lblOffset val="100"/>
        <c:noMultiLvlLbl val="0"/>
      </c:catAx>
      <c:spPr>
        <a:noFill/>
        <a:ln>
          <a:noFill/>
        </a:ln>
        <a:effectLst/>
      </c:spPr>
    </c:plotArea>
    <c:legend>
      <c:legendPos val="t"/>
      <c:layout>
        <c:manualLayout>
          <c:xMode val="edge"/>
          <c:yMode val="edge"/>
          <c:x val="0.5508851688534766"/>
          <c:y val="3.2962403179569673E-2"/>
          <c:w val="0.33192283759420538"/>
          <c:h val="0.1181944899967202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 Kapital|Capital'!$CV$60</c:f>
          <c:strCache>
            <c:ptCount val="1"/>
            <c:pt idx="0">
              <c:v>Kapitalbeschaffung für die Jahre 2026 - 2030</c:v>
            </c:pt>
          </c:strCache>
        </c:strRef>
      </c:tx>
      <c:layout>
        <c:manualLayout>
          <c:xMode val="edge"/>
          <c:yMode val="edge"/>
          <c:x val="0.17695239645607541"/>
          <c:y val="2.802106538799579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6.1912137484856029E-2"/>
          <c:y val="0.18807099244388809"/>
          <c:w val="0.87666781783127801"/>
          <c:h val="0.62514166627640144"/>
        </c:manualLayout>
      </c:layout>
      <c:barChart>
        <c:barDir val="col"/>
        <c:grouping val="stacked"/>
        <c:varyColors val="0"/>
        <c:ser>
          <c:idx val="0"/>
          <c:order val="0"/>
          <c:tx>
            <c:strRef>
              <c:f>'8 Kapital|Capital'!$D$113</c:f>
              <c:strCache>
                <c:ptCount val="1"/>
              </c:strCache>
            </c:strRef>
          </c:tx>
          <c:spPr>
            <a:solidFill>
              <a:schemeClr val="accent6">
                <a:lumMod val="60000"/>
                <a:lumOff val="40000"/>
              </a:schemeClr>
            </a:solidFill>
            <a:ln>
              <a:solidFill>
                <a:schemeClr val="tx1"/>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Kapital|Capital'!$E$113:$N$113</c:f>
              <c:numCache>
                <c:formatCode>#,##0</c:formatCode>
                <c:ptCount val="10"/>
                <c:pt idx="0">
                  <c:v>0</c:v>
                </c:pt>
                <c:pt idx="2">
                  <c:v>0</c:v>
                </c:pt>
                <c:pt idx="4">
                  <c:v>0</c:v>
                </c:pt>
                <c:pt idx="6">
                  <c:v>0</c:v>
                </c:pt>
                <c:pt idx="8">
                  <c:v>0</c:v>
                </c:pt>
              </c:numCache>
            </c:numRef>
          </c:val>
          <c:extLst>
            <c:ext xmlns:c16="http://schemas.microsoft.com/office/drawing/2014/chart" uri="{C3380CC4-5D6E-409C-BE32-E72D297353CC}">
              <c16:uniqueId val="{00000000-1038-443B-9623-035DDAB396C9}"/>
            </c:ext>
          </c:extLst>
        </c:ser>
        <c:ser>
          <c:idx val="1"/>
          <c:order val="1"/>
          <c:tx>
            <c:strRef>
              <c:f>'8 Kapital|Capital'!$D$114</c:f>
              <c:strCache>
                <c:ptCount val="1"/>
              </c:strCache>
            </c:strRef>
          </c:tx>
          <c:spPr>
            <a:solidFill>
              <a:schemeClr val="accent6">
                <a:lumMod val="40000"/>
                <a:lumOff val="60000"/>
              </a:schemeClr>
            </a:solidFill>
            <a:ln>
              <a:solidFill>
                <a:schemeClr val="tx1"/>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Kapital|Capital'!$E$114:$N$114</c:f>
              <c:numCache>
                <c:formatCode>#,##0</c:formatCode>
                <c:ptCount val="10"/>
                <c:pt idx="0">
                  <c:v>0</c:v>
                </c:pt>
                <c:pt idx="2">
                  <c:v>0</c:v>
                </c:pt>
                <c:pt idx="4">
                  <c:v>0</c:v>
                </c:pt>
                <c:pt idx="6">
                  <c:v>0</c:v>
                </c:pt>
                <c:pt idx="8">
                  <c:v>0</c:v>
                </c:pt>
              </c:numCache>
            </c:numRef>
          </c:val>
          <c:extLst>
            <c:ext xmlns:c16="http://schemas.microsoft.com/office/drawing/2014/chart" uri="{C3380CC4-5D6E-409C-BE32-E72D297353CC}">
              <c16:uniqueId val="{00000001-1038-443B-9623-035DDAB396C9}"/>
            </c:ext>
          </c:extLst>
        </c:ser>
        <c:dLbls>
          <c:dLblPos val="ctr"/>
          <c:showLegendKey val="0"/>
          <c:showVal val="1"/>
          <c:showCatName val="0"/>
          <c:showSerName val="0"/>
          <c:showPercent val="0"/>
          <c:showBubbleSize val="0"/>
        </c:dLbls>
        <c:gapWidth val="100"/>
        <c:overlap val="100"/>
        <c:axId val="528936136"/>
        <c:axId val="528930736"/>
      </c:barChart>
      <c:barChart>
        <c:barDir val="col"/>
        <c:grouping val="stacked"/>
        <c:varyColors val="0"/>
        <c:ser>
          <c:idx val="2"/>
          <c:order val="2"/>
          <c:tx>
            <c:strRef>
              <c:f>'8 Kapital|Capital'!$D$115</c:f>
              <c:strCache>
                <c:ptCount val="1"/>
              </c:strCache>
            </c:strRef>
          </c:tx>
          <c:spPr>
            <a:solidFill>
              <a:schemeClr val="accent3"/>
            </a:solidFill>
            <a:ln>
              <a:solidFill>
                <a:schemeClr val="tx1"/>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Kapital|Capital'!$E$115:$N$115</c:f>
              <c:numCache>
                <c:formatCode>#,##0</c:formatCode>
                <c:ptCount val="10"/>
                <c:pt idx="1">
                  <c:v>0</c:v>
                </c:pt>
                <c:pt idx="3">
                  <c:v>0</c:v>
                </c:pt>
                <c:pt idx="5">
                  <c:v>0</c:v>
                </c:pt>
                <c:pt idx="7">
                  <c:v>0</c:v>
                </c:pt>
                <c:pt idx="9">
                  <c:v>0</c:v>
                </c:pt>
              </c:numCache>
            </c:numRef>
          </c:val>
          <c:extLst>
            <c:ext xmlns:c16="http://schemas.microsoft.com/office/drawing/2014/chart" uri="{C3380CC4-5D6E-409C-BE32-E72D297353CC}">
              <c16:uniqueId val="{00000002-1038-443B-9623-035DDAB396C9}"/>
            </c:ext>
          </c:extLst>
        </c:ser>
        <c:ser>
          <c:idx val="3"/>
          <c:order val="3"/>
          <c:tx>
            <c:strRef>
              <c:f>'8 Kapital|Capital'!$D$116</c:f>
              <c:strCache>
                <c:ptCount val="1"/>
              </c:strCache>
            </c:strRef>
          </c:tx>
          <c:spPr>
            <a:solidFill>
              <a:schemeClr val="accent3">
                <a:lumMod val="60000"/>
                <a:lumOff val="40000"/>
              </a:schemeClr>
            </a:solidFill>
            <a:ln>
              <a:solidFill>
                <a:schemeClr val="tx1"/>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Kapital|Capital'!$E$116:$N$116</c:f>
              <c:numCache>
                <c:formatCode>#,##0</c:formatCode>
                <c:ptCount val="10"/>
                <c:pt idx="1">
                  <c:v>0</c:v>
                </c:pt>
                <c:pt idx="3">
                  <c:v>0</c:v>
                </c:pt>
                <c:pt idx="5">
                  <c:v>0</c:v>
                </c:pt>
                <c:pt idx="7">
                  <c:v>0</c:v>
                </c:pt>
                <c:pt idx="9">
                  <c:v>0</c:v>
                </c:pt>
              </c:numCache>
            </c:numRef>
          </c:val>
          <c:extLst>
            <c:ext xmlns:c16="http://schemas.microsoft.com/office/drawing/2014/chart" uri="{C3380CC4-5D6E-409C-BE32-E72D297353CC}">
              <c16:uniqueId val="{00000003-1038-443B-9623-035DDAB396C9}"/>
            </c:ext>
          </c:extLst>
        </c:ser>
        <c:ser>
          <c:idx val="4"/>
          <c:order val="4"/>
          <c:tx>
            <c:strRef>
              <c:f>'8 Kapital|Capital'!$D$117</c:f>
              <c:strCache>
                <c:ptCount val="1"/>
              </c:strCache>
            </c:strRef>
          </c:tx>
          <c:spPr>
            <a:solidFill>
              <a:schemeClr val="accent3">
                <a:lumMod val="40000"/>
                <a:lumOff val="60000"/>
              </a:schemeClr>
            </a:solidFill>
            <a:ln>
              <a:solidFill>
                <a:schemeClr val="tx1"/>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Kapital|Capital'!$E$117:$N$117</c:f>
              <c:numCache>
                <c:formatCode>#,##0</c:formatCode>
                <c:ptCount val="10"/>
                <c:pt idx="1">
                  <c:v>0</c:v>
                </c:pt>
                <c:pt idx="3">
                  <c:v>0</c:v>
                </c:pt>
                <c:pt idx="5">
                  <c:v>0</c:v>
                </c:pt>
                <c:pt idx="7">
                  <c:v>0</c:v>
                </c:pt>
                <c:pt idx="9">
                  <c:v>0</c:v>
                </c:pt>
              </c:numCache>
            </c:numRef>
          </c:val>
          <c:extLst>
            <c:ext xmlns:c16="http://schemas.microsoft.com/office/drawing/2014/chart" uri="{C3380CC4-5D6E-409C-BE32-E72D297353CC}">
              <c16:uniqueId val="{00000004-1038-443B-9623-035DDAB396C9}"/>
            </c:ext>
          </c:extLst>
        </c:ser>
        <c:dLbls>
          <c:showLegendKey val="0"/>
          <c:showVal val="0"/>
          <c:showCatName val="0"/>
          <c:showSerName val="0"/>
          <c:showPercent val="0"/>
          <c:showBubbleSize val="0"/>
        </c:dLbls>
        <c:gapWidth val="100"/>
        <c:overlap val="100"/>
        <c:axId val="118597599"/>
        <c:axId val="118599999"/>
      </c:barChart>
      <c:catAx>
        <c:axId val="528936136"/>
        <c:scaling>
          <c:orientation val="minMax"/>
        </c:scaling>
        <c:delete val="0"/>
        <c:axPos val="b"/>
        <c:numFmt formatCode="0"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crossAx val="528930736"/>
        <c:crosses val="autoZero"/>
        <c:auto val="1"/>
        <c:lblAlgn val="ctr"/>
        <c:lblOffset val="100"/>
        <c:tickLblSkip val="2"/>
        <c:tickMarkSkip val="2"/>
        <c:noMultiLvlLbl val="0"/>
      </c:catAx>
      <c:valAx>
        <c:axId val="528930736"/>
        <c:scaling>
          <c:orientation val="minMax"/>
        </c:scaling>
        <c:delete val="0"/>
        <c:axPos val="l"/>
        <c:majorGridlines>
          <c:spPr>
            <a:ln w="9525" cap="flat" cmpd="sng" algn="ctr">
              <a:solidFill>
                <a:schemeClr val="tx1">
                  <a:lumMod val="15000"/>
                  <a:lumOff val="85000"/>
                </a:schemeClr>
              </a:solidFill>
              <a:round/>
            </a:ln>
            <a:effectLst/>
          </c:spPr>
        </c:majorGridlines>
        <c:title>
          <c:tx>
            <c:strRef>
              <c:f>'8 Kapital|Capital'!$CV$58</c:f>
              <c:strCache>
                <c:ptCount val="1"/>
                <c:pt idx="0">
                  <c:v>Zins und Tilgung</c:v>
                </c:pt>
              </c:strCache>
            </c:strRef>
          </c:tx>
          <c:layout>
            <c:manualLayout>
              <c:xMode val="edge"/>
              <c:yMode val="edge"/>
              <c:x val="4.1224896775039254E-3"/>
              <c:y val="0.19434383658880883"/>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de-DE"/>
          </a:p>
        </c:txPr>
        <c:crossAx val="528936136"/>
        <c:crosses val="autoZero"/>
        <c:crossBetween val="between"/>
      </c:valAx>
      <c:valAx>
        <c:axId val="118599999"/>
        <c:scaling>
          <c:orientation val="minMax"/>
        </c:scaling>
        <c:delete val="0"/>
        <c:axPos val="r"/>
        <c:title>
          <c:tx>
            <c:strRef>
              <c:f>'8 Kapital|Capital'!$CV$61</c:f>
              <c:strCache>
                <c:ptCount val="1"/>
                <c:pt idx="0">
                  <c:v>Kapitalzugang</c:v>
                </c:pt>
              </c:strCache>
            </c:strRef>
          </c:tx>
          <c:layout>
            <c:manualLayout>
              <c:xMode val="edge"/>
              <c:yMode val="edge"/>
              <c:x val="0.97931644524428219"/>
              <c:y val="0.2470653964967528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118597599"/>
        <c:crosses val="max"/>
        <c:crossBetween val="between"/>
      </c:valAx>
      <c:catAx>
        <c:axId val="118597599"/>
        <c:scaling>
          <c:orientation val="minMax"/>
        </c:scaling>
        <c:delete val="1"/>
        <c:axPos val="b"/>
        <c:numFmt formatCode="0" sourceLinked="1"/>
        <c:majorTickMark val="out"/>
        <c:minorTickMark val="none"/>
        <c:tickLblPos val="nextTo"/>
        <c:crossAx val="118599999"/>
        <c:crosses val="autoZero"/>
        <c:auto val="1"/>
        <c:lblAlgn val="ctr"/>
        <c:lblOffset val="100"/>
        <c:noMultiLvlLbl val="0"/>
      </c:catAx>
      <c:spPr>
        <a:noFill/>
        <a:ln>
          <a:noFill/>
        </a:ln>
        <a:effectLst/>
      </c:spPr>
    </c:plotArea>
    <c:legend>
      <c:legendPos val="t"/>
      <c:layout>
        <c:manualLayout>
          <c:xMode val="edge"/>
          <c:yMode val="edge"/>
          <c:x val="0.5435579296874945"/>
          <c:y val="4.8457109758854255E-2"/>
          <c:w val="0.3345337665316182"/>
          <c:h val="0.11573353634893999"/>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Betriebskosten|Operation Ex'!$CU$163</c:f>
          <c:strCache>
            <c:ptCount val="1"/>
            <c:pt idx="0">
              <c:v>Jährliche Betriebskosten</c:v>
            </c:pt>
          </c:strCache>
        </c:strRef>
      </c:tx>
      <c:layout>
        <c:manualLayout>
          <c:xMode val="edge"/>
          <c:yMode val="edge"/>
          <c:x val="0.33417993026322934"/>
          <c:y val="2.1184274110739521E-2"/>
        </c:manualLayout>
      </c:layout>
      <c:overlay val="0"/>
      <c:txPr>
        <a:bodyPr/>
        <a:lstStyle/>
        <a:p>
          <a:pPr>
            <a:defRPr sz="1600" b="0"/>
          </a:pPr>
          <a:endParaRPr lang="de-DE"/>
        </a:p>
      </c:txPr>
    </c:title>
    <c:autoTitleDeleted val="0"/>
    <c:plotArea>
      <c:layout>
        <c:manualLayout>
          <c:layoutTarget val="inner"/>
          <c:xMode val="edge"/>
          <c:yMode val="edge"/>
          <c:x val="0.13116695113749535"/>
          <c:y val="0.14468081025538829"/>
          <c:w val="0.86196013605926303"/>
          <c:h val="0.77178417177320779"/>
        </c:manualLayout>
      </c:layout>
      <c:barChart>
        <c:barDir val="col"/>
        <c:grouping val="stacked"/>
        <c:varyColors val="0"/>
        <c:ser>
          <c:idx val="0"/>
          <c:order val="0"/>
          <c:spPr>
            <a:solidFill>
              <a:schemeClr val="accent6">
                <a:lumMod val="40000"/>
                <a:lumOff val="60000"/>
              </a:schemeClr>
            </a:solidFill>
            <a:ln>
              <a:solidFill>
                <a:schemeClr val="tx1">
                  <a:lumMod val="50000"/>
                  <a:lumOff val="50000"/>
                </a:schemeClr>
              </a:solidFill>
            </a:ln>
          </c:spPr>
          <c:invertIfNegative val="0"/>
          <c:dLbls>
            <c:numFmt formatCode="[=0]&quot;&quot;;#,##0" sourceLinked="0"/>
            <c:spPr>
              <a:noFill/>
              <a:ln>
                <a:noFill/>
              </a:ln>
              <a:effectLst/>
            </c:spPr>
            <c:txPr>
              <a:bodyPr/>
              <a:lstStyle/>
              <a:p>
                <a:pPr>
                  <a:defRPr sz="10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  Betriebskosten|Operation Ex'!$G$159:$K$159</c:f>
              <c:numCache>
                <c:formatCode>General</c:formatCode>
                <c:ptCount val="5"/>
                <c:pt idx="0">
                  <c:v>2026</c:v>
                </c:pt>
                <c:pt idx="1">
                  <c:v>2027</c:v>
                </c:pt>
                <c:pt idx="2">
                  <c:v>2028</c:v>
                </c:pt>
                <c:pt idx="3">
                  <c:v>2029</c:v>
                </c:pt>
                <c:pt idx="4">
                  <c:v>2030</c:v>
                </c:pt>
              </c:numCache>
            </c:numRef>
          </c:cat>
          <c:val>
            <c:numRef>
              <c:f>'3  Betriebskosten|Operation Ex'!$G$223:$K$223</c:f>
              <c:numCache>
                <c:formatCode>#,##0</c:formatCode>
                <c:ptCount val="5"/>
                <c:pt idx="0" formatCode="#,##0.00">
                  <c:v>0</c:v>
                </c:pt>
                <c:pt idx="1">
                  <c:v>0</c:v>
                </c:pt>
                <c:pt idx="2">
                  <c:v>0</c:v>
                </c:pt>
                <c:pt idx="3">
                  <c:v>0</c:v>
                </c:pt>
                <c:pt idx="4">
                  <c:v>0</c:v>
                </c:pt>
              </c:numCache>
            </c:numRef>
          </c:val>
          <c:extLst>
            <c:ext xmlns:c16="http://schemas.microsoft.com/office/drawing/2014/chart" uri="{C3380CC4-5D6E-409C-BE32-E72D297353CC}">
              <c16:uniqueId val="{00000000-E823-46EA-9C24-AC90D9B90C74}"/>
            </c:ext>
          </c:extLst>
        </c:ser>
        <c:dLbls>
          <c:showLegendKey val="0"/>
          <c:showVal val="1"/>
          <c:showCatName val="0"/>
          <c:showSerName val="0"/>
          <c:showPercent val="0"/>
          <c:showBubbleSize val="0"/>
        </c:dLbls>
        <c:gapWidth val="75"/>
        <c:overlap val="100"/>
        <c:axId val="440008432"/>
        <c:axId val="442635464"/>
      </c:barChart>
      <c:catAx>
        <c:axId val="440008432"/>
        <c:scaling>
          <c:orientation val="minMax"/>
        </c:scaling>
        <c:delete val="0"/>
        <c:axPos val="b"/>
        <c:numFmt formatCode="General" sourceLinked="1"/>
        <c:majorTickMark val="out"/>
        <c:minorTickMark val="none"/>
        <c:tickLblPos val="nextTo"/>
        <c:spPr>
          <a:ln w="9525">
            <a:solidFill>
              <a:schemeClr val="tx1"/>
            </a:solidFill>
          </a:ln>
        </c:spPr>
        <c:txPr>
          <a:bodyPr/>
          <a:lstStyle/>
          <a:p>
            <a:pPr>
              <a:defRPr sz="1400"/>
            </a:pPr>
            <a:endParaRPr lang="de-DE"/>
          </a:p>
        </c:txPr>
        <c:crossAx val="442635464"/>
        <c:crosses val="autoZero"/>
        <c:auto val="1"/>
        <c:lblAlgn val="ctr"/>
        <c:lblOffset val="100"/>
        <c:noMultiLvlLbl val="0"/>
      </c:catAx>
      <c:valAx>
        <c:axId val="442635464"/>
        <c:scaling>
          <c:orientation val="minMax"/>
          <c:min val="0"/>
        </c:scaling>
        <c:delete val="0"/>
        <c:axPos val="l"/>
        <c:majorGridlines>
          <c:spPr>
            <a:ln>
              <a:solidFill>
                <a:schemeClr val="bg1">
                  <a:lumMod val="75000"/>
                </a:schemeClr>
              </a:solidFill>
            </a:ln>
          </c:spPr>
        </c:majorGridlines>
        <c:title>
          <c:tx>
            <c:rich>
              <a:bodyPr rot="0" vert="horz" anchor="t" anchorCtr="0"/>
              <a:lstStyle/>
              <a:p>
                <a:pPr>
                  <a:defRPr sz="1400" b="0"/>
                </a:pPr>
                <a:r>
                  <a:rPr lang="en-US" sz="1400" b="0"/>
                  <a:t>EUR</a:t>
                </a:r>
              </a:p>
            </c:rich>
          </c:tx>
          <c:layout>
            <c:manualLayout>
              <c:xMode val="edge"/>
              <c:yMode val="edge"/>
              <c:x val="3.5426841505604587E-2"/>
              <c:y val="3.2753303047696837E-2"/>
            </c:manualLayout>
          </c:layout>
          <c:overlay val="0"/>
        </c:title>
        <c:numFmt formatCode="#,##0_);[Red]\(#,##0\)" sourceLinked="0"/>
        <c:majorTickMark val="out"/>
        <c:minorTickMark val="none"/>
        <c:tickLblPos val="nextTo"/>
        <c:spPr>
          <a:ln>
            <a:solidFill>
              <a:schemeClr val="tx1"/>
            </a:solidFill>
          </a:ln>
        </c:spPr>
        <c:txPr>
          <a:bodyPr/>
          <a:lstStyle/>
          <a:p>
            <a:pPr>
              <a:defRPr sz="1400"/>
            </a:pPr>
            <a:endParaRPr lang="de-DE"/>
          </a:p>
        </c:txPr>
        <c:crossAx val="440008432"/>
        <c:crosses val="autoZero"/>
        <c:crossBetween val="between"/>
      </c:valAx>
      <c:spPr>
        <a:noFill/>
      </c:spPr>
    </c:plotArea>
    <c:plotVisOnly val="1"/>
    <c:dispBlanksAs val="gap"/>
    <c:showDLblsOverMax val="0"/>
  </c:chart>
  <c:spPr>
    <a:solidFill>
      <a:schemeClr val="bg1"/>
    </a:solidFill>
    <a:ln>
      <a:solidFill>
        <a:schemeClr val="bg1"/>
      </a:solidFill>
    </a:ln>
  </c:spPr>
  <c:printSettings>
    <c:headerFooter/>
    <c:pageMargins b="0.78740157499999996" l="0.70000000000000062" r="0.70000000000000062" t="0.78740157499999996" header="0.30000000000000032" footer="0.30000000000000032"/>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 Rendite|Profit'!$CY$45</c:f>
          <c:strCache>
            <c:ptCount val="1"/>
            <c:pt idx="0">
              <c:v>Jährlicher Gewinn/Verlust</c:v>
            </c:pt>
          </c:strCache>
        </c:strRef>
      </c:tx>
      <c:layout>
        <c:manualLayout>
          <c:xMode val="edge"/>
          <c:yMode val="edge"/>
          <c:x val="0.30314798272726379"/>
          <c:y val="1.7797465645537087E-2"/>
        </c:manualLayout>
      </c:layout>
      <c:overlay val="0"/>
      <c:txPr>
        <a:bodyPr/>
        <a:lstStyle/>
        <a:p>
          <a:pPr>
            <a:defRPr sz="1600" b="0"/>
          </a:pPr>
          <a:endParaRPr lang="de-DE"/>
        </a:p>
      </c:txPr>
    </c:title>
    <c:autoTitleDeleted val="0"/>
    <c:plotArea>
      <c:layout>
        <c:manualLayout>
          <c:layoutTarget val="inner"/>
          <c:xMode val="edge"/>
          <c:yMode val="edge"/>
          <c:x val="8.9075028472466525E-2"/>
          <c:y val="0.15424421840538224"/>
          <c:w val="0.90297042725924193"/>
          <c:h val="0.75873698669451461"/>
        </c:manualLayout>
      </c:layout>
      <c:barChart>
        <c:barDir val="col"/>
        <c:grouping val="stacked"/>
        <c:varyColors val="0"/>
        <c:ser>
          <c:idx val="1"/>
          <c:order val="1"/>
          <c:tx>
            <c:strRef>
              <c:f>'5 Rendite|Profit'!$D$117</c:f>
              <c:strCache>
                <c:ptCount val="1"/>
                <c:pt idx="0">
                  <c:v>+  Jahreswerte  -</c:v>
                </c:pt>
              </c:strCache>
            </c:strRef>
          </c:tx>
          <c:spPr>
            <a:solidFill>
              <a:schemeClr val="accent3">
                <a:lumMod val="40000"/>
                <a:lumOff val="60000"/>
              </a:schemeClr>
            </a:solidFill>
            <a:ln>
              <a:solidFill>
                <a:schemeClr val="bg1">
                  <a:lumMod val="50000"/>
                </a:schemeClr>
              </a:solidFill>
            </a:ln>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'5 Rendite|Profit'!$E$120:$I$120</c:f>
              <c:numCache>
                <c:formatCode>0</c:formatCode>
                <c:ptCount val="5"/>
                <c:pt idx="0">
                  <c:v>2026</c:v>
                </c:pt>
                <c:pt idx="1">
                  <c:v>2027</c:v>
                </c:pt>
                <c:pt idx="2">
                  <c:v>2028</c:v>
                </c:pt>
                <c:pt idx="3">
                  <c:v>2029</c:v>
                </c:pt>
                <c:pt idx="4">
                  <c:v>2030</c:v>
                </c:pt>
              </c:numCache>
            </c:numRef>
          </c:cat>
          <c:val>
            <c:numRef>
              <c:f>'5 Rendite|Profit'!$E$117:$I$117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A19-40EA-9A73-957B6F47A242}"/>
            </c:ext>
          </c:extLst>
        </c:ser>
        <c:ser>
          <c:idx val="2"/>
          <c:order val="2"/>
          <c:tx>
            <c:strRef>
              <c:f>'5 Rendite|Profit'!$D$118</c:f>
              <c:strCache>
                <c:ptCount val="1"/>
              </c:strCache>
            </c:strRef>
          </c:tx>
          <c:spPr>
            <a:solidFill>
              <a:schemeClr val="accent6">
                <a:lumMod val="40000"/>
                <a:lumOff val="60000"/>
              </a:schemeClr>
            </a:solidFill>
            <a:ln>
              <a:solidFill>
                <a:schemeClr val="accent1"/>
              </a:solidFill>
            </a:ln>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'5 Rendite|Profit'!$E$120:$I$120</c:f>
              <c:numCache>
                <c:formatCode>0</c:formatCode>
                <c:ptCount val="5"/>
                <c:pt idx="0">
                  <c:v>2026</c:v>
                </c:pt>
                <c:pt idx="1">
                  <c:v>2027</c:v>
                </c:pt>
                <c:pt idx="2">
                  <c:v>2028</c:v>
                </c:pt>
                <c:pt idx="3">
                  <c:v>2029</c:v>
                </c:pt>
                <c:pt idx="4">
                  <c:v>2030</c:v>
                </c:pt>
              </c:numCache>
            </c:numRef>
          </c:cat>
          <c:val>
            <c:numRef>
              <c:f>'5 Rendite|Profit'!$E$118:$I$118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7A19-40EA-9A73-957B6F47A242}"/>
            </c:ext>
          </c:extLst>
        </c:ser>
        <c:dLbls>
          <c:showLegendKey val="0"/>
          <c:showVal val="0"/>
          <c:showCatName val="0"/>
          <c:showSerName val="0"/>
          <c:showPercent val="0"/>
          <c:showBubbleSize val="0"/>
        </c:dLbls>
        <c:gapWidth val="75"/>
        <c:overlap val="100"/>
        <c:axId val="442634680"/>
        <c:axId val="442636248"/>
        <c:extLst>
          <c:ext xmlns:c15="http://schemas.microsoft.com/office/drawing/2012/chart" uri="{02D57815-91ED-43cb-92C2-25804820EDAC}">
            <c15:filteredBarSeries>
              <c15:ser>
                <c:idx val="0"/>
                <c:order val="0"/>
                <c:tx>
                  <c:strRef>
                    <c:extLst>
                      <c:ext uri="{02D57815-91ED-43cb-92C2-25804820EDAC}">
                        <c15:formulaRef>
                          <c15:sqref>'5 Rendite|Profit'!$D$116</c15:sqref>
                        </c15:formulaRef>
                      </c:ext>
                    </c:extLst>
                    <c:strCache>
                      <c:ptCount val="1"/>
                      <c:pt idx="0">
                        <c:v>Ergebnis</c:v>
                      </c:pt>
                    </c:strCache>
                  </c:strRef>
                </c:tx>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numRef>
                    <c:extLst>
                      <c:ext uri="{02D57815-91ED-43cb-92C2-25804820EDAC}">
                        <c15:formulaRef>
                          <c15:sqref>'5 Rendite|Profit'!$E$120:$I$120</c15:sqref>
                        </c15:formulaRef>
                      </c:ext>
                    </c:extLst>
                    <c:numCache>
                      <c:formatCode>0</c:formatCode>
                      <c:ptCount val="5"/>
                      <c:pt idx="0">
                        <c:v>2026</c:v>
                      </c:pt>
                      <c:pt idx="1">
                        <c:v>2027</c:v>
                      </c:pt>
                      <c:pt idx="2">
                        <c:v>2028</c:v>
                      </c:pt>
                      <c:pt idx="3">
                        <c:v>2029</c:v>
                      </c:pt>
                      <c:pt idx="4">
                        <c:v>2030</c:v>
                      </c:pt>
                    </c:numCache>
                  </c:numRef>
                </c:cat>
                <c:val>
                  <c:numRef>
                    <c:extLst>
                      <c:ext uri="{02D57815-91ED-43cb-92C2-25804820EDAC}">
                        <c15:formulaRef>
                          <c15:sqref>'5 Rendite|Profit'!$E$116:$I$116</c15:sqref>
                        </c15:formulaRef>
                      </c:ext>
                    </c:extLst>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7A19-40EA-9A73-957B6F47A242}"/>
                  </c:ext>
                </c:extLst>
              </c15:ser>
            </c15:filteredBarSeries>
          </c:ext>
        </c:extLst>
      </c:barChart>
      <c:lineChart>
        <c:grouping val="standard"/>
        <c:varyColors val="0"/>
        <c:ser>
          <c:idx val="3"/>
          <c:order val="3"/>
          <c:tx>
            <c:strRef>
              <c:f>'5 Rendite|Profit'!$D$119</c:f>
              <c:strCache>
                <c:ptCount val="1"/>
                <c:pt idx="0">
                  <c:v>akkumuliert</c:v>
                </c:pt>
              </c:strCache>
            </c:strRef>
          </c:tx>
          <c:spPr>
            <a:ln cap="sq">
              <a:solidFill>
                <a:schemeClr val="accent1"/>
              </a:solidFill>
            </a:ln>
          </c:spPr>
          <c:marker>
            <c:symbol val="square"/>
            <c:size val="7"/>
            <c:spPr>
              <a:solidFill>
                <a:schemeClr val="accent1"/>
              </a:solidFill>
              <a:ln>
                <a:solidFill>
                  <a:schemeClr val="bg1">
                    <a:lumMod val="50000"/>
                  </a:schemeClr>
                </a:solidFill>
              </a:ln>
            </c:spPr>
          </c:marker>
          <c:cat>
            <c:numRef>
              <c:f>'5 Rendite|Profit'!$E$120:$I$120</c:f>
              <c:numCache>
                <c:formatCode>0</c:formatCode>
                <c:ptCount val="5"/>
                <c:pt idx="0">
                  <c:v>2026</c:v>
                </c:pt>
                <c:pt idx="1">
                  <c:v>2027</c:v>
                </c:pt>
                <c:pt idx="2">
                  <c:v>2028</c:v>
                </c:pt>
                <c:pt idx="3">
                  <c:v>2029</c:v>
                </c:pt>
                <c:pt idx="4">
                  <c:v>2030</c:v>
                </c:pt>
              </c:numCache>
            </c:numRef>
          </c:cat>
          <c:val>
            <c:numRef>
              <c:f>'5 Rendite|Profit'!$E$119:$I$119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7A19-40EA-9A73-957B6F47A242}"/>
            </c:ext>
          </c:extLst>
        </c:ser>
        <c:dLbls>
          <c:showLegendKey val="0"/>
          <c:showVal val="0"/>
          <c:showCatName val="0"/>
          <c:showSerName val="0"/>
          <c:showPercent val="0"/>
          <c:showBubbleSize val="0"/>
        </c:dLbls>
        <c:marker val="1"/>
        <c:smooth val="0"/>
        <c:axId val="442634680"/>
        <c:axId val="442636248"/>
      </c:lineChart>
      <c:catAx>
        <c:axId val="442634680"/>
        <c:scaling>
          <c:orientation val="minMax"/>
        </c:scaling>
        <c:delete val="0"/>
        <c:axPos val="b"/>
        <c:numFmt formatCode="0" sourceLinked="0"/>
        <c:majorTickMark val="out"/>
        <c:minorTickMark val="none"/>
        <c:tickLblPos val="nextTo"/>
        <c:spPr>
          <a:noFill/>
          <a:ln w="9525">
            <a:solidFill>
              <a:schemeClr val="tx1"/>
            </a:solidFill>
          </a:ln>
        </c:spPr>
        <c:txPr>
          <a:bodyPr/>
          <a:lstStyle/>
          <a:p>
            <a:pPr>
              <a:defRPr sz="1400"/>
            </a:pPr>
            <a:endParaRPr lang="de-DE"/>
          </a:p>
        </c:txPr>
        <c:crossAx val="442636248"/>
        <c:crosses val="autoZero"/>
        <c:auto val="1"/>
        <c:lblAlgn val="ctr"/>
        <c:lblOffset val="100"/>
        <c:noMultiLvlLbl val="0"/>
      </c:catAx>
      <c:valAx>
        <c:axId val="442636248"/>
        <c:scaling>
          <c:orientation val="minMax"/>
        </c:scaling>
        <c:delete val="0"/>
        <c:axPos val="l"/>
        <c:majorGridlines>
          <c:spPr>
            <a:ln>
              <a:solidFill>
                <a:schemeClr val="bg1">
                  <a:lumMod val="75000"/>
                </a:schemeClr>
              </a:solidFill>
            </a:ln>
          </c:spPr>
        </c:majorGridlines>
        <c:title>
          <c:tx>
            <c:rich>
              <a:bodyPr rot="0" vert="horz" anchor="t" anchorCtr="0"/>
              <a:lstStyle/>
              <a:p>
                <a:pPr>
                  <a:defRPr sz="1600" b="0"/>
                </a:pPr>
                <a:r>
                  <a:rPr lang="de-DE" sz="1600" b="0"/>
                  <a:t>EUR</a:t>
                </a:r>
              </a:p>
            </c:rich>
          </c:tx>
          <c:layout>
            <c:manualLayout>
              <c:xMode val="edge"/>
              <c:yMode val="edge"/>
              <c:x val="5.6074766355140183E-3"/>
              <c:y val="3.1855700777772673E-2"/>
            </c:manualLayout>
          </c:layout>
          <c:overlay val="0"/>
        </c:title>
        <c:numFmt formatCode="#,##0" sourceLinked="0"/>
        <c:majorTickMark val="out"/>
        <c:minorTickMark val="none"/>
        <c:tickLblPos val="nextTo"/>
        <c:spPr>
          <a:ln>
            <a:solidFill>
              <a:schemeClr val="tx1"/>
            </a:solidFill>
          </a:ln>
        </c:spPr>
        <c:txPr>
          <a:bodyPr/>
          <a:lstStyle/>
          <a:p>
            <a:pPr>
              <a:defRPr sz="1400"/>
            </a:pPr>
            <a:endParaRPr lang="de-DE"/>
          </a:p>
        </c:txPr>
        <c:crossAx val="442634680"/>
        <c:crosses val="autoZero"/>
        <c:crossBetween val="between"/>
      </c:valAx>
    </c:plotArea>
    <c:legend>
      <c:legendPos val="t"/>
      <c:layout>
        <c:manualLayout>
          <c:xMode val="edge"/>
          <c:yMode val="edge"/>
          <c:x val="0.23573791561937349"/>
          <c:y val="8.2320886800694146E-2"/>
          <c:w val="0.56553545386692827"/>
          <c:h val="6.0393101154369674E-2"/>
        </c:manualLayout>
      </c:layout>
      <c:overlay val="0"/>
      <c:txPr>
        <a:bodyPr/>
        <a:lstStyle/>
        <a:p>
          <a:pPr>
            <a:defRPr sz="1200"/>
          </a:pPr>
          <a:endParaRPr lang="de-DE"/>
        </a:p>
      </c:txPr>
    </c:legend>
    <c:plotVisOnly val="1"/>
    <c:dispBlanksAs val="gap"/>
    <c:showDLblsOverMax val="0"/>
  </c:chart>
  <c:spPr>
    <a:solidFill>
      <a:schemeClr val="bg1"/>
    </a:solidFill>
    <a:ln>
      <a:solidFill>
        <a:schemeClr val="bg1"/>
      </a:solidFill>
    </a:ln>
  </c:spPr>
  <c:txPr>
    <a:bodyPr/>
    <a:lstStyle/>
    <a:p>
      <a:pPr>
        <a:defRPr sz="1200"/>
      </a:pPr>
      <a:endParaRPr lang="de-DE"/>
    </a:p>
  </c:txPr>
  <c:printSettings>
    <c:headerFooter/>
    <c:pageMargins b="0.78740157499999996" l="0.70000000000000062" r="0.70000000000000062" t="0.78740157499999996"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 Liquiditaet|Liquidity'!$CU$110</c:f>
          <c:strCache>
            <c:ptCount val="1"/>
            <c:pt idx="0">
              <c:v>Jährliche Liquiditätsentwicklung</c:v>
            </c:pt>
          </c:strCache>
        </c:strRef>
      </c:tx>
      <c:layout>
        <c:manualLayout>
          <c:xMode val="edge"/>
          <c:yMode val="edge"/>
          <c:x val="0.29748653903710992"/>
          <c:y val="3.1890651058941205E-2"/>
        </c:manualLayout>
      </c:layout>
      <c:overlay val="0"/>
      <c:txPr>
        <a:bodyPr/>
        <a:lstStyle/>
        <a:p>
          <a:pPr>
            <a:defRPr sz="1600" b="0"/>
          </a:pPr>
          <a:endParaRPr lang="de-DE"/>
        </a:p>
      </c:txPr>
    </c:title>
    <c:autoTitleDeleted val="0"/>
    <c:plotArea>
      <c:layout>
        <c:manualLayout>
          <c:layoutTarget val="inner"/>
          <c:xMode val="edge"/>
          <c:yMode val="edge"/>
          <c:x val="7.3233607131653916E-2"/>
          <c:y val="0.13212585507331293"/>
          <c:w val="0.9106373674382493"/>
          <c:h val="0.78935680909343919"/>
        </c:manualLayout>
      </c:layout>
      <c:barChart>
        <c:barDir val="col"/>
        <c:grouping val="stacked"/>
        <c:varyColors val="0"/>
        <c:ser>
          <c:idx val="0"/>
          <c:order val="0"/>
          <c:spPr>
            <a:solidFill>
              <a:schemeClr val="accent3"/>
            </a:solidFill>
            <a:ln>
              <a:solidFill>
                <a:schemeClr val="bg1">
                  <a:lumMod val="50000"/>
                </a:schemeClr>
              </a:solidFill>
            </a:ln>
          </c:spPr>
          <c:invertIfNegative val="0"/>
          <c:dLbls>
            <c:numFmt formatCode="[=0]&quot;&quot;;#,##0" sourceLinked="0"/>
            <c:spPr>
              <a:noFill/>
              <a:ln>
                <a:noFill/>
              </a:ln>
              <a:effectLst/>
            </c:spPr>
            <c:txPr>
              <a:bodyPr/>
              <a:lstStyle/>
              <a:p>
                <a:pPr>
                  <a:defRPr sz="14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Liquiditaet|Liquidity'!$E$203:$I$203</c:f>
              <c:numCache>
                <c:formatCode>General</c:formatCode>
                <c:ptCount val="5"/>
                <c:pt idx="0">
                  <c:v>2026</c:v>
                </c:pt>
                <c:pt idx="1">
                  <c:v>2027</c:v>
                </c:pt>
                <c:pt idx="2">
                  <c:v>2028</c:v>
                </c:pt>
                <c:pt idx="3">
                  <c:v>2029</c:v>
                </c:pt>
                <c:pt idx="4">
                  <c:v>2030</c:v>
                </c:pt>
              </c:numCache>
            </c:numRef>
          </c:cat>
          <c:val>
            <c:numRef>
              <c:f>'7 Liquiditaet|Liquidity'!$E$204:$I$204</c:f>
              <c:numCache>
                <c:formatCode>#,##0</c:formatCode>
                <c:ptCount val="5"/>
                <c:pt idx="0">
                  <c:v>0</c:v>
                </c:pt>
                <c:pt idx="1">
                  <c:v>0</c:v>
                </c:pt>
                <c:pt idx="2">
                  <c:v>0</c:v>
                </c:pt>
                <c:pt idx="3">
                  <c:v>0</c:v>
                </c:pt>
                <c:pt idx="4">
                  <c:v>0</c:v>
                </c:pt>
              </c:numCache>
            </c:numRef>
          </c:val>
          <c:extLst>
            <c:ext xmlns:c15="http://schemas.microsoft.com/office/drawing/2012/chart" uri="{02D57815-91ED-43cb-92C2-25804820EDAC}">
              <c15:filteredSeriesTitle>
                <c15:tx>
                  <c:strRef>
                    <c:extLst>
                      <c:ext uri="{02D57815-91ED-43cb-92C2-25804820EDAC}">
                        <c15:formulaRef>
                          <c15:sqref>'6  Liquiditaet|Liquidity'!#REF!</c15:sqref>
                        </c15:formulaRef>
                      </c:ext>
                    </c:extLst>
                    <c:strCache>
                      <c:ptCount val="1"/>
                      <c:pt idx="0">
                        <c:v>#REF!</c:v>
                      </c:pt>
                    </c:strCache>
                  </c:strRef>
                </c15:tx>
              </c15:filteredSeriesTitle>
            </c:ext>
            <c:ext xmlns:c16="http://schemas.microsoft.com/office/drawing/2014/chart" uri="{C3380CC4-5D6E-409C-BE32-E72D297353CC}">
              <c16:uniqueId val="{00000000-AFB4-42C4-95A6-83D4F0511632}"/>
            </c:ext>
          </c:extLst>
        </c:ser>
        <c:ser>
          <c:idx val="1"/>
          <c:order val="1"/>
          <c:spPr>
            <a:solidFill>
              <a:schemeClr val="accent6">
                <a:lumMod val="40000"/>
                <a:lumOff val="60000"/>
              </a:schemeClr>
            </a:solidFill>
            <a:ln>
              <a:solidFill>
                <a:schemeClr val="bg1">
                  <a:lumMod val="50000"/>
                </a:schemeClr>
              </a:solidFill>
            </a:ln>
          </c:spPr>
          <c:invertIfNegative val="0"/>
          <c:dLbls>
            <c:numFmt formatCode="[=0]&quot;&quot;;#,##0" sourceLinked="0"/>
            <c:spPr>
              <a:noFill/>
              <a:ln>
                <a:noFill/>
              </a:ln>
              <a:effectLst/>
            </c:spPr>
            <c:txPr>
              <a:bodyPr/>
              <a:lstStyle/>
              <a:p>
                <a:pPr>
                  <a:defRPr sz="14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Liquiditaet|Liquidity'!$E$203:$I$203</c:f>
              <c:numCache>
                <c:formatCode>General</c:formatCode>
                <c:ptCount val="5"/>
                <c:pt idx="0">
                  <c:v>2026</c:v>
                </c:pt>
                <c:pt idx="1">
                  <c:v>2027</c:v>
                </c:pt>
                <c:pt idx="2">
                  <c:v>2028</c:v>
                </c:pt>
                <c:pt idx="3">
                  <c:v>2029</c:v>
                </c:pt>
                <c:pt idx="4">
                  <c:v>2030</c:v>
                </c:pt>
              </c:numCache>
            </c:numRef>
          </c:cat>
          <c:val>
            <c:numRef>
              <c:f>'7 Liquiditaet|Liquidity'!$E$205:$I$205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AFB4-42C4-95A6-83D4F0511632}"/>
            </c:ext>
          </c:extLst>
        </c:ser>
        <c:dLbls>
          <c:showLegendKey val="0"/>
          <c:showVal val="0"/>
          <c:showCatName val="0"/>
          <c:showSerName val="0"/>
          <c:showPercent val="0"/>
          <c:showBubbleSize val="0"/>
        </c:dLbls>
        <c:gapWidth val="75"/>
        <c:overlap val="100"/>
        <c:axId val="540904064"/>
        <c:axId val="540904456"/>
      </c:barChart>
      <c:catAx>
        <c:axId val="540904064"/>
        <c:scaling>
          <c:orientation val="minMax"/>
        </c:scaling>
        <c:delete val="0"/>
        <c:axPos val="b"/>
        <c:numFmt formatCode="General" sourceLinked="1"/>
        <c:majorTickMark val="out"/>
        <c:minorTickMark val="none"/>
        <c:tickLblPos val="nextTo"/>
        <c:spPr>
          <a:ln w="9525">
            <a:solidFill>
              <a:schemeClr val="tx1"/>
            </a:solidFill>
          </a:ln>
        </c:spPr>
        <c:txPr>
          <a:bodyPr/>
          <a:lstStyle/>
          <a:p>
            <a:pPr>
              <a:defRPr sz="1400"/>
            </a:pPr>
            <a:endParaRPr lang="de-DE"/>
          </a:p>
        </c:txPr>
        <c:crossAx val="540904456"/>
        <c:crosses val="autoZero"/>
        <c:auto val="1"/>
        <c:lblAlgn val="ctr"/>
        <c:lblOffset val="100"/>
        <c:noMultiLvlLbl val="0"/>
      </c:catAx>
      <c:valAx>
        <c:axId val="540904456"/>
        <c:scaling>
          <c:orientation val="minMax"/>
        </c:scaling>
        <c:delete val="0"/>
        <c:axPos val="l"/>
        <c:majorGridlines>
          <c:spPr>
            <a:ln>
              <a:solidFill>
                <a:schemeClr val="bg1">
                  <a:lumMod val="75000"/>
                </a:schemeClr>
              </a:solidFill>
            </a:ln>
          </c:spPr>
        </c:majorGridlines>
        <c:title>
          <c:tx>
            <c:rich>
              <a:bodyPr rot="0" vert="horz"/>
              <a:lstStyle/>
              <a:p>
                <a:pPr>
                  <a:defRPr sz="1600" b="0"/>
                </a:pPr>
                <a:r>
                  <a:rPr lang="en-US" sz="1600" b="0"/>
                  <a:t>EUR</a:t>
                </a:r>
              </a:p>
            </c:rich>
          </c:tx>
          <c:layout>
            <c:manualLayout>
              <c:xMode val="edge"/>
              <c:yMode val="edge"/>
              <c:x val="2.1505367240129015E-2"/>
              <c:y val="5.4815927748005269E-2"/>
            </c:manualLayout>
          </c:layout>
          <c:overlay val="0"/>
        </c:title>
        <c:numFmt formatCode="#,##0" sourceLinked="1"/>
        <c:majorTickMark val="out"/>
        <c:minorTickMark val="none"/>
        <c:tickLblPos val="nextTo"/>
        <c:spPr>
          <a:ln w="12700">
            <a:solidFill>
              <a:schemeClr val="tx1"/>
            </a:solidFill>
          </a:ln>
        </c:spPr>
        <c:txPr>
          <a:bodyPr/>
          <a:lstStyle/>
          <a:p>
            <a:pPr>
              <a:defRPr sz="1400"/>
            </a:pPr>
            <a:endParaRPr lang="de-DE"/>
          </a:p>
        </c:txPr>
        <c:crossAx val="540904064"/>
        <c:crosses val="autoZero"/>
        <c:crossBetween val="between"/>
      </c:valAx>
      <c:spPr>
        <a:noFill/>
        <a:ln>
          <a:noFill/>
        </a:ln>
      </c:spPr>
    </c:plotArea>
    <c:plotVisOnly val="1"/>
    <c:dispBlanksAs val="gap"/>
    <c:showDLblsOverMax val="0"/>
  </c:chart>
  <c:spPr>
    <a:solidFill>
      <a:schemeClr val="bg1"/>
    </a:solidFill>
    <a:ln>
      <a:solidFill>
        <a:schemeClr val="bg1"/>
      </a:solidFill>
    </a:ln>
  </c:spPr>
  <c:printSettings>
    <c:headerFooter/>
    <c:pageMargins b="0.78740157499999996" l="0.70000000000000062" r="0.70000000000000062" t="0.78740157499999996"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 Private Kosten|Costs'!$CX$50</c:f>
          <c:strCache>
            <c:ptCount val="1"/>
            <c:pt idx="0">
              <c:v>Persönliche Ausgaben (EUR)</c:v>
            </c:pt>
          </c:strCache>
        </c:strRef>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9.9430979074470044E-2"/>
          <c:y val="8.9198015642211997E-2"/>
          <c:w val="0.87741380185696161"/>
          <c:h val="0.82501959710833783"/>
        </c:manualLayout>
      </c:layout>
      <c:barChart>
        <c:barDir val="col"/>
        <c:grouping val="clustered"/>
        <c:varyColors val="0"/>
        <c:ser>
          <c:idx val="0"/>
          <c:order val="0"/>
          <c:tx>
            <c:strRef>
              <c:f>'1 Private Kosten|Costs'!$D$91</c:f>
              <c:strCache>
                <c:ptCount val="1"/>
                <c:pt idx="0">
                  <c:v>Gesamtausgaben ohne EkSt</c:v>
                </c:pt>
              </c:strCache>
            </c:strRef>
          </c:tx>
          <c:spPr>
            <a:solidFill>
              <a:schemeClr val="accent6">
                <a:lumMod val="40000"/>
                <a:lumOff val="60000"/>
              </a:schemeClr>
            </a:solidFill>
            <a:ln>
              <a:solidFill>
                <a:schemeClr val="tx1">
                  <a:lumMod val="50000"/>
                  <a:lumOff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 Private Kosten|Costs'!$E$92:$I$92</c:f>
              <c:numCache>
                <c:formatCode>General</c:formatCode>
                <c:ptCount val="5"/>
                <c:pt idx="0">
                  <c:v>2026</c:v>
                </c:pt>
                <c:pt idx="1">
                  <c:v>2027</c:v>
                </c:pt>
                <c:pt idx="2">
                  <c:v>2028</c:v>
                </c:pt>
                <c:pt idx="3">
                  <c:v>2029</c:v>
                </c:pt>
                <c:pt idx="4">
                  <c:v>2030</c:v>
                </c:pt>
              </c:numCache>
            </c:numRef>
          </c:cat>
          <c:val>
            <c:numRef>
              <c:f>'1 Private Kosten|Costs'!$E$91:$I$91</c:f>
              <c:numCache>
                <c:formatCode>#,##0</c:formatCode>
                <c:ptCount val="5"/>
                <c:pt idx="0">
                  <c:v>7200</c:v>
                </c:pt>
                <c:pt idx="1">
                  <c:v>7200</c:v>
                </c:pt>
                <c:pt idx="2">
                  <c:v>7200</c:v>
                </c:pt>
                <c:pt idx="3">
                  <c:v>7200</c:v>
                </c:pt>
                <c:pt idx="4">
                  <c:v>7200</c:v>
                </c:pt>
              </c:numCache>
            </c:numRef>
          </c:val>
          <c:extLst>
            <c:ext xmlns:c16="http://schemas.microsoft.com/office/drawing/2014/chart" uri="{C3380CC4-5D6E-409C-BE32-E72D297353CC}">
              <c16:uniqueId val="{00000000-6F72-4759-B939-F99F3E0CE3C5}"/>
            </c:ext>
          </c:extLst>
        </c:ser>
        <c:dLbls>
          <c:showLegendKey val="0"/>
          <c:showVal val="0"/>
          <c:showCatName val="0"/>
          <c:showSerName val="0"/>
          <c:showPercent val="0"/>
          <c:showBubbleSize val="0"/>
        </c:dLbls>
        <c:gapWidth val="80"/>
        <c:overlap val="-27"/>
        <c:axId val="1048632624"/>
        <c:axId val="1048638864"/>
      </c:barChart>
      <c:catAx>
        <c:axId val="1048632624"/>
        <c:scaling>
          <c:orientation val="minMax"/>
        </c:scaling>
        <c:delete val="0"/>
        <c:axPos val="b"/>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de-DE"/>
          </a:p>
        </c:txPr>
        <c:crossAx val="1048638864"/>
        <c:crosses val="autoZero"/>
        <c:auto val="1"/>
        <c:lblAlgn val="ctr"/>
        <c:lblOffset val="100"/>
        <c:noMultiLvlLbl val="0"/>
      </c:catAx>
      <c:valAx>
        <c:axId val="1048638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w="12700">
            <a:solidFill>
              <a:schemeClr val="tx1">
                <a:lumMod val="50000"/>
                <a:lumOff val="50000"/>
              </a:schemeClr>
            </a:solid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10486326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 Kapital|Capital'!$CV$63</c:f>
          <c:strCache>
            <c:ptCount val="1"/>
            <c:pt idx="0">
              <c:v>Kapitalbeschaffung (EUR)</c:v>
            </c:pt>
          </c:strCache>
        </c:strRef>
      </c:tx>
      <c:layout>
        <c:manualLayout>
          <c:xMode val="edge"/>
          <c:yMode val="edge"/>
          <c:x val="0.29773863014603574"/>
          <c:y val="1.746301141186378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0.1429463352398104"/>
          <c:y val="0.13367663697936019"/>
          <c:w val="0.73003750109483345"/>
          <c:h val="0.7851346902535683"/>
        </c:manualLayout>
      </c:layout>
      <c:barChart>
        <c:barDir val="col"/>
        <c:grouping val="stacked"/>
        <c:varyColors val="0"/>
        <c:ser>
          <c:idx val="0"/>
          <c:order val="0"/>
          <c:tx>
            <c:strRef>
              <c:f>'8 Kapital|Capital'!$D$113</c:f>
              <c:strCache>
                <c:ptCount val="1"/>
              </c:strCache>
            </c:strRef>
          </c:tx>
          <c:spPr>
            <a:solidFill>
              <a:schemeClr val="accent6">
                <a:lumMod val="40000"/>
                <a:lumOff val="60000"/>
              </a:schemeClr>
            </a:solidFill>
            <a:ln>
              <a:solidFill>
                <a:schemeClr val="tx1"/>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Kapital|Capital'!$E$113:$N$113</c:f>
              <c:numCache>
                <c:formatCode>#,##0</c:formatCode>
                <c:ptCount val="10"/>
                <c:pt idx="0">
                  <c:v>0</c:v>
                </c:pt>
                <c:pt idx="2">
                  <c:v>0</c:v>
                </c:pt>
                <c:pt idx="4">
                  <c:v>0</c:v>
                </c:pt>
                <c:pt idx="6">
                  <c:v>0</c:v>
                </c:pt>
                <c:pt idx="8">
                  <c:v>0</c:v>
                </c:pt>
              </c:numCache>
            </c:numRef>
          </c:val>
          <c:extLst>
            <c:ext xmlns:c16="http://schemas.microsoft.com/office/drawing/2014/chart" uri="{C3380CC4-5D6E-409C-BE32-E72D297353CC}">
              <c16:uniqueId val="{00000000-9E43-48AF-A9EF-4BF16ADB5909}"/>
            </c:ext>
          </c:extLst>
        </c:ser>
        <c:ser>
          <c:idx val="1"/>
          <c:order val="1"/>
          <c:tx>
            <c:strRef>
              <c:f>'8 Kapital|Capital'!$D$114</c:f>
              <c:strCache>
                <c:ptCount val="1"/>
              </c:strCache>
            </c:strRef>
          </c:tx>
          <c:spPr>
            <a:solidFill>
              <a:schemeClr val="accent6">
                <a:lumMod val="60000"/>
                <a:lumOff val="40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Kapital|Capital'!$E$114:$N$114</c:f>
              <c:numCache>
                <c:formatCode>#,##0</c:formatCode>
                <c:ptCount val="10"/>
                <c:pt idx="0">
                  <c:v>0</c:v>
                </c:pt>
                <c:pt idx="2">
                  <c:v>0</c:v>
                </c:pt>
                <c:pt idx="4">
                  <c:v>0</c:v>
                </c:pt>
                <c:pt idx="6">
                  <c:v>0</c:v>
                </c:pt>
                <c:pt idx="8">
                  <c:v>0</c:v>
                </c:pt>
              </c:numCache>
            </c:numRef>
          </c:val>
          <c:extLst>
            <c:ext xmlns:c16="http://schemas.microsoft.com/office/drawing/2014/chart" uri="{C3380CC4-5D6E-409C-BE32-E72D297353CC}">
              <c16:uniqueId val="{00000001-9E43-48AF-A9EF-4BF16ADB5909}"/>
            </c:ext>
          </c:extLst>
        </c:ser>
        <c:dLbls>
          <c:dLblPos val="ctr"/>
          <c:showLegendKey val="0"/>
          <c:showVal val="1"/>
          <c:showCatName val="0"/>
          <c:showSerName val="0"/>
          <c:showPercent val="0"/>
          <c:showBubbleSize val="0"/>
        </c:dLbls>
        <c:gapWidth val="100"/>
        <c:overlap val="100"/>
        <c:axId val="528936136"/>
        <c:axId val="528930736"/>
      </c:barChart>
      <c:barChart>
        <c:barDir val="col"/>
        <c:grouping val="stacked"/>
        <c:varyColors val="0"/>
        <c:ser>
          <c:idx val="2"/>
          <c:order val="2"/>
          <c:tx>
            <c:strRef>
              <c:f>'8 Kapital|Capital'!$D$115</c:f>
              <c:strCache>
                <c:ptCount val="1"/>
              </c:strCache>
            </c:strRef>
          </c:tx>
          <c:spPr>
            <a:solidFill>
              <a:schemeClr val="accent3"/>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Kapital|Capital'!$E$115:$N$115</c:f>
              <c:numCache>
                <c:formatCode>#,##0</c:formatCode>
                <c:ptCount val="10"/>
                <c:pt idx="1">
                  <c:v>0</c:v>
                </c:pt>
                <c:pt idx="3">
                  <c:v>0</c:v>
                </c:pt>
                <c:pt idx="5">
                  <c:v>0</c:v>
                </c:pt>
                <c:pt idx="7">
                  <c:v>0</c:v>
                </c:pt>
                <c:pt idx="9">
                  <c:v>0</c:v>
                </c:pt>
              </c:numCache>
            </c:numRef>
          </c:val>
          <c:extLst>
            <c:ext xmlns:c16="http://schemas.microsoft.com/office/drawing/2014/chart" uri="{C3380CC4-5D6E-409C-BE32-E72D297353CC}">
              <c16:uniqueId val="{00000002-9E43-48AF-A9EF-4BF16ADB5909}"/>
            </c:ext>
          </c:extLst>
        </c:ser>
        <c:ser>
          <c:idx val="3"/>
          <c:order val="3"/>
          <c:tx>
            <c:strRef>
              <c:f>'8 Kapital|Capital'!$D$116</c:f>
              <c:strCache>
                <c:ptCount val="1"/>
              </c:strCache>
            </c:strRef>
          </c:tx>
          <c:spPr>
            <a:solidFill>
              <a:schemeClr val="accent3">
                <a:lumMod val="60000"/>
                <a:lumOff val="40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Kapital|Capital'!$E$116:$N$116</c:f>
              <c:numCache>
                <c:formatCode>#,##0</c:formatCode>
                <c:ptCount val="10"/>
                <c:pt idx="1">
                  <c:v>0</c:v>
                </c:pt>
                <c:pt idx="3">
                  <c:v>0</c:v>
                </c:pt>
                <c:pt idx="5">
                  <c:v>0</c:v>
                </c:pt>
                <c:pt idx="7">
                  <c:v>0</c:v>
                </c:pt>
                <c:pt idx="9">
                  <c:v>0</c:v>
                </c:pt>
              </c:numCache>
            </c:numRef>
          </c:val>
          <c:extLst>
            <c:ext xmlns:c16="http://schemas.microsoft.com/office/drawing/2014/chart" uri="{C3380CC4-5D6E-409C-BE32-E72D297353CC}">
              <c16:uniqueId val="{00000003-9E43-48AF-A9EF-4BF16ADB5909}"/>
            </c:ext>
          </c:extLst>
        </c:ser>
        <c:ser>
          <c:idx val="4"/>
          <c:order val="4"/>
          <c:tx>
            <c:strRef>
              <c:f>'8 Kapital|Capital'!$D$117</c:f>
              <c:strCache>
                <c:ptCount val="1"/>
              </c:strCache>
            </c:strRef>
          </c:tx>
          <c:spPr>
            <a:solidFill>
              <a:schemeClr val="accent3">
                <a:lumMod val="40000"/>
                <a:lumOff val="60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'8 Kapital|Capital'!$E$112:$N$112</c:f>
              <c:numCache>
                <c:formatCode>0</c:formatCode>
                <c:ptCount val="10"/>
                <c:pt idx="0">
                  <c:v>2026</c:v>
                </c:pt>
                <c:pt idx="1">
                  <c:v>2026</c:v>
                </c:pt>
                <c:pt idx="2">
                  <c:v>2027</c:v>
                </c:pt>
                <c:pt idx="3">
                  <c:v>2027</c:v>
                </c:pt>
                <c:pt idx="4">
                  <c:v>2028</c:v>
                </c:pt>
                <c:pt idx="5">
                  <c:v>2028</c:v>
                </c:pt>
                <c:pt idx="6">
                  <c:v>2029</c:v>
                </c:pt>
                <c:pt idx="7">
                  <c:v>2029</c:v>
                </c:pt>
                <c:pt idx="8">
                  <c:v>2030</c:v>
                </c:pt>
                <c:pt idx="9">
                  <c:v>2030</c:v>
                </c:pt>
              </c:numCache>
            </c:numRef>
          </c:cat>
          <c:val>
            <c:numRef>
              <c:f>'8 Kapital|Capital'!$E$117:$N$117</c:f>
              <c:numCache>
                <c:formatCode>#,##0</c:formatCode>
                <c:ptCount val="10"/>
                <c:pt idx="1">
                  <c:v>0</c:v>
                </c:pt>
                <c:pt idx="3">
                  <c:v>0</c:v>
                </c:pt>
                <c:pt idx="5">
                  <c:v>0</c:v>
                </c:pt>
                <c:pt idx="7">
                  <c:v>0</c:v>
                </c:pt>
                <c:pt idx="9">
                  <c:v>0</c:v>
                </c:pt>
              </c:numCache>
            </c:numRef>
          </c:val>
          <c:extLst>
            <c:ext xmlns:c16="http://schemas.microsoft.com/office/drawing/2014/chart" uri="{C3380CC4-5D6E-409C-BE32-E72D297353CC}">
              <c16:uniqueId val="{00000004-9E43-48AF-A9EF-4BF16ADB5909}"/>
            </c:ext>
          </c:extLst>
        </c:ser>
        <c:dLbls>
          <c:showLegendKey val="0"/>
          <c:showVal val="0"/>
          <c:showCatName val="0"/>
          <c:showSerName val="0"/>
          <c:showPercent val="0"/>
          <c:showBubbleSize val="0"/>
        </c:dLbls>
        <c:gapWidth val="100"/>
        <c:overlap val="100"/>
        <c:axId val="118597599"/>
        <c:axId val="118599999"/>
      </c:barChart>
      <c:catAx>
        <c:axId val="528936136"/>
        <c:scaling>
          <c:orientation val="minMax"/>
        </c:scaling>
        <c:delete val="0"/>
        <c:axPos val="b"/>
        <c:numFmt formatCode="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de-DE"/>
          </a:p>
        </c:txPr>
        <c:crossAx val="528930736"/>
        <c:crosses val="autoZero"/>
        <c:auto val="1"/>
        <c:lblAlgn val="ctr"/>
        <c:lblOffset val="100"/>
        <c:tickLblSkip val="2"/>
        <c:tickMarkSkip val="2"/>
        <c:noMultiLvlLbl val="0"/>
      </c:catAx>
      <c:valAx>
        <c:axId val="528930736"/>
        <c:scaling>
          <c:orientation val="minMax"/>
        </c:scaling>
        <c:delete val="0"/>
        <c:axPos val="l"/>
        <c:majorGridlines>
          <c:spPr>
            <a:ln w="9525" cap="flat" cmpd="sng" algn="ctr">
              <a:solidFill>
                <a:schemeClr val="bg1">
                  <a:lumMod val="75000"/>
                </a:schemeClr>
              </a:solidFill>
              <a:round/>
            </a:ln>
            <a:effectLst/>
          </c:spPr>
        </c:majorGridlines>
        <c:title>
          <c:tx>
            <c:strRef>
              <c:f>'8 Kapital|Capital'!$CV$58</c:f>
              <c:strCache>
                <c:ptCount val="1"/>
                <c:pt idx="0">
                  <c:v>Zins und Tilgung</c:v>
                </c:pt>
              </c:strCache>
            </c:strRef>
          </c:tx>
          <c:layout>
            <c:manualLayout>
              <c:xMode val="edge"/>
              <c:yMode val="edge"/>
              <c:x val="1.11236936121259E-3"/>
              <c:y val="0.40466230183357066"/>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de-DE"/>
          </a:p>
        </c:txPr>
        <c:crossAx val="528936136"/>
        <c:crosses val="autoZero"/>
        <c:crossBetween val="between"/>
      </c:valAx>
      <c:valAx>
        <c:axId val="118599999"/>
        <c:scaling>
          <c:orientation val="minMax"/>
        </c:scaling>
        <c:delete val="0"/>
        <c:axPos val="r"/>
        <c:title>
          <c:tx>
            <c:strRef>
              <c:f>'8 Kapital|Capital'!$CV$61</c:f>
              <c:strCache>
                <c:ptCount val="1"/>
                <c:pt idx="0">
                  <c:v>Kapitalzugang</c:v>
                </c:pt>
              </c:strCache>
            </c:strRef>
          </c:tx>
          <c:layout>
            <c:manualLayout>
              <c:xMode val="edge"/>
              <c:yMode val="edge"/>
              <c:x val="0.95679416804179351"/>
              <c:y val="0.4265526284395299"/>
            </c:manualLayout>
          </c:layout>
          <c:overlay val="0"/>
          <c:spPr>
            <a:noFill/>
            <a:ln>
              <a:noFill/>
            </a:ln>
            <a:effectLst/>
          </c:spPr>
          <c:txPr>
            <a:bodyPr rot="5400000" spcFirstLastPara="1" vertOverflow="ellipsis" wrap="square" anchor="ctr" anchorCtr="0"/>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118597599"/>
        <c:crosses val="max"/>
        <c:crossBetween val="between"/>
      </c:valAx>
      <c:catAx>
        <c:axId val="118597599"/>
        <c:scaling>
          <c:orientation val="minMax"/>
        </c:scaling>
        <c:delete val="1"/>
        <c:axPos val="b"/>
        <c:numFmt formatCode="0" sourceLinked="1"/>
        <c:majorTickMark val="out"/>
        <c:minorTickMark val="none"/>
        <c:tickLblPos val="nextTo"/>
        <c:crossAx val="118599999"/>
        <c:crosses val="autoZero"/>
        <c:auto val="1"/>
        <c:lblAlgn val="ctr"/>
        <c:lblOffset val="100"/>
        <c:noMultiLvlLbl val="0"/>
      </c:catAx>
      <c:spPr>
        <a:noFill/>
        <a:ln>
          <a:noFill/>
        </a:ln>
        <a:effectLst/>
      </c:spPr>
    </c:plotArea>
    <c:legend>
      <c:legendPos val="t"/>
      <c:layout>
        <c:manualLayout>
          <c:xMode val="edge"/>
          <c:yMode val="edge"/>
          <c:x val="1.7684310058980912E-2"/>
          <c:y val="7.1845609379559403E-2"/>
          <c:w val="0.9493461560487404"/>
          <c:h val="4.9745546386293131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'2 Umsatz|Sales'!$CW$99</c:f>
          <c:strCache>
            <c:ptCount val="1"/>
            <c:pt idx="0">
              <c:v>Jahresumsätze</c:v>
            </c:pt>
          </c:strCache>
        </c:strRef>
      </c:tx>
      <c:layout>
        <c:manualLayout>
          <c:xMode val="edge"/>
          <c:yMode val="edge"/>
          <c:x val="0.37331000122605024"/>
          <c:y val="1.1513439551399359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de-DE"/>
        </a:p>
      </c:txPr>
    </c:title>
    <c:autoTitleDeleted val="0"/>
    <c:plotArea>
      <c:layout>
        <c:manualLayout>
          <c:layoutTarget val="inner"/>
          <c:xMode val="edge"/>
          <c:yMode val="edge"/>
          <c:x val="0.15361417563275401"/>
          <c:y val="0.14929606439333892"/>
          <c:w val="0.83720478998419989"/>
          <c:h val="0.77076367208439911"/>
        </c:manualLayout>
      </c:layout>
      <c:barChart>
        <c:barDir val="col"/>
        <c:grouping val="stacked"/>
        <c:varyColors val="0"/>
        <c:ser>
          <c:idx val="2"/>
          <c:order val="0"/>
          <c:tx>
            <c:strRef>
              <c:f>'2 Umsatz|Sales'!$F$168</c:f>
              <c:strCache>
                <c:ptCount val="1"/>
                <c:pt idx="0">
                  <c:v>Auswahl/Choose</c:v>
                </c:pt>
              </c:strCache>
            </c:strRef>
          </c:tx>
          <c:spPr>
            <a:solidFill>
              <a:schemeClr val="accent3">
                <a:lumMod val="75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'2 Umsatz|Sales'!$H$167:$L$167</c:f>
              <c:numCache>
                <c:formatCode>General</c:formatCode>
                <c:ptCount val="5"/>
                <c:pt idx="0">
                  <c:v>2026</c:v>
                </c:pt>
                <c:pt idx="1">
                  <c:v>2027</c:v>
                </c:pt>
                <c:pt idx="2">
                  <c:v>2028</c:v>
                </c:pt>
                <c:pt idx="3">
                  <c:v>2029</c:v>
                </c:pt>
                <c:pt idx="4">
                  <c:v>2030</c:v>
                </c:pt>
              </c:numCache>
            </c:numRef>
          </c:cat>
          <c:val>
            <c:numRef>
              <c:f>'2 Umsatz|Sales'!$H$168:$L$168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ED4-4842-AA4F-A9A43057FE80}"/>
            </c:ext>
          </c:extLst>
        </c:ser>
        <c:ser>
          <c:idx val="3"/>
          <c:order val="1"/>
          <c:tx>
            <c:strRef>
              <c:f>'2 Umsatz|Sales'!$F$169</c:f>
              <c:strCache>
                <c:ptCount val="1"/>
                <c:pt idx="0">
                  <c:v>Auswahl/Choose</c:v>
                </c:pt>
              </c:strCache>
            </c:strRef>
          </c:tx>
          <c:spPr>
            <a:solidFill>
              <a:schemeClr val="accent3">
                <a:lumMod val="60000"/>
                <a:lumOff val="40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'2 Umsatz|Sales'!$H$167:$L$167</c:f>
              <c:numCache>
                <c:formatCode>General</c:formatCode>
                <c:ptCount val="5"/>
                <c:pt idx="0">
                  <c:v>2026</c:v>
                </c:pt>
                <c:pt idx="1">
                  <c:v>2027</c:v>
                </c:pt>
                <c:pt idx="2">
                  <c:v>2028</c:v>
                </c:pt>
                <c:pt idx="3">
                  <c:v>2029</c:v>
                </c:pt>
                <c:pt idx="4">
                  <c:v>2030</c:v>
                </c:pt>
              </c:numCache>
            </c:numRef>
          </c:cat>
          <c:val>
            <c:numRef>
              <c:f>'2 Umsatz|Sales'!$H$169:$L$169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2ED4-4842-AA4F-A9A43057FE80}"/>
            </c:ext>
          </c:extLst>
        </c:ser>
        <c:ser>
          <c:idx val="4"/>
          <c:order val="2"/>
          <c:tx>
            <c:strRef>
              <c:f>'2 Umsatz|Sales'!$F$170</c:f>
              <c:strCache>
                <c:ptCount val="1"/>
              </c:strCache>
            </c:strRef>
          </c:tx>
          <c:spPr>
            <a:solidFill>
              <a:schemeClr val="accent3">
                <a:lumMod val="40000"/>
                <a:lumOff val="60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'2 Umsatz|Sales'!$H$167:$L$167</c:f>
              <c:numCache>
                <c:formatCode>General</c:formatCode>
                <c:ptCount val="5"/>
                <c:pt idx="0">
                  <c:v>2026</c:v>
                </c:pt>
                <c:pt idx="1">
                  <c:v>2027</c:v>
                </c:pt>
                <c:pt idx="2">
                  <c:v>2028</c:v>
                </c:pt>
                <c:pt idx="3">
                  <c:v>2029</c:v>
                </c:pt>
                <c:pt idx="4">
                  <c:v>2030</c:v>
                </c:pt>
              </c:numCache>
            </c:numRef>
          </c:cat>
          <c:val>
            <c:numRef>
              <c:f>'2 Umsatz|Sales'!$H$170:$L$170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2ED4-4842-AA4F-A9A43057FE80}"/>
            </c:ext>
          </c:extLst>
        </c:ser>
        <c:dLbls>
          <c:showLegendKey val="0"/>
          <c:showVal val="1"/>
          <c:showCatName val="0"/>
          <c:showSerName val="0"/>
          <c:showPercent val="0"/>
          <c:showBubbleSize val="0"/>
        </c:dLbls>
        <c:gapWidth val="51"/>
        <c:overlap val="100"/>
        <c:axId val="440008824"/>
        <c:axId val="440010000"/>
        <c:extLst/>
      </c:barChart>
      <c:lineChart>
        <c:grouping val="stacked"/>
        <c:varyColors val="0"/>
        <c:ser>
          <c:idx val="0"/>
          <c:order val="3"/>
          <c:tx>
            <c:strRef>
              <c:f>'2 Umsatz|Sales'!$F$171</c:f>
              <c:strCache>
                <c:ptCount val="1"/>
                <c:pt idx="0">
                  <c:v>akkumuliert</c:v>
                </c:pt>
              </c:strCache>
            </c:strRef>
          </c:tx>
          <c:spPr>
            <a:ln w="28575" cap="rnd" cmpd="sng" algn="ctr">
              <a:solidFill>
                <a:schemeClr val="accent1"/>
              </a:solidFill>
              <a:prstDash val="solid"/>
              <a:round/>
            </a:ln>
            <a:effectLst/>
          </c:spPr>
          <c:marker>
            <c:symbol val="square"/>
            <c:size val="7"/>
            <c:spPr>
              <a:solidFill>
                <a:schemeClr val="accent1"/>
              </a:solidFill>
              <a:ln w="9525" cap="flat" cmpd="sng" algn="ctr">
                <a:solidFill>
                  <a:schemeClr val="accent3">
                    <a:shade val="53000"/>
                    <a:shade val="95000"/>
                    <a:satMod val="105000"/>
                  </a:schemeClr>
                </a:solidFill>
                <a:prstDash val="solid"/>
                <a:round/>
              </a:ln>
              <a:effectLst/>
            </c:spPr>
          </c:marker>
          <c:cat>
            <c:numRef>
              <c:f>'2 Umsatz|Sales'!$H$167:$L$167</c:f>
              <c:numCache>
                <c:formatCode>General</c:formatCode>
                <c:ptCount val="5"/>
                <c:pt idx="0">
                  <c:v>2026</c:v>
                </c:pt>
                <c:pt idx="1">
                  <c:v>2027</c:v>
                </c:pt>
                <c:pt idx="2">
                  <c:v>2028</c:v>
                </c:pt>
                <c:pt idx="3">
                  <c:v>2029</c:v>
                </c:pt>
                <c:pt idx="4">
                  <c:v>2030</c:v>
                </c:pt>
              </c:numCache>
            </c:numRef>
          </c:cat>
          <c:val>
            <c:numRef>
              <c:f>'2 Umsatz|Sales'!$H$171:$L$171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3-2ED4-4842-AA4F-A9A43057FE80}"/>
            </c:ext>
          </c:extLst>
        </c:ser>
        <c:dLbls>
          <c:showLegendKey val="0"/>
          <c:showVal val="0"/>
          <c:showCatName val="0"/>
          <c:showSerName val="0"/>
          <c:showPercent val="0"/>
          <c:showBubbleSize val="0"/>
        </c:dLbls>
        <c:marker val="1"/>
        <c:smooth val="0"/>
        <c:axId val="243997408"/>
        <c:axId val="243989728"/>
      </c:lineChart>
      <c:catAx>
        <c:axId val="440008824"/>
        <c:scaling>
          <c:orientation val="minMax"/>
        </c:scaling>
        <c:delete val="0"/>
        <c:axPos val="b"/>
        <c:numFmt formatCode="0" sourceLinked="0"/>
        <c:majorTickMark val="out"/>
        <c:minorTickMark val="none"/>
        <c:tickLblPos val="nextTo"/>
        <c:spPr>
          <a:noFill/>
          <a:ln w="9525" cap="flat" cmpd="sng" algn="ctr">
            <a:solidFill>
              <a:schemeClr val="tx1"/>
            </a:solidFill>
            <a:prstDash val="solid"/>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de-DE"/>
          </a:p>
        </c:txPr>
        <c:crossAx val="440010000"/>
        <c:crosses val="autoZero"/>
        <c:auto val="1"/>
        <c:lblAlgn val="ctr"/>
        <c:lblOffset val="100"/>
        <c:noMultiLvlLbl val="0"/>
      </c:catAx>
      <c:valAx>
        <c:axId val="440010000"/>
        <c:scaling>
          <c:orientation val="minMax"/>
        </c:scaling>
        <c:delete val="0"/>
        <c:axPos val="l"/>
        <c:majorGridlines>
          <c:spPr>
            <a:ln w="9525" cap="flat" cmpd="sng" algn="ctr">
              <a:solidFill>
                <a:schemeClr val="bg1">
                  <a:lumMod val="75000"/>
                  <a:alpha val="98000"/>
                </a:schemeClr>
              </a:solidFill>
              <a:prstDash val="solid"/>
              <a:round/>
            </a:ln>
            <a:effectLst/>
          </c:spPr>
        </c:majorGridlines>
        <c:title>
          <c:tx>
            <c:rich>
              <a:bodyPr rot="0" spcFirstLastPara="1" vertOverflow="ellipsis" wrap="square" anchor="ctr" anchorCtr="1"/>
              <a:lstStyle/>
              <a:p>
                <a:pPr>
                  <a:defRPr sz="1400" b="0" i="0" u="none" strike="noStrike" kern="1200" baseline="0">
                    <a:solidFill>
                      <a:schemeClr val="tx1"/>
                    </a:solidFill>
                    <a:latin typeface="+mn-lt"/>
                    <a:ea typeface="+mn-ea"/>
                    <a:cs typeface="+mn-cs"/>
                  </a:defRPr>
                </a:pPr>
                <a:r>
                  <a:rPr lang="en-US" sz="1400" b="0"/>
                  <a:t>EUR</a:t>
                </a:r>
              </a:p>
            </c:rich>
          </c:tx>
          <c:layout>
            <c:manualLayout>
              <c:xMode val="edge"/>
              <c:yMode val="edge"/>
              <c:x val="1.1527630332920431E-2"/>
              <c:y val="3.07903102099986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solidFill>
                  <a:latin typeface="+mn-lt"/>
                  <a:ea typeface="+mn-ea"/>
                  <a:cs typeface="+mn-cs"/>
                </a:defRPr>
              </a:pPr>
              <a:endParaRPr lang="de-DE"/>
            </a:p>
          </c:txPr>
        </c:title>
        <c:numFmt formatCode="#,##0_);[Red]\(#,##0\)" sourceLinked="0"/>
        <c:majorTickMark val="out"/>
        <c:minorTickMark val="none"/>
        <c:tickLblPos val="nextTo"/>
        <c:spPr>
          <a:noFill/>
          <a:ln w="9525" cap="flat" cmpd="sng" algn="ctr">
            <a:solidFill>
              <a:schemeClr val="tx1"/>
            </a:solidFill>
            <a:prstDash val="solid"/>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de-DE"/>
          </a:p>
        </c:txPr>
        <c:crossAx val="440008824"/>
        <c:crosses val="autoZero"/>
        <c:crossBetween val="between"/>
      </c:valAx>
      <c:valAx>
        <c:axId val="243989728"/>
        <c:scaling>
          <c:orientation val="minMax"/>
        </c:scaling>
        <c:delete val="0"/>
        <c:axPos val="r"/>
        <c:title>
          <c:tx>
            <c:rich>
              <a:bodyPr rot="0" spcFirstLastPara="1" vertOverflow="ellipsis" wrap="square" anchor="ctr" anchorCtr="1"/>
              <a:lstStyle/>
              <a:p>
                <a:pPr>
                  <a:defRPr sz="1400" b="0" i="0" u="none" strike="noStrike" kern="1200" baseline="0">
                    <a:solidFill>
                      <a:schemeClr val="tx1"/>
                    </a:solidFill>
                    <a:latin typeface="+mn-lt"/>
                    <a:ea typeface="+mn-ea"/>
                    <a:cs typeface="+mn-cs"/>
                  </a:defRPr>
                </a:pPr>
                <a:r>
                  <a:rPr lang="en-US" sz="1400" b="0"/>
                  <a:t>EUR</a:t>
                </a:r>
              </a:p>
            </c:rich>
          </c:tx>
          <c:layout>
            <c:manualLayout>
              <c:xMode val="edge"/>
              <c:yMode val="edge"/>
              <c:x val="0.92270822759890481"/>
              <c:y val="1.8196533836467382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solidFill>
                  <a:latin typeface="+mn-lt"/>
                  <a:ea typeface="+mn-ea"/>
                  <a:cs typeface="+mn-cs"/>
                </a:defRPr>
              </a:pPr>
              <a:endParaRPr lang="de-DE"/>
            </a:p>
          </c:txPr>
        </c:title>
        <c:numFmt formatCode="#,##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de-DE"/>
          </a:p>
        </c:txPr>
        <c:crossAx val="243997408"/>
        <c:crosses val="max"/>
        <c:crossBetween val="between"/>
      </c:valAx>
      <c:catAx>
        <c:axId val="243997408"/>
        <c:scaling>
          <c:orientation val="minMax"/>
        </c:scaling>
        <c:delete val="1"/>
        <c:axPos val="b"/>
        <c:numFmt formatCode="General" sourceLinked="1"/>
        <c:majorTickMark val="out"/>
        <c:minorTickMark val="none"/>
        <c:tickLblPos val="nextTo"/>
        <c:crossAx val="243989728"/>
        <c:crosses val="autoZero"/>
        <c:auto val="1"/>
        <c:lblAlgn val="ctr"/>
        <c:lblOffset val="100"/>
        <c:noMultiLvlLbl val="0"/>
      </c:catAx>
      <c:spPr>
        <a:noFill/>
        <a:ln>
          <a:solidFill>
            <a:schemeClr val="bg1">
              <a:lumMod val="75000"/>
            </a:schemeClr>
          </a:solidFill>
        </a:ln>
        <a:effectLst/>
      </c:spPr>
    </c:plotArea>
    <c:legend>
      <c:legendPos val="t"/>
      <c:layout>
        <c:manualLayout>
          <c:xMode val="edge"/>
          <c:yMode val="edge"/>
          <c:x val="2.2427042354749405E-2"/>
          <c:y val="7.6205702776431267E-2"/>
          <c:w val="0.95434734796846099"/>
          <c:h val="4.712195490489062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 Invest'!$CU$17</c:f>
          <c:strCache>
            <c:ptCount val="1"/>
            <c:pt idx="0">
              <c:v>Jährliche Anschaffungen/Abschreibungen </c:v>
            </c:pt>
          </c:strCache>
        </c:strRef>
      </c:tx>
      <c:layout>
        <c:manualLayout>
          <c:xMode val="edge"/>
          <c:yMode val="edge"/>
          <c:x val="0.19316922532791733"/>
          <c:y val="1.4757212450595214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9.7001655910170806E-2"/>
          <c:y val="0.13608875799953368"/>
          <c:w val="0.89073122729900334"/>
          <c:h val="0.78271100129891347"/>
        </c:manualLayout>
      </c:layout>
      <c:barChart>
        <c:barDir val="col"/>
        <c:grouping val="clustered"/>
        <c:varyColors val="0"/>
        <c:ser>
          <c:idx val="0"/>
          <c:order val="0"/>
          <c:tx>
            <c:strRef>
              <c:f>'4 Invest'!$C$305</c:f>
              <c:strCache>
                <c:ptCount val="1"/>
                <c:pt idx="0">
                  <c:v>Anschaffungen</c:v>
                </c:pt>
              </c:strCache>
            </c:strRef>
          </c:tx>
          <c:spPr>
            <a:solidFill>
              <a:srgbClr val="FCD5B5"/>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Invest'!$D$303:$M$303</c:f>
              <c:numCache>
                <c:formatCode>0</c:formatCode>
                <c:ptCount val="10"/>
                <c:pt idx="0">
                  <c:v>2026</c:v>
                </c:pt>
                <c:pt idx="2">
                  <c:v>2027</c:v>
                </c:pt>
                <c:pt idx="4">
                  <c:v>2028</c:v>
                </c:pt>
                <c:pt idx="6">
                  <c:v>2029</c:v>
                </c:pt>
                <c:pt idx="8">
                  <c:v>2030</c:v>
                </c:pt>
              </c:numCache>
            </c:numRef>
          </c:cat>
          <c:val>
            <c:numRef>
              <c:f>'4 Invest'!$D$305:$M$305</c:f>
              <c:numCache>
                <c:formatCode>0</c:formatCode>
                <c:ptCount val="10"/>
                <c:pt idx="0">
                  <c:v>0</c:v>
                </c:pt>
                <c:pt idx="2">
                  <c:v>0</c:v>
                </c:pt>
                <c:pt idx="4">
                  <c:v>0</c:v>
                </c:pt>
                <c:pt idx="6">
                  <c:v>0</c:v>
                </c:pt>
                <c:pt idx="8">
                  <c:v>0</c:v>
                </c:pt>
              </c:numCache>
            </c:numRef>
          </c:val>
          <c:extLst>
            <c:ext xmlns:c16="http://schemas.microsoft.com/office/drawing/2014/chart" uri="{C3380CC4-5D6E-409C-BE32-E72D297353CC}">
              <c16:uniqueId val="{00000000-570F-4229-A345-183DAD66A959}"/>
            </c:ext>
          </c:extLst>
        </c:ser>
        <c:dLbls>
          <c:showLegendKey val="0"/>
          <c:showVal val="0"/>
          <c:showCatName val="0"/>
          <c:showSerName val="0"/>
          <c:showPercent val="0"/>
          <c:showBubbleSize val="0"/>
        </c:dLbls>
        <c:gapWidth val="50"/>
        <c:overlap val="100"/>
        <c:axId val="578584304"/>
        <c:axId val="578584664"/>
      </c:barChart>
      <c:barChart>
        <c:barDir val="col"/>
        <c:grouping val="clustered"/>
        <c:varyColors val="0"/>
        <c:ser>
          <c:idx val="1"/>
          <c:order val="1"/>
          <c:tx>
            <c:strRef>
              <c:f>'4 Invest'!$C$304</c:f>
              <c:strCache>
                <c:ptCount val="1"/>
                <c:pt idx="0">
                  <c:v>Abschreibungen </c:v>
                </c:pt>
              </c:strCache>
            </c:strRef>
          </c:tx>
          <c:spPr>
            <a:solidFill>
              <a:schemeClr val="accent1">
                <a:lumMod val="40000"/>
                <a:lumOff val="6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Invest'!$D$303:$M$303</c:f>
              <c:numCache>
                <c:formatCode>0</c:formatCode>
                <c:ptCount val="10"/>
                <c:pt idx="0">
                  <c:v>2026</c:v>
                </c:pt>
                <c:pt idx="2">
                  <c:v>2027</c:v>
                </c:pt>
                <c:pt idx="4">
                  <c:v>2028</c:v>
                </c:pt>
                <c:pt idx="6">
                  <c:v>2029</c:v>
                </c:pt>
                <c:pt idx="8">
                  <c:v>2030</c:v>
                </c:pt>
              </c:numCache>
            </c:numRef>
          </c:cat>
          <c:val>
            <c:numRef>
              <c:f>'4 Invest'!$D$304:$M$304</c:f>
              <c:numCache>
                <c:formatCode>0</c:formatCode>
                <c:ptCount val="10"/>
                <c:pt idx="1">
                  <c:v>0</c:v>
                </c:pt>
                <c:pt idx="3">
                  <c:v>0</c:v>
                </c:pt>
                <c:pt idx="5">
                  <c:v>0</c:v>
                </c:pt>
                <c:pt idx="7">
                  <c:v>0</c:v>
                </c:pt>
                <c:pt idx="9">
                  <c:v>0</c:v>
                </c:pt>
              </c:numCache>
            </c:numRef>
          </c:val>
          <c:extLst>
            <c:ext xmlns:c16="http://schemas.microsoft.com/office/drawing/2014/chart" uri="{C3380CC4-5D6E-409C-BE32-E72D297353CC}">
              <c16:uniqueId val="{00000001-570F-4229-A345-183DAD66A959}"/>
            </c:ext>
          </c:extLst>
        </c:ser>
        <c:dLbls>
          <c:showLegendKey val="0"/>
          <c:showVal val="0"/>
          <c:showCatName val="0"/>
          <c:showSerName val="0"/>
          <c:showPercent val="0"/>
          <c:showBubbleSize val="0"/>
        </c:dLbls>
        <c:gapWidth val="50"/>
        <c:overlap val="50"/>
        <c:axId val="578584304"/>
        <c:axId val="578584664"/>
      </c:barChart>
      <c:catAx>
        <c:axId val="578584304"/>
        <c:scaling>
          <c:orientation val="minMax"/>
        </c:scaling>
        <c:delete val="0"/>
        <c:axPos val="b"/>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de-DE"/>
          </a:p>
        </c:txPr>
        <c:crossAx val="578584664"/>
        <c:crosses val="autoZero"/>
        <c:auto val="1"/>
        <c:lblAlgn val="ctr"/>
        <c:lblOffset val="100"/>
        <c:noMultiLvlLbl val="0"/>
      </c:catAx>
      <c:valAx>
        <c:axId val="578584664"/>
        <c:scaling>
          <c:orientation val="minMax"/>
        </c:scaling>
        <c:delete val="0"/>
        <c:axPos val="l"/>
        <c:majorGridlines>
          <c:spPr>
            <a:ln w="9525" cap="flat" cmpd="sng" algn="ctr">
              <a:solidFill>
                <a:schemeClr val="bg1">
                  <a:lumMod val="85000"/>
                </a:schemeClr>
              </a:solid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t>EUR</a:t>
                </a:r>
              </a:p>
            </c:rich>
          </c:tx>
          <c:layout>
            <c:manualLayout>
              <c:xMode val="edge"/>
              <c:yMode val="edge"/>
              <c:x val="2.3355755193272831E-2"/>
              <c:y val="2.79981111072164E-4"/>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de-DE"/>
          </a:p>
        </c:txPr>
        <c:crossAx val="578584304"/>
        <c:crosses val="autoZero"/>
        <c:crossBetween val="between"/>
      </c:valAx>
      <c:spPr>
        <a:noFill/>
        <a:ln>
          <a:noFill/>
        </a:ln>
        <a:effectLst/>
      </c:spPr>
    </c:plotArea>
    <c:legend>
      <c:legendPos val="r"/>
      <c:layout>
        <c:manualLayout>
          <c:xMode val="edge"/>
          <c:yMode val="edge"/>
          <c:x val="0.23366942766434914"/>
          <c:y val="8.0722514204975157E-2"/>
          <c:w val="0.66653275094976328"/>
          <c:h val="4.9778553346971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80314965" l="0.70866141732283472" r="0.70866141732283472" t="0.78740157480314965"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'2 Umsatz|Sales'!$CW$99</c:f>
          <c:strCache>
            <c:ptCount val="1"/>
            <c:pt idx="0">
              <c:v>Jahresumsätze</c:v>
            </c:pt>
          </c:strCache>
        </c:strRef>
      </c:tx>
      <c:layout>
        <c:manualLayout>
          <c:xMode val="edge"/>
          <c:yMode val="edge"/>
          <c:x val="0.37331000122605024"/>
          <c:y val="1.1513439551399359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de-DE"/>
        </a:p>
      </c:txPr>
    </c:title>
    <c:autoTitleDeleted val="0"/>
    <c:plotArea>
      <c:layout>
        <c:manualLayout>
          <c:layoutTarget val="inner"/>
          <c:xMode val="edge"/>
          <c:yMode val="edge"/>
          <c:x val="0.15361417563275401"/>
          <c:y val="0.13183969518872296"/>
          <c:w val="0.83720478998419989"/>
          <c:h val="0.79986820677266091"/>
        </c:manualLayout>
      </c:layout>
      <c:barChart>
        <c:barDir val="col"/>
        <c:grouping val="stacked"/>
        <c:varyColors val="0"/>
        <c:ser>
          <c:idx val="2"/>
          <c:order val="0"/>
          <c:tx>
            <c:strRef>
              <c:f>'2 Umsatz|Sales'!$F$168</c:f>
              <c:strCache>
                <c:ptCount val="1"/>
                <c:pt idx="0">
                  <c:v>Auswahl/Choose</c:v>
                </c:pt>
              </c:strCache>
            </c:strRef>
          </c:tx>
          <c:spPr>
            <a:solidFill>
              <a:schemeClr val="accent3">
                <a:lumMod val="75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'2 Umsatz|Sales'!$H$167:$L$167</c:f>
              <c:numCache>
                <c:formatCode>General</c:formatCode>
                <c:ptCount val="5"/>
                <c:pt idx="0">
                  <c:v>2026</c:v>
                </c:pt>
                <c:pt idx="1">
                  <c:v>2027</c:v>
                </c:pt>
                <c:pt idx="2">
                  <c:v>2028</c:v>
                </c:pt>
                <c:pt idx="3">
                  <c:v>2029</c:v>
                </c:pt>
                <c:pt idx="4">
                  <c:v>2030</c:v>
                </c:pt>
              </c:numCache>
            </c:numRef>
          </c:cat>
          <c:val>
            <c:numRef>
              <c:f>'2 Umsatz|Sales'!$H$168:$L$168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304C-4E51-B98F-7CF4945366E2}"/>
            </c:ext>
          </c:extLst>
        </c:ser>
        <c:ser>
          <c:idx val="3"/>
          <c:order val="1"/>
          <c:tx>
            <c:strRef>
              <c:f>'2 Umsatz|Sales'!$F$169</c:f>
              <c:strCache>
                <c:ptCount val="1"/>
                <c:pt idx="0">
                  <c:v>Auswahl/Choose</c:v>
                </c:pt>
              </c:strCache>
            </c:strRef>
          </c:tx>
          <c:spPr>
            <a:solidFill>
              <a:schemeClr val="accent3">
                <a:lumMod val="60000"/>
                <a:lumOff val="40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'2 Umsatz|Sales'!$H$167:$L$167</c:f>
              <c:numCache>
                <c:formatCode>General</c:formatCode>
                <c:ptCount val="5"/>
                <c:pt idx="0">
                  <c:v>2026</c:v>
                </c:pt>
                <c:pt idx="1">
                  <c:v>2027</c:v>
                </c:pt>
                <c:pt idx="2">
                  <c:v>2028</c:v>
                </c:pt>
                <c:pt idx="3">
                  <c:v>2029</c:v>
                </c:pt>
                <c:pt idx="4">
                  <c:v>2030</c:v>
                </c:pt>
              </c:numCache>
            </c:numRef>
          </c:cat>
          <c:val>
            <c:numRef>
              <c:f>'2 Umsatz|Sales'!$H$169:$L$169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304C-4E51-B98F-7CF4945366E2}"/>
            </c:ext>
          </c:extLst>
        </c:ser>
        <c:ser>
          <c:idx val="4"/>
          <c:order val="2"/>
          <c:tx>
            <c:strRef>
              <c:f>'2 Umsatz|Sales'!$F$170</c:f>
              <c:strCache>
                <c:ptCount val="1"/>
              </c:strCache>
            </c:strRef>
          </c:tx>
          <c:spPr>
            <a:solidFill>
              <a:schemeClr val="accent3">
                <a:lumMod val="40000"/>
                <a:lumOff val="60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'2 Umsatz|Sales'!$H$167:$L$167</c:f>
              <c:numCache>
                <c:formatCode>General</c:formatCode>
                <c:ptCount val="5"/>
                <c:pt idx="0">
                  <c:v>2026</c:v>
                </c:pt>
                <c:pt idx="1">
                  <c:v>2027</c:v>
                </c:pt>
                <c:pt idx="2">
                  <c:v>2028</c:v>
                </c:pt>
                <c:pt idx="3">
                  <c:v>2029</c:v>
                </c:pt>
                <c:pt idx="4">
                  <c:v>2030</c:v>
                </c:pt>
              </c:numCache>
            </c:numRef>
          </c:cat>
          <c:val>
            <c:numRef>
              <c:f>'2 Umsatz|Sales'!$H$170:$L$170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304C-4E51-B98F-7CF4945366E2}"/>
            </c:ext>
          </c:extLst>
        </c:ser>
        <c:dLbls>
          <c:showLegendKey val="0"/>
          <c:showVal val="1"/>
          <c:showCatName val="0"/>
          <c:showSerName val="0"/>
          <c:showPercent val="0"/>
          <c:showBubbleSize val="0"/>
        </c:dLbls>
        <c:gapWidth val="51"/>
        <c:overlap val="100"/>
        <c:axId val="440008824"/>
        <c:axId val="440010000"/>
        <c:extLst/>
      </c:barChart>
      <c:lineChart>
        <c:grouping val="stacked"/>
        <c:varyColors val="0"/>
        <c:ser>
          <c:idx val="0"/>
          <c:order val="3"/>
          <c:tx>
            <c:strRef>
              <c:f>'2 Umsatz|Sales'!$F$171</c:f>
              <c:strCache>
                <c:ptCount val="1"/>
                <c:pt idx="0">
                  <c:v>akkumuliert</c:v>
                </c:pt>
              </c:strCache>
            </c:strRef>
          </c:tx>
          <c:spPr>
            <a:ln w="28575" cap="rnd" cmpd="sng" algn="ctr">
              <a:solidFill>
                <a:schemeClr val="accent1"/>
              </a:solidFill>
              <a:prstDash val="solid"/>
              <a:round/>
            </a:ln>
            <a:effectLst/>
          </c:spPr>
          <c:marker>
            <c:symbol val="square"/>
            <c:size val="7"/>
            <c:spPr>
              <a:solidFill>
                <a:schemeClr val="accent1"/>
              </a:solidFill>
              <a:ln w="9525" cap="flat" cmpd="sng" algn="ctr">
                <a:solidFill>
                  <a:schemeClr val="accent3">
                    <a:shade val="53000"/>
                    <a:shade val="95000"/>
                    <a:satMod val="105000"/>
                  </a:schemeClr>
                </a:solidFill>
                <a:prstDash val="solid"/>
                <a:round/>
              </a:ln>
              <a:effectLst/>
            </c:spPr>
          </c:marker>
          <c:cat>
            <c:numRef>
              <c:f>'2 Umsatz|Sales'!$H$167:$L$167</c:f>
              <c:numCache>
                <c:formatCode>General</c:formatCode>
                <c:ptCount val="5"/>
                <c:pt idx="0">
                  <c:v>2026</c:v>
                </c:pt>
                <c:pt idx="1">
                  <c:v>2027</c:v>
                </c:pt>
                <c:pt idx="2">
                  <c:v>2028</c:v>
                </c:pt>
                <c:pt idx="3">
                  <c:v>2029</c:v>
                </c:pt>
                <c:pt idx="4">
                  <c:v>2030</c:v>
                </c:pt>
              </c:numCache>
            </c:numRef>
          </c:cat>
          <c:val>
            <c:numRef>
              <c:f>'2 Umsatz|Sales'!$H$171:$L$171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09F9-48B7-8171-5C1B85C2F96B}"/>
            </c:ext>
          </c:extLst>
        </c:ser>
        <c:dLbls>
          <c:showLegendKey val="0"/>
          <c:showVal val="0"/>
          <c:showCatName val="0"/>
          <c:showSerName val="0"/>
          <c:showPercent val="0"/>
          <c:showBubbleSize val="0"/>
        </c:dLbls>
        <c:marker val="1"/>
        <c:smooth val="0"/>
        <c:axId val="243997408"/>
        <c:axId val="243989728"/>
      </c:lineChart>
      <c:catAx>
        <c:axId val="440008824"/>
        <c:scaling>
          <c:orientation val="minMax"/>
        </c:scaling>
        <c:delete val="0"/>
        <c:axPos val="b"/>
        <c:numFmt formatCode="0" sourceLinked="0"/>
        <c:majorTickMark val="out"/>
        <c:minorTickMark val="none"/>
        <c:tickLblPos val="nextTo"/>
        <c:spPr>
          <a:noFill/>
          <a:ln w="12700" cap="flat" cmpd="sng" algn="ctr">
            <a:solidFill>
              <a:schemeClr val="tx1">
                <a:lumMod val="85000"/>
                <a:lumOff val="15000"/>
              </a:schemeClr>
            </a:solidFill>
            <a:prstDash val="solid"/>
            <a:round/>
          </a:ln>
          <a:effectLst/>
        </c:spPr>
        <c:txPr>
          <a:bodyPr rot="-60000000" spcFirstLastPara="1" vertOverflow="ellipsis" vert="horz" wrap="square" anchor="ctr" anchorCtr="1"/>
          <a:lstStyle/>
          <a:p>
            <a:pPr>
              <a:defRPr sz="1300" b="0" i="0" u="none" strike="noStrike" kern="1200" baseline="0">
                <a:solidFill>
                  <a:schemeClr val="tx1"/>
                </a:solidFill>
                <a:latin typeface="+mn-lt"/>
                <a:ea typeface="+mn-ea"/>
                <a:cs typeface="+mn-cs"/>
              </a:defRPr>
            </a:pPr>
            <a:endParaRPr lang="de-DE"/>
          </a:p>
        </c:txPr>
        <c:crossAx val="440010000"/>
        <c:crosses val="autoZero"/>
        <c:auto val="1"/>
        <c:lblAlgn val="ctr"/>
        <c:lblOffset val="100"/>
        <c:noMultiLvlLbl val="0"/>
      </c:catAx>
      <c:valAx>
        <c:axId val="440010000"/>
        <c:scaling>
          <c:orientation val="minMax"/>
        </c:scaling>
        <c:delete val="0"/>
        <c:axPos val="l"/>
        <c:majorGridlines>
          <c:spPr>
            <a:ln w="9525" cap="flat" cmpd="sng" algn="ctr">
              <a:solidFill>
                <a:schemeClr val="bg1">
                  <a:lumMod val="85000"/>
                  <a:alpha val="98000"/>
                </a:schemeClr>
              </a:solidFill>
              <a:prstDash val="solid"/>
              <a:round/>
            </a:ln>
            <a:effectLst/>
          </c:spPr>
        </c:majorGridlines>
        <c:title>
          <c:tx>
            <c:rich>
              <a:bodyPr rot="0" spcFirstLastPara="1" vertOverflow="ellipsis" wrap="square" anchor="ctr" anchorCtr="1"/>
              <a:lstStyle/>
              <a:p>
                <a:pPr>
                  <a:defRPr sz="1400" b="0" i="0" u="none" strike="noStrike" kern="1200" baseline="0">
                    <a:solidFill>
                      <a:schemeClr val="tx1"/>
                    </a:solidFill>
                    <a:latin typeface="+mn-lt"/>
                    <a:ea typeface="+mn-ea"/>
                    <a:cs typeface="+mn-cs"/>
                  </a:defRPr>
                </a:pPr>
                <a:r>
                  <a:rPr lang="en-US" sz="1400" b="0"/>
                  <a:t>EUR</a:t>
                </a:r>
              </a:p>
            </c:rich>
          </c:tx>
          <c:layout>
            <c:manualLayout>
              <c:xMode val="edge"/>
              <c:yMode val="edge"/>
              <c:x val="1.415530712558098E-2"/>
              <c:y val="4.2427975420982839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solidFill>
                  <a:latin typeface="+mn-lt"/>
                  <a:ea typeface="+mn-ea"/>
                  <a:cs typeface="+mn-cs"/>
                </a:defRPr>
              </a:pPr>
              <a:endParaRPr lang="de-DE"/>
            </a:p>
          </c:txPr>
        </c:title>
        <c:numFmt formatCode="#,##0_);[Red]\(#,##0\)" sourceLinked="0"/>
        <c:majorTickMark val="out"/>
        <c:minorTickMark val="none"/>
        <c:tickLblPos val="nextTo"/>
        <c:spPr>
          <a:noFill/>
          <a:ln w="9525" cap="flat" cmpd="sng" algn="ctr">
            <a:solidFill>
              <a:schemeClr val="tx1">
                <a:lumMod val="75000"/>
                <a:lumOff val="25000"/>
              </a:schemeClr>
            </a:solidFill>
            <a:prstDash val="solid"/>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de-DE"/>
          </a:p>
        </c:txPr>
        <c:crossAx val="440008824"/>
        <c:crosses val="autoZero"/>
        <c:crossBetween val="between"/>
      </c:valAx>
      <c:valAx>
        <c:axId val="243989728"/>
        <c:scaling>
          <c:orientation val="minMax"/>
        </c:scaling>
        <c:delete val="0"/>
        <c:axPos val="r"/>
        <c:title>
          <c:tx>
            <c:rich>
              <a:bodyPr rot="0" spcFirstLastPara="1" vertOverflow="ellipsis" wrap="square" anchor="ctr" anchorCtr="1"/>
              <a:lstStyle/>
              <a:p>
                <a:pPr>
                  <a:defRPr sz="1400" b="0" i="0" u="none" strike="noStrike" kern="1200" baseline="0">
                    <a:solidFill>
                      <a:schemeClr val="tx1"/>
                    </a:solidFill>
                    <a:latin typeface="+mn-lt"/>
                    <a:ea typeface="+mn-ea"/>
                    <a:cs typeface="+mn-cs"/>
                  </a:defRPr>
                </a:pPr>
                <a:r>
                  <a:rPr lang="en-US" sz="1400" b="0"/>
                  <a:t>EUR</a:t>
                </a:r>
              </a:p>
            </c:rich>
          </c:tx>
          <c:layout>
            <c:manualLayout>
              <c:xMode val="edge"/>
              <c:yMode val="edge"/>
              <c:x val="0.9309221012271649"/>
              <c:y val="2.1106013800513742E-2"/>
            </c:manualLayout>
          </c:layout>
          <c:overlay val="0"/>
          <c:spPr>
            <a:noFill/>
            <a:ln>
              <a:noFill/>
            </a:ln>
            <a:effectLst/>
          </c:spPr>
          <c:txPr>
            <a:bodyPr rot="0" spcFirstLastPara="1" vertOverflow="ellipsis" wrap="square" anchor="ctr" anchorCtr="1"/>
            <a:lstStyle/>
            <a:p>
              <a:pPr>
                <a:defRPr sz="1400" b="0" i="0" u="none" strike="noStrike" kern="1200" baseline="0">
                  <a:solidFill>
                    <a:schemeClr val="tx1"/>
                  </a:solidFill>
                  <a:latin typeface="+mn-lt"/>
                  <a:ea typeface="+mn-ea"/>
                  <a:cs typeface="+mn-cs"/>
                </a:defRPr>
              </a:pPr>
              <a:endParaRPr lang="de-DE"/>
            </a:p>
          </c:txPr>
        </c:title>
        <c:numFmt formatCode="#,##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de-DE"/>
          </a:p>
        </c:txPr>
        <c:crossAx val="243997408"/>
        <c:crosses val="max"/>
        <c:crossBetween val="between"/>
      </c:valAx>
      <c:catAx>
        <c:axId val="243997408"/>
        <c:scaling>
          <c:orientation val="minMax"/>
        </c:scaling>
        <c:delete val="1"/>
        <c:axPos val="b"/>
        <c:numFmt formatCode="General" sourceLinked="1"/>
        <c:majorTickMark val="out"/>
        <c:minorTickMark val="none"/>
        <c:tickLblPos val="nextTo"/>
        <c:crossAx val="243989728"/>
        <c:crosses val="autoZero"/>
        <c:auto val="1"/>
        <c:lblAlgn val="ctr"/>
        <c:lblOffset val="100"/>
        <c:noMultiLvlLbl val="0"/>
      </c:catAx>
      <c:spPr>
        <a:noFill/>
        <a:ln>
          <a:solidFill>
            <a:schemeClr val="bg1">
              <a:lumMod val="75000"/>
            </a:schemeClr>
          </a:solidFill>
        </a:ln>
        <a:effectLst/>
      </c:spPr>
    </c:plotArea>
    <c:legend>
      <c:legendPos val="t"/>
      <c:layout>
        <c:manualLayout>
          <c:xMode val="edge"/>
          <c:yMode val="edge"/>
          <c:x val="0.1000600485961725"/>
          <c:y val="7.3296341688632208E-2"/>
          <c:w val="0.89817053801312985"/>
          <c:h val="4.712195490489062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de-DE"/>
    </a:p>
  </c:txPr>
  <c:printSettings>
    <c:headerFooter/>
    <c:pageMargins b="0.78740157499999996" l="0.70000000000000062" r="0.70000000000000062" t="0.78740157499999996"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strRef>
          <c:f>'2 Umsatz|Sales'!$CW$102</c:f>
          <c:strCache>
            <c:ptCount val="1"/>
            <c:pt idx="0">
              <c:v>Monatsumsätze der Jahre 2026 und 2027</c:v>
            </c:pt>
          </c:strCache>
        </c:strRef>
      </c:tx>
      <c:layout>
        <c:manualLayout>
          <c:xMode val="edge"/>
          <c:yMode val="edge"/>
          <c:x val="5.2269329077759469E-2"/>
          <c:y val="2.5674449407074598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7.2961091804318812E-2"/>
          <c:y val="0.13019747347270866"/>
          <c:w val="0.93678797505020217"/>
          <c:h val="0.80268507175971682"/>
        </c:manualLayout>
      </c:layout>
      <c:barChart>
        <c:barDir val="col"/>
        <c:grouping val="stacked"/>
        <c:varyColors val="0"/>
        <c:ser>
          <c:idx val="3"/>
          <c:order val="0"/>
          <c:tx>
            <c:strRef>
              <c:f>'2 Umsatz|Sales'!$F$225</c:f>
              <c:strCache>
                <c:ptCount val="1"/>
              </c:strCache>
            </c:strRef>
          </c:tx>
          <c:spPr>
            <a:solidFill>
              <a:schemeClr val="accent3">
                <a:lumMod val="75000"/>
              </a:schemeClr>
            </a:solidFill>
            <a:ln>
              <a:solidFill>
                <a:schemeClr val="tx1">
                  <a:lumMod val="50000"/>
                  <a:lumOff val="50000"/>
                </a:schemeClr>
              </a:solidFill>
            </a:ln>
            <a:effectLst/>
          </c:spPr>
          <c:invertIfNegative val="0"/>
          <c:dLbls>
            <c:dLbl>
              <c:idx val="20"/>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de-DE"/>
                </a:p>
              </c:txPr>
              <c:showLegendKey val="0"/>
              <c:showVal val="1"/>
              <c:showCatName val="0"/>
              <c:showSerName val="0"/>
              <c:showPercent val="0"/>
              <c:showBubbleSize val="0"/>
              <c:extLst>
                <c:ext xmlns:c16="http://schemas.microsoft.com/office/drawing/2014/chart" uri="{C3380CC4-5D6E-409C-BE32-E72D297353CC}">
                  <c16:uniqueId val="{00000000-53E3-46B5-87AC-8929948BC239}"/>
                </c:ext>
              </c:extLst>
            </c:dLbl>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Umsatz|Sales'!$G$224:$AD$224</c:f>
              <c:strCache>
                <c:ptCount val="24"/>
                <c:pt idx="0">
                  <c:v>1.26</c:v>
                </c:pt>
                <c:pt idx="1">
                  <c:v>2.26</c:v>
                </c:pt>
                <c:pt idx="2">
                  <c:v>3.26</c:v>
                </c:pt>
                <c:pt idx="3">
                  <c:v>4.26</c:v>
                </c:pt>
                <c:pt idx="4">
                  <c:v>5.26</c:v>
                </c:pt>
                <c:pt idx="5">
                  <c:v>6.26</c:v>
                </c:pt>
                <c:pt idx="6">
                  <c:v>7.26</c:v>
                </c:pt>
                <c:pt idx="7">
                  <c:v>8.26</c:v>
                </c:pt>
                <c:pt idx="8">
                  <c:v>9.26</c:v>
                </c:pt>
                <c:pt idx="9">
                  <c:v>10.26</c:v>
                </c:pt>
                <c:pt idx="10">
                  <c:v>11.26</c:v>
                </c:pt>
                <c:pt idx="11">
                  <c:v>12.26</c:v>
                </c:pt>
                <c:pt idx="12">
                  <c:v>1.27</c:v>
                </c:pt>
                <c:pt idx="13">
                  <c:v>2.27</c:v>
                </c:pt>
                <c:pt idx="14">
                  <c:v>3.27</c:v>
                </c:pt>
                <c:pt idx="15">
                  <c:v>4.27</c:v>
                </c:pt>
                <c:pt idx="16">
                  <c:v>5.27</c:v>
                </c:pt>
                <c:pt idx="17">
                  <c:v>6.27</c:v>
                </c:pt>
                <c:pt idx="18">
                  <c:v>7.27</c:v>
                </c:pt>
                <c:pt idx="19">
                  <c:v>8.27</c:v>
                </c:pt>
                <c:pt idx="20">
                  <c:v>9.27</c:v>
                </c:pt>
                <c:pt idx="21">
                  <c:v>10.27</c:v>
                </c:pt>
                <c:pt idx="22">
                  <c:v>11.27</c:v>
                </c:pt>
                <c:pt idx="23">
                  <c:v>12.27</c:v>
                </c:pt>
              </c:strCache>
            </c:strRef>
          </c:cat>
          <c:val>
            <c:numRef>
              <c:f>'2 Umsatz|Sales'!$G$225:$AD$225</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53E3-46B5-87AC-8929948BC239}"/>
            </c:ext>
          </c:extLst>
        </c:ser>
        <c:ser>
          <c:idx val="0"/>
          <c:order val="1"/>
          <c:tx>
            <c:strRef>
              <c:f>'2 Umsatz|Sales'!$F$226</c:f>
              <c:strCache>
                <c:ptCount val="1"/>
              </c:strCache>
            </c:strRef>
          </c:tx>
          <c:spPr>
            <a:solidFill>
              <a:schemeClr val="accent3">
                <a:lumMod val="60000"/>
                <a:lumOff val="4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Umsatz|Sales'!$G$224:$AD$224</c:f>
              <c:strCache>
                <c:ptCount val="24"/>
                <c:pt idx="0">
                  <c:v>1.26</c:v>
                </c:pt>
                <c:pt idx="1">
                  <c:v>2.26</c:v>
                </c:pt>
                <c:pt idx="2">
                  <c:v>3.26</c:v>
                </c:pt>
                <c:pt idx="3">
                  <c:v>4.26</c:v>
                </c:pt>
                <c:pt idx="4">
                  <c:v>5.26</c:v>
                </c:pt>
                <c:pt idx="5">
                  <c:v>6.26</c:v>
                </c:pt>
                <c:pt idx="6">
                  <c:v>7.26</c:v>
                </c:pt>
                <c:pt idx="7">
                  <c:v>8.26</c:v>
                </c:pt>
                <c:pt idx="8">
                  <c:v>9.26</c:v>
                </c:pt>
                <c:pt idx="9">
                  <c:v>10.26</c:v>
                </c:pt>
                <c:pt idx="10">
                  <c:v>11.26</c:v>
                </c:pt>
                <c:pt idx="11">
                  <c:v>12.26</c:v>
                </c:pt>
                <c:pt idx="12">
                  <c:v>1.27</c:v>
                </c:pt>
                <c:pt idx="13">
                  <c:v>2.27</c:v>
                </c:pt>
                <c:pt idx="14">
                  <c:v>3.27</c:v>
                </c:pt>
                <c:pt idx="15">
                  <c:v>4.27</c:v>
                </c:pt>
                <c:pt idx="16">
                  <c:v>5.27</c:v>
                </c:pt>
                <c:pt idx="17">
                  <c:v>6.27</c:v>
                </c:pt>
                <c:pt idx="18">
                  <c:v>7.27</c:v>
                </c:pt>
                <c:pt idx="19">
                  <c:v>8.27</c:v>
                </c:pt>
                <c:pt idx="20">
                  <c:v>9.27</c:v>
                </c:pt>
                <c:pt idx="21">
                  <c:v>10.27</c:v>
                </c:pt>
                <c:pt idx="22">
                  <c:v>11.27</c:v>
                </c:pt>
                <c:pt idx="23">
                  <c:v>12.27</c:v>
                </c:pt>
              </c:strCache>
            </c:strRef>
          </c:cat>
          <c:val>
            <c:numRef>
              <c:f>'2 Umsatz|Sales'!$G$226:$AD$226</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2-53E3-46B5-87AC-8929948BC239}"/>
            </c:ext>
          </c:extLst>
        </c:ser>
        <c:ser>
          <c:idx val="1"/>
          <c:order val="2"/>
          <c:tx>
            <c:strRef>
              <c:f>'2 Umsatz|Sales'!$F$227</c:f>
              <c:strCache>
                <c:ptCount val="1"/>
              </c:strCache>
            </c:strRef>
          </c:tx>
          <c:spPr>
            <a:solidFill>
              <a:schemeClr val="accent3">
                <a:lumMod val="40000"/>
                <a:lumOff val="60000"/>
              </a:schemeClr>
            </a:solidFill>
            <a:ln>
              <a:solidFill>
                <a:schemeClr val="bg1">
                  <a:lumMod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Umsatz|Sales'!$G$224:$AD$224</c:f>
              <c:strCache>
                <c:ptCount val="24"/>
                <c:pt idx="0">
                  <c:v>1.26</c:v>
                </c:pt>
                <c:pt idx="1">
                  <c:v>2.26</c:v>
                </c:pt>
                <c:pt idx="2">
                  <c:v>3.26</c:v>
                </c:pt>
                <c:pt idx="3">
                  <c:v>4.26</c:v>
                </c:pt>
                <c:pt idx="4">
                  <c:v>5.26</c:v>
                </c:pt>
                <c:pt idx="5">
                  <c:v>6.26</c:v>
                </c:pt>
                <c:pt idx="6">
                  <c:v>7.26</c:v>
                </c:pt>
                <c:pt idx="7">
                  <c:v>8.26</c:v>
                </c:pt>
                <c:pt idx="8">
                  <c:v>9.26</c:v>
                </c:pt>
                <c:pt idx="9">
                  <c:v>10.26</c:v>
                </c:pt>
                <c:pt idx="10">
                  <c:v>11.26</c:v>
                </c:pt>
                <c:pt idx="11">
                  <c:v>12.26</c:v>
                </c:pt>
                <c:pt idx="12">
                  <c:v>1.27</c:v>
                </c:pt>
                <c:pt idx="13">
                  <c:v>2.27</c:v>
                </c:pt>
                <c:pt idx="14">
                  <c:v>3.27</c:v>
                </c:pt>
                <c:pt idx="15">
                  <c:v>4.27</c:v>
                </c:pt>
                <c:pt idx="16">
                  <c:v>5.27</c:v>
                </c:pt>
                <c:pt idx="17">
                  <c:v>6.27</c:v>
                </c:pt>
                <c:pt idx="18">
                  <c:v>7.27</c:v>
                </c:pt>
                <c:pt idx="19">
                  <c:v>8.27</c:v>
                </c:pt>
                <c:pt idx="20">
                  <c:v>9.27</c:v>
                </c:pt>
                <c:pt idx="21">
                  <c:v>10.27</c:v>
                </c:pt>
                <c:pt idx="22">
                  <c:v>11.27</c:v>
                </c:pt>
                <c:pt idx="23">
                  <c:v>12.27</c:v>
                </c:pt>
              </c:strCache>
            </c:strRef>
          </c:cat>
          <c:val>
            <c:numRef>
              <c:f>'2 Umsatz|Sales'!$G$227:$AD$227</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3-53E3-46B5-87AC-8929948BC239}"/>
            </c:ext>
          </c:extLst>
        </c:ser>
        <c:dLbls>
          <c:showLegendKey val="0"/>
          <c:showVal val="0"/>
          <c:showCatName val="0"/>
          <c:showSerName val="0"/>
          <c:showPercent val="0"/>
          <c:showBubbleSize val="0"/>
        </c:dLbls>
        <c:gapWidth val="50"/>
        <c:overlap val="100"/>
        <c:axId val="516110968"/>
        <c:axId val="516112048"/>
        <c:extLst/>
      </c:barChart>
      <c:lineChart>
        <c:grouping val="stacked"/>
        <c:varyColors val="0"/>
        <c:ser>
          <c:idx val="2"/>
          <c:order val="3"/>
          <c:tx>
            <c:strRef>
              <c:f>'2 Umsatz|Sales'!$F$228</c:f>
              <c:strCache>
                <c:ptCount val="1"/>
                <c:pt idx="0">
                  <c:v>akkumuliert</c:v>
                </c:pt>
              </c:strCache>
            </c:strRef>
          </c:tx>
          <c:spPr>
            <a:ln w="28575" cap="rnd">
              <a:solidFill>
                <a:schemeClr val="accent1"/>
              </a:solidFill>
              <a:round/>
            </a:ln>
            <a:effectLst/>
          </c:spPr>
          <c:marker>
            <c:symbol val="square"/>
            <c:size val="7"/>
            <c:spPr>
              <a:solidFill>
                <a:schemeClr val="accent1"/>
              </a:solidFill>
              <a:ln w="9525">
                <a:solidFill>
                  <a:schemeClr val="accent3">
                    <a:tint val="86000"/>
                  </a:schemeClr>
                </a:solidFill>
              </a:ln>
              <a:effectLst/>
            </c:spPr>
          </c:marker>
          <c:cat>
            <c:strRef>
              <c:f>'2 Umsatz|Sales'!$G$224:$AD$224</c:f>
              <c:strCache>
                <c:ptCount val="24"/>
                <c:pt idx="0">
                  <c:v>1.26</c:v>
                </c:pt>
                <c:pt idx="1">
                  <c:v>2.26</c:v>
                </c:pt>
                <c:pt idx="2">
                  <c:v>3.26</c:v>
                </c:pt>
                <c:pt idx="3">
                  <c:v>4.26</c:v>
                </c:pt>
                <c:pt idx="4">
                  <c:v>5.26</c:v>
                </c:pt>
                <c:pt idx="5">
                  <c:v>6.26</c:v>
                </c:pt>
                <c:pt idx="6">
                  <c:v>7.26</c:v>
                </c:pt>
                <c:pt idx="7">
                  <c:v>8.26</c:v>
                </c:pt>
                <c:pt idx="8">
                  <c:v>9.26</c:v>
                </c:pt>
                <c:pt idx="9">
                  <c:v>10.26</c:v>
                </c:pt>
                <c:pt idx="10">
                  <c:v>11.26</c:v>
                </c:pt>
                <c:pt idx="11">
                  <c:v>12.26</c:v>
                </c:pt>
                <c:pt idx="12">
                  <c:v>1.27</c:v>
                </c:pt>
                <c:pt idx="13">
                  <c:v>2.27</c:v>
                </c:pt>
                <c:pt idx="14">
                  <c:v>3.27</c:v>
                </c:pt>
                <c:pt idx="15">
                  <c:v>4.27</c:v>
                </c:pt>
                <c:pt idx="16">
                  <c:v>5.27</c:v>
                </c:pt>
                <c:pt idx="17">
                  <c:v>6.27</c:v>
                </c:pt>
                <c:pt idx="18">
                  <c:v>7.27</c:v>
                </c:pt>
                <c:pt idx="19">
                  <c:v>8.27</c:v>
                </c:pt>
                <c:pt idx="20">
                  <c:v>9.27</c:v>
                </c:pt>
                <c:pt idx="21">
                  <c:v>10.27</c:v>
                </c:pt>
                <c:pt idx="22">
                  <c:v>11.27</c:v>
                </c:pt>
                <c:pt idx="23">
                  <c:v>12.27</c:v>
                </c:pt>
              </c:strCache>
            </c:strRef>
          </c:cat>
          <c:val>
            <c:numRef>
              <c:f>'2 Umsatz|Sales'!$G$228:$AD$228</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3F3C-498A-875E-50F478D32225}"/>
            </c:ext>
          </c:extLst>
        </c:ser>
        <c:dLbls>
          <c:showLegendKey val="0"/>
          <c:showVal val="0"/>
          <c:showCatName val="0"/>
          <c:showSerName val="0"/>
          <c:showPercent val="0"/>
          <c:showBubbleSize val="0"/>
        </c:dLbls>
        <c:marker val="1"/>
        <c:smooth val="0"/>
        <c:axId val="199153696"/>
        <c:axId val="199154656"/>
      </c:lineChart>
      <c:catAx>
        <c:axId val="516110968"/>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300" b="0" i="0" u="none" strike="noStrike" kern="1200" baseline="0">
                <a:solidFill>
                  <a:sysClr val="windowText" lastClr="000000"/>
                </a:solidFill>
                <a:latin typeface="+mn-lt"/>
                <a:ea typeface="+mn-ea"/>
                <a:cs typeface="+mn-cs"/>
              </a:defRPr>
            </a:pPr>
            <a:endParaRPr lang="de-DE"/>
          </a:p>
        </c:txPr>
        <c:crossAx val="516112048"/>
        <c:crosses val="autoZero"/>
        <c:auto val="1"/>
        <c:lblAlgn val="ctr"/>
        <c:lblOffset val="100"/>
        <c:noMultiLvlLbl val="0"/>
      </c:catAx>
      <c:valAx>
        <c:axId val="516112048"/>
        <c:scaling>
          <c:orientation val="minMax"/>
        </c:scaling>
        <c:delete val="0"/>
        <c:axPos val="l"/>
        <c:majorGridlines>
          <c:spPr>
            <a:ln w="9525" cap="flat" cmpd="sng" algn="ctr">
              <a:solidFill>
                <a:schemeClr val="bg1">
                  <a:lumMod val="85000"/>
                </a:schemeClr>
              </a:solidFill>
              <a:round/>
            </a:ln>
            <a:effectLst/>
          </c:spPr>
        </c:majorGridlines>
        <c:numFmt formatCode="#,##0" sourceLinked="0"/>
        <c:majorTickMark val="out"/>
        <c:minorTickMark val="none"/>
        <c:tickLblPos val="nextTo"/>
        <c:spPr>
          <a:noFill/>
          <a:ln>
            <a:solidFill>
              <a:schemeClr val="tx1">
                <a:lumMod val="75000"/>
                <a:lumOff val="25000"/>
              </a:schemeClr>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de-DE"/>
          </a:p>
        </c:txPr>
        <c:crossAx val="516110968"/>
        <c:crosses val="autoZero"/>
        <c:crossBetween val="between"/>
      </c:valAx>
      <c:valAx>
        <c:axId val="199154656"/>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199153696"/>
        <c:crosses val="max"/>
        <c:crossBetween val="between"/>
      </c:valAx>
      <c:catAx>
        <c:axId val="199153696"/>
        <c:scaling>
          <c:orientation val="minMax"/>
        </c:scaling>
        <c:delete val="1"/>
        <c:axPos val="b"/>
        <c:numFmt formatCode="General" sourceLinked="1"/>
        <c:majorTickMark val="out"/>
        <c:minorTickMark val="none"/>
        <c:tickLblPos val="nextTo"/>
        <c:crossAx val="199154656"/>
        <c:crosses val="autoZero"/>
        <c:auto val="1"/>
        <c:lblAlgn val="ctr"/>
        <c:lblOffset val="100"/>
        <c:noMultiLvlLbl val="0"/>
      </c:catAx>
      <c:spPr>
        <a:noFill/>
        <a:ln>
          <a:solidFill>
            <a:schemeClr val="bg1">
              <a:lumMod val="75000"/>
            </a:schemeClr>
          </a:solidFill>
        </a:ln>
        <a:effectLst/>
      </c:spPr>
    </c:plotArea>
    <c:legend>
      <c:legendPos val="tr"/>
      <c:layout>
        <c:manualLayout>
          <c:xMode val="edge"/>
          <c:yMode val="edge"/>
          <c:x val="0.46146997635322851"/>
          <c:y val="1.4509153663833706E-3"/>
          <c:w val="0.49125770919824341"/>
          <c:h val="0.1207623950025391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Betriebskosten|Operation Ex'!$CU$161</c:f>
          <c:strCache>
            <c:ptCount val="1"/>
            <c:pt idx="0">
              <c:v>Betriebskosten II für die Jahre 2026 - 2030</c:v>
            </c:pt>
          </c:strCache>
        </c:strRef>
      </c:tx>
      <c:layout>
        <c:manualLayout>
          <c:xMode val="edge"/>
          <c:yMode val="edge"/>
          <c:x val="0.23231079755460607"/>
          <c:y val="0"/>
        </c:manualLayout>
      </c:layout>
      <c:overlay val="0"/>
      <c:txPr>
        <a:bodyPr/>
        <a:lstStyle/>
        <a:p>
          <a:pPr>
            <a:defRPr b="0"/>
          </a:pPr>
          <a:endParaRPr lang="de-DE"/>
        </a:p>
      </c:txPr>
    </c:title>
    <c:autoTitleDeleted val="0"/>
    <c:plotArea>
      <c:layout>
        <c:manualLayout>
          <c:layoutTarget val="inner"/>
          <c:xMode val="edge"/>
          <c:yMode val="edge"/>
          <c:x val="4.6523710582092578E-2"/>
          <c:y val="0.1057972497271899"/>
          <c:w val="0.94784067156706231"/>
          <c:h val="0.79314832679448066"/>
        </c:manualLayout>
      </c:layout>
      <c:barChart>
        <c:barDir val="col"/>
        <c:grouping val="stacked"/>
        <c:varyColors val="0"/>
        <c:ser>
          <c:idx val="0"/>
          <c:order val="0"/>
          <c:spPr>
            <a:solidFill>
              <a:schemeClr val="accent6">
                <a:lumMod val="40000"/>
                <a:lumOff val="60000"/>
              </a:schemeClr>
            </a:solidFill>
            <a:ln>
              <a:solidFill>
                <a:schemeClr val="tx1">
                  <a:lumMod val="50000"/>
                  <a:lumOff val="50000"/>
                </a:schemeClr>
              </a:solidFill>
            </a:ln>
          </c:spPr>
          <c:invertIfNegative val="0"/>
          <c:dLbls>
            <c:numFmt formatCode="[=0]&quot;&quot;;#,##0" sourceLinked="0"/>
            <c:spPr>
              <a:noFill/>
              <a:ln>
                <a:noFill/>
              </a:ln>
              <a:effectLst/>
            </c:spPr>
            <c:txPr>
              <a:bodyPr/>
              <a:lstStyle/>
              <a:p>
                <a:pPr>
                  <a:defRPr sz="1400"/>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  Betriebskosten|Operation Ex'!$G$159:$K$159</c:f>
              <c:numCache>
                <c:formatCode>General</c:formatCode>
                <c:ptCount val="5"/>
                <c:pt idx="0">
                  <c:v>2026</c:v>
                </c:pt>
                <c:pt idx="1">
                  <c:v>2027</c:v>
                </c:pt>
                <c:pt idx="2">
                  <c:v>2028</c:v>
                </c:pt>
                <c:pt idx="3">
                  <c:v>2029</c:v>
                </c:pt>
                <c:pt idx="4">
                  <c:v>2030</c:v>
                </c:pt>
              </c:numCache>
            </c:numRef>
          </c:cat>
          <c:val>
            <c:numRef>
              <c:f>'3  Betriebskosten|Operation Ex'!$G$223:$K$223</c:f>
              <c:numCache>
                <c:formatCode>#,##0</c:formatCode>
                <c:ptCount val="5"/>
                <c:pt idx="0" formatCode="#,##0.00">
                  <c:v>0</c:v>
                </c:pt>
                <c:pt idx="1">
                  <c:v>0</c:v>
                </c:pt>
                <c:pt idx="2">
                  <c:v>0</c:v>
                </c:pt>
                <c:pt idx="3">
                  <c:v>0</c:v>
                </c:pt>
                <c:pt idx="4">
                  <c:v>0</c:v>
                </c:pt>
              </c:numCache>
            </c:numRef>
          </c:val>
          <c:extLst>
            <c:ext xmlns:c16="http://schemas.microsoft.com/office/drawing/2014/chart" uri="{C3380CC4-5D6E-409C-BE32-E72D297353CC}">
              <c16:uniqueId val="{00000000-9C39-4FC7-8282-62BFFEB89341}"/>
            </c:ext>
          </c:extLst>
        </c:ser>
        <c:dLbls>
          <c:showLegendKey val="0"/>
          <c:showVal val="1"/>
          <c:showCatName val="0"/>
          <c:showSerName val="0"/>
          <c:showPercent val="0"/>
          <c:showBubbleSize val="0"/>
        </c:dLbls>
        <c:gapWidth val="75"/>
        <c:overlap val="100"/>
        <c:axId val="440008432"/>
        <c:axId val="442635464"/>
      </c:barChart>
      <c:catAx>
        <c:axId val="440008432"/>
        <c:scaling>
          <c:orientation val="minMax"/>
        </c:scaling>
        <c:delete val="0"/>
        <c:axPos val="b"/>
        <c:numFmt formatCode="General" sourceLinked="1"/>
        <c:majorTickMark val="out"/>
        <c:minorTickMark val="none"/>
        <c:tickLblPos val="nextTo"/>
        <c:spPr>
          <a:ln w="9525">
            <a:solidFill>
              <a:schemeClr val="tx1">
                <a:lumMod val="65000"/>
                <a:lumOff val="35000"/>
              </a:schemeClr>
            </a:solidFill>
          </a:ln>
        </c:spPr>
        <c:txPr>
          <a:bodyPr/>
          <a:lstStyle/>
          <a:p>
            <a:pPr>
              <a:defRPr sz="1600"/>
            </a:pPr>
            <a:endParaRPr lang="de-DE"/>
          </a:p>
        </c:txPr>
        <c:crossAx val="442635464"/>
        <c:crosses val="autoZero"/>
        <c:auto val="1"/>
        <c:lblAlgn val="ctr"/>
        <c:lblOffset val="100"/>
        <c:noMultiLvlLbl val="0"/>
      </c:catAx>
      <c:valAx>
        <c:axId val="442635464"/>
        <c:scaling>
          <c:orientation val="minMax"/>
          <c:min val="0"/>
        </c:scaling>
        <c:delete val="0"/>
        <c:axPos val="l"/>
        <c:majorGridlines/>
        <c:title>
          <c:tx>
            <c:rich>
              <a:bodyPr rot="0" vert="horz" anchor="t" anchorCtr="0"/>
              <a:lstStyle/>
              <a:p>
                <a:pPr>
                  <a:defRPr sz="1600" b="0"/>
                </a:pPr>
                <a:r>
                  <a:rPr lang="en-US" sz="1600" b="0"/>
                  <a:t>EUR</a:t>
                </a:r>
              </a:p>
            </c:rich>
          </c:tx>
          <c:layout>
            <c:manualLayout>
              <c:xMode val="edge"/>
              <c:yMode val="edge"/>
              <c:x val="7.9016753563755659E-4"/>
              <c:y val="2.2115669441671198E-3"/>
            </c:manualLayout>
          </c:layout>
          <c:overlay val="0"/>
        </c:title>
        <c:numFmt formatCode="#,##0_);[Red]\(#,##0\)" sourceLinked="0"/>
        <c:majorTickMark val="out"/>
        <c:minorTickMark val="none"/>
        <c:tickLblPos val="nextTo"/>
        <c:spPr>
          <a:ln>
            <a:solidFill>
              <a:schemeClr val="tx1"/>
            </a:solidFill>
          </a:ln>
        </c:spPr>
        <c:txPr>
          <a:bodyPr/>
          <a:lstStyle/>
          <a:p>
            <a:pPr>
              <a:defRPr sz="1400"/>
            </a:pPr>
            <a:endParaRPr lang="de-DE"/>
          </a:p>
        </c:txPr>
        <c:crossAx val="440008432"/>
        <c:crosses val="autoZero"/>
        <c:crossBetween val="between"/>
      </c:valAx>
      <c:spPr>
        <a:noFill/>
      </c:spPr>
    </c:plotArea>
    <c:plotVisOnly val="1"/>
    <c:dispBlanksAs val="gap"/>
    <c:showDLblsOverMax val="0"/>
  </c:chart>
  <c:spPr>
    <a:solidFill>
      <a:schemeClr val="bg1"/>
    </a:solidFill>
    <a:ln>
      <a:solidFill>
        <a:schemeClr val="bg1"/>
      </a:solidFill>
    </a:ln>
  </c:spPr>
  <c:printSettings>
    <c:headerFooter/>
    <c:pageMargins b="0.78740157499999996" l="0.70000000000000062" r="0.70000000000000062" t="0.7874015749999999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Betriebskosten|Operation Ex'!$CU$159</c:f>
          <c:strCache>
            <c:ptCount val="1"/>
            <c:pt idx="0">
              <c:v>Betriebskosten II für Jahr 2026</c:v>
            </c:pt>
          </c:strCache>
        </c:strRef>
      </c:tx>
      <c:layout>
        <c:manualLayout>
          <c:xMode val="edge"/>
          <c:yMode val="edge"/>
          <c:x val="0.26285717665731223"/>
          <c:y val="2.1694914102094745E-2"/>
        </c:manualLayout>
      </c:layout>
      <c:overlay val="0"/>
      <c:txPr>
        <a:bodyPr/>
        <a:lstStyle/>
        <a:p>
          <a:pPr>
            <a:defRPr sz="1600" b="0">
              <a:latin typeface="Verdana" panose="020B0604030504040204" pitchFamily="34" charset="0"/>
              <a:ea typeface="Verdana" panose="020B0604030504040204" pitchFamily="34" charset="0"/>
            </a:defRPr>
          </a:pPr>
          <a:endParaRPr lang="de-DE"/>
        </a:p>
      </c:txPr>
    </c:title>
    <c:autoTitleDeleted val="0"/>
    <c:plotArea>
      <c:layout>
        <c:manualLayout>
          <c:layoutTarget val="inner"/>
          <c:xMode val="edge"/>
          <c:yMode val="edge"/>
          <c:x val="5.3414763615997958E-2"/>
          <c:y val="0.11016953860569584"/>
          <c:w val="0.94658523638400205"/>
          <c:h val="0.76899914877821807"/>
        </c:manualLayout>
      </c:layout>
      <c:barChart>
        <c:barDir val="col"/>
        <c:grouping val="stacked"/>
        <c:varyColors val="0"/>
        <c:ser>
          <c:idx val="0"/>
          <c:order val="0"/>
          <c:tx>
            <c:strRef>
              <c:f>'3  Betriebskosten|Operation Ex'!$F$145</c:f>
              <c:strCache>
                <c:ptCount val="1"/>
                <c:pt idx="0">
                  <c:v>Summe Betriebskosten II</c:v>
                </c:pt>
              </c:strCache>
            </c:strRef>
          </c:tx>
          <c:spPr>
            <a:solidFill>
              <a:schemeClr val="accent6">
                <a:lumMod val="40000"/>
                <a:lumOff val="60000"/>
              </a:schemeClr>
            </a:solidFill>
            <a:ln>
              <a:solidFill>
                <a:schemeClr val="tx1">
                  <a:lumMod val="50000"/>
                  <a:lumOff val="50000"/>
                </a:schemeClr>
              </a:solidFill>
            </a:ln>
          </c:spPr>
          <c:invertIfNegative val="0"/>
          <c:dLbls>
            <c:numFmt formatCode="[=0]&quot;&quot;;#,##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Betriebskosten|Operation Ex'!$G$3:$R$3</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'3  Betriebskosten|Operation Ex'!$G$67:$R$67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3DB-401B-AF4C-43945A41051B}"/>
            </c:ext>
          </c:extLst>
        </c:ser>
        <c:dLbls>
          <c:showLegendKey val="0"/>
          <c:showVal val="1"/>
          <c:showCatName val="0"/>
          <c:showSerName val="0"/>
          <c:showPercent val="0"/>
          <c:showBubbleSize val="0"/>
        </c:dLbls>
        <c:gapWidth val="40"/>
        <c:overlap val="100"/>
        <c:axId val="442635856"/>
        <c:axId val="442637424"/>
      </c:barChart>
      <c:catAx>
        <c:axId val="442635856"/>
        <c:scaling>
          <c:orientation val="minMax"/>
        </c:scaling>
        <c:delete val="0"/>
        <c:axPos val="b"/>
        <c:numFmt formatCode="General" sourceLinked="0"/>
        <c:majorTickMark val="out"/>
        <c:minorTickMark val="none"/>
        <c:tickLblPos val="nextTo"/>
        <c:spPr>
          <a:ln w="9525">
            <a:solidFill>
              <a:schemeClr val="tx1">
                <a:lumMod val="65000"/>
                <a:lumOff val="35000"/>
              </a:schemeClr>
            </a:solidFill>
          </a:ln>
        </c:spPr>
        <c:txPr>
          <a:bodyPr/>
          <a:lstStyle/>
          <a:p>
            <a:pPr>
              <a:defRPr sz="1600"/>
            </a:pPr>
            <a:endParaRPr lang="de-DE"/>
          </a:p>
        </c:txPr>
        <c:crossAx val="442637424"/>
        <c:crosses val="autoZero"/>
        <c:auto val="1"/>
        <c:lblAlgn val="ctr"/>
        <c:lblOffset val="100"/>
        <c:noMultiLvlLbl val="0"/>
      </c:catAx>
      <c:valAx>
        <c:axId val="442637424"/>
        <c:scaling>
          <c:orientation val="minMax"/>
        </c:scaling>
        <c:delete val="0"/>
        <c:axPos val="l"/>
        <c:majorGridlines/>
        <c:title>
          <c:tx>
            <c:rich>
              <a:bodyPr rot="0" vert="horz"/>
              <a:lstStyle/>
              <a:p>
                <a:pPr>
                  <a:defRPr sz="1600" b="0"/>
                </a:pPr>
                <a:r>
                  <a:rPr lang="en-US" sz="1600" b="0"/>
                  <a:t>EUR</a:t>
                </a:r>
              </a:p>
            </c:rich>
          </c:tx>
          <c:layout>
            <c:manualLayout>
              <c:xMode val="edge"/>
              <c:yMode val="edge"/>
              <c:x val="5.1187477946901217E-3"/>
              <c:y val="2.0466326374360504E-2"/>
            </c:manualLayout>
          </c:layout>
          <c:overlay val="0"/>
        </c:title>
        <c:numFmt formatCode="#,##0" sourceLinked="0"/>
        <c:majorTickMark val="out"/>
        <c:minorTickMark val="none"/>
        <c:tickLblPos val="nextTo"/>
        <c:spPr>
          <a:ln>
            <a:solidFill>
              <a:schemeClr val="tx1"/>
            </a:solidFill>
          </a:ln>
        </c:spPr>
        <c:txPr>
          <a:bodyPr/>
          <a:lstStyle/>
          <a:p>
            <a:pPr>
              <a:defRPr sz="1400"/>
            </a:pPr>
            <a:endParaRPr lang="de-DE"/>
          </a:p>
        </c:txPr>
        <c:crossAx val="442635856"/>
        <c:crosses val="autoZero"/>
        <c:crossBetween val="between"/>
      </c:valAx>
      <c:spPr>
        <a:noFill/>
      </c:spPr>
    </c:plotArea>
    <c:plotVisOnly val="1"/>
    <c:dispBlanksAs val="gap"/>
    <c:showDLblsOverMax val="0"/>
  </c:chart>
  <c:spPr>
    <a:solidFill>
      <a:schemeClr val="bg1"/>
    </a:solidFill>
    <a:ln>
      <a:solidFill>
        <a:schemeClr val="bg1"/>
      </a:solidFill>
    </a:ln>
  </c:spPr>
  <c:printSettings>
    <c:headerFooter/>
    <c:pageMargins b="0.78740157499999996" l="0.70000000000000062" r="0.70000000000000062" t="0.78740157499999996"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Betriebskosten|Operation Ex'!$CU$160</c:f>
          <c:strCache>
            <c:ptCount val="1"/>
            <c:pt idx="0">
              <c:v>Betriebskosten II für Jahr 2027</c:v>
            </c:pt>
          </c:strCache>
        </c:strRef>
      </c:tx>
      <c:overlay val="0"/>
      <c:spPr>
        <a:noFill/>
        <a:ln>
          <a:noFill/>
        </a:ln>
        <a:effectLst/>
      </c:spPr>
      <c:txPr>
        <a:bodyPr rot="0" spcFirstLastPara="1" vertOverflow="ellipsis" vert="horz" wrap="square" anchor="ctr" anchorCtr="1"/>
        <a:lstStyle/>
        <a:p>
          <a:pPr>
            <a:defRPr sz="1800" b="0" i="0" u="none" strike="noStrike" kern="1200"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4.487218075585931E-2"/>
          <c:y val="0.13585472444579216"/>
          <c:w val="0.9551278192441407"/>
          <c:h val="0.75681787877345374"/>
        </c:manualLayout>
      </c:layout>
      <c:barChart>
        <c:barDir val="col"/>
        <c:grouping val="stacked"/>
        <c:varyColors val="0"/>
        <c:ser>
          <c:idx val="0"/>
          <c:order val="0"/>
          <c:spPr>
            <a:solidFill>
              <a:schemeClr val="accent6">
                <a:lumMod val="40000"/>
                <a:lumOff val="6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Betriebskosten|Operation Ex'!$G$81:$R$81</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'3  Betriebskosten|Operation Ex'!$G$145:$R$145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78F-430C-BB53-39CDFD4FB6D2}"/>
            </c:ext>
          </c:extLst>
        </c:ser>
        <c:dLbls>
          <c:showLegendKey val="0"/>
          <c:showVal val="0"/>
          <c:showCatName val="0"/>
          <c:showSerName val="0"/>
          <c:showPercent val="0"/>
          <c:showBubbleSize val="0"/>
        </c:dLbls>
        <c:gapWidth val="40"/>
        <c:overlap val="100"/>
        <c:axId val="619480768"/>
        <c:axId val="619476448"/>
      </c:barChart>
      <c:catAx>
        <c:axId val="619480768"/>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619476448"/>
        <c:crosses val="autoZero"/>
        <c:auto val="1"/>
        <c:lblAlgn val="ctr"/>
        <c:lblOffset val="100"/>
        <c:noMultiLvlLbl val="0"/>
      </c:catAx>
      <c:valAx>
        <c:axId val="619476448"/>
        <c:scaling>
          <c:orientation val="minMax"/>
        </c:scaling>
        <c:delete val="0"/>
        <c:axPos val="l"/>
        <c:majorGridlines>
          <c:spPr>
            <a:ln w="9525" cap="flat" cmpd="sng" algn="ctr">
              <a:solidFill>
                <a:schemeClr val="tx1">
                  <a:lumMod val="50000"/>
                  <a:lumOff val="50000"/>
                </a:schemeClr>
              </a:solidFill>
              <a:round/>
            </a:ln>
            <a:effectLst/>
          </c:spPr>
        </c:majorGridlines>
        <c:title>
          <c:tx>
            <c:rich>
              <a:bodyPr rot="0" spcFirstLastPara="1" vertOverflow="ellipsis"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EUR</a:t>
                </a:r>
              </a:p>
            </c:rich>
          </c:tx>
          <c:layout>
            <c:manualLayout>
              <c:xMode val="edge"/>
              <c:yMode val="edge"/>
              <c:x val="5.3641705591671567E-5"/>
              <c:y val="2.1627853949129465E-2"/>
            </c:manualLayout>
          </c:layout>
          <c:overlay val="0"/>
          <c:spPr>
            <a:noFill/>
            <a:ln>
              <a:noFill/>
            </a:ln>
            <a:effectLst/>
          </c:spPr>
          <c:txPr>
            <a:bodyPr rot="0" spcFirstLastPara="1" vertOverflow="ellipsis"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619480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 Invest'!$CU$17</c:f>
          <c:strCache>
            <c:ptCount val="1"/>
            <c:pt idx="0">
              <c:v>Jährliche Anschaffungen/Abschreibungen </c:v>
            </c:pt>
          </c:strCache>
        </c:strRef>
      </c:tx>
      <c:layout>
        <c:manualLayout>
          <c:xMode val="edge"/>
          <c:yMode val="edge"/>
          <c:x val="0.29593448628075963"/>
          <c:y val="1.1764031997069834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6105594048263567E-2"/>
          <c:y val="0.1377353476010631"/>
          <c:w val="0.91895532687362036"/>
          <c:h val="0.77876745998441343"/>
        </c:manualLayout>
      </c:layout>
      <c:barChart>
        <c:barDir val="col"/>
        <c:grouping val="clustered"/>
        <c:varyColors val="0"/>
        <c:ser>
          <c:idx val="0"/>
          <c:order val="0"/>
          <c:tx>
            <c:strRef>
              <c:f>'4 Invest'!$C$305</c:f>
              <c:strCache>
                <c:ptCount val="1"/>
                <c:pt idx="0">
                  <c:v>Anschaffungen</c:v>
                </c:pt>
              </c:strCache>
            </c:strRef>
          </c:tx>
          <c:spPr>
            <a:solidFill>
              <a:srgbClr val="FCD5B5"/>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Invest'!$D$303:$M$303</c:f>
              <c:numCache>
                <c:formatCode>0</c:formatCode>
                <c:ptCount val="10"/>
                <c:pt idx="0">
                  <c:v>2026</c:v>
                </c:pt>
                <c:pt idx="2">
                  <c:v>2027</c:v>
                </c:pt>
                <c:pt idx="4">
                  <c:v>2028</c:v>
                </c:pt>
                <c:pt idx="6">
                  <c:v>2029</c:v>
                </c:pt>
                <c:pt idx="8">
                  <c:v>2030</c:v>
                </c:pt>
              </c:numCache>
            </c:numRef>
          </c:cat>
          <c:val>
            <c:numRef>
              <c:f>'4 Invest'!$D$305:$M$305</c:f>
              <c:numCache>
                <c:formatCode>0</c:formatCode>
                <c:ptCount val="10"/>
                <c:pt idx="0">
                  <c:v>0</c:v>
                </c:pt>
                <c:pt idx="2">
                  <c:v>0</c:v>
                </c:pt>
                <c:pt idx="4">
                  <c:v>0</c:v>
                </c:pt>
                <c:pt idx="6">
                  <c:v>0</c:v>
                </c:pt>
                <c:pt idx="8">
                  <c:v>0</c:v>
                </c:pt>
              </c:numCache>
            </c:numRef>
          </c:val>
          <c:extLst>
            <c:ext xmlns:c16="http://schemas.microsoft.com/office/drawing/2014/chart" uri="{C3380CC4-5D6E-409C-BE32-E72D297353CC}">
              <c16:uniqueId val="{00000000-6EFC-4E58-8738-D5295B30F467}"/>
            </c:ext>
          </c:extLst>
        </c:ser>
        <c:dLbls>
          <c:showLegendKey val="0"/>
          <c:showVal val="0"/>
          <c:showCatName val="0"/>
          <c:showSerName val="0"/>
          <c:showPercent val="0"/>
          <c:showBubbleSize val="0"/>
        </c:dLbls>
        <c:gapWidth val="50"/>
        <c:overlap val="100"/>
        <c:axId val="578584304"/>
        <c:axId val="578584664"/>
      </c:barChart>
      <c:barChart>
        <c:barDir val="col"/>
        <c:grouping val="clustered"/>
        <c:varyColors val="0"/>
        <c:ser>
          <c:idx val="1"/>
          <c:order val="1"/>
          <c:tx>
            <c:strRef>
              <c:f>'4 Invest'!$C$304</c:f>
              <c:strCache>
                <c:ptCount val="1"/>
                <c:pt idx="0">
                  <c:v>Abschreibungen </c:v>
                </c:pt>
              </c:strCache>
            </c:strRef>
          </c:tx>
          <c:spPr>
            <a:solidFill>
              <a:schemeClr val="accent1">
                <a:lumMod val="40000"/>
                <a:lumOff val="6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'4 Invest'!$D$303:$M$303</c:f>
              <c:numCache>
                <c:formatCode>0</c:formatCode>
                <c:ptCount val="10"/>
                <c:pt idx="0">
                  <c:v>2026</c:v>
                </c:pt>
                <c:pt idx="2">
                  <c:v>2027</c:v>
                </c:pt>
                <c:pt idx="4">
                  <c:v>2028</c:v>
                </c:pt>
                <c:pt idx="6">
                  <c:v>2029</c:v>
                </c:pt>
                <c:pt idx="8">
                  <c:v>2030</c:v>
                </c:pt>
              </c:numCache>
            </c:numRef>
          </c:cat>
          <c:val>
            <c:numRef>
              <c:f>'4 Invest'!$D$304:$M$304</c:f>
              <c:numCache>
                <c:formatCode>0</c:formatCode>
                <c:ptCount val="10"/>
                <c:pt idx="1">
                  <c:v>0</c:v>
                </c:pt>
                <c:pt idx="3">
                  <c:v>0</c:v>
                </c:pt>
                <c:pt idx="5">
                  <c:v>0</c:v>
                </c:pt>
                <c:pt idx="7">
                  <c:v>0</c:v>
                </c:pt>
                <c:pt idx="9">
                  <c:v>0</c:v>
                </c:pt>
              </c:numCache>
            </c:numRef>
          </c:val>
          <c:extLst>
            <c:ext xmlns:c16="http://schemas.microsoft.com/office/drawing/2014/chart" uri="{C3380CC4-5D6E-409C-BE32-E72D297353CC}">
              <c16:uniqueId val="{00000001-6EFC-4E58-8738-D5295B30F467}"/>
            </c:ext>
          </c:extLst>
        </c:ser>
        <c:dLbls>
          <c:showLegendKey val="0"/>
          <c:showVal val="0"/>
          <c:showCatName val="0"/>
          <c:showSerName val="0"/>
          <c:showPercent val="0"/>
          <c:showBubbleSize val="0"/>
        </c:dLbls>
        <c:gapWidth val="50"/>
        <c:overlap val="50"/>
        <c:axId val="578584304"/>
        <c:axId val="578584664"/>
      </c:barChart>
      <c:catAx>
        <c:axId val="578584304"/>
        <c:scaling>
          <c:orientation val="minMax"/>
        </c:scaling>
        <c:delete val="0"/>
        <c:axPos val="b"/>
        <c:numFmt formatCode="0" sourceLinked="0"/>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de-DE"/>
          </a:p>
        </c:txPr>
        <c:crossAx val="578584664"/>
        <c:crosses val="autoZero"/>
        <c:auto val="1"/>
        <c:lblAlgn val="ctr"/>
        <c:lblOffset val="50"/>
        <c:tickMarkSkip val="2"/>
        <c:noMultiLvlLbl val="0"/>
      </c:catAx>
      <c:valAx>
        <c:axId val="578584664"/>
        <c:scaling>
          <c:orientation val="minMax"/>
        </c:scaling>
        <c:delete val="0"/>
        <c:axPos val="l"/>
        <c:majorGridlines>
          <c:spPr>
            <a:ln w="9525" cap="flat" cmpd="sng" algn="ctr">
              <a:solidFill>
                <a:schemeClr val="bg1">
                  <a:lumMod val="85000"/>
                </a:schemeClr>
              </a:solidFill>
              <a:round/>
            </a:ln>
            <a:effectLst/>
          </c:spPr>
        </c:majorGridlines>
        <c:title>
          <c:tx>
            <c:rich>
              <a:bodyPr rot="0" spcFirstLastPara="1" vertOverflow="ellipsis"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EUR</a:t>
                </a:r>
              </a:p>
            </c:rich>
          </c:tx>
          <c:layout>
            <c:manualLayout>
              <c:xMode val="edge"/>
              <c:yMode val="edge"/>
              <c:x val="2.1746310073463958E-2"/>
              <c:y val="5.3656395638931181E-3"/>
            </c:manualLayout>
          </c:layout>
          <c:overlay val="0"/>
          <c:spPr>
            <a:noFill/>
            <a:ln>
              <a:noFill/>
            </a:ln>
            <a:effectLst/>
          </c:spPr>
          <c:txPr>
            <a:bodyPr rot="0" spcFirstLastPara="1" vertOverflow="ellipsis"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de-DE"/>
          </a:p>
        </c:txPr>
        <c:crossAx val="578584304"/>
        <c:crosses val="autoZero"/>
        <c:crossBetween val="between"/>
      </c:valAx>
      <c:spPr>
        <a:noFill/>
        <a:ln>
          <a:solidFill>
            <a:schemeClr val="bg1">
              <a:lumMod val="75000"/>
            </a:schemeClr>
          </a:solidFill>
        </a:ln>
        <a:effectLst/>
      </c:spPr>
    </c:plotArea>
    <c:legend>
      <c:legendPos val="r"/>
      <c:layout>
        <c:manualLayout>
          <c:xMode val="edge"/>
          <c:yMode val="edge"/>
          <c:x val="0.2309371281251528"/>
          <c:y val="7.8151589632915699E-2"/>
          <c:w val="0.66653275094976328"/>
          <c:h val="4.977855334697168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80314965" l="0.70866141732283472" r="0.70866141732283472" t="0.78740157480314965" header="0.31496062992125984" footer="0.31496062992125984"/>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 Invest'!$CU$16</c:f>
          <c:strCache>
            <c:ptCount val="1"/>
            <c:pt idx="0">
              <c:v>Monatliche Anschaffungen/Abschreibungen 2026 &amp; 2027</c:v>
            </c:pt>
          </c:strCache>
        </c:strRef>
      </c:tx>
      <c:layout>
        <c:manualLayout>
          <c:xMode val="edge"/>
          <c:yMode val="edge"/>
          <c:x val="0.15538358572294481"/>
          <c:y val="1.2275105403175902E-3"/>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6099478957115677E-2"/>
          <c:y val="0.15170780522095798"/>
          <c:w val="0.91775011783034821"/>
          <c:h val="0.76004423477062588"/>
        </c:manualLayout>
      </c:layout>
      <c:barChart>
        <c:barDir val="col"/>
        <c:grouping val="clustered"/>
        <c:varyColors val="0"/>
        <c:ser>
          <c:idx val="1"/>
          <c:order val="0"/>
          <c:tx>
            <c:strRef>
              <c:f>'4 Invest'!$C$299</c:f>
              <c:strCache>
                <c:ptCount val="1"/>
                <c:pt idx="0">
                  <c:v>Anschaffungen</c:v>
                </c:pt>
              </c:strCache>
            </c:strRef>
          </c:tx>
          <c:spPr>
            <a:solidFill>
              <a:schemeClr val="accent6">
                <a:lumMod val="40000"/>
                <a:lumOff val="6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Invest'!$D$296:$AA$296</c:f>
              <c:strCache>
                <c:ptCount val="24"/>
                <c:pt idx="0">
                  <c:v>1.26</c:v>
                </c:pt>
                <c:pt idx="1">
                  <c:v>2.26</c:v>
                </c:pt>
                <c:pt idx="2">
                  <c:v>3.26</c:v>
                </c:pt>
                <c:pt idx="3">
                  <c:v>4.26</c:v>
                </c:pt>
                <c:pt idx="4">
                  <c:v>5.26</c:v>
                </c:pt>
                <c:pt idx="5">
                  <c:v>6.26</c:v>
                </c:pt>
                <c:pt idx="6">
                  <c:v>7.26</c:v>
                </c:pt>
                <c:pt idx="7">
                  <c:v>8.26</c:v>
                </c:pt>
                <c:pt idx="8">
                  <c:v>9.26</c:v>
                </c:pt>
                <c:pt idx="9">
                  <c:v>10.26</c:v>
                </c:pt>
                <c:pt idx="10">
                  <c:v>11.26</c:v>
                </c:pt>
                <c:pt idx="11">
                  <c:v>12.26</c:v>
                </c:pt>
                <c:pt idx="12">
                  <c:v>1.27</c:v>
                </c:pt>
                <c:pt idx="13">
                  <c:v>2.27</c:v>
                </c:pt>
                <c:pt idx="14">
                  <c:v>3.27</c:v>
                </c:pt>
                <c:pt idx="15">
                  <c:v>4.27</c:v>
                </c:pt>
                <c:pt idx="16">
                  <c:v>5.27</c:v>
                </c:pt>
                <c:pt idx="17">
                  <c:v>6.27</c:v>
                </c:pt>
                <c:pt idx="18">
                  <c:v>7.27</c:v>
                </c:pt>
                <c:pt idx="19">
                  <c:v>8.27</c:v>
                </c:pt>
                <c:pt idx="20">
                  <c:v>9.27</c:v>
                </c:pt>
                <c:pt idx="21">
                  <c:v>10.27</c:v>
                </c:pt>
                <c:pt idx="22">
                  <c:v>11.27</c:v>
                </c:pt>
                <c:pt idx="23">
                  <c:v>12.27</c:v>
                </c:pt>
              </c:strCache>
            </c:strRef>
          </c:cat>
          <c:val>
            <c:numRef>
              <c:f>'4 Invest'!$D$299:$AA$299</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A80E-470C-8647-AE98B5F21EC5}"/>
            </c:ext>
          </c:extLst>
        </c:ser>
        <c:ser>
          <c:idx val="0"/>
          <c:order val="1"/>
          <c:tx>
            <c:strRef>
              <c:f>'4 Invest'!$C$298</c:f>
              <c:strCache>
                <c:ptCount val="1"/>
                <c:pt idx="0">
                  <c:v>Abschreibungen </c:v>
                </c:pt>
              </c:strCache>
            </c:strRef>
          </c:tx>
          <c:spPr>
            <a:solidFill>
              <a:schemeClr val="tx2">
                <a:lumMod val="40000"/>
                <a:lumOff val="60000"/>
              </a:schemeClr>
            </a:solidFill>
            <a:ln>
              <a:solidFill>
                <a:schemeClr val="tx1">
                  <a:lumMod val="50000"/>
                  <a:lumOff val="50000"/>
                </a:schemeClr>
              </a:solidFill>
            </a:ln>
            <a:effectLst/>
          </c:spPr>
          <c:invertIfNegative val="0"/>
          <c:dLbls>
            <c:numFmt formatCode="[=0]&quot;&quot;;#,##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Invest'!$D$296:$AA$296</c:f>
              <c:strCache>
                <c:ptCount val="24"/>
                <c:pt idx="0">
                  <c:v>1.26</c:v>
                </c:pt>
                <c:pt idx="1">
                  <c:v>2.26</c:v>
                </c:pt>
                <c:pt idx="2">
                  <c:v>3.26</c:v>
                </c:pt>
                <c:pt idx="3">
                  <c:v>4.26</c:v>
                </c:pt>
                <c:pt idx="4">
                  <c:v>5.26</c:v>
                </c:pt>
                <c:pt idx="5">
                  <c:v>6.26</c:v>
                </c:pt>
                <c:pt idx="6">
                  <c:v>7.26</c:v>
                </c:pt>
                <c:pt idx="7">
                  <c:v>8.26</c:v>
                </c:pt>
                <c:pt idx="8">
                  <c:v>9.26</c:v>
                </c:pt>
                <c:pt idx="9">
                  <c:v>10.26</c:v>
                </c:pt>
                <c:pt idx="10">
                  <c:v>11.26</c:v>
                </c:pt>
                <c:pt idx="11">
                  <c:v>12.26</c:v>
                </c:pt>
                <c:pt idx="12">
                  <c:v>1.27</c:v>
                </c:pt>
                <c:pt idx="13">
                  <c:v>2.27</c:v>
                </c:pt>
                <c:pt idx="14">
                  <c:v>3.27</c:v>
                </c:pt>
                <c:pt idx="15">
                  <c:v>4.27</c:v>
                </c:pt>
                <c:pt idx="16">
                  <c:v>5.27</c:v>
                </c:pt>
                <c:pt idx="17">
                  <c:v>6.27</c:v>
                </c:pt>
                <c:pt idx="18">
                  <c:v>7.27</c:v>
                </c:pt>
                <c:pt idx="19">
                  <c:v>8.27</c:v>
                </c:pt>
                <c:pt idx="20">
                  <c:v>9.27</c:v>
                </c:pt>
                <c:pt idx="21">
                  <c:v>10.27</c:v>
                </c:pt>
                <c:pt idx="22">
                  <c:v>11.27</c:v>
                </c:pt>
                <c:pt idx="23">
                  <c:v>12.27</c:v>
                </c:pt>
              </c:strCache>
            </c:strRef>
          </c:cat>
          <c:val>
            <c:numRef>
              <c:f>'4 Invest'!$D$298:$AA$298</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A80E-470C-8647-AE98B5F21EC5}"/>
            </c:ext>
          </c:extLst>
        </c:ser>
        <c:dLbls>
          <c:showLegendKey val="0"/>
          <c:showVal val="0"/>
          <c:showCatName val="0"/>
          <c:showSerName val="0"/>
          <c:showPercent val="0"/>
          <c:showBubbleSize val="0"/>
        </c:dLbls>
        <c:gapWidth val="30"/>
        <c:axId val="570973264"/>
        <c:axId val="570975784"/>
      </c:barChart>
      <c:catAx>
        <c:axId val="570973264"/>
        <c:scaling>
          <c:orientation val="minMax"/>
        </c:scaling>
        <c:delete val="0"/>
        <c:axPos val="b"/>
        <c:numFmt formatCode="#,##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de-DE"/>
          </a:p>
        </c:txPr>
        <c:crossAx val="570975784"/>
        <c:crosses val="autoZero"/>
        <c:auto val="0"/>
        <c:lblAlgn val="ctr"/>
        <c:lblOffset val="100"/>
        <c:noMultiLvlLbl val="0"/>
      </c:catAx>
      <c:valAx>
        <c:axId val="570975784"/>
        <c:scaling>
          <c:orientation val="minMax"/>
        </c:scaling>
        <c:delete val="0"/>
        <c:axPos val="l"/>
        <c:majorGridlines>
          <c:spPr>
            <a:ln w="9525" cap="flat" cmpd="sng" algn="ctr">
              <a:solidFill>
                <a:schemeClr val="bg1">
                  <a:lumMod val="85000"/>
                  <a:alpha val="97000"/>
                </a:schemeClr>
              </a:solidFill>
              <a:round/>
            </a:ln>
            <a:effectLst/>
          </c:spPr>
        </c:majorGridlines>
        <c:title>
          <c:tx>
            <c:rich>
              <a:bodyPr rot="0" spcFirstLastPara="1" vertOverflow="ellipsis"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EUR</a:t>
                </a:r>
              </a:p>
            </c:rich>
          </c:tx>
          <c:layout>
            <c:manualLayout>
              <c:xMode val="edge"/>
              <c:yMode val="edge"/>
              <c:x val="3.952194893151832E-3"/>
              <c:y val="1.3251542745238956E-3"/>
            </c:manualLayout>
          </c:layout>
          <c:overlay val="0"/>
          <c:spPr>
            <a:noFill/>
            <a:ln>
              <a:noFill/>
            </a:ln>
            <a:effectLst/>
          </c:spPr>
          <c:txPr>
            <a:bodyPr rot="0" spcFirstLastPara="1" vertOverflow="ellipsis"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w="9525">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de-DE"/>
          </a:p>
        </c:txPr>
        <c:crossAx val="570973264"/>
        <c:crosses val="autoZero"/>
        <c:crossBetween val="between"/>
      </c:valAx>
      <c:spPr>
        <a:noFill/>
        <a:ln>
          <a:solidFill>
            <a:schemeClr val="bg1">
              <a:lumMod val="75000"/>
            </a:schemeClr>
          </a:solidFill>
        </a:ln>
        <a:effectLst/>
      </c:spPr>
    </c:plotArea>
    <c:legend>
      <c:legendPos val="r"/>
      <c:layout>
        <c:manualLayout>
          <c:xMode val="edge"/>
          <c:yMode val="edge"/>
          <c:x val="0.24370357143827892"/>
          <c:y val="9.047516109317949E-2"/>
          <c:w val="0.51759771729701165"/>
          <c:h val="4.686141299922814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de-DE"/>
        </a:p>
      </c:txPr>
    </c:legend>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6">
  <a:schemeClr val="accent3"/>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137161</xdr:colOff>
      <xdr:row>4</xdr:row>
      <xdr:rowOff>101023</xdr:rowOff>
    </xdr:from>
    <xdr:to>
      <xdr:col>13</xdr:col>
      <xdr:colOff>1</xdr:colOff>
      <xdr:row>24</xdr:row>
      <xdr:rowOff>122190</xdr:rowOff>
    </xdr:to>
    <xdr:grpSp>
      <xdr:nvGrpSpPr>
        <xdr:cNvPr id="13" name="Gruppieren 12">
          <a:extLst>
            <a:ext uri="{FF2B5EF4-FFF2-40B4-BE49-F238E27FC236}">
              <a16:creationId xmlns:a16="http://schemas.microsoft.com/office/drawing/2014/main" id="{3255D1A2-78FC-1F05-868F-A648274D19E7}"/>
            </a:ext>
          </a:extLst>
        </xdr:cNvPr>
        <xdr:cNvGrpSpPr/>
      </xdr:nvGrpSpPr>
      <xdr:grpSpPr>
        <a:xfrm>
          <a:off x="525088" y="779896"/>
          <a:ext cx="9664931" cy="3748039"/>
          <a:chOff x="3954087" y="869950"/>
          <a:chExt cx="9664931" cy="3748039"/>
        </a:xfrm>
      </xdr:grpSpPr>
      <xdr:pic>
        <xdr:nvPicPr>
          <xdr:cNvPr id="3" name="Grafik 2">
            <a:extLst>
              <a:ext uri="{FF2B5EF4-FFF2-40B4-BE49-F238E27FC236}">
                <a16:creationId xmlns:a16="http://schemas.microsoft.com/office/drawing/2014/main" id="{7C50EAD4-25E6-547B-C9FB-B2A1BFF35E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54087" y="869950"/>
            <a:ext cx="9664931" cy="3748039"/>
          </a:xfrm>
          <a:prstGeom prst="rect">
            <a:avLst/>
          </a:prstGeom>
        </xdr:spPr>
      </xdr:pic>
      <xdr:sp macro="" textlink="CX7">
        <xdr:nvSpPr>
          <xdr:cNvPr id="4" name="Textfeld 3">
            <a:extLst>
              <a:ext uri="{FF2B5EF4-FFF2-40B4-BE49-F238E27FC236}">
                <a16:creationId xmlns:a16="http://schemas.microsoft.com/office/drawing/2014/main" id="{4AFE9AF5-7AA9-2A6A-D8D8-2717DD9CCD12}"/>
              </a:ext>
            </a:extLst>
          </xdr:cNvPr>
          <xdr:cNvSpPr txBox="1"/>
        </xdr:nvSpPr>
        <xdr:spPr>
          <a:xfrm>
            <a:off x="4111943" y="1174507"/>
            <a:ext cx="5920307" cy="4902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52000" rtlCol="0" anchor="ctr" anchorCtr="0"/>
          <a:lstStyle/>
          <a:p>
            <a:fld id="{DAAFD10B-8009-4F74-ADA1-0A52B27F5F9E}" type="TxLink">
              <a:rPr lang="en-US" sz="1000" b="0" i="0" u="none" strike="noStrike">
                <a:solidFill>
                  <a:srgbClr val="000000"/>
                </a:solidFill>
                <a:latin typeface="Verdana"/>
                <a:ea typeface="Verdana"/>
                <a:cs typeface="Verdana"/>
              </a:rPr>
              <a:pPr/>
              <a:t>NEU MIT GRAPHISCHER DARSTELLUNG DER ERGEBNISSE</a:t>
            </a:fld>
            <a:endParaRPr lang="de-DE" sz="1200" b="1">
              <a:latin typeface="Verdana" panose="020B0604030504040204" pitchFamily="34" charset="0"/>
              <a:ea typeface="Verdana" panose="020B0604030504040204" pitchFamily="34" charset="0"/>
              <a:cs typeface="Verdana" panose="020B0604030504040204" pitchFamily="34" charset="0"/>
            </a:endParaRPr>
          </a:p>
        </xdr:txBody>
      </xdr:sp>
      <xdr:sp macro="" textlink="CX10">
        <xdr:nvSpPr>
          <xdr:cNvPr id="5" name="Textfeld 4">
            <a:extLst>
              <a:ext uri="{FF2B5EF4-FFF2-40B4-BE49-F238E27FC236}">
                <a16:creationId xmlns:a16="http://schemas.microsoft.com/office/drawing/2014/main" id="{C5DEC485-D791-0DDB-AF54-D1EC6FFB34E7}"/>
              </a:ext>
            </a:extLst>
          </xdr:cNvPr>
          <xdr:cNvSpPr txBox="1"/>
        </xdr:nvSpPr>
        <xdr:spPr>
          <a:xfrm>
            <a:off x="4111943" y="1653373"/>
            <a:ext cx="6411225" cy="311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52000" rtlCol="0" anchor="t"/>
          <a:lstStyle/>
          <a:p>
            <a:fld id="{1F833399-2D79-41E1-A507-3A8858CD3485}" type="TxLink">
              <a:rPr lang="en-US" sz="1000" b="0" i="0" u="none" strike="noStrike" baseline="0">
                <a:solidFill>
                  <a:srgbClr val="000000"/>
                </a:solidFill>
                <a:latin typeface="Verdana"/>
                <a:ea typeface="Verdana"/>
                <a:cs typeface="Verdana"/>
              </a:rPr>
              <a:pPr/>
              <a:t>Finanzplanung für GründerInnen leicht gemacht</a:t>
            </a:fld>
            <a:endParaRPr lang="de-DE" sz="1200" b="1" baseline="0">
              <a:latin typeface="Verdana" panose="020B0604030504040204" pitchFamily="34" charset="0"/>
              <a:ea typeface="Verdana" panose="020B0604030504040204" pitchFamily="34" charset="0"/>
              <a:cs typeface="Verdana" panose="020B0604030504040204" pitchFamily="34" charset="0"/>
            </a:endParaRPr>
          </a:p>
        </xdr:txBody>
      </xdr:sp>
      <xdr:sp macro="" textlink="CX15">
        <xdr:nvSpPr>
          <xdr:cNvPr id="6" name="Textfeld 5">
            <a:extLst>
              <a:ext uri="{FF2B5EF4-FFF2-40B4-BE49-F238E27FC236}">
                <a16:creationId xmlns:a16="http://schemas.microsoft.com/office/drawing/2014/main" id="{C10B4CF7-26B6-DD91-5801-B30C1F561DD1}"/>
              </a:ext>
            </a:extLst>
          </xdr:cNvPr>
          <xdr:cNvSpPr txBox="1"/>
        </xdr:nvSpPr>
        <xdr:spPr>
          <a:xfrm>
            <a:off x="4793365" y="3057407"/>
            <a:ext cx="2938172" cy="289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8A50CA4-A130-4FD2-8E99-60B89E1BA20B}" type="TxLink">
              <a:rPr lang="en-US" sz="1050" b="0" i="0" u="none" strike="noStrike">
                <a:solidFill>
                  <a:srgbClr val="000000"/>
                </a:solidFill>
                <a:latin typeface="Verdana"/>
                <a:ea typeface="Verdana"/>
                <a:cs typeface="Verdana"/>
              </a:rPr>
              <a:pPr/>
              <a:t>von der Umsatzprognose</a:t>
            </a:fld>
            <a:endParaRPr lang="de-DE" sz="500">
              <a:latin typeface="Verdana" panose="020B0604030504040204" pitchFamily="34" charset="0"/>
              <a:ea typeface="Verdana" panose="020B0604030504040204" pitchFamily="34" charset="0"/>
              <a:cs typeface="Verdana" panose="020B0604030504040204" pitchFamily="34" charset="0"/>
            </a:endParaRPr>
          </a:p>
        </xdr:txBody>
      </xdr:sp>
      <xdr:sp macro="" textlink="CX20">
        <xdr:nvSpPr>
          <xdr:cNvPr id="7" name="Textfeld 6">
            <a:extLst>
              <a:ext uri="{FF2B5EF4-FFF2-40B4-BE49-F238E27FC236}">
                <a16:creationId xmlns:a16="http://schemas.microsoft.com/office/drawing/2014/main" id="{A7BB8BAA-0EBF-ACED-1B36-9A0EC0BF8337}"/>
              </a:ext>
            </a:extLst>
          </xdr:cNvPr>
          <xdr:cNvSpPr txBox="1"/>
        </xdr:nvSpPr>
        <xdr:spPr>
          <a:xfrm>
            <a:off x="4118869" y="3756313"/>
            <a:ext cx="5488007" cy="4085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52000" rtlCol="0" anchor="ctr" anchorCtr="0"/>
          <a:lstStyle/>
          <a:p>
            <a:fld id="{79732AB9-2F95-401A-A05E-F3D76053F6A5}" type="TxLink">
              <a:rPr lang="en-US" sz="1100" b="0" i="0" u="none" strike="noStrike">
                <a:solidFill>
                  <a:srgbClr val="000000"/>
                </a:solidFill>
                <a:latin typeface="Verdana"/>
                <a:ea typeface="Verdana"/>
                <a:cs typeface="Verdana"/>
              </a:rPr>
              <a:pPr/>
              <a:t>Vielfach bewährt für Tragfähigkeitsbescheinigungen</a:t>
            </a:fld>
            <a:endParaRPr lang="de-DE"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sp macro="" textlink="CX11">
        <xdr:nvSpPr>
          <xdr:cNvPr id="8" name="Textfeld 7">
            <a:extLst>
              <a:ext uri="{FF2B5EF4-FFF2-40B4-BE49-F238E27FC236}">
                <a16:creationId xmlns:a16="http://schemas.microsoft.com/office/drawing/2014/main" id="{BB048109-BDDC-6903-94A2-579F6DC57104}"/>
              </a:ext>
            </a:extLst>
          </xdr:cNvPr>
          <xdr:cNvSpPr txBox="1"/>
        </xdr:nvSpPr>
        <xdr:spPr>
          <a:xfrm>
            <a:off x="4111943" y="1965325"/>
            <a:ext cx="6411225" cy="311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52000" rtlCol="0" anchor="t"/>
          <a:lstStyle/>
          <a:p>
            <a:fld id="{BB50F5D5-110D-4578-A1CA-48786138BB39}" type="TxLink">
              <a:rPr lang="en-US" sz="1000" b="0" i="0" u="none" strike="noStrike">
                <a:solidFill>
                  <a:srgbClr val="000000"/>
                </a:solidFill>
                <a:latin typeface="Verdana"/>
                <a:ea typeface="Verdana"/>
                <a:cs typeface="Verdana"/>
              </a:rPr>
              <a:pPr/>
              <a:t>Für Freiberufler, Einzelunternehmen, Einzelhandel, Personen-und Kapitalgesellschaften</a:t>
            </a:fld>
            <a:endParaRPr lang="de-DE" sz="1000" b="1">
              <a:latin typeface="Verdana" panose="020B0604030504040204" pitchFamily="34" charset="0"/>
              <a:ea typeface="Verdana" panose="020B0604030504040204" pitchFamily="34" charset="0"/>
              <a:cs typeface="Verdana" panose="020B0604030504040204" pitchFamily="34" charset="0"/>
            </a:endParaRPr>
          </a:p>
        </xdr:txBody>
      </xdr:sp>
      <xdr:sp macro="" textlink="CX14">
        <xdr:nvSpPr>
          <xdr:cNvPr id="9" name="Textfeld 8">
            <a:extLst>
              <a:ext uri="{FF2B5EF4-FFF2-40B4-BE49-F238E27FC236}">
                <a16:creationId xmlns:a16="http://schemas.microsoft.com/office/drawing/2014/main" id="{CF1663C3-A757-01ED-ED9D-CFDD00C8EFD5}"/>
              </a:ext>
            </a:extLst>
          </xdr:cNvPr>
          <xdr:cNvSpPr txBox="1"/>
        </xdr:nvSpPr>
        <xdr:spPr>
          <a:xfrm>
            <a:off x="4111943" y="2589179"/>
            <a:ext cx="6411225" cy="23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52000" rtlCol="0" anchor="t"/>
          <a:lstStyle/>
          <a:p>
            <a:fld id="{3B3FC0D7-99A4-487E-9D0A-51F5524373B7}" type="TxLink">
              <a:rPr lang="en-US" sz="1000" b="0" i="0" u="none" strike="noStrike">
                <a:solidFill>
                  <a:srgbClr val="000000"/>
                </a:solidFill>
                <a:latin typeface="Verdana"/>
                <a:ea typeface="Verdana"/>
                <a:cs typeface="Verdana"/>
              </a:rPr>
              <a:pPr/>
              <a:t>In Tabellen-Schritten</a:t>
            </a:fld>
            <a:endParaRPr lang="de-DE" sz="1050" b="1">
              <a:latin typeface="Verdana" panose="020B0604030504040204" pitchFamily="34" charset="0"/>
              <a:ea typeface="Verdana" panose="020B0604030504040204" pitchFamily="34" charset="0"/>
              <a:cs typeface="Verdana" panose="020B0604030504040204" pitchFamily="34" charset="0"/>
            </a:endParaRPr>
          </a:p>
        </xdr:txBody>
      </xdr:sp>
      <xdr:sp macro="" textlink="CX17">
        <xdr:nvSpPr>
          <xdr:cNvPr id="10" name="Textfeld 9">
            <a:extLst>
              <a:ext uri="{FF2B5EF4-FFF2-40B4-BE49-F238E27FC236}">
                <a16:creationId xmlns:a16="http://schemas.microsoft.com/office/drawing/2014/main" id="{CDF51DB5-A283-F951-A016-A0587864D644}"/>
              </a:ext>
            </a:extLst>
          </xdr:cNvPr>
          <xdr:cNvSpPr txBox="1"/>
        </xdr:nvSpPr>
        <xdr:spPr>
          <a:xfrm>
            <a:off x="4793365" y="3309921"/>
            <a:ext cx="2938172" cy="29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92D3015-BB46-4674-8F55-8278C65700D4}" type="TxLink">
              <a:rPr lang="en-US" sz="1050" b="0" i="0" u="none" strike="noStrike">
                <a:solidFill>
                  <a:srgbClr val="000000"/>
                </a:solidFill>
                <a:latin typeface="Verdana"/>
                <a:ea typeface="Verdana"/>
                <a:cs typeface="Verdana"/>
              </a:rPr>
              <a:pPr/>
              <a:t>zum Liquiditätsplan</a:t>
            </a:fld>
            <a:endParaRPr lang="de-DE" sz="500">
              <a:latin typeface="Verdana" panose="020B0604030504040204" pitchFamily="34" charset="0"/>
              <a:ea typeface="Verdana" panose="020B0604030504040204" pitchFamily="34" charset="0"/>
              <a:cs typeface="Verdana" panose="020B0604030504040204" pitchFamily="34" charset="0"/>
            </a:endParaRPr>
          </a:p>
        </xdr:txBody>
      </xdr:sp>
      <xdr:sp macro="" textlink="CX18">
        <xdr:nvSpPr>
          <xdr:cNvPr id="11" name="Textfeld 10">
            <a:extLst>
              <a:ext uri="{FF2B5EF4-FFF2-40B4-BE49-F238E27FC236}">
                <a16:creationId xmlns:a16="http://schemas.microsoft.com/office/drawing/2014/main" id="{3CDCF7DE-C34D-D0AD-AC15-1B93F65FEE4A}"/>
              </a:ext>
            </a:extLst>
          </xdr:cNvPr>
          <xdr:cNvSpPr txBox="1"/>
        </xdr:nvSpPr>
        <xdr:spPr>
          <a:xfrm>
            <a:off x="4793365" y="3569896"/>
            <a:ext cx="2938172" cy="274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65FC275-8599-477B-B0AE-D24ADA2A6C0C}" type="TxLink">
              <a:rPr lang="en-US" sz="1050" b="0" i="0" u="none" strike="noStrike">
                <a:solidFill>
                  <a:srgbClr val="000000"/>
                </a:solidFill>
                <a:latin typeface="Verdana"/>
                <a:ea typeface="Verdana"/>
                <a:cs typeface="Verdana"/>
              </a:rPr>
              <a:pPr/>
              <a:t>bis zur Finanzierung</a:t>
            </a:fld>
            <a:endParaRPr lang="de-DE" sz="1050">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12</xdr:col>
      <xdr:colOff>1675277</xdr:colOff>
      <xdr:row>6</xdr:row>
      <xdr:rowOff>34587</xdr:rowOff>
    </xdr:from>
    <xdr:to>
      <xdr:col>13</xdr:col>
      <xdr:colOff>8912</xdr:colOff>
      <xdr:row>9</xdr:row>
      <xdr:rowOff>135999</xdr:rowOff>
    </xdr:to>
    <xdr:sp macro="" textlink="">
      <xdr:nvSpPr>
        <xdr:cNvPr id="12" name="Rechtwinkliges Dreieck 11">
          <a:extLst>
            <a:ext uri="{FF2B5EF4-FFF2-40B4-BE49-F238E27FC236}">
              <a16:creationId xmlns:a16="http://schemas.microsoft.com/office/drawing/2014/main" id="{53D9CBF3-1D1F-40EC-BEAA-F71683377A00}"/>
            </a:ext>
          </a:extLst>
        </xdr:cNvPr>
        <xdr:cNvSpPr/>
      </xdr:nvSpPr>
      <xdr:spPr>
        <a:xfrm flipH="1">
          <a:off x="9766332" y="1059823"/>
          <a:ext cx="432598" cy="620958"/>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870857</xdr:colOff>
      <xdr:row>47</xdr:row>
      <xdr:rowOff>176892</xdr:rowOff>
    </xdr:from>
    <xdr:to>
      <xdr:col>16</xdr:col>
      <xdr:colOff>952499</xdr:colOff>
      <xdr:row>91</xdr:row>
      <xdr:rowOff>163286</xdr:rowOff>
    </xdr:to>
    <xdr:graphicFrame macro="">
      <xdr:nvGraphicFramePr>
        <xdr:cNvPr id="2" name="Diagramm 1">
          <a:extLst>
            <a:ext uri="{FF2B5EF4-FFF2-40B4-BE49-F238E27FC236}">
              <a16:creationId xmlns:a16="http://schemas.microsoft.com/office/drawing/2014/main" id="{CE6C8A04-AA9C-4E38-A2C7-5F30A86037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903515</xdr:colOff>
      <xdr:row>48</xdr:row>
      <xdr:rowOff>54428</xdr:rowOff>
    </xdr:from>
    <xdr:to>
      <xdr:col>17</xdr:col>
      <xdr:colOff>0</xdr:colOff>
      <xdr:row>91</xdr:row>
      <xdr:rowOff>97971</xdr:rowOff>
    </xdr:to>
    <xdr:graphicFrame macro="">
      <xdr:nvGraphicFramePr>
        <xdr:cNvPr id="3" name="Diagramm 2">
          <a:extLst>
            <a:ext uri="{FF2B5EF4-FFF2-40B4-BE49-F238E27FC236}">
              <a16:creationId xmlns:a16="http://schemas.microsoft.com/office/drawing/2014/main" id="{832BFAFD-EF8C-4D6C-A1D3-17FA08990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890905</xdr:colOff>
      <xdr:row>70</xdr:row>
      <xdr:rowOff>33867</xdr:rowOff>
    </xdr:from>
    <xdr:to>
      <xdr:col>20</xdr:col>
      <xdr:colOff>21705</xdr:colOff>
      <xdr:row>92</xdr:row>
      <xdr:rowOff>173989</xdr:rowOff>
    </xdr:to>
    <xdr:graphicFrame macro="">
      <xdr:nvGraphicFramePr>
        <xdr:cNvPr id="2" name="Diagramm 1">
          <a:extLst>
            <a:ext uri="{FF2B5EF4-FFF2-40B4-BE49-F238E27FC236}">
              <a16:creationId xmlns:a16="http://schemas.microsoft.com/office/drawing/2014/main" id="{AE825B79-EAC9-44F0-BFD7-2C1ABF171C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27215</xdr:colOff>
      <xdr:row>69</xdr:row>
      <xdr:rowOff>118533</xdr:rowOff>
    </xdr:from>
    <xdr:to>
      <xdr:col>12</xdr:col>
      <xdr:colOff>698500</xdr:colOff>
      <xdr:row>93</xdr:row>
      <xdr:rowOff>5290</xdr:rowOff>
    </xdr:to>
    <xdr:graphicFrame macro="">
      <xdr:nvGraphicFramePr>
        <xdr:cNvPr id="3" name="Diagramm 2">
          <a:extLst>
            <a:ext uri="{FF2B5EF4-FFF2-40B4-BE49-F238E27FC236}">
              <a16:creationId xmlns:a16="http://schemas.microsoft.com/office/drawing/2014/main" id="{85CDED68-B616-40FA-AC01-3356E5A475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745087</xdr:colOff>
      <xdr:row>204</xdr:row>
      <xdr:rowOff>10158</xdr:rowOff>
    </xdr:from>
    <xdr:to>
      <xdr:col>18</xdr:col>
      <xdr:colOff>929640</xdr:colOff>
      <xdr:row>232</xdr:row>
      <xdr:rowOff>43908</xdr:rowOff>
    </xdr:to>
    <xdr:graphicFrame macro="">
      <xdr:nvGraphicFramePr>
        <xdr:cNvPr id="5" name="Diagramm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671763</xdr:colOff>
      <xdr:row>157</xdr:row>
      <xdr:rowOff>74341</xdr:rowOff>
    </xdr:from>
    <xdr:to>
      <xdr:col>19</xdr:col>
      <xdr:colOff>5447</xdr:colOff>
      <xdr:row>182</xdr:row>
      <xdr:rowOff>0</xdr:rowOff>
    </xdr:to>
    <xdr:graphicFrame macro="">
      <xdr:nvGraphicFramePr>
        <xdr:cNvPr id="3" name="Diagramm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802105</xdr:colOff>
      <xdr:row>183</xdr:row>
      <xdr:rowOff>46462</xdr:rowOff>
    </xdr:from>
    <xdr:to>
      <xdr:col>19</xdr:col>
      <xdr:colOff>4813</xdr:colOff>
      <xdr:row>201</xdr:row>
      <xdr:rowOff>141001</xdr:rowOff>
    </xdr:to>
    <xdr:graphicFrame macro="">
      <xdr:nvGraphicFramePr>
        <xdr:cNvPr id="7" name="Diagramm 6">
          <a:extLst>
            <a:ext uri="{FF2B5EF4-FFF2-40B4-BE49-F238E27FC236}">
              <a16:creationId xmlns:a16="http://schemas.microsoft.com/office/drawing/2014/main" id="{A2383292-8A17-7AB7-6C0A-8FF9885C90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15</xdr:col>
      <xdr:colOff>287366</xdr:colOff>
      <xdr:row>13</xdr:row>
      <xdr:rowOff>40640</xdr:rowOff>
    </xdr:from>
    <xdr:to>
      <xdr:col>26</xdr:col>
      <xdr:colOff>522143</xdr:colOff>
      <xdr:row>39</xdr:row>
      <xdr:rowOff>66540</xdr:rowOff>
    </xdr:to>
    <xdr:graphicFrame macro="">
      <xdr:nvGraphicFramePr>
        <xdr:cNvPr id="2" name="Diagramm 1">
          <a:extLst>
            <a:ext uri="{FF2B5EF4-FFF2-40B4-BE49-F238E27FC236}">
              <a16:creationId xmlns:a16="http://schemas.microsoft.com/office/drawing/2014/main" id="{35700B38-B134-417D-9A35-A30FC3D4C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231103</xdr:colOff>
      <xdr:row>13</xdr:row>
      <xdr:rowOff>0</xdr:rowOff>
    </xdr:from>
    <xdr:to>
      <xdr:col>15</xdr:col>
      <xdr:colOff>0</xdr:colOff>
      <xdr:row>38</xdr:row>
      <xdr:rowOff>169334</xdr:rowOff>
    </xdr:to>
    <xdr:graphicFrame macro="">
      <xdr:nvGraphicFramePr>
        <xdr:cNvPr id="3" name="Diagramm 2">
          <a:extLst>
            <a:ext uri="{FF2B5EF4-FFF2-40B4-BE49-F238E27FC236}">
              <a16:creationId xmlns:a16="http://schemas.microsoft.com/office/drawing/2014/main" id="{4F5A3CE5-EE7D-4724-AB64-3E2860F457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65767</xdr:colOff>
      <xdr:row>34</xdr:row>
      <xdr:rowOff>6804</xdr:rowOff>
    </xdr:from>
    <xdr:to>
      <xdr:col>15</xdr:col>
      <xdr:colOff>936625</xdr:colOff>
      <xdr:row>52</xdr:row>
      <xdr:rowOff>165554</xdr:rowOff>
    </xdr:to>
    <xdr:graphicFrame macro="">
      <xdr:nvGraphicFramePr>
        <xdr:cNvPr id="2" name="Diagramm 1">
          <a:extLst>
            <a:ext uri="{FF2B5EF4-FFF2-40B4-BE49-F238E27FC236}">
              <a16:creationId xmlns:a16="http://schemas.microsoft.com/office/drawing/2014/main" id="{D0FB364B-2F64-407A-AE79-9B8F6EE31F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xdr:colOff>
      <xdr:row>17</xdr:row>
      <xdr:rowOff>88445</xdr:rowOff>
    </xdr:from>
    <xdr:to>
      <xdr:col>15</xdr:col>
      <xdr:colOff>952501</xdr:colOff>
      <xdr:row>33</xdr:row>
      <xdr:rowOff>91620</xdr:rowOff>
    </xdr:to>
    <xdr:graphicFrame macro="">
      <xdr:nvGraphicFramePr>
        <xdr:cNvPr id="3" name="Diagramm 2">
          <a:extLst>
            <a:ext uri="{FF2B5EF4-FFF2-40B4-BE49-F238E27FC236}">
              <a16:creationId xmlns:a16="http://schemas.microsoft.com/office/drawing/2014/main" id="{E88CED12-AFD3-4B9F-B99E-22CF90C017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729650</xdr:colOff>
      <xdr:row>68</xdr:row>
      <xdr:rowOff>266700</xdr:rowOff>
    </xdr:from>
    <xdr:to>
      <xdr:col>16</xdr:col>
      <xdr:colOff>933657</xdr:colOff>
      <xdr:row>78</xdr:row>
      <xdr:rowOff>38101</xdr:rowOff>
    </xdr:to>
    <xdr:graphicFrame macro="">
      <xdr:nvGraphicFramePr>
        <xdr:cNvPr id="2" name="Diagramm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702687</xdr:colOff>
      <xdr:row>80</xdr:row>
      <xdr:rowOff>161925</xdr:rowOff>
    </xdr:from>
    <xdr:to>
      <xdr:col>16</xdr:col>
      <xdr:colOff>936170</xdr:colOff>
      <xdr:row>89</xdr:row>
      <xdr:rowOff>141515</xdr:rowOff>
    </xdr:to>
    <xdr:graphicFrame macro="">
      <xdr:nvGraphicFramePr>
        <xdr:cNvPr id="3" name="Diagramm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714376</xdr:colOff>
      <xdr:row>90</xdr:row>
      <xdr:rowOff>28575</xdr:rowOff>
    </xdr:from>
    <xdr:to>
      <xdr:col>16</xdr:col>
      <xdr:colOff>918692</xdr:colOff>
      <xdr:row>99</xdr:row>
      <xdr:rowOff>93889</xdr:rowOff>
    </xdr:to>
    <xdr:graphicFrame macro="">
      <xdr:nvGraphicFramePr>
        <xdr:cNvPr id="4" name="Diagramm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67734</xdr:colOff>
      <xdr:row>31</xdr:row>
      <xdr:rowOff>152400</xdr:rowOff>
    </xdr:from>
    <xdr:to>
      <xdr:col>19</xdr:col>
      <xdr:colOff>3440</xdr:colOff>
      <xdr:row>43</xdr:row>
      <xdr:rowOff>119380</xdr:rowOff>
    </xdr:to>
    <xdr:graphicFrame macro="">
      <xdr:nvGraphicFramePr>
        <xdr:cNvPr id="2" name="Diagramm 1">
          <a:extLst>
            <a:ext uri="{FF2B5EF4-FFF2-40B4-BE49-F238E27FC236}">
              <a16:creationId xmlns:a16="http://schemas.microsoft.com/office/drawing/2014/main" id="{6C5741B3-CFBC-4F81-BC91-DF20E8AA61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86591</xdr:colOff>
      <xdr:row>44</xdr:row>
      <xdr:rowOff>154566</xdr:rowOff>
    </xdr:from>
    <xdr:to>
      <xdr:col>18</xdr:col>
      <xdr:colOff>681904</xdr:colOff>
      <xdr:row>56</xdr:row>
      <xdr:rowOff>168853</xdr:rowOff>
    </xdr:to>
    <xdr:graphicFrame macro="">
      <xdr:nvGraphicFramePr>
        <xdr:cNvPr id="3" name="Diagramm 2">
          <a:extLst>
            <a:ext uri="{FF2B5EF4-FFF2-40B4-BE49-F238E27FC236}">
              <a16:creationId xmlns:a16="http://schemas.microsoft.com/office/drawing/2014/main" id="{FB44338E-DF1A-4387-B1BD-5F56393539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14</xdr:col>
      <xdr:colOff>445755</xdr:colOff>
      <xdr:row>1</xdr:row>
      <xdr:rowOff>13677</xdr:rowOff>
    </xdr:from>
    <xdr:to>
      <xdr:col>21</xdr:col>
      <xdr:colOff>108858</xdr:colOff>
      <xdr:row>26</xdr:row>
      <xdr:rowOff>87086</xdr:rowOff>
    </xdr:to>
    <xdr:graphicFrame macro="">
      <xdr:nvGraphicFramePr>
        <xdr:cNvPr id="10" name="Diagramm 9">
          <a:extLst>
            <a:ext uri="{FF2B5EF4-FFF2-40B4-BE49-F238E27FC236}">
              <a16:creationId xmlns:a16="http://schemas.microsoft.com/office/drawing/2014/main" id="{6DA64799-0190-4600-85EF-97EEA27766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43542</xdr:colOff>
      <xdr:row>30</xdr:row>
      <xdr:rowOff>43542</xdr:rowOff>
    </xdr:from>
    <xdr:to>
      <xdr:col>7</xdr:col>
      <xdr:colOff>457200</xdr:colOff>
      <xdr:row>60</xdr:row>
      <xdr:rowOff>10886</xdr:rowOff>
    </xdr:to>
    <xdr:graphicFrame macro="">
      <xdr:nvGraphicFramePr>
        <xdr:cNvPr id="12" name="Diagramm 11">
          <a:extLst>
            <a:ext uri="{FF2B5EF4-FFF2-40B4-BE49-F238E27FC236}">
              <a16:creationId xmlns:a16="http://schemas.microsoft.com/office/drawing/2014/main" id="{EE1DD5C7-F675-4CEC-8C8D-B613498D2B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130628</xdr:colOff>
      <xdr:row>30</xdr:row>
      <xdr:rowOff>32655</xdr:rowOff>
    </xdr:from>
    <xdr:to>
      <xdr:col>14</xdr:col>
      <xdr:colOff>380999</xdr:colOff>
      <xdr:row>59</xdr:row>
      <xdr:rowOff>119742</xdr:rowOff>
    </xdr:to>
    <xdr:graphicFrame macro="">
      <xdr:nvGraphicFramePr>
        <xdr:cNvPr id="15" name="Diagramm 14">
          <a:extLst>
            <a:ext uri="{FF2B5EF4-FFF2-40B4-BE49-F238E27FC236}">
              <a16:creationId xmlns:a16="http://schemas.microsoft.com/office/drawing/2014/main" id="{B6291507-0188-4FBF-BF68-3BB15FE555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555171</xdr:colOff>
      <xdr:row>30</xdr:row>
      <xdr:rowOff>43544</xdr:rowOff>
    </xdr:from>
    <xdr:to>
      <xdr:col>21</xdr:col>
      <xdr:colOff>114300</xdr:colOff>
      <xdr:row>60</xdr:row>
      <xdr:rowOff>0</xdr:rowOff>
    </xdr:to>
    <xdr:graphicFrame macro="">
      <xdr:nvGraphicFramePr>
        <xdr:cNvPr id="17" name="Diagramm 16">
          <a:extLst>
            <a:ext uri="{FF2B5EF4-FFF2-40B4-BE49-F238E27FC236}">
              <a16:creationId xmlns:a16="http://schemas.microsoft.com/office/drawing/2014/main" id="{FFE991B1-184D-499F-BD04-1B9122C14D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54428</xdr:colOff>
      <xdr:row>0</xdr:row>
      <xdr:rowOff>637902</xdr:rowOff>
    </xdr:from>
    <xdr:to>
      <xdr:col>7</xdr:col>
      <xdr:colOff>620485</xdr:colOff>
      <xdr:row>27</xdr:row>
      <xdr:rowOff>10885</xdr:rowOff>
    </xdr:to>
    <xdr:graphicFrame macro="">
      <xdr:nvGraphicFramePr>
        <xdr:cNvPr id="24" name="Diagramm 23">
          <a:extLst>
            <a:ext uri="{FF2B5EF4-FFF2-40B4-BE49-F238E27FC236}">
              <a16:creationId xmlns:a16="http://schemas.microsoft.com/office/drawing/2014/main" id="{B3B4FBCB-7486-4FCD-9895-EE980107C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32657</xdr:colOff>
      <xdr:row>1</xdr:row>
      <xdr:rowOff>54428</xdr:rowOff>
    </xdr:from>
    <xdr:to>
      <xdr:col>14</xdr:col>
      <xdr:colOff>304799</xdr:colOff>
      <xdr:row>27</xdr:row>
      <xdr:rowOff>8466</xdr:rowOff>
    </xdr:to>
    <xdr:graphicFrame macro="">
      <xdr:nvGraphicFramePr>
        <xdr:cNvPr id="2" name="Diagramm 1">
          <a:extLst>
            <a:ext uri="{FF2B5EF4-FFF2-40B4-BE49-F238E27FC236}">
              <a16:creationId xmlns:a16="http://schemas.microsoft.com/office/drawing/2014/main" id="{C1C0E25C-EE9C-4290-8B18-FBB9B664D0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comments" Target="../comments9.xml"/><Relationship Id="rId4" Type="http://schemas.openxmlformats.org/officeDocument/2006/relationships/vmlDrawing" Target="../drawings/vmlDrawing19.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openxmlformats.org/officeDocument/2006/relationships/comments" Target="../comments10.xml"/><Relationship Id="rId4" Type="http://schemas.openxmlformats.org/officeDocument/2006/relationships/vmlDrawing" Target="../drawings/vmlDrawing21.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openxmlformats.org/officeDocument/2006/relationships/comments" Target="../comments11.xml"/><Relationship Id="rId4" Type="http://schemas.openxmlformats.org/officeDocument/2006/relationships/vmlDrawing" Target="../drawings/vmlDrawing23.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2.bin"/><Relationship Id="rId1" Type="http://schemas.openxmlformats.org/officeDocument/2006/relationships/hyperlink" Target="mailto:juergen.erlewein@senioren-der-wirtschaft.de"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3.bin"/><Relationship Id="rId1" Type="http://schemas.openxmlformats.org/officeDocument/2006/relationships/hyperlink" Target="http://de.wikipedia.org/wiki/Rechtsform" TargetMode="External"/><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omments" Target="../comments5.xml"/><Relationship Id="rId4" Type="http://schemas.openxmlformats.org/officeDocument/2006/relationships/vmlDrawing" Target="../drawings/vmlDrawing11.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omments" Target="../comments6.xml"/><Relationship Id="rId4" Type="http://schemas.openxmlformats.org/officeDocument/2006/relationships/vmlDrawing" Target="../drawings/vmlDrawing13.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www.statistik-bw.de/FinSteuern/Steuern/Hebesatz-GE.jsp" TargetMode="External"/><Relationship Id="rId6" Type="http://schemas.openxmlformats.org/officeDocument/2006/relationships/comments" Target="../comments7.xml"/><Relationship Id="rId5" Type="http://schemas.openxmlformats.org/officeDocument/2006/relationships/vmlDrawing" Target="../drawings/vmlDrawing15.vml"/><Relationship Id="rId4" Type="http://schemas.openxmlformats.org/officeDocument/2006/relationships/vmlDrawing" Target="../drawings/vmlDrawing14.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vmlDrawing" Target="../drawings/vmlDrawing16.v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52299-3BAA-40B2-B57E-2261EFBDAF86}">
  <sheetPr codeName="Tabelle1">
    <pageSetUpPr fitToPage="1"/>
  </sheetPr>
  <dimension ref="A1:DG1000"/>
  <sheetViews>
    <sheetView showGridLines="0" tabSelected="1" zoomScale="110" zoomScaleNormal="110" workbookViewId="0">
      <selection activeCell="A3" sqref="A3"/>
    </sheetView>
  </sheetViews>
  <sheetFormatPr baseColWidth="10" defaultColWidth="11.44140625" defaultRowHeight="13.2"/>
  <cols>
    <col min="1" max="1" width="5.6640625" style="283" customWidth="1"/>
    <col min="2" max="2" width="2.88671875" style="283" customWidth="1"/>
    <col min="3" max="3" width="14.5546875" style="283" customWidth="1"/>
    <col min="4" max="4" width="2.88671875" style="283" customWidth="1"/>
    <col min="5" max="7" width="11.44140625" style="283"/>
    <col min="8" max="8" width="11.88671875" style="283" customWidth="1"/>
    <col min="9" max="10" width="11.44140625" style="283"/>
    <col min="11" max="11" width="11.5546875" style="283" customWidth="1"/>
    <col min="12" max="12" width="11.44140625" style="283"/>
    <col min="13" max="13" width="30.5546875" style="283" customWidth="1"/>
    <col min="14" max="15" width="12.77734375" style="283" customWidth="1"/>
    <col min="16" max="20" width="12.77734375" style="293" customWidth="1"/>
    <col min="21" max="78" width="12.77734375" style="283" customWidth="1"/>
    <col min="79" max="100" width="11.44140625" style="283" hidden="1" customWidth="1"/>
    <col min="101" max="101" width="79.109375" style="286" hidden="1" customWidth="1"/>
    <col min="102" max="102" width="90.33203125" style="2" hidden="1" customWidth="1"/>
    <col min="103" max="103" width="84" style="2" hidden="1" customWidth="1"/>
    <col min="104" max="104" width="42.88671875" style="286" hidden="1" customWidth="1"/>
    <col min="105" max="111" width="42.88671875" style="286" customWidth="1"/>
    <col min="112" max="16384" width="11.44140625" style="283"/>
  </cols>
  <sheetData>
    <row r="1" spans="1:111" s="328" customFormat="1" ht="9.9" customHeight="1">
      <c r="C1" s="1624" t="s">
        <v>1029</v>
      </c>
      <c r="D1" s="329"/>
      <c r="E1" s="330"/>
      <c r="F1" s="329"/>
      <c r="G1" s="329"/>
      <c r="J1" s="331"/>
      <c r="K1" s="331"/>
      <c r="M1" s="308"/>
      <c r="P1" s="332"/>
      <c r="Q1" s="332"/>
      <c r="R1" s="332"/>
      <c r="S1" s="332"/>
      <c r="T1" s="332"/>
      <c r="CW1" s="333" t="s">
        <v>505</v>
      </c>
      <c r="CX1" s="334" t="s">
        <v>506</v>
      </c>
      <c r="CY1" s="329"/>
      <c r="CZ1" s="335"/>
      <c r="DA1" s="335"/>
      <c r="DB1" s="335"/>
      <c r="DC1" s="335"/>
      <c r="DD1" s="335"/>
      <c r="DE1" s="335"/>
      <c r="DF1" s="335"/>
      <c r="DG1" s="335"/>
    </row>
    <row r="2" spans="1:111" ht="15">
      <c r="A2" s="1623" t="str" cm="1">
        <f t="array" aca="1" ref="A2" ca="1">MID(CELL("Dateiname",$A$1),FIND("]",CELL("Dateiname",$A$1))+1,31)</f>
        <v>Deckblatt|Cover</v>
      </c>
      <c r="B2" s="328"/>
      <c r="D2" s="2"/>
      <c r="E2" s="330"/>
      <c r="F2" s="2"/>
      <c r="G2" s="2126" t="s">
        <v>508</v>
      </c>
      <c r="H2" s="2126"/>
      <c r="I2" s="2126"/>
      <c r="J2" s="2126"/>
      <c r="K2" s="2126"/>
      <c r="M2"/>
      <c r="P2" s="283"/>
      <c r="Q2" s="332"/>
      <c r="R2" s="332"/>
      <c r="CX2" s="331"/>
    </row>
    <row r="3" spans="1:111" ht="16.2">
      <c r="A3" s="336" t="s">
        <v>507</v>
      </c>
      <c r="B3" s="284"/>
      <c r="C3" s="2"/>
      <c r="D3" s="2"/>
      <c r="E3" s="266"/>
      <c r="I3" s="337" t="s">
        <v>140</v>
      </c>
      <c r="J3" s="1"/>
      <c r="M3"/>
      <c r="P3" s="283"/>
      <c r="Q3" s="332"/>
      <c r="R3" s="332"/>
    </row>
    <row r="4" spans="1:111" ht="12" customHeight="1">
      <c r="A4" s="1722"/>
      <c r="C4" s="1"/>
      <c r="D4" s="1"/>
      <c r="E4" s="1"/>
      <c r="F4" s="1"/>
      <c r="I4" s="1284" t="str">
        <f>IF('0 Daten|Data'!$D$6='0 Daten|Data'!$CU$3,$CW$22,"")</f>
        <v/>
      </c>
      <c r="K4" s="1"/>
      <c r="L4" s="1"/>
      <c r="P4" s="283"/>
      <c r="Q4" s="332"/>
      <c r="R4" s="332"/>
      <c r="CW4" s="286">
        <f t="shared" ref="CW4:CW21" si="0">IF($I$3="Deutsch",CX4,CY4)</f>
        <v>0</v>
      </c>
      <c r="CY4" s="286"/>
    </row>
    <row r="5" spans="1:111" ht="14.1" customHeight="1">
      <c r="C5" s="1"/>
      <c r="D5" s="1"/>
      <c r="E5" s="1"/>
      <c r="F5" s="1"/>
      <c r="G5" s="1"/>
      <c r="H5" s="1"/>
      <c r="I5" s="1"/>
      <c r="J5" s="1"/>
      <c r="K5" s="1"/>
      <c r="L5" s="1"/>
      <c r="Q5" s="332"/>
      <c r="R5" s="332"/>
      <c r="CW5" s="286" t="str">
        <f>IF($I$3="Deutsch",CX5,CY5)</f>
        <v>Ausgabe V 5.0 beta für 24 Planmonate</v>
      </c>
      <c r="CX5" s="338" t="str">
        <f>"Ausgabe "&amp;$CX$1&amp;" für 24 Planmonate"</f>
        <v>Ausgabe V 5.0 beta für 24 Planmonate</v>
      </c>
      <c r="CY5" s="338" t="str">
        <f>"Edition "&amp;CX1&amp;" for 24 Month"</f>
        <v>Edition V 5.0 beta for 24 Month</v>
      </c>
    </row>
    <row r="6" spans="1:111" ht="14.1" customHeight="1">
      <c r="C6" s="1"/>
      <c r="D6" s="1"/>
      <c r="E6" s="1"/>
      <c r="F6" s="1"/>
      <c r="G6" s="1"/>
      <c r="H6" s="1"/>
      <c r="I6" s="1"/>
      <c r="J6" s="1"/>
      <c r="K6" s="1"/>
      <c r="L6" s="1"/>
      <c r="Q6" s="332"/>
      <c r="R6" s="332"/>
      <c r="CW6" s="286">
        <f t="shared" si="0"/>
        <v>0</v>
      </c>
    </row>
    <row r="7" spans="1:111" ht="14.1" customHeight="1">
      <c r="C7" s="1"/>
      <c r="D7" s="1"/>
      <c r="E7" s="285"/>
      <c r="F7" s="1"/>
      <c r="G7" s="1"/>
      <c r="H7" s="1"/>
      <c r="I7" s="1"/>
      <c r="J7" s="1"/>
      <c r="K7" s="1"/>
      <c r="L7" s="1"/>
      <c r="CW7" s="286" t="str">
        <f t="shared" si="0"/>
        <v>NEU MIT GRAPHISCHER DARSTELLUNG DER ERGEBNISSE</v>
      </c>
      <c r="CX7" s="2" t="s">
        <v>409</v>
      </c>
      <c r="CY7" s="2" t="s">
        <v>410</v>
      </c>
    </row>
    <row r="8" spans="1:111" ht="14.1" customHeight="1">
      <c r="C8" s="1"/>
      <c r="D8" s="1"/>
      <c r="E8" s="285"/>
      <c r="F8" s="1"/>
      <c r="G8" s="1"/>
      <c r="H8" s="1"/>
      <c r="I8" s="1"/>
      <c r="J8" s="1"/>
      <c r="K8" s="1"/>
      <c r="L8" s="1"/>
      <c r="CW8" s="286">
        <f t="shared" si="0"/>
        <v>0</v>
      </c>
    </row>
    <row r="9" spans="1:111" ht="14.1" customHeight="1">
      <c r="C9" s="1"/>
      <c r="D9" s="1"/>
      <c r="E9" s="285"/>
      <c r="F9" s="1"/>
      <c r="G9" s="1"/>
      <c r="H9" s="1"/>
      <c r="I9" s="287"/>
      <c r="J9" s="1"/>
      <c r="K9" s="1"/>
      <c r="L9" s="1"/>
      <c r="M9" s="286"/>
      <c r="CW9" s="286">
        <f t="shared" si="0"/>
        <v>0</v>
      </c>
    </row>
    <row r="10" spans="1:111" ht="14.1" customHeight="1">
      <c r="C10" s="1"/>
      <c r="D10" s="1"/>
      <c r="E10" s="285"/>
      <c r="F10" s="1"/>
      <c r="G10" s="1"/>
      <c r="H10" s="6"/>
      <c r="J10" s="1"/>
      <c r="K10" s="1"/>
      <c r="L10" s="1"/>
      <c r="CW10" s="286" t="str">
        <f t="shared" si="0"/>
        <v>Finanzplanung für GründerInnen leicht gemacht</v>
      </c>
      <c r="CX10" s="2" t="s">
        <v>411</v>
      </c>
      <c r="CY10" s="2" t="s">
        <v>412</v>
      </c>
    </row>
    <row r="11" spans="1:111" ht="14.1" customHeight="1">
      <c r="C11" s="1"/>
      <c r="D11" s="1"/>
      <c r="E11" s="285"/>
      <c r="F11" s="1"/>
      <c r="G11" s="1"/>
      <c r="H11" s="6"/>
      <c r="J11" s="1"/>
      <c r="K11" s="1"/>
      <c r="L11" s="1"/>
      <c r="CW11" s="286" t="str">
        <f t="shared" si="0"/>
        <v>Für Freiberufler, Einzelunternehmen, Einzelhandel, Personen-und Kapitalgesellschaften</v>
      </c>
      <c r="CX11" s="2" t="s">
        <v>413</v>
      </c>
      <c r="CY11" s="2" t="s">
        <v>414</v>
      </c>
    </row>
    <row r="12" spans="1:111" ht="16.2">
      <c r="C12" s="10"/>
      <c r="D12" s="10"/>
      <c r="E12" s="285"/>
      <c r="F12" s="10"/>
      <c r="G12" s="288"/>
      <c r="H12" s="288"/>
      <c r="I12" s="11"/>
      <c r="J12" s="10"/>
      <c r="K12" s="10"/>
      <c r="L12" s="10"/>
      <c r="M12" s="288"/>
      <c r="CW12" s="286">
        <f t="shared" si="0"/>
        <v>0</v>
      </c>
    </row>
    <row r="13" spans="1:111" ht="16.2">
      <c r="C13" s="288"/>
      <c r="D13" s="10"/>
      <c r="E13" s="285"/>
      <c r="F13" s="10"/>
      <c r="G13" s="288"/>
      <c r="H13" s="288"/>
      <c r="I13" s="288"/>
      <c r="J13" s="10"/>
      <c r="K13" s="10"/>
      <c r="L13" s="10"/>
      <c r="M13" s="288"/>
      <c r="CW13" s="286">
        <f t="shared" si="0"/>
        <v>0</v>
      </c>
    </row>
    <row r="14" spans="1:111" ht="16.2">
      <c r="C14" s="288"/>
      <c r="D14" s="10"/>
      <c r="E14" s="285"/>
      <c r="F14" s="10"/>
      <c r="G14" s="288"/>
      <c r="H14" s="288"/>
      <c r="I14" s="11"/>
      <c r="J14" s="10"/>
      <c r="K14" s="10"/>
      <c r="L14" s="10"/>
      <c r="M14" s="289"/>
      <c r="CW14" s="286" t="str">
        <f t="shared" si="0"/>
        <v>In Tabellen-Schritten</v>
      </c>
      <c r="CX14" s="294" t="s">
        <v>415</v>
      </c>
      <c r="CY14" s="2" t="s">
        <v>422</v>
      </c>
    </row>
    <row r="15" spans="1:111" ht="13.8">
      <c r="C15" s="1"/>
      <c r="D15" s="1"/>
      <c r="E15" s="285"/>
      <c r="F15" s="1"/>
      <c r="I15" s="1"/>
      <c r="J15" s="1"/>
      <c r="K15" s="1"/>
      <c r="L15" s="1"/>
      <c r="M15" s="290"/>
      <c r="CW15" s="286" t="str">
        <f t="shared" si="0"/>
        <v>von der Umsatzprognose</v>
      </c>
      <c r="CX15" s="291" t="s">
        <v>416</v>
      </c>
      <c r="CY15" s="2" t="s">
        <v>418</v>
      </c>
    </row>
    <row r="16" spans="1:111" ht="13.65" customHeight="1">
      <c r="C16" s="1"/>
      <c r="D16" s="1"/>
      <c r="E16" s="285"/>
      <c r="F16" s="1"/>
      <c r="I16" s="1"/>
      <c r="J16" s="1"/>
      <c r="K16" s="1"/>
      <c r="L16" s="1"/>
      <c r="Q16" s="2127"/>
      <c r="R16" s="2127"/>
      <c r="CW16" s="286">
        <f t="shared" si="0"/>
        <v>0</v>
      </c>
    </row>
    <row r="17" spans="3:103" ht="17.399999999999999">
      <c r="D17" s="1"/>
      <c r="E17" s="285"/>
      <c r="F17" s="1"/>
      <c r="I17" s="4"/>
      <c r="J17" s="1"/>
      <c r="K17" s="1"/>
      <c r="L17" s="1"/>
      <c r="CW17" s="286" t="str">
        <f t="shared" si="0"/>
        <v>zum Liquiditätsplan</v>
      </c>
      <c r="CX17" s="291" t="s">
        <v>417</v>
      </c>
      <c r="CY17" s="2" t="s">
        <v>419</v>
      </c>
    </row>
    <row r="18" spans="3:103" ht="13.8">
      <c r="C18" s="1"/>
      <c r="D18" s="1"/>
      <c r="E18" s="285"/>
      <c r="F18" s="1"/>
      <c r="I18" s="1"/>
      <c r="J18" s="1"/>
      <c r="K18" s="1"/>
      <c r="L18" s="1"/>
      <c r="CW18" s="286" t="str">
        <f t="shared" si="0"/>
        <v>bis zur Finanzierung</v>
      </c>
      <c r="CX18" s="291" t="s">
        <v>424</v>
      </c>
      <c r="CY18" s="2" t="s">
        <v>423</v>
      </c>
    </row>
    <row r="19" spans="3:103" ht="17.399999999999999">
      <c r="D19" s="1"/>
      <c r="E19" s="285"/>
      <c r="F19" s="1"/>
      <c r="I19" s="4"/>
      <c r="J19" s="1"/>
      <c r="K19" s="1"/>
      <c r="L19" s="1"/>
      <c r="Q19" s="2127"/>
      <c r="R19" s="2127"/>
      <c r="CW19" s="286">
        <f t="shared" si="0"/>
        <v>0</v>
      </c>
    </row>
    <row r="20" spans="3:103" ht="13.8">
      <c r="C20" s="1"/>
      <c r="D20" s="1"/>
      <c r="E20" s="285"/>
      <c r="F20" s="1"/>
      <c r="I20" s="1"/>
      <c r="J20" s="1"/>
      <c r="K20" s="1"/>
      <c r="L20" s="1"/>
      <c r="Q20" s="2127"/>
      <c r="R20" s="2127"/>
      <c r="CW20" s="286" t="str">
        <f t="shared" si="0"/>
        <v>Vielfach bewährt für Tragfähigkeitsbescheinigungen</v>
      </c>
      <c r="CX20" s="292" t="s">
        <v>420</v>
      </c>
      <c r="CY20" s="2" t="s">
        <v>421</v>
      </c>
    </row>
    <row r="21" spans="3:103" ht="17.399999999999999">
      <c r="D21" s="4"/>
      <c r="E21" s="4"/>
      <c r="F21" s="4"/>
      <c r="I21" s="4"/>
      <c r="J21" s="4"/>
      <c r="K21" s="4"/>
      <c r="L21" s="4"/>
      <c r="CW21" s="286">
        <f t="shared" si="0"/>
        <v>0</v>
      </c>
    </row>
    <row r="22" spans="3:103" ht="17.399999999999999">
      <c r="C22" s="4"/>
      <c r="D22" s="4"/>
      <c r="E22" s="4"/>
      <c r="F22" s="4"/>
      <c r="I22" s="4"/>
      <c r="J22" s="4"/>
      <c r="K22" s="4"/>
      <c r="L22" s="4"/>
      <c r="CW22" s="286" t="str">
        <f>IF($I$3="Deutsch",CX22,CY22)</f>
        <v xml:space="preserve">Sprache geändert! Eingaben in Tabellen "0 Daten|Data" und "2 Umsatz|Sales" anpassen </v>
      </c>
      <c r="CX22" s="2" t="s">
        <v>916</v>
      </c>
      <c r="CY22" s="2" t="s">
        <v>917</v>
      </c>
    </row>
    <row r="23" spans="3:103" ht="12.6" customHeight="1">
      <c r="C23" s="5"/>
      <c r="D23" s="1"/>
      <c r="E23" s="1"/>
      <c r="F23" s="1"/>
      <c r="I23" s="1"/>
      <c r="J23" s="1"/>
      <c r="K23" s="1"/>
      <c r="L23" s="1"/>
      <c r="CW23" s="286" t="str">
        <f>IF($I$3="Deutsch",CX23,CY23)</f>
        <v>Language changed! Adapt input in Sheets "0 Daten|Data" und "2 Umsatz|Sales"</v>
      </c>
      <c r="CX23" s="2" t="s">
        <v>917</v>
      </c>
      <c r="CY23" s="2" t="s">
        <v>916</v>
      </c>
    </row>
    <row r="24" spans="3:103" ht="12.6" customHeight="1">
      <c r="C24" s="1"/>
      <c r="D24" s="1"/>
      <c r="E24" s="1"/>
      <c r="F24" s="1"/>
      <c r="I24" s="1"/>
      <c r="J24" s="1"/>
      <c r="K24" s="1"/>
      <c r="L24" s="1"/>
      <c r="M24" s="293"/>
    </row>
    <row r="25" spans="3:103" ht="13.8">
      <c r="C25" s="2"/>
      <c r="D25" s="2"/>
      <c r="E25" s="2"/>
      <c r="F25" s="2"/>
      <c r="I25" s="12"/>
      <c r="J25" s="2"/>
      <c r="K25" s="2"/>
      <c r="L25" s="2"/>
    </row>
    <row r="26" spans="3:103">
      <c r="C26" s="2"/>
      <c r="D26" s="2"/>
      <c r="E26" s="2"/>
      <c r="F26" s="2"/>
      <c r="G26" s="2"/>
      <c r="H26" s="2"/>
      <c r="J26" s="2"/>
      <c r="K26" s="2"/>
      <c r="L26" s="2"/>
    </row>
    <row r="27" spans="3:103" ht="17.399999999999999">
      <c r="C27" s="2"/>
      <c r="D27" s="2"/>
      <c r="E27" s="2"/>
      <c r="F27" s="2"/>
      <c r="G27" s="2"/>
      <c r="H27" s="3"/>
      <c r="I27" s="2048" t="str">
        <f ca="1">Basisdaten!D66</f>
        <v>Ausgabe V6.2.0 mit monatlicher Planung in den ersten 2 Jahren (©2026)</v>
      </c>
      <c r="J27" s="2"/>
      <c r="K27" s="2"/>
      <c r="L27" s="339"/>
      <c r="M27" s="91"/>
    </row>
    <row r="29" spans="3:103">
      <c r="C29" s="3"/>
      <c r="D29" s="2124"/>
      <c r="E29" s="2125"/>
      <c r="F29" s="2125"/>
      <c r="G29" s="2125"/>
      <c r="H29" s="2125"/>
      <c r="I29" s="2125"/>
      <c r="J29" s="2125"/>
      <c r="K29" s="2125"/>
      <c r="L29" s="2125"/>
      <c r="M29" s="2125"/>
    </row>
    <row r="30" spans="3:103">
      <c r="C30" s="2"/>
      <c r="D30" s="2"/>
      <c r="E30" s="2"/>
      <c r="F30" s="2"/>
      <c r="G30" s="2"/>
      <c r="H30" s="2"/>
      <c r="I30" s="2"/>
      <c r="J30" s="2"/>
      <c r="K30" s="2"/>
      <c r="L30" s="2"/>
    </row>
    <row r="34" spans="8:8">
      <c r="H34" s="286"/>
    </row>
    <row r="100" spans="102:103" s="286" customFormat="1">
      <c r="CX100" s="2"/>
      <c r="CY100" s="2"/>
    </row>
    <row r="101" spans="102:103" s="2031" customFormat="1">
      <c r="CX101" s="2032"/>
      <c r="CY101" s="2032"/>
    </row>
    <row r="102" spans="102:103" s="2031" customFormat="1">
      <c r="CX102" s="2032"/>
      <c r="CY102" s="2032"/>
    </row>
    <row r="103" spans="102:103" s="2031" customFormat="1">
      <c r="CX103" s="2032"/>
      <c r="CY103" s="2032"/>
    </row>
    <row r="104" spans="102:103" s="2031" customFormat="1">
      <c r="CX104" s="2032"/>
      <c r="CY104" s="2032"/>
    </row>
    <row r="105" spans="102:103" s="2031" customFormat="1">
      <c r="CX105" s="2032"/>
      <c r="CY105" s="2032"/>
    </row>
    <row r="106" spans="102:103" s="2031" customFormat="1">
      <c r="CX106" s="2032"/>
      <c r="CY106" s="2032"/>
    </row>
    <row r="107" spans="102:103" s="2031" customFormat="1">
      <c r="CX107" s="2032"/>
      <c r="CY107" s="2032"/>
    </row>
    <row r="108" spans="102:103" s="2031" customFormat="1">
      <c r="CX108" s="2032"/>
      <c r="CY108" s="2032"/>
    </row>
    <row r="109" spans="102:103" s="2031" customFormat="1">
      <c r="CX109" s="2032"/>
      <c r="CY109" s="2032"/>
    </row>
    <row r="110" spans="102:103" s="2031" customFormat="1">
      <c r="CX110" s="2032"/>
      <c r="CY110" s="2032"/>
    </row>
    <row r="111" spans="102:103" s="2031" customFormat="1">
      <c r="CX111" s="2032"/>
      <c r="CY111" s="2032"/>
    </row>
    <row r="112" spans="102:103" s="2031" customFormat="1">
      <c r="CX112" s="2032"/>
      <c r="CY112" s="2032"/>
    </row>
    <row r="113" spans="16:111" s="2031" customFormat="1">
      <c r="CX113" s="2032"/>
      <c r="CY113" s="2032"/>
    </row>
    <row r="114" spans="16:111" s="2031" customFormat="1">
      <c r="CX114" s="2032"/>
      <c r="CY114" s="2032"/>
    </row>
    <row r="115" spans="16:111" s="2031" customFormat="1">
      <c r="CX115" s="2032"/>
      <c r="CY115" s="2032"/>
    </row>
    <row r="116" spans="16:111" s="2031" customFormat="1">
      <c r="CX116" s="2032"/>
      <c r="CY116" s="2032"/>
    </row>
    <row r="117" spans="16:111" s="2031" customFormat="1">
      <c r="CX117" s="2032"/>
      <c r="CY117" s="2032"/>
    </row>
    <row r="118" spans="16:111" s="2031" customFormat="1">
      <c r="CX118" s="2032"/>
      <c r="CY118" s="2032"/>
    </row>
    <row r="119" spans="16:111" s="2037" customFormat="1">
      <c r="P119" s="2031"/>
      <c r="Q119" s="2031"/>
      <c r="R119" s="2031"/>
      <c r="S119" s="2031"/>
      <c r="T119" s="2031"/>
      <c r="CW119" s="2031"/>
      <c r="CX119" s="2032"/>
      <c r="CY119" s="2032"/>
      <c r="CZ119" s="2031"/>
      <c r="DA119" s="2031"/>
      <c r="DB119" s="2031"/>
      <c r="DC119" s="2031"/>
      <c r="DD119" s="2031"/>
      <c r="DE119" s="2031"/>
      <c r="DF119" s="2031"/>
      <c r="DG119" s="2031"/>
    </row>
    <row r="120" spans="16:111" s="2037" customFormat="1">
      <c r="P120" s="2031"/>
      <c r="Q120" s="2031"/>
      <c r="R120" s="2031"/>
      <c r="S120" s="2031"/>
      <c r="T120" s="2031"/>
      <c r="CW120" s="2031"/>
      <c r="CX120" s="2032"/>
      <c r="CY120" s="2032"/>
      <c r="CZ120" s="2031"/>
      <c r="DA120" s="2031"/>
      <c r="DB120" s="2031"/>
      <c r="DC120" s="2031"/>
      <c r="DD120" s="2031"/>
      <c r="DE120" s="2031"/>
      <c r="DF120" s="2031"/>
      <c r="DG120" s="2031"/>
    </row>
    <row r="121" spans="16:111" s="2037" customFormat="1" hidden="1">
      <c r="P121" s="2031"/>
      <c r="Q121" s="2031"/>
      <c r="R121" s="2031"/>
      <c r="S121" s="2031"/>
      <c r="T121" s="2031"/>
      <c r="CW121" s="2031"/>
      <c r="CX121" s="2032"/>
      <c r="CY121" s="2032"/>
      <c r="CZ121" s="2031"/>
      <c r="DA121" s="2031"/>
      <c r="DB121" s="2031"/>
      <c r="DC121" s="2031"/>
      <c r="DD121" s="2031"/>
      <c r="DE121" s="2031"/>
      <c r="DF121" s="2031"/>
      <c r="DG121" s="2031"/>
    </row>
    <row r="122" spans="16:111" s="2037" customFormat="1" hidden="1">
      <c r="P122" s="2031"/>
      <c r="Q122" s="2031"/>
      <c r="R122" s="2031"/>
      <c r="S122" s="2031"/>
      <c r="T122" s="2031"/>
      <c r="CW122" s="2031"/>
      <c r="CX122" s="2032"/>
      <c r="CY122" s="2032"/>
      <c r="CZ122" s="2031"/>
      <c r="DA122" s="2031"/>
      <c r="DB122" s="2031"/>
      <c r="DC122" s="2031"/>
      <c r="DD122" s="2031"/>
      <c r="DE122" s="2031"/>
      <c r="DF122" s="2031"/>
      <c r="DG122" s="2031"/>
    </row>
    <row r="123" spans="16:111" s="2037" customFormat="1" hidden="1">
      <c r="P123" s="2031"/>
      <c r="Q123" s="2031"/>
      <c r="R123" s="2031"/>
      <c r="S123" s="2031"/>
      <c r="T123" s="2031"/>
      <c r="CW123" s="2031"/>
      <c r="CX123" s="2032"/>
      <c r="CY123" s="2032"/>
      <c r="CZ123" s="2031"/>
      <c r="DA123" s="2031"/>
      <c r="DB123" s="2031"/>
      <c r="DC123" s="2031"/>
      <c r="DD123" s="2031"/>
      <c r="DE123" s="2031"/>
      <c r="DF123" s="2031"/>
      <c r="DG123" s="2031"/>
    </row>
    <row r="124" spans="16:111" s="2037" customFormat="1" hidden="1">
      <c r="P124" s="2031"/>
      <c r="Q124" s="2031"/>
      <c r="R124" s="2031"/>
      <c r="S124" s="2031"/>
      <c r="T124" s="2031"/>
      <c r="CW124" s="2031"/>
      <c r="CX124" s="2032"/>
      <c r="CY124" s="2032"/>
      <c r="CZ124" s="2031"/>
      <c r="DA124" s="2031"/>
      <c r="DB124" s="2031"/>
      <c r="DC124" s="2031"/>
      <c r="DD124" s="2031"/>
      <c r="DE124" s="2031"/>
      <c r="DF124" s="2031"/>
      <c r="DG124" s="2031"/>
    </row>
    <row r="125" spans="16:111" s="2037" customFormat="1" hidden="1">
      <c r="P125" s="2031"/>
      <c r="Q125" s="2031"/>
      <c r="R125" s="2031"/>
      <c r="S125" s="2031"/>
      <c r="T125" s="2031"/>
      <c r="CW125" s="2031"/>
      <c r="CX125" s="2032"/>
      <c r="CY125" s="2032"/>
      <c r="CZ125" s="2031"/>
      <c r="DA125" s="2031"/>
      <c r="DB125" s="2031"/>
      <c r="DC125" s="2031"/>
      <c r="DD125" s="2031"/>
      <c r="DE125" s="2031"/>
      <c r="DF125" s="2031"/>
      <c r="DG125" s="2031"/>
    </row>
    <row r="126" spans="16:111" s="2037" customFormat="1" hidden="1">
      <c r="P126" s="2031"/>
      <c r="Q126" s="2031"/>
      <c r="R126" s="2031"/>
      <c r="S126" s="2031"/>
      <c r="T126" s="2031"/>
      <c r="CW126" s="2031"/>
      <c r="CX126" s="2032"/>
      <c r="CY126" s="2032"/>
      <c r="CZ126" s="2031"/>
      <c r="DA126" s="2031"/>
      <c r="DB126" s="2031"/>
      <c r="DC126" s="2031"/>
      <c r="DD126" s="2031"/>
      <c r="DE126" s="2031"/>
      <c r="DF126" s="2031"/>
      <c r="DG126" s="2031"/>
    </row>
    <row r="127" spans="16:111" s="2037" customFormat="1" hidden="1">
      <c r="P127" s="2031"/>
      <c r="Q127" s="2031"/>
      <c r="R127" s="2031"/>
      <c r="S127" s="2031"/>
      <c r="T127" s="2031"/>
      <c r="CW127" s="2031"/>
      <c r="CX127" s="2032"/>
      <c r="CY127" s="2032"/>
      <c r="CZ127" s="2031"/>
      <c r="DA127" s="2031"/>
      <c r="DB127" s="2031"/>
      <c r="DC127" s="2031"/>
      <c r="DD127" s="2031"/>
      <c r="DE127" s="2031"/>
      <c r="DF127" s="2031"/>
      <c r="DG127" s="2031"/>
    </row>
    <row r="128" spans="16:111" s="2037" customFormat="1" hidden="1">
      <c r="P128" s="2031"/>
      <c r="Q128" s="2031"/>
      <c r="R128" s="2031"/>
      <c r="S128" s="2031"/>
      <c r="T128" s="2031"/>
      <c r="CW128" s="2031"/>
      <c r="CX128" s="2032"/>
      <c r="CY128" s="2032"/>
      <c r="CZ128" s="2031"/>
      <c r="DA128" s="2031"/>
      <c r="DB128" s="2031"/>
      <c r="DC128" s="2031"/>
      <c r="DD128" s="2031"/>
      <c r="DE128" s="2031"/>
      <c r="DF128" s="2031"/>
      <c r="DG128" s="2031"/>
    </row>
    <row r="129" spans="16:111" s="2037" customFormat="1" hidden="1">
      <c r="P129" s="2031"/>
      <c r="Q129" s="2031"/>
      <c r="R129" s="2031"/>
      <c r="S129" s="2031"/>
      <c r="T129" s="2031"/>
      <c r="CW129" s="2031"/>
      <c r="CX129" s="2032"/>
      <c r="CY129" s="2032"/>
      <c r="CZ129" s="2031"/>
      <c r="DA129" s="2031"/>
      <c r="DB129" s="2031"/>
      <c r="DC129" s="2031"/>
      <c r="DD129" s="2031"/>
      <c r="DE129" s="2031"/>
      <c r="DF129" s="2031"/>
      <c r="DG129" s="2031"/>
    </row>
    <row r="130" spans="16:111" s="2037" customFormat="1" hidden="1">
      <c r="P130" s="2031"/>
      <c r="Q130" s="2031"/>
      <c r="R130" s="2031"/>
      <c r="S130" s="2031"/>
      <c r="T130" s="2031"/>
      <c r="CW130" s="2031"/>
      <c r="CX130" s="2032"/>
      <c r="CY130" s="2032"/>
      <c r="CZ130" s="2031"/>
      <c r="DA130" s="2031"/>
      <c r="DB130" s="2031"/>
      <c r="DC130" s="2031"/>
      <c r="DD130" s="2031"/>
      <c r="DE130" s="2031"/>
      <c r="DF130" s="2031"/>
      <c r="DG130" s="2031"/>
    </row>
    <row r="131" spans="16:111" s="2037" customFormat="1" hidden="1">
      <c r="P131" s="2031"/>
      <c r="Q131" s="2031"/>
      <c r="R131" s="2031"/>
      <c r="S131" s="2031"/>
      <c r="T131" s="2031"/>
      <c r="CW131" s="2031"/>
      <c r="CX131" s="2032"/>
      <c r="CY131" s="2032"/>
      <c r="CZ131" s="2031"/>
      <c r="DA131" s="2031"/>
      <c r="DB131" s="2031"/>
      <c r="DC131" s="2031"/>
      <c r="DD131" s="2031"/>
      <c r="DE131" s="2031"/>
      <c r="DF131" s="2031"/>
      <c r="DG131" s="2031"/>
    </row>
    <row r="132" spans="16:111" s="2037" customFormat="1" hidden="1">
      <c r="P132" s="2031"/>
      <c r="Q132" s="2031"/>
      <c r="R132" s="2031"/>
      <c r="S132" s="2031"/>
      <c r="T132" s="2031"/>
      <c r="CW132" s="2031"/>
      <c r="CX132" s="2032"/>
      <c r="CY132" s="2032"/>
      <c r="CZ132" s="2031"/>
      <c r="DA132" s="2031"/>
      <c r="DB132" s="2031"/>
      <c r="DC132" s="2031"/>
      <c r="DD132" s="2031"/>
      <c r="DE132" s="2031"/>
      <c r="DF132" s="2031"/>
      <c r="DG132" s="2031"/>
    </row>
    <row r="133" spans="16:111" s="2037" customFormat="1" hidden="1">
      <c r="P133" s="2031"/>
      <c r="Q133" s="2031"/>
      <c r="R133" s="2031"/>
      <c r="S133" s="2031"/>
      <c r="T133" s="2031"/>
      <c r="CW133" s="2031"/>
      <c r="CX133" s="2032"/>
      <c r="CY133" s="2032"/>
      <c r="CZ133" s="2031"/>
      <c r="DA133" s="2031"/>
      <c r="DB133" s="2031"/>
      <c r="DC133" s="2031"/>
      <c r="DD133" s="2031"/>
      <c r="DE133" s="2031"/>
      <c r="DF133" s="2031"/>
      <c r="DG133" s="2031"/>
    </row>
    <row r="134" spans="16:111" s="2037" customFormat="1" hidden="1">
      <c r="P134" s="2031"/>
      <c r="Q134" s="2031"/>
      <c r="R134" s="2031"/>
      <c r="S134" s="2031"/>
      <c r="T134" s="2031"/>
      <c r="CW134" s="2031"/>
      <c r="CX134" s="2032"/>
      <c r="CY134" s="2032"/>
      <c r="CZ134" s="2031"/>
      <c r="DA134" s="2031"/>
      <c r="DB134" s="2031"/>
      <c r="DC134" s="2031"/>
      <c r="DD134" s="2031"/>
      <c r="DE134" s="2031"/>
      <c r="DF134" s="2031"/>
      <c r="DG134" s="2031"/>
    </row>
    <row r="135" spans="16:111" s="2037" customFormat="1" hidden="1">
      <c r="P135" s="2031"/>
      <c r="Q135" s="2031"/>
      <c r="R135" s="2031"/>
      <c r="S135" s="2031"/>
      <c r="T135" s="2031"/>
      <c r="CW135" s="2031"/>
      <c r="CX135" s="2032"/>
      <c r="CY135" s="2032"/>
      <c r="CZ135" s="2031"/>
      <c r="DA135" s="2031"/>
      <c r="DB135" s="2031"/>
      <c r="DC135" s="2031"/>
      <c r="DD135" s="2031"/>
      <c r="DE135" s="2031"/>
      <c r="DF135" s="2031"/>
      <c r="DG135" s="2031"/>
    </row>
    <row r="136" spans="16:111" s="2037" customFormat="1" hidden="1">
      <c r="P136" s="2031"/>
      <c r="Q136" s="2031"/>
      <c r="R136" s="2031"/>
      <c r="S136" s="2031"/>
      <c r="T136" s="2031"/>
      <c r="CW136" s="2031"/>
      <c r="CX136" s="2032"/>
      <c r="CY136" s="2032"/>
      <c r="CZ136" s="2031"/>
      <c r="DA136" s="2031"/>
      <c r="DB136" s="2031"/>
      <c r="DC136" s="2031"/>
      <c r="DD136" s="2031"/>
      <c r="DE136" s="2031"/>
      <c r="DF136" s="2031"/>
      <c r="DG136" s="2031"/>
    </row>
    <row r="137" spans="16:111" s="2037" customFormat="1" hidden="1">
      <c r="P137" s="2031"/>
      <c r="Q137" s="2031"/>
      <c r="R137" s="2031"/>
      <c r="S137" s="2031"/>
      <c r="T137" s="2031"/>
      <c r="CW137" s="2031"/>
      <c r="CX137" s="2032"/>
      <c r="CY137" s="2032"/>
      <c r="CZ137" s="2031"/>
      <c r="DA137" s="2031"/>
      <c r="DB137" s="2031"/>
      <c r="DC137" s="2031"/>
      <c r="DD137" s="2031"/>
      <c r="DE137" s="2031"/>
      <c r="DF137" s="2031"/>
      <c r="DG137" s="2031"/>
    </row>
    <row r="138" spans="16:111" s="2037" customFormat="1" hidden="1">
      <c r="P138" s="2031"/>
      <c r="Q138" s="2031"/>
      <c r="R138" s="2031"/>
      <c r="S138" s="2031"/>
      <c r="T138" s="2031"/>
      <c r="CW138" s="2031"/>
      <c r="CX138" s="2032"/>
      <c r="CY138" s="2032"/>
      <c r="CZ138" s="2031"/>
      <c r="DA138" s="2031"/>
      <c r="DB138" s="2031"/>
      <c r="DC138" s="2031"/>
      <c r="DD138" s="2031"/>
      <c r="DE138" s="2031"/>
      <c r="DF138" s="2031"/>
      <c r="DG138" s="2031"/>
    </row>
    <row r="139" spans="16:111" s="2037" customFormat="1" hidden="1">
      <c r="P139" s="2031"/>
      <c r="Q139" s="2031"/>
      <c r="R139" s="2031"/>
      <c r="S139" s="2031"/>
      <c r="T139" s="2031"/>
      <c r="CW139" s="2031"/>
      <c r="CX139" s="2032"/>
      <c r="CY139" s="2032"/>
      <c r="CZ139" s="2031"/>
      <c r="DA139" s="2031"/>
      <c r="DB139" s="2031"/>
      <c r="DC139" s="2031"/>
      <c r="DD139" s="2031"/>
      <c r="DE139" s="2031"/>
      <c r="DF139" s="2031"/>
      <c r="DG139" s="2031"/>
    </row>
    <row r="140" spans="16:111" s="2037" customFormat="1" hidden="1">
      <c r="P140" s="2031"/>
      <c r="Q140" s="2031"/>
      <c r="R140" s="2031"/>
      <c r="S140" s="2031"/>
      <c r="T140" s="2031"/>
      <c r="CW140" s="2031"/>
      <c r="CX140" s="2032"/>
      <c r="CY140" s="2032"/>
      <c r="CZ140" s="2031"/>
      <c r="DA140" s="2031"/>
      <c r="DB140" s="2031"/>
      <c r="DC140" s="2031"/>
      <c r="DD140" s="2031"/>
      <c r="DE140" s="2031"/>
      <c r="DF140" s="2031"/>
      <c r="DG140" s="2031"/>
    </row>
    <row r="141" spans="16:111" s="2037" customFormat="1" hidden="1">
      <c r="P141" s="2031"/>
      <c r="Q141" s="2031"/>
      <c r="R141" s="2031"/>
      <c r="S141" s="2031"/>
      <c r="T141" s="2031"/>
      <c r="CW141" s="2031"/>
      <c r="CX141" s="2032"/>
      <c r="CY141" s="2032"/>
      <c r="CZ141" s="2031"/>
      <c r="DA141" s="2031"/>
      <c r="DB141" s="2031"/>
      <c r="DC141" s="2031"/>
      <c r="DD141" s="2031"/>
      <c r="DE141" s="2031"/>
      <c r="DF141" s="2031"/>
      <c r="DG141" s="2031"/>
    </row>
    <row r="142" spans="16:111" s="2037" customFormat="1" hidden="1">
      <c r="P142" s="2031"/>
      <c r="Q142" s="2031"/>
      <c r="R142" s="2031"/>
      <c r="S142" s="2031"/>
      <c r="T142" s="2031"/>
      <c r="CW142" s="2031"/>
      <c r="CX142" s="2032"/>
      <c r="CY142" s="2032"/>
      <c r="CZ142" s="2031"/>
      <c r="DA142" s="2031"/>
      <c r="DB142" s="2031"/>
      <c r="DC142" s="2031"/>
      <c r="DD142" s="2031"/>
      <c r="DE142" s="2031"/>
      <c r="DF142" s="2031"/>
      <c r="DG142" s="2031"/>
    </row>
    <row r="143" spans="16:111" s="2037" customFormat="1" hidden="1">
      <c r="P143" s="2031"/>
      <c r="Q143" s="2031"/>
      <c r="R143" s="2031"/>
      <c r="S143" s="2031"/>
      <c r="T143" s="2031"/>
      <c r="CW143" s="2031"/>
      <c r="CX143" s="2032"/>
      <c r="CY143" s="2032"/>
      <c r="CZ143" s="2031"/>
      <c r="DA143" s="2031"/>
      <c r="DB143" s="2031"/>
      <c r="DC143" s="2031"/>
      <c r="DD143" s="2031"/>
      <c r="DE143" s="2031"/>
      <c r="DF143" s="2031"/>
      <c r="DG143" s="2031"/>
    </row>
    <row r="144" spans="16:111" s="2037" customFormat="1" hidden="1">
      <c r="P144" s="2031"/>
      <c r="Q144" s="2031"/>
      <c r="R144" s="2031"/>
      <c r="S144" s="2031"/>
      <c r="T144" s="2031"/>
      <c r="CW144" s="2031"/>
      <c r="CX144" s="2032"/>
      <c r="CY144" s="2032"/>
      <c r="CZ144" s="2031"/>
      <c r="DA144" s="2031"/>
      <c r="DB144" s="2031"/>
      <c r="DC144" s="2031"/>
      <c r="DD144" s="2031"/>
      <c r="DE144" s="2031"/>
      <c r="DF144" s="2031"/>
      <c r="DG144" s="2031"/>
    </row>
    <row r="145" spans="16:111" s="2037" customFormat="1" hidden="1">
      <c r="P145" s="2031"/>
      <c r="Q145" s="2031"/>
      <c r="R145" s="2031"/>
      <c r="S145" s="2031"/>
      <c r="T145" s="2031"/>
      <c r="CW145" s="2031"/>
      <c r="CX145" s="2032"/>
      <c r="CY145" s="2032"/>
      <c r="CZ145" s="2031"/>
      <c r="DA145" s="2031"/>
      <c r="DB145" s="2031"/>
      <c r="DC145" s="2031"/>
      <c r="DD145" s="2031"/>
      <c r="DE145" s="2031"/>
      <c r="DF145" s="2031"/>
      <c r="DG145" s="2031"/>
    </row>
    <row r="146" spans="16:111" s="2037" customFormat="1" hidden="1">
      <c r="P146" s="2031"/>
      <c r="Q146" s="2031"/>
      <c r="R146" s="2031"/>
      <c r="S146" s="2031"/>
      <c r="T146" s="2031"/>
      <c r="CW146" s="2031"/>
      <c r="CX146" s="2032"/>
      <c r="CY146" s="2032"/>
      <c r="CZ146" s="2031"/>
      <c r="DA146" s="2031"/>
      <c r="DB146" s="2031"/>
      <c r="DC146" s="2031"/>
      <c r="DD146" s="2031"/>
      <c r="DE146" s="2031"/>
      <c r="DF146" s="2031"/>
      <c r="DG146" s="2031"/>
    </row>
    <row r="147" spans="16:111" s="2037" customFormat="1" hidden="1">
      <c r="P147" s="2031"/>
      <c r="Q147" s="2031"/>
      <c r="R147" s="2031"/>
      <c r="S147" s="2031"/>
      <c r="T147" s="2031"/>
      <c r="CW147" s="2031"/>
      <c r="CX147" s="2032"/>
      <c r="CY147" s="2032"/>
      <c r="CZ147" s="2031"/>
      <c r="DA147" s="2031"/>
      <c r="DB147" s="2031"/>
      <c r="DC147" s="2031"/>
      <c r="DD147" s="2031"/>
      <c r="DE147" s="2031"/>
      <c r="DF147" s="2031"/>
      <c r="DG147" s="2031"/>
    </row>
    <row r="148" spans="16:111" s="2037" customFormat="1" hidden="1">
      <c r="P148" s="2031"/>
      <c r="Q148" s="2031"/>
      <c r="R148" s="2031"/>
      <c r="S148" s="2031"/>
      <c r="T148" s="2031"/>
      <c r="CW148" s="2031"/>
      <c r="CX148" s="2032"/>
      <c r="CY148" s="2032"/>
      <c r="CZ148" s="2031"/>
      <c r="DA148" s="2031"/>
      <c r="DB148" s="2031"/>
      <c r="DC148" s="2031"/>
      <c r="DD148" s="2031"/>
      <c r="DE148" s="2031"/>
      <c r="DF148" s="2031"/>
      <c r="DG148" s="2031"/>
    </row>
    <row r="149" spans="16:111" s="2037" customFormat="1" hidden="1">
      <c r="P149" s="2031"/>
      <c r="Q149" s="2031"/>
      <c r="R149" s="2031"/>
      <c r="S149" s="2031"/>
      <c r="T149" s="2031"/>
      <c r="CW149" s="2031"/>
      <c r="CX149" s="2032"/>
      <c r="CY149" s="2032"/>
      <c r="CZ149" s="2031"/>
      <c r="DA149" s="2031"/>
      <c r="DB149" s="2031"/>
      <c r="DC149" s="2031"/>
      <c r="DD149" s="2031"/>
      <c r="DE149" s="2031"/>
      <c r="DF149" s="2031"/>
      <c r="DG149" s="2031"/>
    </row>
    <row r="150" spans="16:111" s="2037" customFormat="1" hidden="1">
      <c r="P150" s="2031"/>
      <c r="Q150" s="2031"/>
      <c r="R150" s="2031"/>
      <c r="S150" s="2031"/>
      <c r="T150" s="2031"/>
      <c r="CW150" s="2031"/>
      <c r="CX150" s="2032"/>
      <c r="CY150" s="2032"/>
      <c r="CZ150" s="2031"/>
      <c r="DA150" s="2031"/>
      <c r="DB150" s="2031"/>
      <c r="DC150" s="2031"/>
      <c r="DD150" s="2031"/>
      <c r="DE150" s="2031"/>
      <c r="DF150" s="2031"/>
      <c r="DG150" s="2031"/>
    </row>
    <row r="151" spans="16:111" s="2037" customFormat="1" hidden="1">
      <c r="P151" s="2031"/>
      <c r="Q151" s="2031"/>
      <c r="R151" s="2031"/>
      <c r="S151" s="2031"/>
      <c r="T151" s="2031"/>
      <c r="CW151" s="2031"/>
      <c r="CX151" s="2032"/>
      <c r="CY151" s="2032"/>
      <c r="CZ151" s="2031"/>
      <c r="DA151" s="2031"/>
      <c r="DB151" s="2031"/>
      <c r="DC151" s="2031"/>
      <c r="DD151" s="2031"/>
      <c r="DE151" s="2031"/>
      <c r="DF151" s="2031"/>
      <c r="DG151" s="2031"/>
    </row>
    <row r="152" spans="16:111" s="2037" customFormat="1" hidden="1">
      <c r="P152" s="2031"/>
      <c r="Q152" s="2031"/>
      <c r="R152" s="2031"/>
      <c r="S152" s="2031"/>
      <c r="T152" s="2031"/>
      <c r="CW152" s="2031"/>
      <c r="CX152" s="2032"/>
      <c r="CY152" s="2032"/>
      <c r="CZ152" s="2031"/>
      <c r="DA152" s="2031"/>
      <c r="DB152" s="2031"/>
      <c r="DC152" s="2031"/>
      <c r="DD152" s="2031"/>
      <c r="DE152" s="2031"/>
      <c r="DF152" s="2031"/>
      <c r="DG152" s="2031"/>
    </row>
    <row r="153" spans="16:111" s="2037" customFormat="1" hidden="1">
      <c r="P153" s="2031"/>
      <c r="Q153" s="2031"/>
      <c r="R153" s="2031"/>
      <c r="S153" s="2031"/>
      <c r="T153" s="2031"/>
      <c r="CW153" s="2031"/>
      <c r="CX153" s="2032"/>
      <c r="CY153" s="2032"/>
      <c r="CZ153" s="2031"/>
      <c r="DA153" s="2031"/>
      <c r="DB153" s="2031"/>
      <c r="DC153" s="2031"/>
      <c r="DD153" s="2031"/>
      <c r="DE153" s="2031"/>
      <c r="DF153" s="2031"/>
      <c r="DG153" s="2031"/>
    </row>
    <row r="154" spans="16:111" s="2037" customFormat="1" hidden="1">
      <c r="P154" s="2031"/>
      <c r="Q154" s="2031"/>
      <c r="R154" s="2031"/>
      <c r="S154" s="2031"/>
      <c r="T154" s="2031"/>
      <c r="CW154" s="2031"/>
      <c r="CX154" s="2032"/>
      <c r="CY154" s="2032"/>
      <c r="CZ154" s="2031"/>
      <c r="DA154" s="2031"/>
      <c r="DB154" s="2031"/>
      <c r="DC154" s="2031"/>
      <c r="DD154" s="2031"/>
      <c r="DE154" s="2031"/>
      <c r="DF154" s="2031"/>
      <c r="DG154" s="2031"/>
    </row>
    <row r="155" spans="16:111" s="2037" customFormat="1" hidden="1">
      <c r="P155" s="2031"/>
      <c r="Q155" s="2031"/>
      <c r="R155" s="2031"/>
      <c r="S155" s="2031"/>
      <c r="T155" s="2031"/>
      <c r="CW155" s="2031"/>
      <c r="CX155" s="2032"/>
      <c r="CY155" s="2032"/>
      <c r="CZ155" s="2031"/>
      <c r="DA155" s="2031"/>
      <c r="DB155" s="2031"/>
      <c r="DC155" s="2031"/>
      <c r="DD155" s="2031"/>
      <c r="DE155" s="2031"/>
      <c r="DF155" s="2031"/>
      <c r="DG155" s="2031"/>
    </row>
    <row r="156" spans="16:111" s="2037" customFormat="1" hidden="1">
      <c r="P156" s="2031"/>
      <c r="Q156" s="2031"/>
      <c r="R156" s="2031"/>
      <c r="S156" s="2031"/>
      <c r="T156" s="2031"/>
      <c r="CW156" s="2031"/>
      <c r="CX156" s="2032"/>
      <c r="CY156" s="2032"/>
      <c r="CZ156" s="2031"/>
      <c r="DA156" s="2031"/>
      <c r="DB156" s="2031"/>
      <c r="DC156" s="2031"/>
      <c r="DD156" s="2031"/>
      <c r="DE156" s="2031"/>
      <c r="DF156" s="2031"/>
      <c r="DG156" s="2031"/>
    </row>
    <row r="157" spans="16:111" s="2037" customFormat="1" hidden="1">
      <c r="P157" s="2031"/>
      <c r="Q157" s="2031"/>
      <c r="R157" s="2031"/>
      <c r="S157" s="2031"/>
      <c r="T157" s="2031"/>
      <c r="CW157" s="2031"/>
      <c r="CX157" s="2032"/>
      <c r="CY157" s="2032"/>
      <c r="CZ157" s="2031"/>
      <c r="DA157" s="2031"/>
      <c r="DB157" s="2031"/>
      <c r="DC157" s="2031"/>
      <c r="DD157" s="2031"/>
      <c r="DE157" s="2031"/>
      <c r="DF157" s="2031"/>
      <c r="DG157" s="2031"/>
    </row>
    <row r="158" spans="16:111" s="2037" customFormat="1" hidden="1">
      <c r="P158" s="2031"/>
      <c r="Q158" s="2031"/>
      <c r="R158" s="2031"/>
      <c r="S158" s="2031"/>
      <c r="T158" s="2031"/>
      <c r="CW158" s="2031"/>
      <c r="CX158" s="2032"/>
      <c r="CY158" s="2032"/>
      <c r="CZ158" s="2031"/>
      <c r="DA158" s="2031"/>
      <c r="DB158" s="2031"/>
      <c r="DC158" s="2031"/>
      <c r="DD158" s="2031"/>
      <c r="DE158" s="2031"/>
      <c r="DF158" s="2031"/>
      <c r="DG158" s="2031"/>
    </row>
    <row r="159" spans="16:111" s="2037" customFormat="1" hidden="1">
      <c r="P159" s="2031"/>
      <c r="Q159" s="2031"/>
      <c r="R159" s="2031"/>
      <c r="S159" s="2031"/>
      <c r="T159" s="2031"/>
      <c r="CW159" s="2031"/>
      <c r="CX159" s="2032"/>
      <c r="CY159" s="2032"/>
      <c r="CZ159" s="2031"/>
      <c r="DA159" s="2031"/>
      <c r="DB159" s="2031"/>
      <c r="DC159" s="2031"/>
      <c r="DD159" s="2031"/>
      <c r="DE159" s="2031"/>
      <c r="DF159" s="2031"/>
      <c r="DG159" s="2031"/>
    </row>
    <row r="160" spans="16:111" s="2037" customFormat="1" hidden="1">
      <c r="P160" s="2031"/>
      <c r="Q160" s="2031"/>
      <c r="R160" s="2031"/>
      <c r="S160" s="2031"/>
      <c r="T160" s="2031"/>
      <c r="CW160" s="2031"/>
      <c r="CX160" s="2032"/>
      <c r="CY160" s="2032"/>
      <c r="CZ160" s="2031"/>
      <c r="DA160" s="2031"/>
      <c r="DB160" s="2031"/>
      <c r="DC160" s="2031"/>
      <c r="DD160" s="2031"/>
      <c r="DE160" s="2031"/>
      <c r="DF160" s="2031"/>
      <c r="DG160" s="2031"/>
    </row>
    <row r="161" spans="16:111" s="2037" customFormat="1" hidden="1">
      <c r="P161" s="2031"/>
      <c r="Q161" s="2031"/>
      <c r="R161" s="2031"/>
      <c r="S161" s="2031"/>
      <c r="T161" s="2031"/>
      <c r="CW161" s="2031"/>
      <c r="CX161" s="2032"/>
      <c r="CY161" s="2032"/>
      <c r="CZ161" s="2031"/>
      <c r="DA161" s="2031"/>
      <c r="DB161" s="2031"/>
      <c r="DC161" s="2031"/>
      <c r="DD161" s="2031"/>
      <c r="DE161" s="2031"/>
      <c r="DF161" s="2031"/>
      <c r="DG161" s="2031"/>
    </row>
    <row r="162" spans="16:111" s="2037" customFormat="1" hidden="1">
      <c r="P162" s="2031"/>
      <c r="Q162" s="2031"/>
      <c r="R162" s="2031"/>
      <c r="S162" s="2031"/>
      <c r="T162" s="2031"/>
      <c r="CW162" s="2031"/>
      <c r="CX162" s="2032"/>
      <c r="CY162" s="2032"/>
      <c r="CZ162" s="2031"/>
      <c r="DA162" s="2031"/>
      <c r="DB162" s="2031"/>
      <c r="DC162" s="2031"/>
      <c r="DD162" s="2031"/>
      <c r="DE162" s="2031"/>
      <c r="DF162" s="2031"/>
      <c r="DG162" s="2031"/>
    </row>
    <row r="163" spans="16:111" s="2037" customFormat="1" hidden="1">
      <c r="P163" s="2031"/>
      <c r="Q163" s="2031"/>
      <c r="R163" s="2031"/>
      <c r="S163" s="2031"/>
      <c r="T163" s="2031"/>
      <c r="CW163" s="2031"/>
      <c r="CX163" s="2032"/>
      <c r="CY163" s="2032"/>
      <c r="CZ163" s="2031"/>
      <c r="DA163" s="2031"/>
      <c r="DB163" s="2031"/>
      <c r="DC163" s="2031"/>
      <c r="DD163" s="2031"/>
      <c r="DE163" s="2031"/>
      <c r="DF163" s="2031"/>
      <c r="DG163" s="2031"/>
    </row>
    <row r="164" spans="16:111" s="2037" customFormat="1" hidden="1">
      <c r="P164" s="2031"/>
      <c r="Q164" s="2031"/>
      <c r="R164" s="2031"/>
      <c r="S164" s="2031"/>
      <c r="T164" s="2031"/>
      <c r="CW164" s="2031"/>
      <c r="CX164" s="2032"/>
      <c r="CY164" s="2032"/>
      <c r="CZ164" s="2031"/>
      <c r="DA164" s="2031"/>
      <c r="DB164" s="2031"/>
      <c r="DC164" s="2031"/>
      <c r="DD164" s="2031"/>
      <c r="DE164" s="2031"/>
      <c r="DF164" s="2031"/>
      <c r="DG164" s="2031"/>
    </row>
    <row r="165" spans="16:111" s="2037" customFormat="1" hidden="1">
      <c r="P165" s="2031"/>
      <c r="Q165" s="2031"/>
      <c r="R165" s="2031"/>
      <c r="S165" s="2031"/>
      <c r="T165" s="2031"/>
      <c r="CW165" s="2031"/>
      <c r="CX165" s="2032"/>
      <c r="CY165" s="2032"/>
      <c r="CZ165" s="2031"/>
      <c r="DA165" s="2031"/>
      <c r="DB165" s="2031"/>
      <c r="DC165" s="2031"/>
      <c r="DD165" s="2031"/>
      <c r="DE165" s="2031"/>
      <c r="DF165" s="2031"/>
      <c r="DG165" s="2031"/>
    </row>
    <row r="166" spans="16:111" s="2037" customFormat="1" hidden="1">
      <c r="P166" s="2031"/>
      <c r="Q166" s="2031"/>
      <c r="R166" s="2031"/>
      <c r="S166" s="2031"/>
      <c r="T166" s="2031"/>
      <c r="CW166" s="2031"/>
      <c r="CX166" s="2032"/>
      <c r="CY166" s="2032"/>
      <c r="CZ166" s="2031"/>
      <c r="DA166" s="2031"/>
      <c r="DB166" s="2031"/>
      <c r="DC166" s="2031"/>
      <c r="DD166" s="2031"/>
      <c r="DE166" s="2031"/>
      <c r="DF166" s="2031"/>
      <c r="DG166" s="2031"/>
    </row>
    <row r="167" spans="16:111" s="2037" customFormat="1" hidden="1">
      <c r="P167" s="2031"/>
      <c r="Q167" s="2031"/>
      <c r="R167" s="2031"/>
      <c r="S167" s="2031"/>
      <c r="T167" s="2031"/>
      <c r="CW167" s="2031"/>
      <c r="CX167" s="2032"/>
      <c r="CY167" s="2032"/>
      <c r="CZ167" s="2031"/>
      <c r="DA167" s="2031"/>
      <c r="DB167" s="2031"/>
      <c r="DC167" s="2031"/>
      <c r="DD167" s="2031"/>
      <c r="DE167" s="2031"/>
      <c r="DF167" s="2031"/>
      <c r="DG167" s="2031"/>
    </row>
    <row r="168" spans="16:111" s="2037" customFormat="1" hidden="1">
      <c r="P168" s="2031"/>
      <c r="Q168" s="2031"/>
      <c r="R168" s="2031"/>
      <c r="S168" s="2031"/>
      <c r="T168" s="2031"/>
      <c r="CW168" s="2031"/>
      <c r="CX168" s="2032"/>
      <c r="CY168" s="2032"/>
      <c r="CZ168" s="2031"/>
      <c r="DA168" s="2031"/>
      <c r="DB168" s="2031"/>
      <c r="DC168" s="2031"/>
      <c r="DD168" s="2031"/>
      <c r="DE168" s="2031"/>
      <c r="DF168" s="2031"/>
      <c r="DG168" s="2031"/>
    </row>
    <row r="169" spans="16:111" s="2037" customFormat="1" hidden="1">
      <c r="P169" s="2031"/>
      <c r="Q169" s="2031"/>
      <c r="R169" s="2031"/>
      <c r="S169" s="2031"/>
      <c r="T169" s="2031"/>
      <c r="CW169" s="2031"/>
      <c r="CX169" s="2032"/>
      <c r="CY169" s="2032"/>
      <c r="CZ169" s="2031"/>
      <c r="DA169" s="2031"/>
      <c r="DB169" s="2031"/>
      <c r="DC169" s="2031"/>
      <c r="DD169" s="2031"/>
      <c r="DE169" s="2031"/>
      <c r="DF169" s="2031"/>
      <c r="DG169" s="2031"/>
    </row>
    <row r="170" spans="16:111" s="2037" customFormat="1" hidden="1">
      <c r="P170" s="2031"/>
      <c r="Q170" s="2031"/>
      <c r="R170" s="2031"/>
      <c r="S170" s="2031"/>
      <c r="T170" s="2031"/>
      <c r="CW170" s="2031"/>
      <c r="CX170" s="2032"/>
      <c r="CY170" s="2032"/>
      <c r="CZ170" s="2031"/>
      <c r="DA170" s="2031"/>
      <c r="DB170" s="2031"/>
      <c r="DC170" s="2031"/>
      <c r="DD170" s="2031"/>
      <c r="DE170" s="2031"/>
      <c r="DF170" s="2031"/>
      <c r="DG170" s="2031"/>
    </row>
    <row r="171" spans="16:111" s="2037" customFormat="1" hidden="1">
      <c r="P171" s="2031"/>
      <c r="Q171" s="2031"/>
      <c r="R171" s="2031"/>
      <c r="S171" s="2031"/>
      <c r="T171" s="2031"/>
      <c r="CW171" s="2031"/>
      <c r="CX171" s="2032"/>
      <c r="CY171" s="2032"/>
      <c r="CZ171" s="2031"/>
      <c r="DA171" s="2031"/>
      <c r="DB171" s="2031"/>
      <c r="DC171" s="2031"/>
      <c r="DD171" s="2031"/>
      <c r="DE171" s="2031"/>
      <c r="DF171" s="2031"/>
      <c r="DG171" s="2031"/>
    </row>
    <row r="172" spans="16:111" s="2037" customFormat="1" hidden="1">
      <c r="P172" s="2031"/>
      <c r="Q172" s="2031"/>
      <c r="R172" s="2031"/>
      <c r="S172" s="2031"/>
      <c r="T172" s="2031"/>
      <c r="CW172" s="2031"/>
      <c r="CX172" s="2032"/>
      <c r="CY172" s="2032"/>
      <c r="CZ172" s="2031"/>
      <c r="DA172" s="2031"/>
      <c r="DB172" s="2031"/>
      <c r="DC172" s="2031"/>
      <c r="DD172" s="2031"/>
      <c r="DE172" s="2031"/>
      <c r="DF172" s="2031"/>
      <c r="DG172" s="2031"/>
    </row>
    <row r="173" spans="16:111" s="2037" customFormat="1" hidden="1">
      <c r="P173" s="2031"/>
      <c r="Q173" s="2031"/>
      <c r="R173" s="2031"/>
      <c r="S173" s="2031"/>
      <c r="T173" s="2031"/>
      <c r="CW173" s="2031"/>
      <c r="CX173" s="2032"/>
      <c r="CY173" s="2032"/>
      <c r="CZ173" s="2031"/>
      <c r="DA173" s="2031"/>
      <c r="DB173" s="2031"/>
      <c r="DC173" s="2031"/>
      <c r="DD173" s="2031"/>
      <c r="DE173" s="2031"/>
      <c r="DF173" s="2031"/>
      <c r="DG173" s="2031"/>
    </row>
    <row r="174" spans="16:111" s="2037" customFormat="1" hidden="1">
      <c r="P174" s="2031"/>
      <c r="Q174" s="2031"/>
      <c r="R174" s="2031"/>
      <c r="S174" s="2031"/>
      <c r="T174" s="2031"/>
      <c r="CW174" s="2031"/>
      <c r="CX174" s="2032"/>
      <c r="CY174" s="2032"/>
      <c r="CZ174" s="2031"/>
      <c r="DA174" s="2031"/>
      <c r="DB174" s="2031"/>
      <c r="DC174" s="2031"/>
      <c r="DD174" s="2031"/>
      <c r="DE174" s="2031"/>
      <c r="DF174" s="2031"/>
      <c r="DG174" s="2031"/>
    </row>
    <row r="175" spans="16:111" s="2037" customFormat="1" hidden="1">
      <c r="P175" s="2031"/>
      <c r="Q175" s="2031"/>
      <c r="R175" s="2031"/>
      <c r="S175" s="2031"/>
      <c r="T175" s="2031"/>
      <c r="CW175" s="2031"/>
      <c r="CX175" s="2032"/>
      <c r="CY175" s="2032"/>
      <c r="CZ175" s="2031"/>
      <c r="DA175" s="2031"/>
      <c r="DB175" s="2031"/>
      <c r="DC175" s="2031"/>
      <c r="DD175" s="2031"/>
      <c r="DE175" s="2031"/>
      <c r="DF175" s="2031"/>
      <c r="DG175" s="2031"/>
    </row>
    <row r="176" spans="16:111" s="2037" customFormat="1" hidden="1">
      <c r="P176" s="2031"/>
      <c r="Q176" s="2031"/>
      <c r="R176" s="2031"/>
      <c r="S176" s="2031"/>
      <c r="T176" s="2031"/>
      <c r="CW176" s="2031"/>
      <c r="CX176" s="2032"/>
      <c r="CY176" s="2032"/>
      <c r="CZ176" s="2031"/>
      <c r="DA176" s="2031"/>
      <c r="DB176" s="2031"/>
      <c r="DC176" s="2031"/>
      <c r="DD176" s="2031"/>
      <c r="DE176" s="2031"/>
      <c r="DF176" s="2031"/>
      <c r="DG176" s="2031"/>
    </row>
    <row r="177" spans="16:111" s="2037" customFormat="1" hidden="1">
      <c r="P177" s="2031"/>
      <c r="Q177" s="2031"/>
      <c r="R177" s="2031"/>
      <c r="S177" s="2031"/>
      <c r="T177" s="2031"/>
      <c r="CW177" s="2031"/>
      <c r="CX177" s="2032"/>
      <c r="CY177" s="2032"/>
      <c r="CZ177" s="2031"/>
      <c r="DA177" s="2031"/>
      <c r="DB177" s="2031"/>
      <c r="DC177" s="2031"/>
      <c r="DD177" s="2031"/>
      <c r="DE177" s="2031"/>
      <c r="DF177" s="2031"/>
      <c r="DG177" s="2031"/>
    </row>
    <row r="178" spans="16:111" s="2037" customFormat="1" hidden="1">
      <c r="P178" s="2031"/>
      <c r="Q178" s="2031"/>
      <c r="R178" s="2031"/>
      <c r="S178" s="2031"/>
      <c r="T178" s="2031"/>
      <c r="CW178" s="2031"/>
      <c r="CX178" s="2032"/>
      <c r="CY178" s="2032"/>
      <c r="CZ178" s="2031"/>
      <c r="DA178" s="2031"/>
      <c r="DB178" s="2031"/>
      <c r="DC178" s="2031"/>
      <c r="DD178" s="2031"/>
      <c r="DE178" s="2031"/>
      <c r="DF178" s="2031"/>
      <c r="DG178" s="2031"/>
    </row>
    <row r="179" spans="16:111" s="2037" customFormat="1" hidden="1">
      <c r="P179" s="2031"/>
      <c r="Q179" s="2031"/>
      <c r="R179" s="2031"/>
      <c r="S179" s="2031"/>
      <c r="T179" s="2031"/>
      <c r="CW179" s="2031"/>
      <c r="CX179" s="2032"/>
      <c r="CY179" s="2032"/>
      <c r="CZ179" s="2031"/>
      <c r="DA179" s="2031"/>
      <c r="DB179" s="2031"/>
      <c r="DC179" s="2031"/>
      <c r="DD179" s="2031"/>
      <c r="DE179" s="2031"/>
      <c r="DF179" s="2031"/>
      <c r="DG179" s="2031"/>
    </row>
    <row r="180" spans="16:111" s="2037" customFormat="1" hidden="1">
      <c r="P180" s="2031"/>
      <c r="Q180" s="2031"/>
      <c r="R180" s="2031"/>
      <c r="S180" s="2031"/>
      <c r="T180" s="2031"/>
      <c r="CW180" s="2031"/>
      <c r="CX180" s="2032"/>
      <c r="CY180" s="2032"/>
      <c r="CZ180" s="2031"/>
      <c r="DA180" s="2031"/>
      <c r="DB180" s="2031"/>
      <c r="DC180" s="2031"/>
      <c r="DD180" s="2031"/>
      <c r="DE180" s="2031"/>
      <c r="DF180" s="2031"/>
      <c r="DG180" s="2031"/>
    </row>
    <row r="181" spans="16:111" s="2037" customFormat="1" hidden="1">
      <c r="P181" s="2031"/>
      <c r="Q181" s="2031"/>
      <c r="R181" s="2031"/>
      <c r="S181" s="2031"/>
      <c r="T181" s="2031"/>
      <c r="CW181" s="2031"/>
      <c r="CX181" s="2032"/>
      <c r="CY181" s="2032"/>
      <c r="CZ181" s="2031"/>
      <c r="DA181" s="2031"/>
      <c r="DB181" s="2031"/>
      <c r="DC181" s="2031"/>
      <c r="DD181" s="2031"/>
      <c r="DE181" s="2031"/>
      <c r="DF181" s="2031"/>
      <c r="DG181" s="2031"/>
    </row>
    <row r="182" spans="16:111" s="2037" customFormat="1" hidden="1">
      <c r="P182" s="2031"/>
      <c r="Q182" s="2031"/>
      <c r="R182" s="2031"/>
      <c r="S182" s="2031"/>
      <c r="T182" s="2031"/>
      <c r="CW182" s="2031"/>
      <c r="CX182" s="2032"/>
      <c r="CY182" s="2032"/>
      <c r="CZ182" s="2031"/>
      <c r="DA182" s="2031"/>
      <c r="DB182" s="2031"/>
      <c r="DC182" s="2031"/>
      <c r="DD182" s="2031"/>
      <c r="DE182" s="2031"/>
      <c r="DF182" s="2031"/>
      <c r="DG182" s="2031"/>
    </row>
    <row r="183" spans="16:111" s="2037" customFormat="1" hidden="1">
      <c r="P183" s="2031"/>
      <c r="Q183" s="2031"/>
      <c r="R183" s="2031"/>
      <c r="S183" s="2031"/>
      <c r="T183" s="2031"/>
      <c r="CW183" s="2031"/>
      <c r="CX183" s="2032"/>
      <c r="CY183" s="2032"/>
      <c r="CZ183" s="2031"/>
      <c r="DA183" s="2031"/>
      <c r="DB183" s="2031"/>
      <c r="DC183" s="2031"/>
      <c r="DD183" s="2031"/>
      <c r="DE183" s="2031"/>
      <c r="DF183" s="2031"/>
      <c r="DG183" s="2031"/>
    </row>
    <row r="184" spans="16:111" s="2037" customFormat="1" hidden="1">
      <c r="P184" s="2031"/>
      <c r="Q184" s="2031"/>
      <c r="R184" s="2031"/>
      <c r="S184" s="2031"/>
      <c r="T184" s="2031"/>
      <c r="CW184" s="2031"/>
      <c r="CX184" s="2032"/>
      <c r="CY184" s="2032"/>
      <c r="CZ184" s="2031"/>
      <c r="DA184" s="2031"/>
      <c r="DB184" s="2031"/>
      <c r="DC184" s="2031"/>
      <c r="DD184" s="2031"/>
      <c r="DE184" s="2031"/>
      <c r="DF184" s="2031"/>
      <c r="DG184" s="2031"/>
    </row>
    <row r="185" spans="16:111" s="2037" customFormat="1" hidden="1">
      <c r="P185" s="2031"/>
      <c r="Q185" s="2031"/>
      <c r="R185" s="2031"/>
      <c r="S185" s="2031"/>
      <c r="T185" s="2031"/>
      <c r="CW185" s="2031"/>
      <c r="CX185" s="2032"/>
      <c r="CY185" s="2032"/>
      <c r="CZ185" s="2031"/>
      <c r="DA185" s="2031"/>
      <c r="DB185" s="2031"/>
      <c r="DC185" s="2031"/>
      <c r="DD185" s="2031"/>
      <c r="DE185" s="2031"/>
      <c r="DF185" s="2031"/>
      <c r="DG185" s="2031"/>
    </row>
    <row r="186" spans="16:111" s="2037" customFormat="1" hidden="1">
      <c r="P186" s="2031"/>
      <c r="Q186" s="2031"/>
      <c r="R186" s="2031"/>
      <c r="S186" s="2031"/>
      <c r="T186" s="2031"/>
      <c r="CW186" s="2031"/>
      <c r="CX186" s="2032"/>
      <c r="CY186" s="2032"/>
      <c r="CZ186" s="2031"/>
      <c r="DA186" s="2031"/>
      <c r="DB186" s="2031"/>
      <c r="DC186" s="2031"/>
      <c r="DD186" s="2031"/>
      <c r="DE186" s="2031"/>
      <c r="DF186" s="2031"/>
      <c r="DG186" s="2031"/>
    </row>
    <row r="187" spans="16:111" s="2037" customFormat="1" hidden="1">
      <c r="P187" s="2031"/>
      <c r="Q187" s="2031"/>
      <c r="R187" s="2031"/>
      <c r="S187" s="2031"/>
      <c r="T187" s="2031"/>
      <c r="CW187" s="2031"/>
      <c r="CX187" s="2032"/>
      <c r="CY187" s="2032"/>
      <c r="CZ187" s="2031"/>
      <c r="DA187" s="2031"/>
      <c r="DB187" s="2031"/>
      <c r="DC187" s="2031"/>
      <c r="DD187" s="2031"/>
      <c r="DE187" s="2031"/>
      <c r="DF187" s="2031"/>
      <c r="DG187" s="2031"/>
    </row>
    <row r="188" spans="16:111" s="2037" customFormat="1" hidden="1">
      <c r="P188" s="2031"/>
      <c r="Q188" s="2031"/>
      <c r="R188" s="2031"/>
      <c r="S188" s="2031"/>
      <c r="T188" s="2031"/>
      <c r="CW188" s="2031"/>
      <c r="CX188" s="2032"/>
      <c r="CY188" s="2032"/>
      <c r="CZ188" s="2031"/>
      <c r="DA188" s="2031"/>
      <c r="DB188" s="2031"/>
      <c r="DC188" s="2031"/>
      <c r="DD188" s="2031"/>
      <c r="DE188" s="2031"/>
      <c r="DF188" s="2031"/>
      <c r="DG188" s="2031"/>
    </row>
    <row r="189" spans="16:111" s="2037" customFormat="1" hidden="1">
      <c r="P189" s="2031"/>
      <c r="Q189" s="2031"/>
      <c r="R189" s="2031"/>
      <c r="S189" s="2031"/>
      <c r="T189" s="2031"/>
      <c r="CW189" s="2031"/>
      <c r="CX189" s="2032"/>
      <c r="CY189" s="2032"/>
      <c r="CZ189" s="2031"/>
      <c r="DA189" s="2031"/>
      <c r="DB189" s="2031"/>
      <c r="DC189" s="2031"/>
      <c r="DD189" s="2031"/>
      <c r="DE189" s="2031"/>
      <c r="DF189" s="2031"/>
      <c r="DG189" s="2031"/>
    </row>
    <row r="190" spans="16:111" s="2037" customFormat="1" hidden="1">
      <c r="P190" s="2031"/>
      <c r="Q190" s="2031"/>
      <c r="R190" s="2031"/>
      <c r="S190" s="2031"/>
      <c r="T190" s="2031"/>
      <c r="CW190" s="2031"/>
      <c r="CX190" s="2032"/>
      <c r="CY190" s="2032"/>
      <c r="CZ190" s="2031"/>
      <c r="DA190" s="2031"/>
      <c r="DB190" s="2031"/>
      <c r="DC190" s="2031"/>
      <c r="DD190" s="2031"/>
      <c r="DE190" s="2031"/>
      <c r="DF190" s="2031"/>
      <c r="DG190" s="2031"/>
    </row>
    <row r="191" spans="16:111" s="2037" customFormat="1" hidden="1">
      <c r="P191" s="2031"/>
      <c r="Q191" s="2031"/>
      <c r="R191" s="2031"/>
      <c r="S191" s="2031"/>
      <c r="T191" s="2031"/>
      <c r="CW191" s="2031"/>
      <c r="CX191" s="2032"/>
      <c r="CY191" s="2032"/>
      <c r="CZ191" s="2031"/>
      <c r="DA191" s="2031"/>
      <c r="DB191" s="2031"/>
      <c r="DC191" s="2031"/>
      <c r="DD191" s="2031"/>
      <c r="DE191" s="2031"/>
      <c r="DF191" s="2031"/>
      <c r="DG191" s="2031"/>
    </row>
    <row r="192" spans="16:111" s="2037" customFormat="1" hidden="1">
      <c r="P192" s="2031"/>
      <c r="Q192" s="2031"/>
      <c r="R192" s="2031"/>
      <c r="S192" s="2031"/>
      <c r="T192" s="2031"/>
      <c r="CW192" s="2031"/>
      <c r="CX192" s="2032"/>
      <c r="CY192" s="2032"/>
      <c r="CZ192" s="2031"/>
      <c r="DA192" s="2031"/>
      <c r="DB192" s="2031"/>
      <c r="DC192" s="2031"/>
      <c r="DD192" s="2031"/>
      <c r="DE192" s="2031"/>
      <c r="DF192" s="2031"/>
      <c r="DG192" s="2031"/>
    </row>
    <row r="193" spans="16:111" s="2037" customFormat="1" hidden="1">
      <c r="P193" s="2031"/>
      <c r="Q193" s="2031"/>
      <c r="R193" s="2031"/>
      <c r="S193" s="2031"/>
      <c r="T193" s="2031"/>
      <c r="CW193" s="2031"/>
      <c r="CX193" s="2032"/>
      <c r="CY193" s="2032"/>
      <c r="CZ193" s="2031"/>
      <c r="DA193" s="2031"/>
      <c r="DB193" s="2031"/>
      <c r="DC193" s="2031"/>
      <c r="DD193" s="2031"/>
      <c r="DE193" s="2031"/>
      <c r="DF193" s="2031"/>
      <c r="DG193" s="2031"/>
    </row>
    <row r="194" spans="16:111" s="2037" customFormat="1" hidden="1">
      <c r="P194" s="2031"/>
      <c r="Q194" s="2031"/>
      <c r="R194" s="2031"/>
      <c r="S194" s="2031"/>
      <c r="T194" s="2031"/>
      <c r="CW194" s="2031"/>
      <c r="CX194" s="2032"/>
      <c r="CY194" s="2032"/>
      <c r="CZ194" s="2031"/>
      <c r="DA194" s="2031"/>
      <c r="DB194" s="2031"/>
      <c r="DC194" s="2031"/>
      <c r="DD194" s="2031"/>
      <c r="DE194" s="2031"/>
      <c r="DF194" s="2031"/>
      <c r="DG194" s="2031"/>
    </row>
    <row r="195" spans="16:111" s="2037" customFormat="1" hidden="1">
      <c r="P195" s="2031"/>
      <c r="Q195" s="2031"/>
      <c r="R195" s="2031"/>
      <c r="S195" s="2031"/>
      <c r="T195" s="2031"/>
      <c r="CW195" s="2031"/>
      <c r="CX195" s="2032"/>
      <c r="CY195" s="2032"/>
      <c r="CZ195" s="2031"/>
      <c r="DA195" s="2031"/>
      <c r="DB195" s="2031"/>
      <c r="DC195" s="2031"/>
      <c r="DD195" s="2031"/>
      <c r="DE195" s="2031"/>
      <c r="DF195" s="2031"/>
      <c r="DG195" s="2031"/>
    </row>
    <row r="196" spans="16:111" s="2037" customFormat="1" hidden="1">
      <c r="P196" s="2031"/>
      <c r="Q196" s="2031"/>
      <c r="R196" s="2031"/>
      <c r="S196" s="2031"/>
      <c r="T196" s="2031"/>
      <c r="CW196" s="2031"/>
      <c r="CX196" s="2032"/>
      <c r="CY196" s="2032"/>
      <c r="CZ196" s="2031"/>
      <c r="DA196" s="2031"/>
      <c r="DB196" s="2031"/>
      <c r="DC196" s="2031"/>
      <c r="DD196" s="2031"/>
      <c r="DE196" s="2031"/>
      <c r="DF196" s="2031"/>
      <c r="DG196" s="2031"/>
    </row>
    <row r="197" spans="16:111" s="2037" customFormat="1" hidden="1">
      <c r="P197" s="2031"/>
      <c r="Q197" s="2031"/>
      <c r="R197" s="2031"/>
      <c r="S197" s="2031"/>
      <c r="T197" s="2031"/>
      <c r="CW197" s="2031"/>
      <c r="CX197" s="2032"/>
      <c r="CY197" s="2032"/>
      <c r="CZ197" s="2031"/>
      <c r="DA197" s="2031"/>
      <c r="DB197" s="2031"/>
      <c r="DC197" s="2031"/>
      <c r="DD197" s="2031"/>
      <c r="DE197" s="2031"/>
      <c r="DF197" s="2031"/>
      <c r="DG197" s="2031"/>
    </row>
    <row r="198" spans="16:111" s="2037" customFormat="1" hidden="1">
      <c r="P198" s="2031"/>
      <c r="Q198" s="2031"/>
      <c r="R198" s="2031"/>
      <c r="S198" s="2031"/>
      <c r="T198" s="2031"/>
      <c r="CW198" s="2031"/>
      <c r="CX198" s="2032"/>
      <c r="CY198" s="2032"/>
      <c r="CZ198" s="2031"/>
      <c r="DA198" s="2031"/>
      <c r="DB198" s="2031"/>
      <c r="DC198" s="2031"/>
      <c r="DD198" s="2031"/>
      <c r="DE198" s="2031"/>
      <c r="DF198" s="2031"/>
      <c r="DG198" s="2031"/>
    </row>
    <row r="199" spans="16:111" s="2037" customFormat="1" hidden="1">
      <c r="P199" s="2031"/>
      <c r="Q199" s="2031"/>
      <c r="R199" s="2031"/>
      <c r="S199" s="2031"/>
      <c r="T199" s="2031"/>
      <c r="CW199" s="2031"/>
      <c r="CX199" s="2032"/>
      <c r="CY199" s="2032"/>
      <c r="CZ199" s="2031"/>
      <c r="DA199" s="2031"/>
      <c r="DB199" s="2031"/>
      <c r="DC199" s="2031"/>
      <c r="DD199" s="2031"/>
      <c r="DE199" s="2031"/>
      <c r="DF199" s="2031"/>
      <c r="DG199" s="2031"/>
    </row>
    <row r="200" spans="16:111" s="2037" customFormat="1" hidden="1">
      <c r="P200" s="2031"/>
      <c r="Q200" s="2031"/>
      <c r="R200" s="2031"/>
      <c r="S200" s="2031"/>
      <c r="T200" s="2031"/>
      <c r="CW200" s="2031"/>
      <c r="CX200" s="2032"/>
      <c r="CY200" s="2032"/>
      <c r="CZ200" s="2031"/>
      <c r="DA200" s="2031"/>
      <c r="DB200" s="2031"/>
      <c r="DC200" s="2031"/>
      <c r="DD200" s="2031"/>
      <c r="DE200" s="2031"/>
      <c r="DF200" s="2031"/>
      <c r="DG200" s="2031"/>
    </row>
    <row r="201" spans="16:111" s="2037" customFormat="1" hidden="1">
      <c r="P201" s="2031"/>
      <c r="Q201" s="2031"/>
      <c r="R201" s="2031"/>
      <c r="S201" s="2031"/>
      <c r="T201" s="2031"/>
      <c r="CW201" s="2031"/>
      <c r="CX201" s="2032"/>
      <c r="CY201" s="2032"/>
      <c r="CZ201" s="2031"/>
      <c r="DA201" s="2031"/>
      <c r="DB201" s="2031"/>
      <c r="DC201" s="2031"/>
      <c r="DD201" s="2031"/>
      <c r="DE201" s="2031"/>
      <c r="DF201" s="2031"/>
      <c r="DG201" s="2031"/>
    </row>
    <row r="202" spans="16:111" s="2037" customFormat="1" hidden="1">
      <c r="P202" s="2031"/>
      <c r="Q202" s="2031"/>
      <c r="R202" s="2031"/>
      <c r="S202" s="2031"/>
      <c r="T202" s="2031"/>
      <c r="CW202" s="2031"/>
      <c r="CX202" s="2032"/>
      <c r="CY202" s="2032"/>
      <c r="CZ202" s="2031"/>
      <c r="DA202" s="2031"/>
      <c r="DB202" s="2031"/>
      <c r="DC202" s="2031"/>
      <c r="DD202" s="2031"/>
      <c r="DE202" s="2031"/>
      <c r="DF202" s="2031"/>
      <c r="DG202" s="2031"/>
    </row>
    <row r="203" spans="16:111" s="2037" customFormat="1" hidden="1">
      <c r="P203" s="2031"/>
      <c r="Q203" s="2031"/>
      <c r="R203" s="2031"/>
      <c r="S203" s="2031"/>
      <c r="T203" s="2031"/>
      <c r="CW203" s="2031"/>
      <c r="CX203" s="2032"/>
      <c r="CY203" s="2032"/>
      <c r="CZ203" s="2031"/>
      <c r="DA203" s="2031"/>
      <c r="DB203" s="2031"/>
      <c r="DC203" s="2031"/>
      <c r="DD203" s="2031"/>
      <c r="DE203" s="2031"/>
      <c r="DF203" s="2031"/>
      <c r="DG203" s="2031"/>
    </row>
    <row r="204" spans="16:111" s="2037" customFormat="1" hidden="1">
      <c r="P204" s="2031"/>
      <c r="Q204" s="2031"/>
      <c r="R204" s="2031"/>
      <c r="S204" s="2031"/>
      <c r="T204" s="2031"/>
      <c r="CW204" s="2031"/>
      <c r="CX204" s="2032"/>
      <c r="CY204" s="2032"/>
      <c r="CZ204" s="2031"/>
      <c r="DA204" s="2031"/>
      <c r="DB204" s="2031"/>
      <c r="DC204" s="2031"/>
      <c r="DD204" s="2031"/>
      <c r="DE204" s="2031"/>
      <c r="DF204" s="2031"/>
      <c r="DG204" s="2031"/>
    </row>
    <row r="205" spans="16:111" s="2037" customFormat="1" hidden="1">
      <c r="P205" s="2031"/>
      <c r="Q205" s="2031"/>
      <c r="R205" s="2031"/>
      <c r="S205" s="2031"/>
      <c r="T205" s="2031"/>
      <c r="CW205" s="2031"/>
      <c r="CX205" s="2032"/>
      <c r="CY205" s="2032"/>
      <c r="CZ205" s="2031"/>
      <c r="DA205" s="2031"/>
      <c r="DB205" s="2031"/>
      <c r="DC205" s="2031"/>
      <c r="DD205" s="2031"/>
      <c r="DE205" s="2031"/>
      <c r="DF205" s="2031"/>
      <c r="DG205" s="2031"/>
    </row>
    <row r="206" spans="16:111" s="2037" customFormat="1" hidden="1">
      <c r="P206" s="2031"/>
      <c r="Q206" s="2031"/>
      <c r="R206" s="2031"/>
      <c r="S206" s="2031"/>
      <c r="T206" s="2031"/>
      <c r="CW206" s="2031"/>
      <c r="CX206" s="2032"/>
      <c r="CY206" s="2032"/>
      <c r="CZ206" s="2031"/>
      <c r="DA206" s="2031"/>
      <c r="DB206" s="2031"/>
      <c r="DC206" s="2031"/>
      <c r="DD206" s="2031"/>
      <c r="DE206" s="2031"/>
      <c r="DF206" s="2031"/>
      <c r="DG206" s="2031"/>
    </row>
    <row r="207" spans="16:111" s="2037" customFormat="1" hidden="1">
      <c r="P207" s="2031"/>
      <c r="Q207" s="2031"/>
      <c r="R207" s="2031"/>
      <c r="S207" s="2031"/>
      <c r="T207" s="2031"/>
      <c r="CW207" s="2031"/>
      <c r="CX207" s="2032"/>
      <c r="CY207" s="2032"/>
      <c r="CZ207" s="2031"/>
      <c r="DA207" s="2031"/>
      <c r="DB207" s="2031"/>
      <c r="DC207" s="2031"/>
      <c r="DD207" s="2031"/>
      <c r="DE207" s="2031"/>
      <c r="DF207" s="2031"/>
      <c r="DG207" s="2031"/>
    </row>
    <row r="208" spans="16:111" s="2037" customFormat="1" hidden="1">
      <c r="P208" s="2031"/>
      <c r="Q208" s="2031"/>
      <c r="R208" s="2031"/>
      <c r="S208" s="2031"/>
      <c r="T208" s="2031"/>
      <c r="CW208" s="2031"/>
      <c r="CX208" s="2032"/>
      <c r="CY208" s="2032"/>
      <c r="CZ208" s="2031"/>
      <c r="DA208" s="2031"/>
      <c r="DB208" s="2031"/>
      <c r="DC208" s="2031"/>
      <c r="DD208" s="2031"/>
      <c r="DE208" s="2031"/>
      <c r="DF208" s="2031"/>
      <c r="DG208" s="2031"/>
    </row>
    <row r="209" spans="16:111" s="2037" customFormat="1" hidden="1">
      <c r="P209" s="2031"/>
      <c r="Q209" s="2031"/>
      <c r="R209" s="2031"/>
      <c r="S209" s="2031"/>
      <c r="T209" s="2031"/>
      <c r="CW209" s="2031"/>
      <c r="CX209" s="2032"/>
      <c r="CY209" s="2032"/>
      <c r="CZ209" s="2031"/>
      <c r="DA209" s="2031"/>
      <c r="DB209" s="2031"/>
      <c r="DC209" s="2031"/>
      <c r="DD209" s="2031"/>
      <c r="DE209" s="2031"/>
      <c r="DF209" s="2031"/>
      <c r="DG209" s="2031"/>
    </row>
    <row r="210" spans="16:111" s="2037" customFormat="1" hidden="1">
      <c r="P210" s="2031"/>
      <c r="Q210" s="2031"/>
      <c r="R210" s="2031"/>
      <c r="S210" s="2031"/>
      <c r="T210" s="2031"/>
      <c r="CW210" s="2031"/>
      <c r="CX210" s="2032"/>
      <c r="CY210" s="2032"/>
      <c r="CZ210" s="2031"/>
      <c r="DA210" s="2031"/>
      <c r="DB210" s="2031"/>
      <c r="DC210" s="2031"/>
      <c r="DD210" s="2031"/>
      <c r="DE210" s="2031"/>
      <c r="DF210" s="2031"/>
      <c r="DG210" s="2031"/>
    </row>
    <row r="211" spans="16:111" s="2037" customFormat="1" hidden="1">
      <c r="P211" s="2031"/>
      <c r="Q211" s="2031"/>
      <c r="R211" s="2031"/>
      <c r="S211" s="2031"/>
      <c r="T211" s="2031"/>
      <c r="CW211" s="2031"/>
      <c r="CX211" s="2032"/>
      <c r="CY211" s="2032"/>
      <c r="CZ211" s="2031"/>
      <c r="DA211" s="2031"/>
      <c r="DB211" s="2031"/>
      <c r="DC211" s="2031"/>
      <c r="DD211" s="2031"/>
      <c r="DE211" s="2031"/>
      <c r="DF211" s="2031"/>
      <c r="DG211" s="2031"/>
    </row>
    <row r="212" spans="16:111" s="2037" customFormat="1" hidden="1">
      <c r="P212" s="2031"/>
      <c r="Q212" s="2031"/>
      <c r="R212" s="2031"/>
      <c r="S212" s="2031"/>
      <c r="T212" s="2031"/>
      <c r="CW212" s="2031"/>
      <c r="CX212" s="2032"/>
      <c r="CY212" s="2032"/>
      <c r="CZ212" s="2031"/>
      <c r="DA212" s="2031"/>
      <c r="DB212" s="2031"/>
      <c r="DC212" s="2031"/>
      <c r="DD212" s="2031"/>
      <c r="DE212" s="2031"/>
      <c r="DF212" s="2031"/>
      <c r="DG212" s="2031"/>
    </row>
    <row r="213" spans="16:111" s="2037" customFormat="1" hidden="1">
      <c r="P213" s="2031"/>
      <c r="Q213" s="2031"/>
      <c r="R213" s="2031"/>
      <c r="S213" s="2031"/>
      <c r="T213" s="2031"/>
      <c r="CW213" s="2031"/>
      <c r="CX213" s="2032"/>
      <c r="CY213" s="2032"/>
      <c r="CZ213" s="2031"/>
      <c r="DA213" s="2031"/>
      <c r="DB213" s="2031"/>
      <c r="DC213" s="2031"/>
      <c r="DD213" s="2031"/>
      <c r="DE213" s="2031"/>
      <c r="DF213" s="2031"/>
      <c r="DG213" s="2031"/>
    </row>
    <row r="214" spans="16:111" s="2037" customFormat="1" hidden="1">
      <c r="P214" s="2031"/>
      <c r="Q214" s="2031"/>
      <c r="R214" s="2031"/>
      <c r="S214" s="2031"/>
      <c r="T214" s="2031"/>
      <c r="CW214" s="2031"/>
      <c r="CX214" s="2032"/>
      <c r="CY214" s="2032"/>
      <c r="CZ214" s="2031"/>
      <c r="DA214" s="2031"/>
      <c r="DB214" s="2031"/>
      <c r="DC214" s="2031"/>
      <c r="DD214" s="2031"/>
      <c r="DE214" s="2031"/>
      <c r="DF214" s="2031"/>
      <c r="DG214" s="2031"/>
    </row>
    <row r="215" spans="16:111" s="2037" customFormat="1" hidden="1">
      <c r="P215" s="2031"/>
      <c r="Q215" s="2031"/>
      <c r="R215" s="2031"/>
      <c r="S215" s="2031"/>
      <c r="T215" s="2031"/>
      <c r="CW215" s="2031"/>
      <c r="CX215" s="2032"/>
      <c r="CY215" s="2032"/>
      <c r="CZ215" s="2031"/>
      <c r="DA215" s="2031"/>
      <c r="DB215" s="2031"/>
      <c r="DC215" s="2031"/>
      <c r="DD215" s="2031"/>
      <c r="DE215" s="2031"/>
      <c r="DF215" s="2031"/>
      <c r="DG215" s="2031"/>
    </row>
    <row r="216" spans="16:111" s="2037" customFormat="1" hidden="1">
      <c r="P216" s="2031"/>
      <c r="Q216" s="2031"/>
      <c r="R216" s="2031"/>
      <c r="S216" s="2031"/>
      <c r="T216" s="2031"/>
      <c r="CW216" s="2031"/>
      <c r="CX216" s="2032"/>
      <c r="CY216" s="2032"/>
      <c r="CZ216" s="2031"/>
      <c r="DA216" s="2031"/>
      <c r="DB216" s="2031"/>
      <c r="DC216" s="2031"/>
      <c r="DD216" s="2031"/>
      <c r="DE216" s="2031"/>
      <c r="DF216" s="2031"/>
      <c r="DG216" s="2031"/>
    </row>
    <row r="217" spans="16:111" s="2037" customFormat="1" hidden="1">
      <c r="P217" s="2031"/>
      <c r="Q217" s="2031"/>
      <c r="R217" s="2031"/>
      <c r="S217" s="2031"/>
      <c r="T217" s="2031"/>
      <c r="CW217" s="2031"/>
      <c r="CX217" s="2032"/>
      <c r="CY217" s="2032"/>
      <c r="CZ217" s="2031"/>
      <c r="DA217" s="2031"/>
      <c r="DB217" s="2031"/>
      <c r="DC217" s="2031"/>
      <c r="DD217" s="2031"/>
      <c r="DE217" s="2031"/>
      <c r="DF217" s="2031"/>
      <c r="DG217" s="2031"/>
    </row>
    <row r="218" spans="16:111" s="2037" customFormat="1" hidden="1">
      <c r="P218" s="2031"/>
      <c r="Q218" s="2031"/>
      <c r="R218" s="2031"/>
      <c r="S218" s="2031"/>
      <c r="T218" s="2031"/>
      <c r="CW218" s="2031"/>
      <c r="CX218" s="2032"/>
      <c r="CY218" s="2032"/>
      <c r="CZ218" s="2031"/>
      <c r="DA218" s="2031"/>
      <c r="DB218" s="2031"/>
      <c r="DC218" s="2031"/>
      <c r="DD218" s="2031"/>
      <c r="DE218" s="2031"/>
      <c r="DF218" s="2031"/>
      <c r="DG218" s="2031"/>
    </row>
    <row r="219" spans="16:111" s="2037" customFormat="1" hidden="1">
      <c r="P219" s="2031"/>
      <c r="Q219" s="2031"/>
      <c r="R219" s="2031"/>
      <c r="S219" s="2031"/>
      <c r="T219" s="2031"/>
      <c r="CW219" s="2031"/>
      <c r="CX219" s="2032"/>
      <c r="CY219" s="2032"/>
      <c r="CZ219" s="2031"/>
      <c r="DA219" s="2031"/>
      <c r="DB219" s="2031"/>
      <c r="DC219" s="2031"/>
      <c r="DD219" s="2031"/>
      <c r="DE219" s="2031"/>
      <c r="DF219" s="2031"/>
      <c r="DG219" s="2031"/>
    </row>
    <row r="220" spans="16:111" s="2037" customFormat="1" hidden="1">
      <c r="P220" s="2031"/>
      <c r="Q220" s="2031"/>
      <c r="R220" s="2031"/>
      <c r="S220" s="2031"/>
      <c r="T220" s="2031"/>
      <c r="CW220" s="2031"/>
      <c r="CX220" s="2032"/>
      <c r="CY220" s="2032"/>
      <c r="CZ220" s="2031"/>
      <c r="DA220" s="2031"/>
      <c r="DB220" s="2031"/>
      <c r="DC220" s="2031"/>
      <c r="DD220" s="2031"/>
      <c r="DE220" s="2031"/>
      <c r="DF220" s="2031"/>
      <c r="DG220" s="2031"/>
    </row>
    <row r="221" spans="16:111" s="2037" customFormat="1" hidden="1">
      <c r="P221" s="2031"/>
      <c r="Q221" s="2031"/>
      <c r="R221" s="2031"/>
      <c r="S221" s="2031"/>
      <c r="T221" s="2031"/>
      <c r="CW221" s="2031"/>
      <c r="CX221" s="2032"/>
      <c r="CY221" s="2032"/>
      <c r="CZ221" s="2031"/>
      <c r="DA221" s="2031"/>
      <c r="DB221" s="2031"/>
      <c r="DC221" s="2031"/>
      <c r="DD221" s="2031"/>
      <c r="DE221" s="2031"/>
      <c r="DF221" s="2031"/>
      <c r="DG221" s="2031"/>
    </row>
    <row r="222" spans="16:111" s="2037" customFormat="1" hidden="1">
      <c r="P222" s="2031"/>
      <c r="Q222" s="2031"/>
      <c r="R222" s="2031"/>
      <c r="S222" s="2031"/>
      <c r="T222" s="2031"/>
      <c r="CW222" s="2031"/>
      <c r="CX222" s="2032"/>
      <c r="CY222" s="2032"/>
      <c r="CZ222" s="2031"/>
      <c r="DA222" s="2031"/>
      <c r="DB222" s="2031"/>
      <c r="DC222" s="2031"/>
      <c r="DD222" s="2031"/>
      <c r="DE222" s="2031"/>
      <c r="DF222" s="2031"/>
      <c r="DG222" s="2031"/>
    </row>
    <row r="223" spans="16:111" s="2037" customFormat="1" hidden="1">
      <c r="P223" s="2031"/>
      <c r="Q223" s="2031"/>
      <c r="R223" s="2031"/>
      <c r="S223" s="2031"/>
      <c r="T223" s="2031"/>
      <c r="CW223" s="2031"/>
      <c r="CX223" s="2032"/>
      <c r="CY223" s="2032"/>
      <c r="CZ223" s="2031"/>
      <c r="DA223" s="2031"/>
      <c r="DB223" s="2031"/>
      <c r="DC223" s="2031"/>
      <c r="DD223" s="2031"/>
      <c r="DE223" s="2031"/>
      <c r="DF223" s="2031"/>
      <c r="DG223" s="2031"/>
    </row>
    <row r="224" spans="16:111" s="2037" customFormat="1" hidden="1">
      <c r="P224" s="2031"/>
      <c r="Q224" s="2031"/>
      <c r="R224" s="2031"/>
      <c r="S224" s="2031"/>
      <c r="T224" s="2031"/>
      <c r="CW224" s="2031"/>
      <c r="CX224" s="2032"/>
      <c r="CY224" s="2032"/>
      <c r="CZ224" s="2031"/>
      <c r="DA224" s="2031"/>
      <c r="DB224" s="2031"/>
      <c r="DC224" s="2031"/>
      <c r="DD224" s="2031"/>
      <c r="DE224" s="2031"/>
      <c r="DF224" s="2031"/>
      <c r="DG224" s="2031"/>
    </row>
    <row r="225" spans="16:111" s="2037" customFormat="1" hidden="1">
      <c r="P225" s="2031"/>
      <c r="Q225" s="2031"/>
      <c r="R225" s="2031"/>
      <c r="S225" s="2031"/>
      <c r="T225" s="2031"/>
      <c r="CW225" s="2031"/>
      <c r="CX225" s="2032"/>
      <c r="CY225" s="2032"/>
      <c r="CZ225" s="2031"/>
      <c r="DA225" s="2031"/>
      <c r="DB225" s="2031"/>
      <c r="DC225" s="2031"/>
      <c r="DD225" s="2031"/>
      <c r="DE225" s="2031"/>
      <c r="DF225" s="2031"/>
      <c r="DG225" s="2031"/>
    </row>
    <row r="226" spans="16:111" s="2037" customFormat="1" hidden="1">
      <c r="P226" s="2031"/>
      <c r="Q226" s="2031"/>
      <c r="R226" s="2031"/>
      <c r="S226" s="2031"/>
      <c r="T226" s="2031"/>
      <c r="CW226" s="2031"/>
      <c r="CX226" s="2032"/>
      <c r="CY226" s="2032"/>
      <c r="CZ226" s="2031"/>
      <c r="DA226" s="2031"/>
      <c r="DB226" s="2031"/>
      <c r="DC226" s="2031"/>
      <c r="DD226" s="2031"/>
      <c r="DE226" s="2031"/>
      <c r="DF226" s="2031"/>
      <c r="DG226" s="2031"/>
    </row>
    <row r="227" spans="16:111" s="2037" customFormat="1" hidden="1">
      <c r="P227" s="2031"/>
      <c r="Q227" s="2031"/>
      <c r="R227" s="2031"/>
      <c r="S227" s="2031"/>
      <c r="T227" s="2031"/>
      <c r="CW227" s="2031"/>
      <c r="CX227" s="2032"/>
      <c r="CY227" s="2032"/>
      <c r="CZ227" s="2031"/>
      <c r="DA227" s="2031"/>
      <c r="DB227" s="2031"/>
      <c r="DC227" s="2031"/>
      <c r="DD227" s="2031"/>
      <c r="DE227" s="2031"/>
      <c r="DF227" s="2031"/>
      <c r="DG227" s="2031"/>
    </row>
    <row r="228" spans="16:111" s="2037" customFormat="1" hidden="1">
      <c r="P228" s="2031"/>
      <c r="Q228" s="2031"/>
      <c r="R228" s="2031"/>
      <c r="S228" s="2031"/>
      <c r="T228" s="2031"/>
      <c r="CW228" s="2031"/>
      <c r="CX228" s="2032"/>
      <c r="CY228" s="2032"/>
      <c r="CZ228" s="2031"/>
      <c r="DA228" s="2031"/>
      <c r="DB228" s="2031"/>
      <c r="DC228" s="2031"/>
      <c r="DD228" s="2031"/>
      <c r="DE228" s="2031"/>
      <c r="DF228" s="2031"/>
      <c r="DG228" s="2031"/>
    </row>
    <row r="229" spans="16:111" s="2037" customFormat="1" hidden="1">
      <c r="P229" s="2031"/>
      <c r="Q229" s="2031"/>
      <c r="R229" s="2031"/>
      <c r="S229" s="2031"/>
      <c r="T229" s="2031"/>
      <c r="CW229" s="2031"/>
      <c r="CX229" s="2032"/>
      <c r="CY229" s="2032"/>
      <c r="CZ229" s="2031"/>
      <c r="DA229" s="2031"/>
      <c r="DB229" s="2031"/>
      <c r="DC229" s="2031"/>
      <c r="DD229" s="2031"/>
      <c r="DE229" s="2031"/>
      <c r="DF229" s="2031"/>
      <c r="DG229" s="2031"/>
    </row>
    <row r="230" spans="16:111" s="2037" customFormat="1" hidden="1">
      <c r="P230" s="2031"/>
      <c r="Q230" s="2031"/>
      <c r="R230" s="2031"/>
      <c r="S230" s="2031"/>
      <c r="T230" s="2031"/>
      <c r="CW230" s="2031"/>
      <c r="CX230" s="2032"/>
      <c r="CY230" s="2032"/>
      <c r="CZ230" s="2031"/>
      <c r="DA230" s="2031"/>
      <c r="DB230" s="2031"/>
      <c r="DC230" s="2031"/>
      <c r="DD230" s="2031"/>
      <c r="DE230" s="2031"/>
      <c r="DF230" s="2031"/>
      <c r="DG230" s="2031"/>
    </row>
    <row r="231" spans="16:111" hidden="1"/>
    <row r="232" spans="16:111" hidden="1"/>
    <row r="233" spans="16:111" hidden="1"/>
    <row r="234" spans="16:111" hidden="1"/>
    <row r="235" spans="16:111" hidden="1"/>
    <row r="236" spans="16:111" hidden="1"/>
    <row r="237" spans="16:111" hidden="1"/>
    <row r="238" spans="16:111" hidden="1"/>
    <row r="239" spans="16:111" hidden="1"/>
    <row r="240" spans="16:111"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1000" spans="1:1">
      <c r="A1000" s="283">
        <v>110</v>
      </c>
    </row>
  </sheetData>
  <sheetProtection algorithmName="SHA-512" hashValue="OFqGO/j07Knf78Nhuwt548gtuJSUw40ykOdtLU+CZ+1Lj8NOlyMToRMN+9J64a7ZxKIGgHgJM/jQ1fPCO21V0g==" saltValue="h6+7QJh66HWG2oTEsJDZ4Q==" spinCount="100000" sheet="1" objects="1" scenarios="1"/>
  <mergeCells count="5">
    <mergeCell ref="D29:M29"/>
    <mergeCell ref="G2:K2"/>
    <mergeCell ref="Q16:R16"/>
    <mergeCell ref="Q19:R19"/>
    <mergeCell ref="Q20:R20"/>
  </mergeCells>
  <conditionalFormatting sqref="I4">
    <cfRule type="expression" dxfId="716" priority="1">
      <formula>IF($I$4="",0,1)</formula>
    </cfRule>
  </conditionalFormatting>
  <printOptions horizontalCentered="1" verticalCentered="1"/>
  <pageMargins left="0.9055118110236221" right="0.9055118110236221" top="0.98425196850393704" bottom="1.1811023622047245" header="0.70866141732283472" footer="0.31496062992125984"/>
  <pageSetup paperSize="9" scale="91" orientation="landscape" r:id="rId1"/>
  <headerFooter>
    <oddHeader>&amp;L&amp;G&amp;C&amp;20
Finanzplanung|Financial Planning&amp;R&amp;G</oddHeader>
    <oddFooter>&amp;L&amp;F / &amp;A&amp;CSeite &amp;P von &amp;N&amp;R2026 Juergen Erlewein</oddFooter>
  </headerFooter>
  <drawing r:id="rId2"/>
  <legacy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102DA7D7-91F5-4DA7-8C0F-49D14C90C04B}">
          <x14:formula1>
            <xm:f>Basisdaten!$B$4:$C$4</xm:f>
          </x14:formula1>
          <xm:sqref>I3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ED1000"/>
  <sheetViews>
    <sheetView showGridLines="0" zoomScale="70" zoomScaleNormal="70" workbookViewId="0">
      <selection activeCell="A2" sqref="A2"/>
    </sheetView>
  </sheetViews>
  <sheetFormatPr baseColWidth="10" defaultColWidth="11.44140625" defaultRowHeight="13.8"/>
  <cols>
    <col min="1" max="1" width="7" style="30" customWidth="1"/>
    <col min="2" max="2" width="1.88671875" style="37" customWidth="1"/>
    <col min="3" max="3" width="5.88671875" style="30" customWidth="1"/>
    <col min="4" max="4" width="86.109375" style="30" customWidth="1"/>
    <col min="5" max="17" width="14.6640625" style="178" customWidth="1"/>
    <col min="18" max="18" width="12.109375" style="49" customWidth="1"/>
    <col min="19" max="19" width="60.6640625" style="50" customWidth="1"/>
    <col min="20" max="20" width="11.44140625" style="1510" customWidth="1"/>
    <col min="21" max="26" width="11.44140625" style="50" customWidth="1"/>
    <col min="27" max="78" width="11.44140625" style="37" customWidth="1"/>
    <col min="79" max="89" width="11.44140625" style="37" hidden="1" customWidth="1"/>
    <col min="90" max="97" width="11.44140625" style="30" hidden="1" customWidth="1"/>
    <col min="98" max="98" width="44.5546875" style="30" hidden="1" customWidth="1"/>
    <col min="99" max="100" width="104.6640625" style="30" hidden="1" customWidth="1"/>
    <col min="101" max="101" width="97.6640625" style="30" hidden="1" customWidth="1"/>
    <col min="102" max="104" width="11.44140625" style="30" hidden="1" customWidth="1"/>
    <col min="105" max="115" width="11.44140625" style="30" customWidth="1"/>
    <col min="116" max="130" width="11.44140625" style="55" customWidth="1"/>
    <col min="131" max="156" width="11.44140625" style="30" customWidth="1"/>
    <col min="157" max="16384" width="11.44140625" style="30"/>
  </cols>
  <sheetData>
    <row r="1" spans="1:134" s="45" customFormat="1" ht="16.2" customHeight="1" thickBot="1">
      <c r="B1" s="37"/>
      <c r="C1" s="1619" t="s">
        <v>1028</v>
      </c>
      <c r="D1" s="241"/>
      <c r="E1" s="165"/>
      <c r="F1" s="165"/>
      <c r="G1" s="1109"/>
      <c r="H1" s="165"/>
      <c r="I1" s="165"/>
      <c r="J1" s="165"/>
      <c r="K1" s="165"/>
      <c r="L1" s="165"/>
      <c r="M1" s="224">
        <v>0</v>
      </c>
      <c r="N1" s="166">
        <v>0.5</v>
      </c>
      <c r="O1" s="223">
        <v>1</v>
      </c>
      <c r="P1" s="223">
        <v>2</v>
      </c>
      <c r="Q1" s="223">
        <v>3</v>
      </c>
      <c r="T1" s="1510"/>
      <c r="U1" s="85"/>
      <c r="V1" s="85"/>
      <c r="W1" s="85"/>
      <c r="X1" s="85"/>
      <c r="Y1" s="85"/>
      <c r="Z1" s="85"/>
      <c r="CU1" s="225" t="str">
        <f>IF(Basisdaten!$B$15=Basisdaten!$D$2,CV1,CW1)</f>
        <v>Aufgaben und/oder Kommentar</v>
      </c>
      <c r="CV1" s="74" t="s">
        <v>131</v>
      </c>
      <c r="CW1" s="42" t="s">
        <v>193</v>
      </c>
      <c r="CX1" s="30"/>
      <c r="CY1" s="30"/>
      <c r="CZ1" s="30"/>
      <c r="DA1" s="30"/>
      <c r="DB1" s="30"/>
      <c r="DC1" s="30"/>
      <c r="DD1" s="30"/>
      <c r="DE1" s="30"/>
      <c r="DF1" s="30"/>
      <c r="DG1" s="30"/>
      <c r="DH1" s="30"/>
      <c r="DI1" s="30"/>
      <c r="DJ1" s="30"/>
      <c r="DK1" s="30"/>
      <c r="DL1" s="55"/>
      <c r="DM1" s="55"/>
    </row>
    <row r="2" spans="1:134" s="48" customFormat="1" ht="20.399999999999999" thickBot="1">
      <c r="A2" s="336" t="s">
        <v>507</v>
      </c>
      <c r="B2" s="37"/>
      <c r="D2" s="974"/>
      <c r="E2" s="975"/>
      <c r="F2" s="976" t="str">
        <f>CU2</f>
        <v>Zahlungseingang</v>
      </c>
      <c r="G2" s="1470">
        <v>0</v>
      </c>
      <c r="H2" s="977" t="str">
        <f>CU3</f>
        <v>Monate nach Rechnungsstellung= Monat des Planumsatzes</v>
      </c>
      <c r="I2" s="95"/>
      <c r="J2" s="975"/>
      <c r="K2" s="975"/>
      <c r="L2" s="978"/>
      <c r="M2" s="95"/>
      <c r="T2" s="1510"/>
      <c r="U2" s="1497"/>
      <c r="V2" s="1497"/>
      <c r="W2" s="1497"/>
      <c r="X2" s="1497"/>
      <c r="Y2" s="1497"/>
      <c r="Z2" s="1497"/>
      <c r="CU2" s="225" t="str">
        <f>IF(Basisdaten!$B$15=Basisdaten!$D$2,CV2,CW2)</f>
        <v>Zahlungseingang</v>
      </c>
      <c r="CV2" s="225" t="s">
        <v>137</v>
      </c>
      <c r="CW2" s="71" t="s">
        <v>208</v>
      </c>
      <c r="CX2" s="30"/>
      <c r="CY2" s="30"/>
      <c r="CZ2" s="30"/>
      <c r="DA2" s="30"/>
      <c r="DB2" s="30"/>
      <c r="DC2" s="30"/>
      <c r="DD2" s="30"/>
      <c r="DE2" s="30"/>
      <c r="DF2" s="30"/>
      <c r="DG2" s="30"/>
      <c r="DH2" s="30"/>
      <c r="DI2" s="30"/>
      <c r="DJ2" s="30"/>
      <c r="DK2" s="30"/>
      <c r="DL2" s="55"/>
      <c r="DM2" s="55"/>
      <c r="DN2" s="100"/>
      <c r="DO2" s="100"/>
      <c r="DP2" s="100"/>
    </row>
    <row r="3" spans="1:134" s="60" customFormat="1" ht="17.399999999999999">
      <c r="B3" s="168"/>
      <c r="C3" s="1297"/>
      <c r="D3" s="1298"/>
      <c r="E3" s="1299"/>
      <c r="F3" s="1305"/>
      <c r="Q3" s="235"/>
      <c r="T3" s="1510"/>
      <c r="U3" s="1602"/>
      <c r="V3" s="1602"/>
      <c r="W3" s="1602"/>
      <c r="X3" s="1602"/>
      <c r="Y3" s="1602"/>
      <c r="Z3" s="1602"/>
      <c r="CU3" s="225" t="str">
        <f>IF(Basisdaten!$B$15=Basisdaten!$D$2,CV3,CW3)</f>
        <v>Monate nach Rechnungsstellung= Monat des Planumsatzes</v>
      </c>
      <c r="CV3" s="225" t="s">
        <v>802</v>
      </c>
      <c r="CW3" s="40" t="s">
        <v>803</v>
      </c>
    </row>
    <row r="4" spans="1:134" s="1114" customFormat="1" ht="24.6">
      <c r="B4" s="1110"/>
      <c r="C4" s="1367" t="str">
        <f ca="1">CU4</f>
        <v>6a-1 Liquidität in den Monaten des Jahres 2026</v>
      </c>
      <c r="D4" s="1117"/>
      <c r="E4" s="1309"/>
      <c r="F4" s="1881"/>
      <c r="G4" s="1309"/>
      <c r="H4" s="1420">
        <v>1</v>
      </c>
      <c r="I4" s="1421"/>
      <c r="J4" s="1310"/>
      <c r="K4" s="1310">
        <v>2</v>
      </c>
      <c r="L4" s="1421"/>
      <c r="M4" s="1310"/>
      <c r="N4" s="1310">
        <v>3</v>
      </c>
      <c r="O4" s="1421"/>
      <c r="P4" s="1310"/>
      <c r="Q4" s="1310">
        <v>4</v>
      </c>
      <c r="R4" s="1115"/>
      <c r="T4" s="1510"/>
      <c r="U4" s="1116"/>
      <c r="V4" s="1116"/>
      <c r="W4" s="1116"/>
      <c r="X4" s="1116"/>
      <c r="Y4" s="1116"/>
      <c r="Z4" s="1116"/>
      <c r="CU4" s="225" t="str">
        <f ca="1">IF(Basisdaten!$B$15=Basisdaten!$D$2,CV4,CW4)</f>
        <v>6a-1 Liquidität in den Monaten des Jahres 2026</v>
      </c>
      <c r="CV4" s="30" t="str">
        <f ca="1">"6a-1 Liquidität in den Monaten des Jahres "&amp;Basisdaten!$C$15</f>
        <v>6a-1 Liquidität in den Monaten des Jahres 2026</v>
      </c>
      <c r="CW4" s="71" t="str">
        <f ca="1">"6a-1 Liquidity in the months of year "&amp;Basisdaten!C15</f>
        <v>6a-1 Liquidity in the months of year 2026</v>
      </c>
      <c r="CX4" s="37"/>
      <c r="CY4" s="37"/>
      <c r="CZ4" s="1110"/>
      <c r="DA4" s="1110"/>
      <c r="DB4" s="1110"/>
      <c r="DC4" s="1110"/>
      <c r="DD4" s="1110"/>
      <c r="DE4" s="1110"/>
      <c r="DF4" s="1110"/>
      <c r="DG4" s="1110"/>
      <c r="DH4" s="1110"/>
      <c r="DI4" s="1110"/>
      <c r="DJ4" s="1110"/>
      <c r="DK4" s="1110"/>
      <c r="DL4" s="1113"/>
      <c r="DM4" s="1113"/>
      <c r="DN4" s="1113"/>
      <c r="DO4" s="1113"/>
      <c r="DP4" s="1113"/>
      <c r="DQ4" s="1113"/>
      <c r="DR4" s="1113"/>
      <c r="DS4" s="1113"/>
      <c r="DT4" s="1113"/>
      <c r="DU4" s="1113"/>
      <c r="DV4" s="1113"/>
      <c r="DW4" s="1113"/>
      <c r="DX4" s="1113"/>
      <c r="DY4" s="1113"/>
      <c r="DZ4" s="1113"/>
    </row>
    <row r="5" spans="1:134" s="36" customFormat="1">
      <c r="D5" s="267"/>
      <c r="E5" s="1310">
        <v>1</v>
      </c>
      <c r="F5" s="1310">
        <v>2</v>
      </c>
      <c r="G5" s="1310">
        <v>3</v>
      </c>
      <c r="H5" s="1310">
        <v>4</v>
      </c>
      <c r="I5" s="1310">
        <v>5</v>
      </c>
      <c r="J5" s="1310">
        <v>6</v>
      </c>
      <c r="K5" s="1310">
        <v>7</v>
      </c>
      <c r="L5" s="1310">
        <v>8</v>
      </c>
      <c r="M5" s="1310">
        <v>9</v>
      </c>
      <c r="N5" s="1310">
        <v>10</v>
      </c>
      <c r="O5" s="1419">
        <v>11</v>
      </c>
      <c r="P5" s="1310">
        <v>12</v>
      </c>
      <c r="Q5" s="1310">
        <v>13</v>
      </c>
      <c r="R5" s="49"/>
      <c r="T5" s="1510"/>
      <c r="U5" s="1603"/>
      <c r="V5" s="1603"/>
      <c r="W5" s="1603"/>
      <c r="X5" s="1603"/>
      <c r="Y5" s="1510"/>
      <c r="Z5" s="176"/>
      <c r="AB5" s="136"/>
      <c r="AC5" s="136"/>
      <c r="AD5" s="169"/>
      <c r="AE5" s="136"/>
      <c r="AF5" s="136"/>
      <c r="CU5" s="225" t="str">
        <f>IF(Basisdaten!$B$15=Basisdaten!$D$2,CV5,CW5)</f>
        <v>Monat Versatz</v>
      </c>
      <c r="CV5" s="225" t="s">
        <v>850</v>
      </c>
      <c r="CW5" s="37" t="s">
        <v>849</v>
      </c>
      <c r="CX5" s="37"/>
      <c r="CY5" s="37"/>
      <c r="CZ5" s="37"/>
      <c r="DA5" s="37"/>
      <c r="DB5" s="37"/>
      <c r="DC5" s="37"/>
      <c r="DD5" s="37"/>
      <c r="DE5" s="37"/>
      <c r="DF5" s="37"/>
      <c r="DG5" s="37"/>
      <c r="DH5" s="37"/>
      <c r="DI5" s="37"/>
      <c r="DJ5" s="37"/>
      <c r="DK5" s="37"/>
      <c r="DL5" s="45"/>
      <c r="DM5" s="45"/>
      <c r="DN5" s="45"/>
      <c r="DO5" s="45"/>
      <c r="DP5" s="45"/>
      <c r="DQ5" s="45"/>
      <c r="DR5" s="45"/>
      <c r="DS5" s="45"/>
      <c r="DT5" s="45"/>
      <c r="DU5" s="45"/>
      <c r="DV5" s="45"/>
      <c r="DW5" s="45"/>
      <c r="DX5" s="45"/>
      <c r="DY5" s="45"/>
      <c r="DZ5" s="45"/>
      <c r="EA5" s="37"/>
      <c r="EB5" s="37"/>
      <c r="EC5" s="37"/>
      <c r="ED5" s="37"/>
    </row>
    <row r="6" spans="1:134" ht="16.8" customHeight="1" thickBot="1">
      <c r="C6" s="342" t="s">
        <v>202</v>
      </c>
      <c r="D6" s="342" t="str">
        <f>CU6</f>
        <v>Einzahlungen/Auszahlungen (MwSt-Satz s. Tab.2 und Tab.4)</v>
      </c>
      <c r="E6" s="342" t="str">
        <f>Basisdaten!E8</f>
        <v>Jan.</v>
      </c>
      <c r="F6" s="342" t="str">
        <f>Basisdaten!F8</f>
        <v>Feb</v>
      </c>
      <c r="G6" s="342" t="str">
        <f>Basisdaten!G8</f>
        <v>Mrz</v>
      </c>
      <c r="H6" s="342" t="str">
        <f>Basisdaten!H8</f>
        <v>Apr</v>
      </c>
      <c r="I6" s="342" t="str">
        <f>Basisdaten!I8</f>
        <v>Mai</v>
      </c>
      <c r="J6" s="342" t="str">
        <f>Basisdaten!J8</f>
        <v>Jun</v>
      </c>
      <c r="K6" s="342" t="str">
        <f>Basisdaten!K8</f>
        <v>Jul</v>
      </c>
      <c r="L6" s="342" t="str">
        <f>Basisdaten!L8</f>
        <v>Aug</v>
      </c>
      <c r="M6" s="342" t="str">
        <f>Basisdaten!M8</f>
        <v>Sep</v>
      </c>
      <c r="N6" s="342" t="str">
        <f>Basisdaten!N8</f>
        <v>Okt</v>
      </c>
      <c r="O6" s="342" t="str">
        <f>Basisdaten!O8</f>
        <v>Nov</v>
      </c>
      <c r="P6" s="342" t="str">
        <f>Basisdaten!P8</f>
        <v>Dez</v>
      </c>
      <c r="Q6" s="342">
        <f ca="1">Basisdaten!C15</f>
        <v>2026</v>
      </c>
      <c r="R6" s="1463"/>
      <c r="S6" s="342" t="str">
        <f>CU1</f>
        <v>Aufgaben und/oder Kommentar</v>
      </c>
      <c r="CU6" s="225" t="str">
        <f>IF(Basisdaten!$B$15=Basisdaten!$D$2,CV6,CW6)</f>
        <v>Einzahlungen/Auszahlungen (MwSt-Satz s. Tab.2 und Tab.4)</v>
      </c>
      <c r="CV6" s="30" t="s">
        <v>109</v>
      </c>
      <c r="CW6" s="71" t="s">
        <v>405</v>
      </c>
    </row>
    <row r="7" spans="1:134" ht="15" customHeight="1">
      <c r="C7" s="1098">
        <v>1</v>
      </c>
      <c r="D7" s="379" t="str">
        <f>CU7</f>
        <v>Konto / flüss. Mittel / Liquiditätssaldo</v>
      </c>
      <c r="E7" s="252"/>
      <c r="F7" s="252">
        <f>E34</f>
        <v>0</v>
      </c>
      <c r="G7" s="252">
        <f t="shared" ref="G7:P7" si="0">F34</f>
        <v>0</v>
      </c>
      <c r="H7" s="252">
        <f t="shared" si="0"/>
        <v>0</v>
      </c>
      <c r="I7" s="263">
        <f t="shared" si="0"/>
        <v>0</v>
      </c>
      <c r="J7" s="263">
        <f t="shared" si="0"/>
        <v>0</v>
      </c>
      <c r="K7" s="263">
        <f t="shared" si="0"/>
        <v>0</v>
      </c>
      <c r="L7" s="252">
        <f t="shared" si="0"/>
        <v>0</v>
      </c>
      <c r="M7" s="252">
        <f t="shared" si="0"/>
        <v>0</v>
      </c>
      <c r="N7" s="252">
        <f t="shared" si="0"/>
        <v>0</v>
      </c>
      <c r="O7" s="252">
        <f t="shared" si="0"/>
        <v>0</v>
      </c>
      <c r="P7" s="262">
        <f t="shared" si="0"/>
        <v>0</v>
      </c>
      <c r="Q7" s="880">
        <f>P7</f>
        <v>0</v>
      </c>
      <c r="S7" s="37"/>
      <c r="CU7" s="225" t="str">
        <f>IF(Basisdaten!$B$15=Basisdaten!$D$2,CV7,CW7)</f>
        <v>Konto / flüss. Mittel / Liquiditätssaldo</v>
      </c>
      <c r="CV7" s="226" t="s">
        <v>58</v>
      </c>
      <c r="CW7" s="71" t="s">
        <v>209</v>
      </c>
    </row>
    <row r="8" spans="1:134" ht="15" customHeight="1">
      <c r="C8" s="1098"/>
      <c r="D8" s="843" t="str">
        <f>CU8</f>
        <v>Startguthaben (Eigenkapital und -leistung und Beteiligungen aus Tab. 7a)</v>
      </c>
      <c r="E8" s="252">
        <f>IF('8 Kapital|Capital'!$F$8=E5,'8 Kapital|Capital'!$E$8,0)+IF('8 Kapital|Capital'!$F$8=E5,'8 Kapital|Capital'!$G$9,0)+IF('8 Kapital|Capital'!$F$10=E5,'8 Kapital|Capital'!$E$10,0)</f>
        <v>0</v>
      </c>
      <c r="F8" s="252">
        <f>IF('8 Kapital|Capital'!$F$8=F5,'8 Kapital|Capital'!$E$8,0)+IF('8 Kapital|Capital'!$F$8=F5,'8 Kapital|Capital'!$G$9,0)+IF('8 Kapital|Capital'!$F$10=F5,'8 Kapital|Capital'!$E$10,0)</f>
        <v>0</v>
      </c>
      <c r="G8" s="252">
        <f>IF('8 Kapital|Capital'!$F$8=G5,'8 Kapital|Capital'!$E$8,0)+IF('8 Kapital|Capital'!$F$8=G5,'8 Kapital|Capital'!$G$9,0)+IF('8 Kapital|Capital'!$F$10=G5,'8 Kapital|Capital'!$E$10,0)</f>
        <v>0</v>
      </c>
      <c r="H8" s="252">
        <f>IF('8 Kapital|Capital'!$F$8=H5,'8 Kapital|Capital'!$E$8,0)+IF('8 Kapital|Capital'!$F$8=H5,'8 Kapital|Capital'!$G$9,0)+IF('8 Kapital|Capital'!$F$10=H5,'8 Kapital|Capital'!$E$10,0)</f>
        <v>0</v>
      </c>
      <c r="I8" s="252">
        <f>IF('8 Kapital|Capital'!$F$8=I5,'8 Kapital|Capital'!$E$8,0)+IF('8 Kapital|Capital'!$F$8=I5,'8 Kapital|Capital'!$G$9,0)+IF('8 Kapital|Capital'!$F$10=I5,'8 Kapital|Capital'!$E$10,0)</f>
        <v>0</v>
      </c>
      <c r="J8" s="252">
        <f>IF('8 Kapital|Capital'!$F$8=J5,'8 Kapital|Capital'!$E$8,0)+IF('8 Kapital|Capital'!$F$8=J5,'8 Kapital|Capital'!$G$9,0)+IF('8 Kapital|Capital'!$F$10=J5,'8 Kapital|Capital'!$E$10,0)</f>
        <v>0</v>
      </c>
      <c r="K8" s="252">
        <f>IF('8 Kapital|Capital'!$F$8=K5,'8 Kapital|Capital'!$E$8,0)+IF('8 Kapital|Capital'!$F$8=K5,'8 Kapital|Capital'!$G$9,0)+IF('8 Kapital|Capital'!$F$10=K5,'8 Kapital|Capital'!$E$10,0)</f>
        <v>0</v>
      </c>
      <c r="L8" s="252">
        <f>IF('8 Kapital|Capital'!$F$8=L5,'8 Kapital|Capital'!$E$8,0)+IF('8 Kapital|Capital'!$F$8=L5,'8 Kapital|Capital'!$G$9,0)+IF('8 Kapital|Capital'!$F$10=L5,'8 Kapital|Capital'!$E$10,0)</f>
        <v>0</v>
      </c>
      <c r="M8" s="252">
        <f>IF('8 Kapital|Capital'!$F$8=M5,'8 Kapital|Capital'!$E$8,0)+IF('8 Kapital|Capital'!$F$8=M5,'8 Kapital|Capital'!$G$9,0)+IF('8 Kapital|Capital'!$F$10=M5,'8 Kapital|Capital'!$E$10,0)</f>
        <v>0</v>
      </c>
      <c r="N8" s="252">
        <f>IF('8 Kapital|Capital'!$F$8=N5,'8 Kapital|Capital'!$E$8,0)+IF('8 Kapital|Capital'!$F$8=N5,'8 Kapital|Capital'!$G$9,0)+IF('8 Kapital|Capital'!$F$10=N5,'8 Kapital|Capital'!$E$10,0)</f>
        <v>0</v>
      </c>
      <c r="O8" s="252">
        <f>IF('8 Kapital|Capital'!$F$8=O5,'8 Kapital|Capital'!$E$8,0)+IF('8 Kapital|Capital'!$F$8=O5,'8 Kapital|Capital'!$G$9,0)+IF('8 Kapital|Capital'!$F$10=O5,'8 Kapital|Capital'!$E$10,0)</f>
        <v>0</v>
      </c>
      <c r="P8" s="252">
        <f>IF('8 Kapital|Capital'!$F$8=P5,'8 Kapital|Capital'!$E$8,0)+IF('8 Kapital|Capital'!$F$8=P5,'8 Kapital|Capital'!$G$9,0)+IF('8 Kapital|Capital'!$F$10=P5,'8 Kapital|Capital'!$E$10,0)</f>
        <v>0</v>
      </c>
      <c r="Q8" s="252">
        <f>SUM(E8:P8)</f>
        <v>0</v>
      </c>
      <c r="S8" s="37"/>
      <c r="CU8" s="225" t="str">
        <f>IF(Basisdaten!$B$15=Basisdaten!$D$2,CV8,CW8)</f>
        <v>Startguthaben (Eigenkapital und -leistung und Beteiligungen aus Tab. 7a)</v>
      </c>
      <c r="CV8" s="226" t="s">
        <v>432</v>
      </c>
      <c r="CW8" s="71" t="s">
        <v>433</v>
      </c>
    </row>
    <row r="9" spans="1:134" ht="15" customHeight="1">
      <c r="C9" s="1165">
        <v>2</v>
      </c>
      <c r="D9" s="1434" t="str">
        <f t="shared" ref="D9:D34" si="1">CU9</f>
        <v>Einnahmen / Einzahlungen</v>
      </c>
      <c r="E9" s="1167"/>
      <c r="F9" s="1167"/>
      <c r="G9" s="1167"/>
      <c r="H9" s="1167"/>
      <c r="I9" s="1167"/>
      <c r="J9" s="1167"/>
      <c r="K9" s="1167"/>
      <c r="L9" s="1167"/>
      <c r="M9" s="1167"/>
      <c r="N9" s="1167"/>
      <c r="O9" s="1167"/>
      <c r="P9" s="1167"/>
      <c r="Q9" s="1167"/>
      <c r="S9" s="37"/>
      <c r="CU9" s="225" t="str">
        <f>IF(Basisdaten!$B$15=Basisdaten!$D$2,CV9,CW9)</f>
        <v>Einnahmen / Einzahlungen</v>
      </c>
      <c r="CV9" s="226" t="s">
        <v>41</v>
      </c>
      <c r="CW9" s="71" t="s">
        <v>210</v>
      </c>
    </row>
    <row r="10" spans="1:134" ht="15" customHeight="1">
      <c r="C10" s="1108"/>
      <c r="D10" s="843" t="str">
        <f t="shared" si="1"/>
        <v>Umsatzerlöse (ohne MwSt) (aus Tab 2a-1)</v>
      </c>
      <c r="E10" s="252">
        <f>'2 Umsatz|Sales'!H$31</f>
        <v>0</v>
      </c>
      <c r="F10" s="252">
        <f>'2 Umsatz|Sales'!I$31</f>
        <v>0</v>
      </c>
      <c r="G10" s="252">
        <f>'2 Umsatz|Sales'!J$31</f>
        <v>0</v>
      </c>
      <c r="H10" s="252">
        <f>'2 Umsatz|Sales'!K$31</f>
        <v>0</v>
      </c>
      <c r="I10" s="252">
        <f>'2 Umsatz|Sales'!L$31</f>
        <v>0</v>
      </c>
      <c r="J10" s="252">
        <f>'2 Umsatz|Sales'!M$31</f>
        <v>0</v>
      </c>
      <c r="K10" s="252">
        <f>'2 Umsatz|Sales'!N$31</f>
        <v>0</v>
      </c>
      <c r="L10" s="252">
        <f>'2 Umsatz|Sales'!O$31</f>
        <v>0</v>
      </c>
      <c r="M10" s="252">
        <f>'2 Umsatz|Sales'!P$31</f>
        <v>0</v>
      </c>
      <c r="N10" s="252">
        <f>'2 Umsatz|Sales'!Q$31</f>
        <v>0</v>
      </c>
      <c r="O10" s="252">
        <f>'2 Umsatz|Sales'!R$31</f>
        <v>0</v>
      </c>
      <c r="P10" s="252">
        <f>'2 Umsatz|Sales'!S$31</f>
        <v>0</v>
      </c>
      <c r="Q10" s="252">
        <f>SUM(E10:P10)</f>
        <v>0</v>
      </c>
      <c r="S10" s="37"/>
      <c r="CU10" s="225" t="str">
        <f>IF(Basisdaten!$B$15=Basisdaten!$D$2,CV10,CW10)</f>
        <v>Umsatzerlöse (ohne MwSt) (aus Tab 2a-1)</v>
      </c>
      <c r="CV10" s="30" t="str">
        <f>"Umsatzerlöse"&amp;Basisdaten!L15&amp; "(aus Tab 2a-1)"</f>
        <v>Umsatzerlöse (ohne MwSt) (aus Tab 2a-1)</v>
      </c>
      <c r="CW10" s="30" t="str">
        <f>"Sales"&amp;Basisdaten!$L$15&amp; "(from tab 2a)"</f>
        <v>Sales (ohne MwSt) (from tab 2a)</v>
      </c>
    </row>
    <row r="11" spans="1:134" ht="15" customHeight="1">
      <c r="C11" s="1108"/>
      <c r="D11" s="843" t="str">
        <f>CU11</f>
        <v>steuerpflichtig</v>
      </c>
      <c r="E11" s="252">
        <f>'2 Umsatz|Sales'!H143</f>
        <v>0</v>
      </c>
      <c r="F11" s="252">
        <f>'2 Umsatz|Sales'!I143</f>
        <v>0</v>
      </c>
      <c r="G11" s="252">
        <f>'2 Umsatz|Sales'!J143</f>
        <v>0</v>
      </c>
      <c r="H11" s="252">
        <f>'2 Umsatz|Sales'!K143</f>
        <v>0</v>
      </c>
      <c r="I11" s="252">
        <f>'2 Umsatz|Sales'!L143</f>
        <v>0</v>
      </c>
      <c r="J11" s="252">
        <f>'2 Umsatz|Sales'!M143</f>
        <v>0</v>
      </c>
      <c r="K11" s="252">
        <f>'2 Umsatz|Sales'!N143</f>
        <v>0</v>
      </c>
      <c r="L11" s="252">
        <f>'2 Umsatz|Sales'!O143</f>
        <v>0</v>
      </c>
      <c r="M11" s="252">
        <f>'2 Umsatz|Sales'!P143</f>
        <v>0</v>
      </c>
      <c r="N11" s="252">
        <f>'2 Umsatz|Sales'!Q143</f>
        <v>0</v>
      </c>
      <c r="O11" s="252">
        <f>'2 Umsatz|Sales'!R143</f>
        <v>0</v>
      </c>
      <c r="P11" s="252">
        <f>'2 Umsatz|Sales'!S143</f>
        <v>0</v>
      </c>
      <c r="Q11" s="252">
        <f>SUM(E11:P11)</f>
        <v>0</v>
      </c>
      <c r="S11" s="37"/>
      <c r="CU11" s="225" t="str">
        <f>IF(Basisdaten!$B$15=Basisdaten!$D$2,CV11,CW11)</f>
        <v>steuerpflichtig</v>
      </c>
      <c r="CV11" s="30" t="str">
        <f>IF('0 Daten|Data'!H7="",Basisdaten!U22,IF(Basisdaten!O51=0,Basisdaten!$U$34,"Rechnung gestellte MwSt auf Umsatzerlöse (s.Tab 2.1.1)"))</f>
        <v>steuerpflichtig</v>
      </c>
      <c r="CW11" s="71" t="str">
        <f>IF(Basisdaten!O51=0,Basisdaten!$U$34,"Charged  VAT for sales ( tab 2.1.1)")</f>
        <v>Charged  VAT for sales ( tab 2.1.1)</v>
      </c>
    </row>
    <row r="12" spans="1:134" ht="15" customHeight="1">
      <c r="C12" s="1108"/>
      <c r="D12" s="252" t="str">
        <f>CU12</f>
        <v>Eingegangene Zahlungen aus Umsätzen</v>
      </c>
      <c r="E12" s="252">
        <f>IF($G$2=0,'2 Umsatz|Sales'!H$31+'2 Umsatz|Sales'!H$143,IF($G$2=0.5,'2 Umsatz|Sales'!H$31+'2 Umsatz|Sales'!H$143/2,0))</f>
        <v>0</v>
      </c>
      <c r="F12" s="252">
        <f>IF($G$2=0,'2 Umsatz|Sales'!I$30+'2 Umsatz|Sales'!I$143,IF($G$2=0.5,'2 Umsatz|Sales'!H$31/2+'2 Umsatz|Sales'!I$31/2,IF($G$2=1,'2 Umsatz|Sales'!H$31+'2 Umsatz|Sales'!$I$143,0)))</f>
        <v>0</v>
      </c>
      <c r="G12" s="252">
        <f>IF($G$2=0,'2 Umsatz|Sales'!J$31+'2 Umsatz|Sales'!$J$143,IF($G$2=0.5,'2 Umsatz|Sales'!I$31/2+'2 Umsatz|Sales'!$I$143+'2 Umsatz|Sales'!J$31/2+'2 Umsatz|Sales'!$J$143,IF($G$2=1,'2 Umsatz|Sales'!I$31+'2 Umsatz|Sales'!$J$143,IF($G$2=2,'2 Umsatz|Sales'!H$31+'2 Umsatz|Sales'!$H$143,0))))</f>
        <v>0</v>
      </c>
      <c r="H12" s="252">
        <f>IF($G$2=0,'2 Umsatz|Sales'!K31+'2 Umsatz|Sales'!K143,IF($G$2=0.5,'2 Umsatz|Sales'!J31/2+'2 Umsatz|Sales'!J143/2+'2 Umsatz|Sales'!K31/2+'2 Umsatz|Sales'!K143/2,IF($G$2=1,'2 Umsatz|Sales'!J31+'2 Umsatz|Sales'!J143,IF($G$2=2,'2 Umsatz|Sales'!I31+'2 Umsatz|Sales'!I143,IF($G$2=3,'2 Umsatz|Sales'!H31+'2 Umsatz|Sales'!H143,0)))))</f>
        <v>0</v>
      </c>
      <c r="I12" s="252">
        <f>IF($G$2=0,'2 Umsatz|Sales'!L31+'2 Umsatz|Sales'!L143,IF($G$2=0.5,'2 Umsatz|Sales'!K31/2+'2 Umsatz|Sales'!K143/2+'2 Umsatz|Sales'!L31/2+'2 Umsatz|Sales'!L143/2,IF($G$2=1,'2 Umsatz|Sales'!K31+'2 Umsatz|Sales'!K143,IF($G$2=2,'2 Umsatz|Sales'!J31+'2 Umsatz|Sales'!J143,IF($G$2=3,'2 Umsatz|Sales'!I31+'2 Umsatz|Sales'!I143,0)))))</f>
        <v>0</v>
      </c>
      <c r="J12" s="252">
        <f>IF($G$2=0,'2 Umsatz|Sales'!M31+'2 Umsatz|Sales'!M143,IF($G$2=0.5,'2 Umsatz|Sales'!L31/2+'2 Umsatz|Sales'!L143/2+'2 Umsatz|Sales'!M31/2+'2 Umsatz|Sales'!M143/2,IF($G$2=1,'2 Umsatz|Sales'!L31+'2 Umsatz|Sales'!L143,IF($G$2=2,'2 Umsatz|Sales'!K31+'2 Umsatz|Sales'!K143,IF($G$2=3,'2 Umsatz|Sales'!J31+'2 Umsatz|Sales'!J143,0)))))</f>
        <v>0</v>
      </c>
      <c r="K12" s="252">
        <f>IF($G$2=0,'2 Umsatz|Sales'!N31+'2 Umsatz|Sales'!N143,IF($G$2=0.5,'2 Umsatz|Sales'!M31/2+'2 Umsatz|Sales'!M143/2+'2 Umsatz|Sales'!N31/2+'2 Umsatz|Sales'!N143/2,IF($G$2=1,'2 Umsatz|Sales'!M31+'2 Umsatz|Sales'!M143,IF($G$2=2,'2 Umsatz|Sales'!L31+'2 Umsatz|Sales'!L143,IF($G$2=3,'2 Umsatz|Sales'!K31+'2 Umsatz|Sales'!K143,0)))))</f>
        <v>0</v>
      </c>
      <c r="L12" s="252">
        <f>IF($G$2=0,'2 Umsatz|Sales'!O31+'2 Umsatz|Sales'!O143,IF($G$2=0.5,'2 Umsatz|Sales'!N31/2+'2 Umsatz|Sales'!N143/2+'2 Umsatz|Sales'!O31/2+'2 Umsatz|Sales'!O143/2,IF($G$2=1,'2 Umsatz|Sales'!N31+'2 Umsatz|Sales'!N143,IF($G$2=2,'2 Umsatz|Sales'!M31+'2 Umsatz|Sales'!M143,IF($G$2=3,'2 Umsatz|Sales'!L31+'2 Umsatz|Sales'!L143,0)))))</f>
        <v>0</v>
      </c>
      <c r="M12" s="252">
        <f>IF($G$2=0,'2 Umsatz|Sales'!P31+'2 Umsatz|Sales'!P143,IF($G$2=0.5,'2 Umsatz|Sales'!O31/2+'2 Umsatz|Sales'!O143/2+'2 Umsatz|Sales'!P31/2+'2 Umsatz|Sales'!P143/2,IF($G$2=1,'2 Umsatz|Sales'!O31+'2 Umsatz|Sales'!O143,IF($G$2=2,'2 Umsatz|Sales'!N31+'2 Umsatz|Sales'!N143,IF($G$2=3,'2 Umsatz|Sales'!M31+'2 Umsatz|Sales'!M143,0)))))</f>
        <v>0</v>
      </c>
      <c r="N12" s="252">
        <f>IF($G$2=0,'2 Umsatz|Sales'!Q31+'2 Umsatz|Sales'!Q143,IF($G$2=0.5,'2 Umsatz|Sales'!P31/2+'2 Umsatz|Sales'!P143/2+'2 Umsatz|Sales'!Q31/2+'2 Umsatz|Sales'!Q143/2,IF($G$2=1,'2 Umsatz|Sales'!P31+'2 Umsatz|Sales'!P143,IF($G$2=2,'2 Umsatz|Sales'!O31+'2 Umsatz|Sales'!O143,IF($G$2=3,'2 Umsatz|Sales'!N31+'2 Umsatz|Sales'!N143,0)))))</f>
        <v>0</v>
      </c>
      <c r="O12" s="252">
        <f>IF($G$2=0,'2 Umsatz|Sales'!R31+'2 Umsatz|Sales'!R143,IF($G$2=0.5,'2 Umsatz|Sales'!Q31/2+'2 Umsatz|Sales'!Q143/2+'2 Umsatz|Sales'!R31/2+'2 Umsatz|Sales'!R143/2,IF($G$2=1,'2 Umsatz|Sales'!Q31+'2 Umsatz|Sales'!Q143,IF($G$2=2,'2 Umsatz|Sales'!P31+'2 Umsatz|Sales'!P143,IF($G$2=3,'2 Umsatz|Sales'!O31+'2 Umsatz|Sales'!O143,0)))))</f>
        <v>0</v>
      </c>
      <c r="P12" s="252">
        <f>IF($G$2=0,'2 Umsatz|Sales'!S31+'2 Umsatz|Sales'!S143,IF($G$2=0.5,'2 Umsatz|Sales'!R31/2+'2 Umsatz|Sales'!R143/2+'2 Umsatz|Sales'!S31/2+'2 Umsatz|Sales'!S143/2,IF($G$2=1,'2 Umsatz|Sales'!R31+'2 Umsatz|Sales'!R143,IF($G$2=2,'2 Umsatz|Sales'!Q31+'2 Umsatz|Sales'!Q143,IF($G$2=3,'2 Umsatz|Sales'!P31+'2 Umsatz|Sales'!P143,0)))))</f>
        <v>0</v>
      </c>
      <c r="Q12" s="252">
        <f>SUM(E12:P12)</f>
        <v>0</v>
      </c>
      <c r="S12" s="37"/>
      <c r="CU12" s="225" t="str">
        <f>IF(Basisdaten!$B$15=Basisdaten!$D$2,CV12,CW12)</f>
        <v>Eingegangene Zahlungen aus Umsätzen</v>
      </c>
      <c r="CV12" s="30" t="s">
        <v>938</v>
      </c>
      <c r="CW12" s="71" t="s">
        <v>954</v>
      </c>
    </row>
    <row r="13" spans="1:134" ht="15" customHeight="1">
      <c r="C13" s="1108"/>
      <c r="D13" s="843" t="str">
        <f>CU13</f>
        <v>Finanzierung aus Tab. 7a (o. Eigenanteil/Beteiligungen)</v>
      </c>
      <c r="E13" s="252">
        <f>IF(E5='8 Kapital|Capital'!$F$11,'8 Kapital|Capital'!$E$11)+IF('8 Kapital|Capital'!$F$12=E5,'8 Kapital|Capital'!$E$12)+IF('8 Kapital|Capital'!$F$13=E5,'8 Kapital|Capital'!$E$13,0)</f>
        <v>0</v>
      </c>
      <c r="F13" s="252">
        <f>IF(F5='8 Kapital|Capital'!$F$11,'8 Kapital|Capital'!$E$11)+IF('8 Kapital|Capital'!$F$12=F5,'8 Kapital|Capital'!$E$12)+IF('8 Kapital|Capital'!$F$13=F5,'8 Kapital|Capital'!$E$13,0)</f>
        <v>0</v>
      </c>
      <c r="G13" s="252">
        <f>IF(G5='8 Kapital|Capital'!$F$11,'8 Kapital|Capital'!$E$11)+IF('8 Kapital|Capital'!$F$12=G5,'8 Kapital|Capital'!$E$12)+IF('8 Kapital|Capital'!$F$13=G5,'8 Kapital|Capital'!$E$13,0)</f>
        <v>0</v>
      </c>
      <c r="H13" s="252">
        <f>IF(H5='8 Kapital|Capital'!$F$11,'8 Kapital|Capital'!$E$11)+IF('8 Kapital|Capital'!$F$12=H5,'8 Kapital|Capital'!$E$12)+IF('8 Kapital|Capital'!$F$13=H5,'8 Kapital|Capital'!$E$13,0)</f>
        <v>0</v>
      </c>
      <c r="I13" s="252">
        <f>IF(I5='8 Kapital|Capital'!$F$11,'8 Kapital|Capital'!$E$11)+IF('8 Kapital|Capital'!$F$12=I5,'8 Kapital|Capital'!$E$12)+IF('8 Kapital|Capital'!$F$13=I5,'8 Kapital|Capital'!$E$13,0)</f>
        <v>0</v>
      </c>
      <c r="J13" s="252">
        <f>IF(J5='8 Kapital|Capital'!$F$11,'8 Kapital|Capital'!$E$11)+IF('8 Kapital|Capital'!$F$12=J5,'8 Kapital|Capital'!$E$12)+IF('8 Kapital|Capital'!$F$13=J5,'8 Kapital|Capital'!$E$13,0)</f>
        <v>0</v>
      </c>
      <c r="K13" s="252">
        <f>IF(K5='8 Kapital|Capital'!$F$11,'8 Kapital|Capital'!$E$11)+IF('8 Kapital|Capital'!$F$12=K5,'8 Kapital|Capital'!$E$12)+IF('8 Kapital|Capital'!$F$13=K5,'8 Kapital|Capital'!$E$13,0)</f>
        <v>0</v>
      </c>
      <c r="L13" s="252">
        <f>IF(L5='8 Kapital|Capital'!$F$11,'8 Kapital|Capital'!$E$11)+IF('8 Kapital|Capital'!$F$12=L5,'8 Kapital|Capital'!$E$12)+IF('8 Kapital|Capital'!$F$13=L5,'8 Kapital|Capital'!$E$13,0)</f>
        <v>0</v>
      </c>
      <c r="M13" s="252">
        <f>IF(M5='8 Kapital|Capital'!$F$11,'8 Kapital|Capital'!$E$11)+IF('8 Kapital|Capital'!$F$12=M5,'8 Kapital|Capital'!$E$12)+IF('8 Kapital|Capital'!$F$13=M5,'8 Kapital|Capital'!$E$13,0)</f>
        <v>0</v>
      </c>
      <c r="N13" s="252">
        <f>IF(N5='8 Kapital|Capital'!$F$11,'8 Kapital|Capital'!$E$11)+IF('8 Kapital|Capital'!$F$12=N5,'8 Kapital|Capital'!$E$12)+IF('8 Kapital|Capital'!$F$13=N5,'8 Kapital|Capital'!$E$13,0)</f>
        <v>0</v>
      </c>
      <c r="O13" s="252">
        <f>IF(O5='8 Kapital|Capital'!$F$11,'8 Kapital|Capital'!$E$11)+IF('8 Kapital|Capital'!$F$12=O5,'8 Kapital|Capital'!$E$12)+IF('8 Kapital|Capital'!$F$13=O5,'8 Kapital|Capital'!$E$13,0)</f>
        <v>0</v>
      </c>
      <c r="P13" s="252">
        <f>IF(P5='8 Kapital|Capital'!$F$11,'8 Kapital|Capital'!$E$11)+IF('8 Kapital|Capital'!$F$12=P5,'8 Kapital|Capital'!$E$12)+IF('8 Kapital|Capital'!$F$13=P5,'8 Kapital|Capital'!$E$13,0)</f>
        <v>0</v>
      </c>
      <c r="Q13" s="252">
        <f>IF(D13="","",SUM(E13:P13))</f>
        <v>0</v>
      </c>
      <c r="S13" s="37"/>
      <c r="CU13" s="225" t="str">
        <f>IF(Basisdaten!$B$15=Basisdaten!$D$2,CV13,CW13)</f>
        <v>Finanzierung aus Tab. 7a (o. Eigenanteil/Beteiligungen)</v>
      </c>
      <c r="CV13" s="30" t="s">
        <v>869</v>
      </c>
      <c r="CW13" s="71" t="s">
        <v>868</v>
      </c>
    </row>
    <row r="14" spans="1:134" ht="15" customHeight="1">
      <c r="C14" s="345"/>
      <c r="D14" s="365" t="str">
        <f t="shared" si="1"/>
        <v>Forderungsausgleich</v>
      </c>
      <c r="E14" s="1160"/>
      <c r="F14" s="1160"/>
      <c r="G14" s="1160"/>
      <c r="H14" s="1160"/>
      <c r="I14" s="1160"/>
      <c r="J14" s="1160"/>
      <c r="K14" s="1160"/>
      <c r="L14" s="1160"/>
      <c r="M14" s="1160"/>
      <c r="N14" s="1160"/>
      <c r="O14" s="1160"/>
      <c r="P14" s="1160"/>
      <c r="Q14" s="281">
        <f>IF(D14="","",SUM(E14:P14))</f>
        <v>0</v>
      </c>
      <c r="S14" s="84"/>
      <c r="CU14" s="225" t="str">
        <f>IF(Basisdaten!$B$15=Basisdaten!$D$2,CV14,CW14)</f>
        <v>Forderungsausgleich</v>
      </c>
      <c r="CV14" s="30" t="s">
        <v>49</v>
      </c>
      <c r="CW14" s="71" t="s">
        <v>211</v>
      </c>
    </row>
    <row r="15" spans="1:134" ht="15" customHeight="1">
      <c r="C15" s="862"/>
      <c r="D15" s="1154" t="str">
        <f>CU15</f>
        <v>Fördermittel</v>
      </c>
      <c r="E15" s="1912"/>
      <c r="F15" s="1912"/>
      <c r="G15" s="1912"/>
      <c r="H15" s="1912"/>
      <c r="I15" s="1912"/>
      <c r="J15" s="1912"/>
      <c r="K15" s="1912"/>
      <c r="L15" s="1912"/>
      <c r="M15" s="1912"/>
      <c r="N15" s="1912"/>
      <c r="O15" s="1912"/>
      <c r="P15" s="1912"/>
      <c r="Q15" s="1154"/>
      <c r="S15" s="84"/>
      <c r="CU15" s="225" t="str">
        <f>IF(Basisdaten!$B$15=Basisdaten!$D$2,CV15,CW15)</f>
        <v>Fördermittel</v>
      </c>
      <c r="CV15" s="30" t="s">
        <v>1076</v>
      </c>
      <c r="CW15" s="71" t="s">
        <v>1077</v>
      </c>
    </row>
    <row r="16" spans="1:134" ht="15" customHeight="1" thickBot="1">
      <c r="C16" s="862"/>
      <c r="D16" s="1162" t="str">
        <f t="shared" si="1"/>
        <v>Sonstige Einzahlungen, z.B. Gutscheine, Zuschüsse, ...</v>
      </c>
      <c r="E16" s="1161"/>
      <c r="F16" s="1161"/>
      <c r="G16" s="1161"/>
      <c r="H16" s="1161"/>
      <c r="I16" s="1161"/>
      <c r="J16" s="1161"/>
      <c r="K16" s="1161"/>
      <c r="L16" s="1161"/>
      <c r="M16" s="1161"/>
      <c r="N16" s="1161"/>
      <c r="O16" s="1161"/>
      <c r="P16" s="1161"/>
      <c r="Q16" s="282">
        <f>IF(D16="","",SUM(E16:P16))</f>
        <v>0</v>
      </c>
      <c r="S16" s="84"/>
      <c r="CU16" s="225" t="str">
        <f>IF(Basisdaten!$B$15=Basisdaten!$D$2,CV16,CW16)</f>
        <v>Sonstige Einzahlungen, z.B. Gutscheine, Zuschüsse, ...</v>
      </c>
      <c r="CV16" s="135" t="s">
        <v>133</v>
      </c>
      <c r="CW16" s="71" t="s">
        <v>396</v>
      </c>
    </row>
    <row r="17" spans="2:101" s="170" customFormat="1" ht="15" customHeight="1" thickTop="1">
      <c r="B17" s="98"/>
      <c r="C17" s="1157"/>
      <c r="D17" s="1158" t="str">
        <f t="shared" si="1"/>
        <v>Summe Liquiditätszugang</v>
      </c>
      <c r="E17" s="1159">
        <f>SUM(E12:E16)+E8</f>
        <v>0</v>
      </c>
      <c r="F17" s="1159">
        <f t="shared" ref="F17:P17" si="2">SUM(F12:F16)+F8</f>
        <v>0</v>
      </c>
      <c r="G17" s="1159">
        <f t="shared" si="2"/>
        <v>0</v>
      </c>
      <c r="H17" s="1159">
        <f t="shared" si="2"/>
        <v>0</v>
      </c>
      <c r="I17" s="1159">
        <f t="shared" si="2"/>
        <v>0</v>
      </c>
      <c r="J17" s="1159">
        <f t="shared" si="2"/>
        <v>0</v>
      </c>
      <c r="K17" s="1159">
        <f t="shared" si="2"/>
        <v>0</v>
      </c>
      <c r="L17" s="1159">
        <f t="shared" si="2"/>
        <v>0</v>
      </c>
      <c r="M17" s="1159">
        <f t="shared" si="2"/>
        <v>0</v>
      </c>
      <c r="N17" s="1159">
        <f t="shared" si="2"/>
        <v>0</v>
      </c>
      <c r="O17" s="1159">
        <f t="shared" si="2"/>
        <v>0</v>
      </c>
      <c r="P17" s="1159">
        <f t="shared" si="2"/>
        <v>0</v>
      </c>
      <c r="Q17" s="1159">
        <f>SUM(E17:P17)</f>
        <v>0</v>
      </c>
      <c r="R17" s="1464"/>
      <c r="S17" s="510"/>
      <c r="T17" s="1604"/>
      <c r="U17" s="171"/>
      <c r="V17" s="171"/>
      <c r="W17" s="171"/>
      <c r="X17" s="171"/>
      <c r="Y17" s="171"/>
      <c r="Z17" s="171"/>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c r="BY17" s="98"/>
      <c r="BZ17" s="98"/>
      <c r="CA17" s="98"/>
      <c r="CB17" s="98"/>
      <c r="CC17" s="98"/>
      <c r="CD17" s="98"/>
      <c r="CE17" s="98"/>
      <c r="CF17" s="98"/>
      <c r="CG17" s="98"/>
      <c r="CH17" s="98"/>
      <c r="CI17" s="98"/>
      <c r="CJ17" s="98"/>
      <c r="CK17" s="98"/>
      <c r="CU17" s="225" t="str">
        <f>IF(Basisdaten!$B$15=Basisdaten!$D$2,CV17,CW17)</f>
        <v>Summe Liquiditätszugang</v>
      </c>
      <c r="CV17" s="30" t="s">
        <v>42</v>
      </c>
      <c r="CW17" s="71" t="s">
        <v>397</v>
      </c>
    </row>
    <row r="18" spans="2:101" ht="15" customHeight="1">
      <c r="C18" s="1165">
        <v>3</v>
      </c>
      <c r="D18" s="1434" t="str">
        <f t="shared" si="1"/>
        <v>Ausgaben / Auszahlungen</v>
      </c>
      <c r="E18" s="1167"/>
      <c r="F18" s="1167"/>
      <c r="G18" s="1167"/>
      <c r="H18" s="1167"/>
      <c r="I18" s="1167"/>
      <c r="J18" s="1167"/>
      <c r="K18" s="1167"/>
      <c r="L18" s="1167"/>
      <c r="M18" s="1167"/>
      <c r="N18" s="1167"/>
      <c r="O18" s="1167"/>
      <c r="P18" s="1167"/>
      <c r="Q18" s="1167"/>
      <c r="S18" s="37"/>
      <c r="CU18" s="225" t="str">
        <f>IF(Basisdaten!$B$15=Basisdaten!$D$2,CV18,CW18)</f>
        <v>Ausgaben / Auszahlungen</v>
      </c>
      <c r="CV18" s="30" t="s">
        <v>43</v>
      </c>
      <c r="CW18" s="71" t="s">
        <v>398</v>
      </c>
    </row>
    <row r="19" spans="2:101" ht="15" customHeight="1">
      <c r="C19" s="1098"/>
      <c r="D19" s="1105" t="str">
        <f t="shared" si="1"/>
        <v>Anschaffungen (ohne MwSt) aus Tab 3 Invest tab 3.1</v>
      </c>
      <c r="E19" s="252">
        <f>'4 Invest'!D299</f>
        <v>0</v>
      </c>
      <c r="F19" s="252">
        <f>'4 Invest'!E299</f>
        <v>0</v>
      </c>
      <c r="G19" s="252">
        <f>'4 Invest'!F299</f>
        <v>0</v>
      </c>
      <c r="H19" s="252">
        <f>'4 Invest'!G299</f>
        <v>0</v>
      </c>
      <c r="I19" s="252">
        <f>'4 Invest'!H299</f>
        <v>0</v>
      </c>
      <c r="J19" s="252">
        <f>'4 Invest'!I299</f>
        <v>0</v>
      </c>
      <c r="K19" s="252">
        <f>'4 Invest'!J299</f>
        <v>0</v>
      </c>
      <c r="L19" s="252">
        <f>'4 Invest'!K299</f>
        <v>0</v>
      </c>
      <c r="M19" s="252">
        <f>'4 Invest'!L299</f>
        <v>0</v>
      </c>
      <c r="N19" s="252">
        <f>'4 Invest'!M299</f>
        <v>0</v>
      </c>
      <c r="O19" s="252">
        <f>'4 Invest'!N299</f>
        <v>0</v>
      </c>
      <c r="P19" s="252">
        <f>'4 Invest'!O299</f>
        <v>0</v>
      </c>
      <c r="Q19" s="252">
        <f>SUM(E19:P19)</f>
        <v>0</v>
      </c>
      <c r="S19" s="37"/>
      <c r="CU19" s="225" t="str">
        <f>IF(Basisdaten!$B$15=Basisdaten!$D$2,CV19,CW19)</f>
        <v>Anschaffungen (ohne MwSt) aus Tab 3 Invest tab 3.1</v>
      </c>
      <c r="CV19" s="30" t="str">
        <f>"Anschaffungen"&amp;Basisdaten!L15 &amp;"aus Tab 3 Invest tab 3.1"</f>
        <v>Anschaffungen (ohne MwSt) aus Tab 3 Invest tab 3.1</v>
      </c>
      <c r="CW19" s="30" t="str">
        <f>"Invest"&amp;Basisdaten!L15 &amp;"from Sheet 3 Invest tab 3.1"</f>
        <v>Invest (ohne MwSt) from Sheet 3 Invest tab 3.1</v>
      </c>
    </row>
    <row r="20" spans="2:101" ht="15" customHeight="1">
      <c r="C20" s="1098"/>
      <c r="D20" s="1105" t="str">
        <f t="shared" si="1"/>
        <v>auf Anschaffungen bezahlte MwSt im Januar FJ wirksan</v>
      </c>
      <c r="E20" s="1303">
        <f>'4 Invest'!D301</f>
        <v>0</v>
      </c>
      <c r="F20" s="1303">
        <f>'4 Invest'!E301</f>
        <v>0</v>
      </c>
      <c r="G20" s="1303">
        <f>'4 Invest'!F301</f>
        <v>0</v>
      </c>
      <c r="H20" s="1303">
        <f>'4 Invest'!G301</f>
        <v>0</v>
      </c>
      <c r="I20" s="1303">
        <f>'4 Invest'!H301</f>
        <v>0</v>
      </c>
      <c r="J20" s="1303">
        <f>'4 Invest'!I301</f>
        <v>0</v>
      </c>
      <c r="K20" s="1303">
        <f>'4 Invest'!J301</f>
        <v>0</v>
      </c>
      <c r="L20" s="1303">
        <f>'4 Invest'!K301</f>
        <v>0</v>
      </c>
      <c r="M20" s="1303">
        <f>'4 Invest'!L301</f>
        <v>0</v>
      </c>
      <c r="N20" s="1303">
        <f>'4 Invest'!M301</f>
        <v>0</v>
      </c>
      <c r="O20" s="1303">
        <f>'4 Invest'!N301</f>
        <v>0</v>
      </c>
      <c r="P20" s="1303">
        <f>'4 Invest'!O301</f>
        <v>0</v>
      </c>
      <c r="Q20" s="252">
        <f>SUM(E20:P20)</f>
        <v>0</v>
      </c>
      <c r="S20" s="37"/>
      <c r="CU20" s="225" t="str">
        <f>IF(Basisdaten!$B$15=Basisdaten!$D$2,CV20,CW20)</f>
        <v>auf Anschaffungen bezahlte MwSt im Januar FJ wirksan</v>
      </c>
      <c r="CV20" s="30" t="s">
        <v>872</v>
      </c>
      <c r="CW20" s="30" t="s">
        <v>911</v>
      </c>
    </row>
    <row r="21" spans="2:101" ht="15" customHeight="1">
      <c r="C21" s="1098"/>
      <c r="D21" s="1105" t="str">
        <f>CU21</f>
        <v>Betriebskosten I ohne MwSt (Übernahme aus Tab. 4a-1)</v>
      </c>
      <c r="E21" s="252">
        <f>'3  Betriebskosten|Operation Ex'!G65+'3  Betriebskosten|Operation Ex'!G77</f>
        <v>0</v>
      </c>
      <c r="F21" s="252">
        <f>'3  Betriebskosten|Operation Ex'!H65+'3  Betriebskosten|Operation Ex'!H77</f>
        <v>0</v>
      </c>
      <c r="G21" s="252">
        <f>'3  Betriebskosten|Operation Ex'!I65+'3  Betriebskosten|Operation Ex'!I77</f>
        <v>0</v>
      </c>
      <c r="H21" s="252">
        <f>'3  Betriebskosten|Operation Ex'!J65+'3  Betriebskosten|Operation Ex'!J77</f>
        <v>0</v>
      </c>
      <c r="I21" s="252">
        <f>'3  Betriebskosten|Operation Ex'!K65+'3  Betriebskosten|Operation Ex'!K77</f>
        <v>0</v>
      </c>
      <c r="J21" s="252">
        <f>'3  Betriebskosten|Operation Ex'!L65+'3  Betriebskosten|Operation Ex'!L77</f>
        <v>0</v>
      </c>
      <c r="K21" s="252">
        <f>'3  Betriebskosten|Operation Ex'!M65+'3  Betriebskosten|Operation Ex'!M77</f>
        <v>0</v>
      </c>
      <c r="L21" s="252">
        <f>'3  Betriebskosten|Operation Ex'!N65+'3  Betriebskosten|Operation Ex'!N77</f>
        <v>0</v>
      </c>
      <c r="M21" s="252">
        <f>'3  Betriebskosten|Operation Ex'!O65+'3  Betriebskosten|Operation Ex'!O77</f>
        <v>0</v>
      </c>
      <c r="N21" s="252">
        <f>'3  Betriebskosten|Operation Ex'!P65+'3  Betriebskosten|Operation Ex'!P77</f>
        <v>0</v>
      </c>
      <c r="O21" s="252">
        <f>'3  Betriebskosten|Operation Ex'!Q65+'3  Betriebskosten|Operation Ex'!Q77</f>
        <v>0</v>
      </c>
      <c r="P21" s="252">
        <f>'3  Betriebskosten|Operation Ex'!R65+'3  Betriebskosten|Operation Ex'!R77</f>
        <v>0</v>
      </c>
      <c r="Q21" s="252">
        <f>SUM(E21:P21)</f>
        <v>0</v>
      </c>
      <c r="S21" s="37"/>
      <c r="CU21" s="225" t="str">
        <f>IF(Basisdaten!$B$15=Basisdaten!$D$2,CV21,CW21)</f>
        <v>Betriebskosten I ohne MwSt (Übernahme aus Tab. 4a-1)</v>
      </c>
      <c r="CV21" s="30" t="str">
        <f>IF(Basisdaten!$L$15=Basisdaten!$Q$15,"Betriebskosten I mit MwSt (Übernahme aus Tab. 4a-1)","Betriebskosten I ohne MwSt (Übernahme aus Tab. 4a-1)")</f>
        <v>Betriebskosten I ohne MwSt (Übernahme aus Tab. 4a-1)</v>
      </c>
      <c r="CW21" s="30" t="str">
        <f>IF(Basisdaten!$L$15=Basisdaten!$Q$15,"Opereting Costs I inculding VAT (from tab 4a-1)","Operating Costs I w/o VAT (from tab 4a-1)" )</f>
        <v>Operating Costs I w/o VAT (from tab 4a-1)</v>
      </c>
    </row>
    <row r="22" spans="2:101" ht="15" customHeight="1">
      <c r="C22" s="1098"/>
      <c r="D22" s="1105" t="str">
        <f t="shared" si="1"/>
        <v>auf Betriebsausgaben bezahlte MwSt</v>
      </c>
      <c r="E22" s="1304">
        <f>'3  Betriebskosten|Operation Ex'!G77</f>
        <v>0</v>
      </c>
      <c r="F22" s="1304">
        <f>'3  Betriebskosten|Operation Ex'!H77</f>
        <v>0</v>
      </c>
      <c r="G22" s="1304">
        <f>'3  Betriebskosten|Operation Ex'!I77</f>
        <v>0</v>
      </c>
      <c r="H22" s="1304">
        <f>'3  Betriebskosten|Operation Ex'!J77</f>
        <v>0</v>
      </c>
      <c r="I22" s="1304">
        <f>'3  Betriebskosten|Operation Ex'!K77</f>
        <v>0</v>
      </c>
      <c r="J22" s="1304">
        <f>'3  Betriebskosten|Operation Ex'!L77</f>
        <v>0</v>
      </c>
      <c r="K22" s="1304">
        <f>'3  Betriebskosten|Operation Ex'!M77</f>
        <v>0</v>
      </c>
      <c r="L22" s="1304">
        <f>'3  Betriebskosten|Operation Ex'!N77</f>
        <v>0</v>
      </c>
      <c r="M22" s="1304">
        <f>'3  Betriebskosten|Operation Ex'!O77</f>
        <v>0</v>
      </c>
      <c r="N22" s="1304">
        <f>'3  Betriebskosten|Operation Ex'!P77</f>
        <v>0</v>
      </c>
      <c r="O22" s="1304">
        <f>'3  Betriebskosten|Operation Ex'!Q77</f>
        <v>0</v>
      </c>
      <c r="P22" s="1304">
        <f>'3  Betriebskosten|Operation Ex'!R77</f>
        <v>0</v>
      </c>
      <c r="Q22" s="252">
        <f t="shared" ref="Q22:Q28" si="3">SUM(E22:P22)</f>
        <v>0</v>
      </c>
      <c r="S22" s="37"/>
      <c r="CU22" s="225" t="str">
        <f>IF(Basisdaten!$B$15=Basisdaten!$D$2,CV22,CW22)</f>
        <v>auf Betriebsausgaben bezahlte MwSt</v>
      </c>
      <c r="CV22" s="30" t="s">
        <v>867</v>
      </c>
      <c r="CW22" s="30" t="s">
        <v>866</v>
      </c>
    </row>
    <row r="23" spans="2:101" ht="15" customHeight="1">
      <c r="C23" s="862"/>
      <c r="D23" s="1105" t="str">
        <f t="shared" si="1"/>
        <v>Vorsteuerausgleich jährlich (gemäß gemeldeter Vorsteuerschuld)</v>
      </c>
      <c r="E23" s="1304">
        <v>0</v>
      </c>
      <c r="F23" s="1304">
        <f>IF(AND($Q$11&lt;Basisdaten!$H$35,F5=13),SUM($E$11:$P$11)-SUM($E$20:$P$20)-SUM($E$22:$P$22),IF(AND($Q$11&gt;=Basisdaten!$H$35,$Q$11&lt;Basisdaten!$I$35,F4=1),SUM($E$11:$G$11)-SUM($E$20:$G$20)-SUM($E$22:$G$22),IF(AND($Q$11&gt;=Basisdaten!$H$35,$Q$11&lt;Basisdaten!$I$35,F4=2),SUM($H$11:$J$11)-SUM($H$20:$J$20)-SUM($H$22:$J$22),IF(AND($Q$11&gt;=Basisdaten!$H$35,$Q$11&lt;Basisdaten!$I$35,F4=3),SUM($K$11:$M$11)-SUM($K$20:$M$20)-SUM($K$22:$M$22),IF($Q$11&gt;Basisdaten!$I$35,E11-E20-E22,0)))))</f>
        <v>0</v>
      </c>
      <c r="G23" s="1304">
        <f>IF(AND($Q$11&lt;Basisdaten!$H$35,G5=13),SUM($E$11:$P$12)-SUM($E$20:$P$20)-SUM($E$22:$P$22),IF(AND($Q$11&gt;=Basisdaten!$H$35,$Q$11&lt;Basisdaten!$I$35,G4=1),SUM($E$11:$G$12)-SUM($E$20:$G$20)-SUM($E$22:$G$22),IF(AND($Q$11&gt;=Basisdaten!$H$35,$Q$11&lt;Basisdaten!$I$35,G4=2),SUM($H$11:$J$12)-SUM($H$20:$J$20)-SUM($H$22:$J$22),IF(AND($Q$11&gt;=Basisdaten!$H$35,$Q$11&lt;Basisdaten!$I$35,G4=3),SUM($K$11:$M$12)-SUM($K$20:$M$20)-SUM($K$22:$M$22),IF($Q$11&gt;Basisdaten!$I$35,F11+F12-F20-F22,0)))))</f>
        <v>0</v>
      </c>
      <c r="H23" s="1304">
        <f>IF(AND($Q$11&lt;Basisdaten!$H$35,H5=13),SUM($E$11:$P$12)-SUM($E$20:$P$20)-SUM($E$22:$P$22),IF(AND($Q$11&gt;=Basisdaten!$H$35,$Q$11&lt;Basisdaten!$I$35,H4=1),SUM($E$11:$G$12)-SUM($E$20:$G$20)-SUM($E$22:$G$22),IF(AND($Q$11&gt;=Basisdaten!$H$35,$Q$11&lt;Basisdaten!$I$35,H4=2),SUM($H$11:$J$12)-SUM($H$20:$J$20)-SUM($H$22:$J$22),IF(AND($Q$11&gt;=Basisdaten!$H$35,$Q$11&lt;Basisdaten!$I$35,H4=3),SUM($K$11:$M$12)-SUM($K$20:$M$20)-SUM($K$22:$M$22),IF($Q$11&gt;Basisdaten!$I$35,G11+G12-G20-G22,0)))))</f>
        <v>0</v>
      </c>
      <c r="I23" s="1304">
        <f>IF(AND($Q$11&lt;Basisdaten!$H$35,I5=13),SUM($E$11:$P$12)-SUM($E$20:$P$20)-SUM($E$22:$P$22),IF(AND($Q$11&gt;=Basisdaten!$H$35,$Q$11&lt;Basisdaten!$I$35,I4=1),SUM($E$11:$G$12)-SUM($E$20:$G$20)-SUM($E$22:$G$22),IF(AND($Q$11&gt;=Basisdaten!$H$35,$Q$11&lt;Basisdaten!$I$35,I4=2),SUM($H$11:$J$12)-SUM($H$20:$J$20)-SUM($H$22:$J$22),IF(AND($Q$11&gt;=Basisdaten!$H$35,$Q$11&lt;Basisdaten!$I$35,I4=3),SUM($K$11:$M$12)-SUM($K$20:$M$20)-SUM($K$22:$M$22),IF($Q$11&gt;Basisdaten!$I$35,H11+H12-H20-H22,0)))))</f>
        <v>0</v>
      </c>
      <c r="J23" s="1304">
        <f>IF(AND($Q$11&lt;Basisdaten!$H$35,J5=13),SUM($E$11:$P$12)-SUM($E$20:$P$20)-SUM($E$22:$P$22),IF(AND($Q$11&gt;=Basisdaten!$H$35,$Q$11&lt;Basisdaten!$I$35,J4=1),SUM($E$11:$G$12)-SUM($E$20:$G$20)-SUM($E$22:$G$22),IF(AND($Q$11&gt;=Basisdaten!$H$35,$Q$11&lt;Basisdaten!$I$35,J4=2),SUM($H$11:$J$12)-SUM($H$20:$J$20)-SUM($H$22:$J$22),IF(AND($Q$11&gt;=Basisdaten!$H$35,$Q$11&lt;Basisdaten!$I$35,J4=3),SUM($K$11:$M$12)-SUM($K$20:$M$20)-SUM($K$22:$M$22),IF($Q$11&gt;Basisdaten!$I$35,I11+I12-I20-I22,0)))))</f>
        <v>0</v>
      </c>
      <c r="K23" s="1304">
        <f>IF(AND($Q$11&lt;Basisdaten!$H$35,K5=13),SUM($E$11:$P$12)-SUM($E$20:$P$20)-SUM($E$22:$P$22),IF(AND($Q$11&gt;=Basisdaten!$H$35,$Q$11&lt;Basisdaten!$I$35,K4=1),SUM($E$11:$G$12)-SUM($E$20:$G$20)-SUM($E$22:$G$22),IF(AND($Q$11&gt;=Basisdaten!$H$35,$Q$11&lt;Basisdaten!$I$35,K4=2),SUM($H$11:$J$12)-SUM($H$20:$J$20)-SUM($H$22:$J$22),IF(AND($Q$11&gt;=Basisdaten!$H$35,$Q$11&lt;Basisdaten!$I$35,K4=3),SUM($K$11:$M$12)-SUM($K$20:$M$20)-SUM($K$22:$M$22),IF($Q$11&gt;Basisdaten!$I$35,J11+J12-J20-J22,0)))))</f>
        <v>0</v>
      </c>
      <c r="L23" s="1304">
        <f>IF(AND($Q$11&lt;Basisdaten!$H$35,L5=13),SUM($E$11:$P$12)-SUM($E$20:$P$20)-SUM($E$22:$P$22),IF(AND($Q$11&gt;=Basisdaten!$H$35,$Q$11&lt;Basisdaten!$I$35,L4=1),SUM($E$11:$G$12)-SUM($E$20:$G$20)-SUM($E$22:$G$22),IF(AND($Q$11&gt;=Basisdaten!$H$35,$Q$11&lt;Basisdaten!$I$35,L4=2),SUM($H$11:$J$12)-SUM($H$20:$J$20)-SUM($H$22:$J$22),IF(AND($Q$11&gt;=Basisdaten!$H$35,$Q$11&lt;Basisdaten!$I$35,L4=3),SUM($K$11:$M$12)-SUM($K$20:$M$20)-SUM($K$22:$M$22),IF($Q$11&gt;Basisdaten!$I$35,K11+K12-K20-K22,0)))))</f>
        <v>0</v>
      </c>
      <c r="M23" s="1304">
        <f>IF(AND($Q$11&lt;Basisdaten!$H$35,M5=13),SUM($E$11:$P$12)-SUM($E$20:$P$20)-SUM($E$22:$P$22),IF(AND($Q$11&gt;=Basisdaten!$H$35,$Q$11&lt;Basisdaten!$I$35,M4=1),SUM($E$11:$G$12)-SUM($E$20:$G$20)-SUM($E$22:$G$22),IF(AND($Q$11&gt;=Basisdaten!$H$35,$Q$11&lt;Basisdaten!$I$35,M4=2),SUM($H$11:$J$12)-SUM($H$20:$J$20)-SUM($H$22:$J$22),IF(AND($Q$11&gt;=Basisdaten!$H$35,$Q$11&lt;Basisdaten!$I$35,M4=3),SUM($K$11:$M$12)-SUM($K$20:$M$20)-SUM($K$22:$M$22),IF($Q$11&gt;Basisdaten!$I$35,L11+L12-L20-L22,0)))))</f>
        <v>0</v>
      </c>
      <c r="N23" s="1304">
        <f>IF(AND($Q$11&lt;Basisdaten!$H$35,N5=13),SUM($E$11:$P$12)-SUM($E$20:$P$20)-SUM($E$22:$P$22),IF(AND($Q$11&gt;=Basisdaten!$H$35,$Q$11&lt;Basisdaten!$I$35,N4=1),SUM($E$11:$G$12)-SUM($E$20:$G$20)-SUM($E$22:$G$22),IF(AND($Q$11&gt;=Basisdaten!$H$35,$Q$11&lt;Basisdaten!$I$35,N4=2),SUM($H$11:$J$12)-SUM($H$20:$J$20)-SUM($H$22:$J$22),IF(AND($Q$11&gt;=Basisdaten!$H$35,$Q$11&lt;Basisdaten!$I$35,N4=3),SUM($K$11:$M$12)-SUM($K$20:$M$20)-SUM($K$22:$M$22),IF($Q$11&gt;Basisdaten!$I$35,M11+M12-M20-M22,0)))))</f>
        <v>0</v>
      </c>
      <c r="O23" s="1304">
        <f>IF(AND($Q$11&lt;Basisdaten!$H$35,O5=13),SUM($E$11:$P$12)-SUM($E$20:$P$20)-SUM($E$22:$P$22),IF(AND($Q$11&gt;=Basisdaten!$H$35,$Q$11&lt;Basisdaten!$I$35,O4=1),SUM($E$11:$G$12)-SUM($E$20:$G$20)-SUM($E$22:$G$22),IF(AND($Q$11&gt;=Basisdaten!$H$35,$Q$11&lt;Basisdaten!$I$35,O4=2),SUM($H$11:$J$12)-SUM($H$20:$J$20)-SUM($H$22:$J$22),IF(AND($Q$11&gt;=Basisdaten!$H$35,$Q$11&lt;Basisdaten!$I$35,O4=3),SUM($K$11:$M$12)-SUM($K$20:$M$20)-SUM($K$22:$M$22),IF($Q$11&gt;Basisdaten!$I$35,N11+N12-N20-N22,0)))))</f>
        <v>0</v>
      </c>
      <c r="P23" s="1304">
        <f>IF(AND($Q$11&lt;Basisdaten!$H$35,P5=13),SUM($E$11:$P$12)-SUM($E$20:$P$20)-SUM($E$22:$P$22),IF(AND($Q$11&gt;=Basisdaten!$H$35,$Q$11&lt;Basisdaten!$I$35,P4=1),SUM($E$11:$G$12)-SUM($E$20:$G$20)-SUM($E$22:$G$22),IF(AND($Q$11&gt;=Basisdaten!$H$35,$Q$11&lt;Basisdaten!$I$35,P4=2),SUM($H$11:$J$12)-SUM($H$20:$J$20)-SUM($H$22:$J$22),IF(AND($Q$11&gt;=Basisdaten!$H$35,$Q$11&lt;Basisdaten!$I$35,P4=3),SUM($K$11:$M$12)-SUM($K$20:$M$20)-SUM($K$22:$M$22),IF($Q$11&gt;Basisdaten!$I$35,O11+O12-O20-O22,0)))))</f>
        <v>0</v>
      </c>
      <c r="Q23" s="1304">
        <f>IF(AND($Q$11&lt;Basisdaten!$H$35,Q5=13),SUM($E$11:$P$11)-SUM($E$20:$P$20)-SUM($E$22:$P$22),IF(AND($Q$11&gt;=Basisdaten!$H$35,$Q$11&lt;Basisdaten!$I$35,Q4=1),SUM($E$11:$G$11)-SUM($E$20:$G$20)-SUM($E$22:$G$22),IF(AND($Q$11&gt;=Basisdaten!$H$35,$Q$11&lt;Basisdaten!$I$35,Q4=2),SUM($H$11:$J$11)-SUM($H$20:$J$20)-SUM($H$22:$J$22),IF(AND($Q$11&gt;=Basisdaten!$H$35,$Q$11&lt;Basisdaten!$I$35,Q4=3),SUM($K$11:$M$11)-SUM($K$20:$M$20)-SUM($K$22:$M$22),IF($Q$11&gt;Basisdaten!$I$35,P11-P20-P22,0)))))</f>
        <v>0</v>
      </c>
      <c r="R23" s="1465"/>
      <c r="S23" s="44"/>
      <c r="CU23" s="225" t="str">
        <f>IF(Basisdaten!$B$15=Basisdaten!$D$2,CV23,CW23)</f>
        <v>Vorsteuerausgleich jährlich (gemäß gemeldeter Vorsteuerschuld)</v>
      </c>
      <c r="CV23" s="30" t="str">
        <f>"Vorsteuerausgleich "&amp;IF(Q11&lt;Basisdaten!H35,"jährlich",IF( Q11&gt;Basisdaten!I35,"monatlich","quartelsweise"))&amp;" (gemäß gemeldeter Vorsteuerschuld)"</f>
        <v>Vorsteuerausgleich jährlich (gemäß gemeldeter Vorsteuerschuld)</v>
      </c>
      <c r="CW23" s="30" t="str">
        <f>"input tax "&amp;IF(Q11&lt;Basisdaten!H35,"annualy",IF( Q11&gt;Basisdaten!I35,"monthly","quaterly"))&amp;" (according to reported input tax liability)"</f>
        <v>input tax annualy (according to reported input tax liability)</v>
      </c>
    </row>
    <row r="24" spans="2:101" ht="15" customHeight="1">
      <c r="C24" s="862"/>
      <c r="D24" s="1105" t="str">
        <f>CU24</f>
        <v>Kapitaldienst Tilgung (aus Tab.7.b-1)</v>
      </c>
      <c r="E24" s="252">
        <f>'8 Kapital|Capital'!E63</f>
        <v>0</v>
      </c>
      <c r="F24" s="252">
        <f>'8 Kapital|Capital'!F63</f>
        <v>0</v>
      </c>
      <c r="G24" s="252">
        <f>'8 Kapital|Capital'!G63</f>
        <v>0</v>
      </c>
      <c r="H24" s="252">
        <f>'8 Kapital|Capital'!H63</f>
        <v>0</v>
      </c>
      <c r="I24" s="252">
        <f>'8 Kapital|Capital'!I63</f>
        <v>0</v>
      </c>
      <c r="J24" s="252">
        <f>'8 Kapital|Capital'!J63</f>
        <v>0</v>
      </c>
      <c r="K24" s="252">
        <f>'8 Kapital|Capital'!K63</f>
        <v>0</v>
      </c>
      <c r="L24" s="252">
        <f>'8 Kapital|Capital'!L63</f>
        <v>0</v>
      </c>
      <c r="M24" s="252">
        <f>'8 Kapital|Capital'!M63</f>
        <v>0</v>
      </c>
      <c r="N24" s="252">
        <f>'8 Kapital|Capital'!N63</f>
        <v>0</v>
      </c>
      <c r="O24" s="252">
        <f>'8 Kapital|Capital'!O63</f>
        <v>0</v>
      </c>
      <c r="P24" s="252">
        <f>'8 Kapital|Capital'!P63</f>
        <v>0</v>
      </c>
      <c r="Q24" s="252">
        <f t="shared" si="3"/>
        <v>0</v>
      </c>
      <c r="S24" s="1600"/>
      <c r="CU24" s="225" t="str">
        <f>IF(Basisdaten!$B$15=Basisdaten!$D$2,CV24,CW24)</f>
        <v>Kapitaldienst Tilgung (aus Tab.7.b-1)</v>
      </c>
      <c r="CV24" s="30" t="s">
        <v>870</v>
      </c>
      <c r="CW24" s="71" t="s">
        <v>406</v>
      </c>
    </row>
    <row r="25" spans="2:101" ht="15" customHeight="1">
      <c r="C25" s="862"/>
      <c r="D25" s="1105" t="str">
        <f t="shared" si="1"/>
        <v>Gewerbesteuer (Übernahme aus Tab. 5c)</v>
      </c>
      <c r="E25" s="252">
        <f>IF(E5&gt;=Basisdaten!$D$15,'5 Rendite|Profit'!$D$50/(13-Basisdaten!$D$15),0)</f>
        <v>0</v>
      </c>
      <c r="F25" s="252">
        <f>IF(F5&gt;=Basisdaten!$D$15,'5 Rendite|Profit'!$D$50/(13-Basisdaten!$D$15),0)</f>
        <v>0</v>
      </c>
      <c r="G25" s="252">
        <f>IF(G5&gt;=Basisdaten!$D$15,'5 Rendite|Profit'!$D$50/(13-Basisdaten!$D$15),0)</f>
        <v>0</v>
      </c>
      <c r="H25" s="252">
        <f>IF(H5&gt;=Basisdaten!$D$15,'5 Rendite|Profit'!$D$50/(13-Basisdaten!$D$15),0)</f>
        <v>0</v>
      </c>
      <c r="I25" s="252">
        <f>IF(I5&gt;=Basisdaten!$D$15,'5 Rendite|Profit'!$D$50/(13-Basisdaten!$D$15),0)</f>
        <v>0</v>
      </c>
      <c r="J25" s="252">
        <f>IF(J5&gt;=Basisdaten!$D$15,'5 Rendite|Profit'!$D$50/(13-Basisdaten!$D$15),0)</f>
        <v>0</v>
      </c>
      <c r="K25" s="252">
        <f>IF(K5&gt;=Basisdaten!$D$15,'5 Rendite|Profit'!$D$50/(13-Basisdaten!$D$15),0)</f>
        <v>0</v>
      </c>
      <c r="L25" s="252">
        <f>IF(L5&gt;=Basisdaten!$D$15,'5 Rendite|Profit'!$D$50/(13-Basisdaten!$D$15),0)</f>
        <v>0</v>
      </c>
      <c r="M25" s="252">
        <f>IF(M5&gt;=Basisdaten!$D$15,'5 Rendite|Profit'!$D$50/(13-Basisdaten!$D$15),0)</f>
        <v>0</v>
      </c>
      <c r="N25" s="252">
        <f>IF(N5&gt;=Basisdaten!$D$15,'5 Rendite|Profit'!$D$50/(13-Basisdaten!$D$15),0)</f>
        <v>0</v>
      </c>
      <c r="O25" s="252">
        <f>IF(O5&gt;=Basisdaten!$D$15,'5 Rendite|Profit'!$D$50/(13-Basisdaten!$D$15),0)</f>
        <v>0</v>
      </c>
      <c r="P25" s="252">
        <f>IF(P5&gt;=Basisdaten!$D$15,'5 Rendite|Profit'!$D$50/(13-Basisdaten!$D$15),0)</f>
        <v>0</v>
      </c>
      <c r="Q25" s="252">
        <f t="shared" si="3"/>
        <v>0</v>
      </c>
      <c r="S25" s="1600"/>
      <c r="CU25" s="225" t="str">
        <f>IF(Basisdaten!$B$15=Basisdaten!$D$2,CV25,CW25)</f>
        <v>Gewerbesteuer (Übernahme aus Tab. 5c)</v>
      </c>
      <c r="CV25" s="30" t="s">
        <v>113</v>
      </c>
      <c r="CW25" s="71" t="s">
        <v>407</v>
      </c>
    </row>
    <row r="26" spans="2:101" ht="15" customHeight="1">
      <c r="C26" s="862"/>
      <c r="D26" s="1105" t="str">
        <f t="shared" si="1"/>
        <v>Einkommensteuer (Übernahme aus Tab. 5c; Jahreswert gezwölftelt)</v>
      </c>
      <c r="E26" s="252">
        <f>IF(E5&gt;=Basisdaten!$D$15,'5 Rendite|Profit'!$D$49/(13-Basisdaten!$D$15),0)</f>
        <v>0</v>
      </c>
      <c r="F26" s="252">
        <f>IF(F5&gt;=Basisdaten!$D$15,'5 Rendite|Profit'!$D$49/(13-Basisdaten!$D$15),0)</f>
        <v>0</v>
      </c>
      <c r="G26" s="252">
        <f>IF(G5&gt;=Basisdaten!$D$15,'5 Rendite|Profit'!$D$49/(13-Basisdaten!$D$15),0)</f>
        <v>0</v>
      </c>
      <c r="H26" s="252">
        <f>IF(H5&gt;=Basisdaten!$D$15,'5 Rendite|Profit'!$D$49/(13-Basisdaten!$D$15),0)</f>
        <v>0</v>
      </c>
      <c r="I26" s="252">
        <f>IF(I5&gt;=Basisdaten!$D$15,'5 Rendite|Profit'!$D$49/(13-Basisdaten!$D$15),0)</f>
        <v>0</v>
      </c>
      <c r="J26" s="252">
        <f>IF(J5&gt;=Basisdaten!$D$15,'5 Rendite|Profit'!$D$49/(13-Basisdaten!$D$15),0)</f>
        <v>0</v>
      </c>
      <c r="K26" s="252">
        <f>IF(K5&gt;=Basisdaten!$D$15,'5 Rendite|Profit'!$D$49/(13-Basisdaten!$D$15),0)</f>
        <v>0</v>
      </c>
      <c r="L26" s="252">
        <f>IF(L5&gt;=Basisdaten!$D$15,'5 Rendite|Profit'!$D$49/(13-Basisdaten!$D$15),0)</f>
        <v>0</v>
      </c>
      <c r="M26" s="252">
        <f>IF(M5&gt;=Basisdaten!$D$15,'5 Rendite|Profit'!$D$49/(13-Basisdaten!$D$15),0)</f>
        <v>0</v>
      </c>
      <c r="N26" s="252">
        <f>IF(N5&gt;=Basisdaten!$D$15,'5 Rendite|Profit'!$D$49/(13-Basisdaten!$D$15),0)</f>
        <v>0</v>
      </c>
      <c r="O26" s="252">
        <f>IF(O5&gt;=Basisdaten!$D$15,'5 Rendite|Profit'!$D$49/(13-Basisdaten!$D$15),0)</f>
        <v>0</v>
      </c>
      <c r="P26" s="252">
        <f>IF(P5&gt;=Basisdaten!$D$15,'5 Rendite|Profit'!$D$49/(13-Basisdaten!$D$15),0)</f>
        <v>0</v>
      </c>
      <c r="Q26" s="252">
        <f t="shared" si="3"/>
        <v>0</v>
      </c>
      <c r="S26" s="37"/>
      <c r="CU26" s="225" t="str">
        <f>IF(Basisdaten!$B$15=Basisdaten!$D$2,CV26,CW26)</f>
        <v>Einkommensteuer (Übernahme aus Tab. 5c; Jahreswert gezwölftelt)</v>
      </c>
      <c r="CV26" s="30" t="str">
        <f>IF(Basisdaten!$E$15=Basisdaten!$U$31,"Einkommensteuer (Übernahme aus Tab. 5c; Jahreswert gezwölftelt)","Körperschaftsteuer (Übernahme aus Tab. 5b)")</f>
        <v>Einkommensteuer (Übernahme aus Tab. 5c; Jahreswert gezwölftelt)</v>
      </c>
      <c r="CW26" s="30" t="str">
        <f>IF(Basisdaten!$E$15=Basisdaten!$U$31,"Income Tax (from tab 5c; annual value partitioned into twelve) ","Corporate Tax (from tab 5b)")</f>
        <v xml:space="preserve">Income Tax (from tab 5c; annual value partitioned into twelve) </v>
      </c>
    </row>
    <row r="27" spans="2:101" ht="15" customHeight="1">
      <c r="C27" s="862"/>
      <c r="D27" s="1105" t="str">
        <f>CU27</f>
        <v>Privatentnahmen Lebensunterhalt (aus TAB 1 Private ....1.3)</v>
      </c>
      <c r="E27" s="252">
        <f>IF(OR('0 Daten|Data'!$D$7=Basisdaten!$U$31,'0 Daten|Data'!$D$7=""),IF(E5&gt;=Basisdaten!$D$15,'1 Private Kosten|Costs'!$E$102/(13-Basisdaten!$D$15),""),"")</f>
        <v>0</v>
      </c>
      <c r="F27" s="252">
        <f>IF(OR('0 Daten|Data'!$D$7=Basisdaten!$U$31,'0 Daten|Data'!$D$7=""),IF(F5&gt;=Basisdaten!$D$15,'1 Private Kosten|Costs'!$E$102/(13-Basisdaten!$D$15),""),"")</f>
        <v>0</v>
      </c>
      <c r="G27" s="252">
        <f>IF(OR('0 Daten|Data'!$D$7=Basisdaten!$U$31,'0 Daten|Data'!$D$7=""),IF(G5&gt;=Basisdaten!$D$15,'1 Private Kosten|Costs'!$E$102/(13-Basisdaten!$D$15),""),"")</f>
        <v>0</v>
      </c>
      <c r="H27" s="252">
        <f>IF(OR('0 Daten|Data'!$D$7=Basisdaten!$U$31,'0 Daten|Data'!$D$7=""),IF(H5&gt;=Basisdaten!$D$15,'1 Private Kosten|Costs'!$E$102/(13-Basisdaten!$D$15),""),"")</f>
        <v>0</v>
      </c>
      <c r="I27" s="252">
        <f>IF(OR('0 Daten|Data'!$D$7=Basisdaten!$U$31,'0 Daten|Data'!$D$7=""),IF(I5&gt;=Basisdaten!$D$15,'1 Private Kosten|Costs'!$E$102/(13-Basisdaten!$D$15),""),"")</f>
        <v>0</v>
      </c>
      <c r="J27" s="252">
        <f>IF(OR('0 Daten|Data'!$D$7=Basisdaten!$U$31,'0 Daten|Data'!$D$7=""),IF(J5&gt;=Basisdaten!$D$15,'1 Private Kosten|Costs'!$E$102/(13-Basisdaten!$D$15),""),"")</f>
        <v>0</v>
      </c>
      <c r="K27" s="252">
        <f>IF(OR('0 Daten|Data'!$D$7=Basisdaten!$U$31,'0 Daten|Data'!$D$7=""),IF(K5&gt;=Basisdaten!$D$15,'1 Private Kosten|Costs'!$E$102/(13-Basisdaten!$D$15),""),"")</f>
        <v>0</v>
      </c>
      <c r="L27" s="252">
        <f>IF(OR('0 Daten|Data'!$D$7=Basisdaten!$U$31,'0 Daten|Data'!$D$7=""),IF(L5&gt;=Basisdaten!$D$15,'1 Private Kosten|Costs'!$E$102/(13-Basisdaten!$D$15),""),"")</f>
        <v>0</v>
      </c>
      <c r="M27" s="252">
        <f>IF(OR('0 Daten|Data'!$D$7=Basisdaten!$U$31,'0 Daten|Data'!$D$7=""),IF(M5&gt;=Basisdaten!$D$15,'1 Private Kosten|Costs'!$E$102/(13-Basisdaten!$D$15),""),"")</f>
        <v>0</v>
      </c>
      <c r="N27" s="252">
        <f>IF(OR('0 Daten|Data'!$D$7=Basisdaten!$U$31,'0 Daten|Data'!$D$7=""),IF(N5&gt;=Basisdaten!$D$15,'1 Private Kosten|Costs'!$E$102/(13-Basisdaten!$D$15),""),"")</f>
        <v>0</v>
      </c>
      <c r="O27" s="252">
        <f>IF(OR('0 Daten|Data'!$D$7=Basisdaten!$U$31,'0 Daten|Data'!$D$7=""),IF(O5&gt;=Basisdaten!$D$15,'1 Private Kosten|Costs'!$E$102/(13-Basisdaten!$D$15),""),"")</f>
        <v>0</v>
      </c>
      <c r="P27" s="252">
        <f>IF(OR('0 Daten|Data'!$D$7=Basisdaten!$U$31,'0 Daten|Data'!$D$7=""),IF(P5&gt;=Basisdaten!$D$15,'1 Private Kosten|Costs'!$E$102/(13-Basisdaten!$D$15),""),"")</f>
        <v>0</v>
      </c>
      <c r="Q27" s="252">
        <f t="shared" si="3"/>
        <v>0</v>
      </c>
      <c r="S27" s="37"/>
      <c r="CU27" s="225" t="str">
        <f>IF(Basisdaten!$B$15=Basisdaten!$D$2,CV27,CW27)</f>
        <v>Privatentnahmen Lebensunterhalt (aus TAB 1 Private ....1.3)</v>
      </c>
      <c r="CV27" s="30" t="str">
        <f>IF(Basisdaten!$E$15=Basisdaten!$U$31,"Privatentnahmen Lebensunterhalt (aus TAB 1 Private ....1.3)","keine Privatentnahme")</f>
        <v>Privatentnahmen Lebensunterhalt (aus TAB 1 Private ....1.3)</v>
      </c>
      <c r="CW27" s="30" t="str">
        <f>IF(Basisdaten!$E$15=Basisdaten!$U$31,"Personal Draw for Living (from Sheet 1 Private… Tab.1.3)","no Personal Draw for Living ")</f>
        <v>Personal Draw for Living (from Sheet 1 Private… Tab.1.3)</v>
      </c>
    </row>
    <row r="28" spans="2:101" ht="15" customHeight="1" thickBot="1">
      <c r="C28" s="862"/>
      <c r="D28" s="1162" t="str">
        <f t="shared" si="1"/>
        <v xml:space="preserve">Sonstige Auszahlungen </v>
      </c>
      <c r="E28" s="1161"/>
      <c r="F28" s="1161"/>
      <c r="G28" s="1161"/>
      <c r="H28" s="1161"/>
      <c r="I28" s="1161"/>
      <c r="J28" s="1161"/>
      <c r="K28" s="1161"/>
      <c r="L28" s="1161"/>
      <c r="M28" s="1161"/>
      <c r="N28" s="1161"/>
      <c r="O28" s="1161"/>
      <c r="P28" s="1161"/>
      <c r="Q28" s="1306">
        <f t="shared" si="3"/>
        <v>0</v>
      </c>
      <c r="S28" s="84"/>
      <c r="CU28" s="225" t="str">
        <f>IF(Basisdaten!$B$15=Basisdaten!$D$2,CV28,CW28)</f>
        <v xml:space="preserve">Sonstige Auszahlungen </v>
      </c>
      <c r="CV28" s="135" t="s">
        <v>44</v>
      </c>
      <c r="CW28" s="71" t="s">
        <v>212</v>
      </c>
    </row>
    <row r="29" spans="2:101" s="170" customFormat="1" ht="15" customHeight="1" thickTop="1">
      <c r="B29" s="98"/>
      <c r="C29" s="1157"/>
      <c r="D29" s="1158" t="str">
        <f>CU29&amp;" (ohne Zeile 21 und 23)"</f>
        <v>Summe Liquiditätsabgang (ohne Zeile 21 und 23)</v>
      </c>
      <c r="E29" s="1159">
        <f>SUM(E19:E28)</f>
        <v>0</v>
      </c>
      <c r="F29" s="1159">
        <f>SUM(F19:F28)</f>
        <v>0</v>
      </c>
      <c r="G29" s="1159">
        <f t="shared" ref="G29:P29" si="4">SUM(G19:G28)</f>
        <v>0</v>
      </c>
      <c r="H29" s="1159">
        <f t="shared" si="4"/>
        <v>0</v>
      </c>
      <c r="I29" s="1159">
        <f t="shared" si="4"/>
        <v>0</v>
      </c>
      <c r="J29" s="1159">
        <f t="shared" si="4"/>
        <v>0</v>
      </c>
      <c r="K29" s="1159">
        <f t="shared" si="4"/>
        <v>0</v>
      </c>
      <c r="L29" s="1159">
        <f t="shared" si="4"/>
        <v>0</v>
      </c>
      <c r="M29" s="1159">
        <f t="shared" si="4"/>
        <v>0</v>
      </c>
      <c r="N29" s="1159">
        <f t="shared" si="4"/>
        <v>0</v>
      </c>
      <c r="O29" s="1159">
        <f t="shared" si="4"/>
        <v>0</v>
      </c>
      <c r="P29" s="1159">
        <f t="shared" si="4"/>
        <v>0</v>
      </c>
      <c r="Q29" s="1159">
        <f>SUM(Q19:Q28)</f>
        <v>0</v>
      </c>
      <c r="R29" s="1464"/>
      <c r="S29" s="510"/>
      <c r="T29" s="1605"/>
      <c r="U29" s="171"/>
      <c r="V29" s="171"/>
      <c r="W29" s="171"/>
      <c r="X29" s="171"/>
      <c r="Y29" s="171"/>
      <c r="Z29" s="171"/>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8"/>
      <c r="CF29" s="98"/>
      <c r="CG29" s="98"/>
      <c r="CH29" s="98"/>
      <c r="CI29" s="98"/>
      <c r="CJ29" s="98"/>
      <c r="CK29" s="98"/>
      <c r="CU29" s="225" t="str">
        <f>IF(Basisdaten!$B$15=Basisdaten!$D$2,CV29,CW29)</f>
        <v>Summe Liquiditätsabgang</v>
      </c>
      <c r="CV29" s="30" t="s">
        <v>45</v>
      </c>
      <c r="CW29" s="71" t="s">
        <v>213</v>
      </c>
    </row>
    <row r="30" spans="2:101" ht="15" customHeight="1">
      <c r="C30" s="1165">
        <v>4</v>
      </c>
      <c r="D30" s="1434" t="str">
        <f t="shared" si="1"/>
        <v>Liquiditätssaldo</v>
      </c>
      <c r="E30" s="1167"/>
      <c r="F30" s="1167"/>
      <c r="G30" s="1167"/>
      <c r="H30" s="1167"/>
      <c r="I30" s="1167"/>
      <c r="J30" s="1167"/>
      <c r="K30" s="1167"/>
      <c r="L30" s="1167"/>
      <c r="M30" s="1167"/>
      <c r="N30" s="1167"/>
      <c r="O30" s="1167"/>
      <c r="P30" s="1167"/>
      <c r="Q30" s="1167"/>
      <c r="S30" s="37"/>
      <c r="CU30" s="225" t="str">
        <f>IF(Basisdaten!$B$15=Basisdaten!$D$2,CV30,CW30)</f>
        <v>Liquiditätssaldo</v>
      </c>
      <c r="CV30" s="30" t="s">
        <v>46</v>
      </c>
      <c r="CW30" s="71" t="s">
        <v>214</v>
      </c>
    </row>
    <row r="31" spans="2:101" ht="15" customHeight="1">
      <c r="C31" s="1098"/>
      <c r="D31" s="843" t="str">
        <f t="shared" si="1"/>
        <v xml:space="preserve">Konto/flüss. Mittel/ Liquiditätssaldo/Startg. </v>
      </c>
      <c r="E31" s="252">
        <f>E8</f>
        <v>0</v>
      </c>
      <c r="F31" s="252">
        <f t="shared" ref="F31:P31" si="5">F7+F8</f>
        <v>0</v>
      </c>
      <c r="G31" s="252">
        <f t="shared" si="5"/>
        <v>0</v>
      </c>
      <c r="H31" s="252">
        <f t="shared" si="5"/>
        <v>0</v>
      </c>
      <c r="I31" s="252">
        <f t="shared" si="5"/>
        <v>0</v>
      </c>
      <c r="J31" s="252">
        <f t="shared" si="5"/>
        <v>0</v>
      </c>
      <c r="K31" s="252">
        <f t="shared" si="5"/>
        <v>0</v>
      </c>
      <c r="L31" s="252">
        <f t="shared" si="5"/>
        <v>0</v>
      </c>
      <c r="M31" s="252">
        <f t="shared" si="5"/>
        <v>0</v>
      </c>
      <c r="N31" s="252">
        <f t="shared" si="5"/>
        <v>0</v>
      </c>
      <c r="O31" s="252">
        <f t="shared" si="5"/>
        <v>0</v>
      </c>
      <c r="P31" s="252">
        <f t="shared" si="5"/>
        <v>0</v>
      </c>
      <c r="Q31" s="252">
        <f>P31</f>
        <v>0</v>
      </c>
      <c r="R31" s="1466"/>
      <c r="S31" s="37"/>
      <c r="CU31" s="225" t="str">
        <f>IF(Basisdaten!$B$15=Basisdaten!$D$2,CV31,CW31)</f>
        <v xml:space="preserve">Konto/flüss. Mittel/ Liquiditätssaldo/Startg. </v>
      </c>
      <c r="CV31" s="30" t="s">
        <v>59</v>
      </c>
      <c r="CW31" s="71" t="s">
        <v>209</v>
      </c>
    </row>
    <row r="32" spans="2:101" ht="15" customHeight="1">
      <c r="C32" s="1098"/>
      <c r="D32" s="843" t="str">
        <f t="shared" si="1"/>
        <v>(+) Summe Liquiditätszugang</v>
      </c>
      <c r="E32" s="252">
        <f t="shared" ref="E32:P32" si="6">E17</f>
        <v>0</v>
      </c>
      <c r="F32" s="252">
        <f t="shared" si="6"/>
        <v>0</v>
      </c>
      <c r="G32" s="252">
        <f t="shared" si="6"/>
        <v>0</v>
      </c>
      <c r="H32" s="252">
        <f t="shared" si="6"/>
        <v>0</v>
      </c>
      <c r="I32" s="252">
        <f t="shared" si="6"/>
        <v>0</v>
      </c>
      <c r="J32" s="252">
        <f t="shared" si="6"/>
        <v>0</v>
      </c>
      <c r="K32" s="252">
        <f t="shared" si="6"/>
        <v>0</v>
      </c>
      <c r="L32" s="252">
        <f t="shared" si="6"/>
        <v>0</v>
      </c>
      <c r="M32" s="252">
        <f t="shared" si="6"/>
        <v>0</v>
      </c>
      <c r="N32" s="252">
        <f t="shared" si="6"/>
        <v>0</v>
      </c>
      <c r="O32" s="252">
        <f t="shared" si="6"/>
        <v>0</v>
      </c>
      <c r="P32" s="252">
        <f t="shared" si="6"/>
        <v>0</v>
      </c>
      <c r="Q32" s="252">
        <f>P32</f>
        <v>0</v>
      </c>
      <c r="R32" s="1466"/>
      <c r="S32" s="37"/>
      <c r="CU32" s="225" t="str">
        <f>IF(Basisdaten!$B$15=Basisdaten!$D$2,CV32,CW32)</f>
        <v>(+) Summe Liquiditätszugang</v>
      </c>
      <c r="CV32" s="30" t="s">
        <v>47</v>
      </c>
      <c r="CW32" s="71" t="s">
        <v>399</v>
      </c>
    </row>
    <row r="33" spans="2:134" ht="15" customHeight="1">
      <c r="C33" s="862"/>
      <c r="D33" s="843" t="str">
        <f t="shared" si="1"/>
        <v>(-) Summe Liquiditätsabgang</v>
      </c>
      <c r="E33" s="252">
        <f t="shared" ref="E33:P33" si="7">E29</f>
        <v>0</v>
      </c>
      <c r="F33" s="252">
        <f t="shared" si="7"/>
        <v>0</v>
      </c>
      <c r="G33" s="252">
        <f t="shared" si="7"/>
        <v>0</v>
      </c>
      <c r="H33" s="252">
        <f t="shared" si="7"/>
        <v>0</v>
      </c>
      <c r="I33" s="252">
        <f t="shared" si="7"/>
        <v>0</v>
      </c>
      <c r="J33" s="252">
        <f t="shared" si="7"/>
        <v>0</v>
      </c>
      <c r="K33" s="252">
        <f t="shared" si="7"/>
        <v>0</v>
      </c>
      <c r="L33" s="252">
        <f t="shared" si="7"/>
        <v>0</v>
      </c>
      <c r="M33" s="252">
        <f t="shared" si="7"/>
        <v>0</v>
      </c>
      <c r="N33" s="252">
        <f t="shared" si="7"/>
        <v>0</v>
      </c>
      <c r="O33" s="252">
        <f t="shared" si="7"/>
        <v>0</v>
      </c>
      <c r="P33" s="252">
        <f t="shared" si="7"/>
        <v>0</v>
      </c>
      <c r="Q33" s="252">
        <f>P33</f>
        <v>0</v>
      </c>
      <c r="R33" s="1466"/>
      <c r="S33" s="37"/>
      <c r="CU33" s="225" t="str">
        <f>IF(Basisdaten!$B$15=Basisdaten!$D$2,CV33,CW33)</f>
        <v>(-) Summe Liquiditätsabgang</v>
      </c>
      <c r="CV33" s="30" t="s">
        <v>48</v>
      </c>
      <c r="CW33" s="71" t="s">
        <v>215</v>
      </c>
    </row>
    <row r="34" spans="2:134" s="170" customFormat="1" ht="15" customHeight="1">
      <c r="B34" s="98"/>
      <c r="C34" s="1104"/>
      <c r="D34" s="667" t="str">
        <f t="shared" si="1"/>
        <v>Liquiditätssaldo</v>
      </c>
      <c r="E34" s="1096">
        <f t="shared" ref="E34:P34" si="8">E32-E33+E31</f>
        <v>0</v>
      </c>
      <c r="F34" s="1096">
        <f>F32-F33+F31</f>
        <v>0</v>
      </c>
      <c r="G34" s="1096">
        <f t="shared" si="8"/>
        <v>0</v>
      </c>
      <c r="H34" s="1096">
        <f t="shared" si="8"/>
        <v>0</v>
      </c>
      <c r="I34" s="1096">
        <f t="shared" si="8"/>
        <v>0</v>
      </c>
      <c r="J34" s="1096">
        <f t="shared" si="8"/>
        <v>0</v>
      </c>
      <c r="K34" s="1096">
        <f t="shared" si="8"/>
        <v>0</v>
      </c>
      <c r="L34" s="1096">
        <f t="shared" si="8"/>
        <v>0</v>
      </c>
      <c r="M34" s="1096">
        <f t="shared" si="8"/>
        <v>0</v>
      </c>
      <c r="N34" s="1096">
        <f t="shared" si="8"/>
        <v>0</v>
      </c>
      <c r="O34" s="1096">
        <f t="shared" si="8"/>
        <v>0</v>
      </c>
      <c r="P34" s="1096">
        <f t="shared" si="8"/>
        <v>0</v>
      </c>
      <c r="Q34" s="1096">
        <f>Q32-Q33+Q31</f>
        <v>0</v>
      </c>
      <c r="R34" s="1467"/>
      <c r="S34" s="98"/>
      <c r="T34" s="1604"/>
      <c r="U34" s="171"/>
      <c r="V34" s="171"/>
      <c r="W34" s="171"/>
      <c r="X34" s="171"/>
      <c r="Y34" s="171"/>
      <c r="Z34" s="171"/>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8"/>
      <c r="BW34" s="98"/>
      <c r="BX34" s="98"/>
      <c r="BY34" s="98"/>
      <c r="BZ34" s="98"/>
      <c r="CA34" s="98"/>
      <c r="CB34" s="98"/>
      <c r="CC34" s="98"/>
      <c r="CD34" s="98"/>
      <c r="CE34" s="98"/>
      <c r="CF34" s="98"/>
      <c r="CG34" s="98"/>
      <c r="CH34" s="98"/>
      <c r="CI34" s="98"/>
      <c r="CJ34" s="98"/>
      <c r="CK34" s="98"/>
      <c r="CU34" s="225" t="str">
        <f>IF(Basisdaten!$B$15=Basisdaten!$D$2,CV34,CW34)</f>
        <v>Liquiditätssaldo</v>
      </c>
      <c r="CV34" s="30" t="s">
        <v>46</v>
      </c>
      <c r="CW34" s="71" t="s">
        <v>214</v>
      </c>
      <c r="DL34" s="97"/>
      <c r="DM34" s="97"/>
      <c r="DN34" s="97"/>
      <c r="DO34" s="97"/>
      <c r="DP34" s="97"/>
      <c r="DQ34" s="97"/>
      <c r="DR34" s="97"/>
      <c r="DS34" s="97"/>
      <c r="DT34" s="97"/>
      <c r="DU34" s="97"/>
      <c r="DV34" s="97"/>
      <c r="DW34" s="97"/>
      <c r="DX34" s="97"/>
      <c r="DY34" s="97"/>
      <c r="DZ34" s="97"/>
    </row>
    <row r="35" spans="2:134" s="142" customFormat="1" ht="52.2" customHeight="1">
      <c r="C35" s="174"/>
      <c r="E35" s="299"/>
      <c r="G35" s="482"/>
      <c r="I35" s="299"/>
      <c r="J35" s="299"/>
      <c r="Q35" s="175"/>
      <c r="R35" s="175"/>
      <c r="S35" s="45"/>
      <c r="T35" s="1510"/>
      <c r="U35" s="85"/>
      <c r="V35" s="85"/>
      <c r="W35" s="85"/>
      <c r="X35" s="85"/>
      <c r="Y35" s="85"/>
      <c r="Z35" s="85"/>
      <c r="CU35" s="225" t="str">
        <f>IF(Basisdaten!$B$15=Basisdaten!$D$2,CV35,CW35)</f>
        <v>Liquidität</v>
      </c>
      <c r="CV35" s="38" t="s">
        <v>856</v>
      </c>
      <c r="CW35" s="38" t="s">
        <v>855</v>
      </c>
      <c r="CX35" s="37"/>
      <c r="CY35" s="37"/>
      <c r="CZ35" s="37"/>
      <c r="DA35" s="37"/>
      <c r="DB35" s="37"/>
      <c r="DC35" s="37"/>
      <c r="DD35" s="37"/>
      <c r="DE35" s="37"/>
      <c r="DF35" s="37"/>
      <c r="DG35" s="37"/>
      <c r="DH35" s="37"/>
      <c r="DI35" s="37"/>
      <c r="DJ35" s="37"/>
      <c r="DK35" s="37"/>
    </row>
    <row r="36" spans="2:134" s="1114" customFormat="1" ht="24.6">
      <c r="C36" s="163" t="str">
        <f ca="1">CU36</f>
        <v>6a-2 Liquidität in den Monaten des Jahres 2027</v>
      </c>
      <c r="E36" s="1111"/>
      <c r="F36" s="1111"/>
      <c r="G36" s="1111"/>
      <c r="H36" s="1111"/>
      <c r="I36" s="1111"/>
      <c r="J36" s="1111"/>
      <c r="K36" s="1111"/>
      <c r="L36" s="1111"/>
      <c r="M36" s="1111"/>
      <c r="N36" s="1115"/>
      <c r="O36" s="1115"/>
      <c r="P36" s="1115"/>
      <c r="Q36" s="1115"/>
      <c r="R36" s="1115"/>
      <c r="T36" s="1606"/>
      <c r="U36" s="1116"/>
      <c r="V36" s="1116"/>
      <c r="W36" s="1116"/>
      <c r="X36" s="1116"/>
      <c r="Y36" s="1116"/>
      <c r="Z36" s="1116"/>
      <c r="CU36" s="225" t="str">
        <f ca="1">IF(Basisdaten!$B$15=Basisdaten!$D$2,CV36,CW36)</f>
        <v>6a-2 Liquidität in den Monaten des Jahres 2027</v>
      </c>
      <c r="CV36" s="216" t="str">
        <f ca="1">"6a-2 Liquidität in den Monaten des Jahres "&amp;Basisdaten!$C$15+1</f>
        <v>6a-2 Liquidität in den Monaten des Jahres 2027</v>
      </c>
      <c r="CW36" s="216" t="str">
        <f ca="1">"6a-2 Liquidity in the months of year "&amp;Basisdaten!$C$15+1</f>
        <v>6a-2 Liquidity in the months of year 2027</v>
      </c>
      <c r="CX36" s="1110"/>
      <c r="CY36" s="1110"/>
      <c r="CZ36" s="1110"/>
      <c r="DA36" s="1110"/>
      <c r="DB36" s="1110"/>
      <c r="DC36" s="1110"/>
      <c r="DD36" s="1110"/>
      <c r="DE36" s="1110"/>
      <c r="DF36" s="1110"/>
      <c r="DG36" s="1110"/>
      <c r="DH36" s="1110"/>
      <c r="DI36" s="1110"/>
      <c r="DJ36" s="1110"/>
      <c r="DK36" s="1110"/>
      <c r="DL36" s="1113"/>
      <c r="DM36" s="1113"/>
      <c r="DN36" s="1113"/>
      <c r="DO36" s="1113"/>
      <c r="DP36" s="1113"/>
      <c r="DQ36" s="1113"/>
      <c r="DR36" s="1113"/>
      <c r="DS36" s="1113"/>
      <c r="DT36" s="1113"/>
      <c r="DU36" s="1113"/>
      <c r="DV36" s="1113"/>
      <c r="DW36" s="1113"/>
      <c r="DX36" s="1113"/>
      <c r="DY36" s="1113"/>
      <c r="DZ36" s="1113"/>
    </row>
    <row r="37" spans="2:134" s="36" customFormat="1">
      <c r="D37" s="165"/>
      <c r="E37" s="172">
        <v>13</v>
      </c>
      <c r="F37" s="172">
        <v>14</v>
      </c>
      <c r="G37" s="172">
        <v>15</v>
      </c>
      <c r="H37" s="172">
        <v>16</v>
      </c>
      <c r="I37" s="172">
        <v>17</v>
      </c>
      <c r="J37" s="172">
        <v>18</v>
      </c>
      <c r="K37" s="172">
        <v>19</v>
      </c>
      <c r="L37" s="172">
        <v>20</v>
      </c>
      <c r="M37" s="172">
        <v>21</v>
      </c>
      <c r="N37" s="172">
        <v>22</v>
      </c>
      <c r="O37" s="172">
        <v>23</v>
      </c>
      <c r="P37" s="172">
        <v>24</v>
      </c>
      <c r="Q37" s="49"/>
      <c r="R37" s="49"/>
      <c r="T37" s="1607"/>
      <c r="U37" s="1603"/>
      <c r="V37" s="1603"/>
      <c r="W37" s="1603"/>
      <c r="X37" s="1603"/>
      <c r="Y37" s="1510"/>
      <c r="Z37" s="176"/>
      <c r="AB37" s="136"/>
      <c r="AC37" s="136"/>
      <c r="AD37" s="169"/>
      <c r="AE37" s="136"/>
      <c r="AF37" s="136"/>
      <c r="CU37" s="225">
        <f>IF(Basisdaten!$B$15=Basisdaten!$D$2,CV37,CW37)</f>
        <v>0</v>
      </c>
      <c r="CV37" s="37"/>
      <c r="CW37" s="37"/>
      <c r="CX37" s="30"/>
      <c r="CY37" s="30"/>
      <c r="CZ37" s="30"/>
      <c r="DA37" s="30"/>
      <c r="DB37" s="30"/>
      <c r="DC37" s="30"/>
      <c r="DD37" s="30"/>
      <c r="DE37" s="30"/>
      <c r="DF37" s="30"/>
      <c r="DG37" s="30"/>
      <c r="DH37" s="30"/>
      <c r="DI37" s="30"/>
      <c r="DJ37" s="30"/>
      <c r="DK37" s="30"/>
      <c r="DL37" s="45"/>
      <c r="DM37" s="45"/>
      <c r="DN37" s="45"/>
      <c r="DO37" s="45"/>
      <c r="DP37" s="45"/>
      <c r="DQ37" s="45"/>
      <c r="DR37" s="45"/>
      <c r="DS37" s="45"/>
      <c r="DT37" s="45"/>
      <c r="DU37" s="45"/>
      <c r="DV37" s="45"/>
      <c r="DW37" s="45"/>
      <c r="DX37" s="45"/>
      <c r="DY37" s="45"/>
      <c r="DZ37" s="45"/>
      <c r="EA37" s="37"/>
      <c r="EB37" s="37"/>
      <c r="EC37" s="37"/>
      <c r="ED37" s="37"/>
    </row>
    <row r="38" spans="2:134" ht="16.8" thickBot="1">
      <c r="C38" s="1097" t="s">
        <v>202</v>
      </c>
      <c r="D38" s="342" t="str">
        <f t="shared" ref="D38:P38" si="9">D6</f>
        <v>Einzahlungen/Auszahlungen (MwSt-Satz s. Tab.2 und Tab.4)</v>
      </c>
      <c r="E38" s="342" t="str">
        <f t="shared" si="9"/>
        <v>Jan.</v>
      </c>
      <c r="F38" s="342" t="str">
        <f t="shared" si="9"/>
        <v>Feb</v>
      </c>
      <c r="G38" s="342" t="str">
        <f t="shared" si="9"/>
        <v>Mrz</v>
      </c>
      <c r="H38" s="342" t="str">
        <f t="shared" si="9"/>
        <v>Apr</v>
      </c>
      <c r="I38" s="342" t="str">
        <f t="shared" si="9"/>
        <v>Mai</v>
      </c>
      <c r="J38" s="342" t="str">
        <f t="shared" si="9"/>
        <v>Jun</v>
      </c>
      <c r="K38" s="342" t="str">
        <f t="shared" si="9"/>
        <v>Jul</v>
      </c>
      <c r="L38" s="342" t="str">
        <f t="shared" si="9"/>
        <v>Aug</v>
      </c>
      <c r="M38" s="342" t="str">
        <f t="shared" si="9"/>
        <v>Sep</v>
      </c>
      <c r="N38" s="342" t="str">
        <f t="shared" si="9"/>
        <v>Okt</v>
      </c>
      <c r="O38" s="342" t="str">
        <f t="shared" si="9"/>
        <v>Nov</v>
      </c>
      <c r="P38" s="342" t="str">
        <f t="shared" si="9"/>
        <v>Dez</v>
      </c>
      <c r="Q38" s="342" t="str">
        <f ca="1">Basisdaten!O16</f>
        <v>Jahr 2027</v>
      </c>
      <c r="R38" s="1463"/>
      <c r="S38" s="36"/>
      <c r="CU38" s="225" t="str">
        <f>IF(Basisdaten!$B$15=Basisdaten!$D$2,CV38,CW38)</f>
        <v>Einzahlungen/Auszahlungen (MwSt-Satz s. Tab.2 und Tab.4)</v>
      </c>
      <c r="CV38" s="30" t="s">
        <v>109</v>
      </c>
      <c r="CW38" s="71" t="str">
        <f>CW6</f>
        <v>Receipts / pay offs (VAT rate s. tab 2 and tab 4)</v>
      </c>
    </row>
    <row r="39" spans="2:134" ht="15" customHeight="1">
      <c r="C39" s="1098">
        <v>1</v>
      </c>
      <c r="D39" s="843" t="str">
        <f t="shared" ref="D39:D54" si="10">D7</f>
        <v>Konto / flüss. Mittel / Liquiditätssaldo</v>
      </c>
      <c r="E39" s="252">
        <f>P34</f>
        <v>0</v>
      </c>
      <c r="F39" s="252">
        <f t="shared" ref="F39:P39" si="11">E66</f>
        <v>0</v>
      </c>
      <c r="G39" s="252">
        <f t="shared" si="11"/>
        <v>0</v>
      </c>
      <c r="H39" s="252">
        <f t="shared" si="11"/>
        <v>0</v>
      </c>
      <c r="I39" s="252">
        <f t="shared" si="11"/>
        <v>0</v>
      </c>
      <c r="J39" s="252">
        <f t="shared" si="11"/>
        <v>0</v>
      </c>
      <c r="K39" s="252">
        <f t="shared" si="11"/>
        <v>0</v>
      </c>
      <c r="L39" s="252">
        <f t="shared" si="11"/>
        <v>0</v>
      </c>
      <c r="M39" s="252">
        <f t="shared" si="11"/>
        <v>0</v>
      </c>
      <c r="N39" s="252">
        <f t="shared" si="11"/>
        <v>0</v>
      </c>
      <c r="O39" s="252">
        <f t="shared" si="11"/>
        <v>0</v>
      </c>
      <c r="P39" s="263">
        <f t="shared" si="11"/>
        <v>0</v>
      </c>
      <c r="Q39" s="263">
        <f>P39</f>
        <v>0</v>
      </c>
      <c r="S39" s="36"/>
      <c r="CU39" s="225" t="str">
        <f>IF(Basisdaten!$B$15=Basisdaten!$D$2,CV39,CW39)</f>
        <v>Konto / flüss. Mittel / Liquiditätssaldo</v>
      </c>
      <c r="CV39" s="226" t="s">
        <v>58</v>
      </c>
      <c r="CW39" s="71" t="str">
        <f>CW7</f>
        <v>Account / liquid resources / liquidity balance / opening balance</v>
      </c>
    </row>
    <row r="40" spans="2:134" ht="15" customHeight="1">
      <c r="C40" s="1098"/>
      <c r="D40" s="843" t="str">
        <f t="shared" si="10"/>
        <v>Startguthaben (Eigenkapital und -leistung und Beteiligungen aus Tab. 7a)</v>
      </c>
      <c r="E40" s="252">
        <f>IF('8 Kapital|Capital'!$P$8=E5,'8 Kapital|Capital'!$O$8,0)+IF('8 Kapital|Capital'!$P$9=E5,'8 Kapital|Capital'!$O$9,0)+IF('8 Kapital|Capital'!$P$10=E5,'8 Kapital|Capital'!$O$10,0)</f>
        <v>0</v>
      </c>
      <c r="F40" s="252">
        <f>IF('8 Kapital|Capital'!$P$8=F5,'8 Kapital|Capital'!$O$8,0)+IF('8 Kapital|Capital'!$P$9=F5,'8 Kapital|Capital'!$O$9,0)+IF('8 Kapital|Capital'!$P$10=F5,'8 Kapital|Capital'!$O$10,0)</f>
        <v>0</v>
      </c>
      <c r="G40" s="252">
        <f>IF('8 Kapital|Capital'!$P$8=G5,'8 Kapital|Capital'!$O$8,0)+IF('8 Kapital|Capital'!$P$9=G5,'8 Kapital|Capital'!$O$9,0)+IF('8 Kapital|Capital'!$P$10=G5,'8 Kapital|Capital'!$O$10,0)</f>
        <v>0</v>
      </c>
      <c r="H40" s="252">
        <f>IF('8 Kapital|Capital'!$P$8=H5,'8 Kapital|Capital'!$O$8,0)+IF('8 Kapital|Capital'!$P$9=H5,'8 Kapital|Capital'!$O$9,0)+IF('8 Kapital|Capital'!$P$10=H5,'8 Kapital|Capital'!$O$10,0)</f>
        <v>0</v>
      </c>
      <c r="I40" s="252">
        <f>IF('8 Kapital|Capital'!$P$8=I5,'8 Kapital|Capital'!$O$8,0)+IF('8 Kapital|Capital'!$P$9=I5,'8 Kapital|Capital'!$O$9,0)+IF('8 Kapital|Capital'!$P$10=I5,'8 Kapital|Capital'!$O$10,0)</f>
        <v>0</v>
      </c>
      <c r="J40" s="252">
        <f>IF('8 Kapital|Capital'!$P$8=J5,'8 Kapital|Capital'!$O$8,0)+IF('8 Kapital|Capital'!$P$9=J5,'8 Kapital|Capital'!$O$9,0)+IF('8 Kapital|Capital'!$P$10=J5,'8 Kapital|Capital'!$O$10,0)</f>
        <v>0</v>
      </c>
      <c r="K40" s="252">
        <f>IF('8 Kapital|Capital'!$P$8=K5,'8 Kapital|Capital'!$O$8,0)+IF('8 Kapital|Capital'!$P$9=K5,'8 Kapital|Capital'!$O$9,0)+IF('8 Kapital|Capital'!$P$10=K5,'8 Kapital|Capital'!$O$10,0)</f>
        <v>0</v>
      </c>
      <c r="L40" s="252">
        <f>IF('8 Kapital|Capital'!$P$8=L5,'8 Kapital|Capital'!$O$8,0)+IF('8 Kapital|Capital'!$P$9=L5,'8 Kapital|Capital'!$O$9,0)+IF('8 Kapital|Capital'!$P$10=L5,'8 Kapital|Capital'!$O$10,0)</f>
        <v>0</v>
      </c>
      <c r="M40" s="252">
        <f>IF('8 Kapital|Capital'!$P$8=M5,'8 Kapital|Capital'!$O$8,0)+IF('8 Kapital|Capital'!$P$9=M5,'8 Kapital|Capital'!$O$9,0)+IF('8 Kapital|Capital'!$P$10=M5,'8 Kapital|Capital'!$O$10,0)</f>
        <v>0</v>
      </c>
      <c r="N40" s="252">
        <f>IF('8 Kapital|Capital'!$P$8=N5,'8 Kapital|Capital'!$O$8,0)+IF('8 Kapital|Capital'!$P$9=N5,'8 Kapital|Capital'!$O$9,0)+IF('8 Kapital|Capital'!$P$10=N5,'8 Kapital|Capital'!$O$10,0)</f>
        <v>0</v>
      </c>
      <c r="O40" s="252">
        <f>IF('8 Kapital|Capital'!$P$8=O5,'8 Kapital|Capital'!$O$8,0)+IF('8 Kapital|Capital'!$P$9=O5,'8 Kapital|Capital'!$O$9,0)+IF('8 Kapital|Capital'!$P$10=O5,'8 Kapital|Capital'!$O$10,0)</f>
        <v>0</v>
      </c>
      <c r="P40" s="252">
        <f>IF('8 Kapital|Capital'!$P$8=P5,'8 Kapital|Capital'!$O$8,0)+IF('8 Kapital|Capital'!$P$9=P5,'8 Kapital|Capital'!$O$9,0)+IF('8 Kapital|Capital'!$P$10=P5,'8 Kapital|Capital'!$O$10,0)</f>
        <v>0</v>
      </c>
      <c r="Q40" s="252">
        <f>SUM(E40:P40)</f>
        <v>0</v>
      </c>
      <c r="S40" s="36"/>
      <c r="CU40" s="225" t="str">
        <f>IF(Basisdaten!$B$15=Basisdaten!$D$2,CV40,CW40)</f>
        <v>Beteiligungen aus Tab 7a</v>
      </c>
      <c r="CV40" s="226" t="s">
        <v>429</v>
      </c>
      <c r="CW40" s="71" t="s">
        <v>430</v>
      </c>
    </row>
    <row r="41" spans="2:134" ht="15" customHeight="1">
      <c r="C41" s="1165">
        <v>2</v>
      </c>
      <c r="D41" s="1434" t="str">
        <f t="shared" si="10"/>
        <v>Einnahmen / Einzahlungen</v>
      </c>
      <c r="E41" s="1167"/>
      <c r="F41" s="1167"/>
      <c r="G41" s="1167"/>
      <c r="H41" s="1167"/>
      <c r="I41" s="1167"/>
      <c r="J41" s="1167"/>
      <c r="K41" s="1167"/>
      <c r="L41" s="1167"/>
      <c r="M41" s="1167"/>
      <c r="N41" s="1167"/>
      <c r="O41" s="1167"/>
      <c r="P41" s="1167"/>
      <c r="Q41" s="1167"/>
      <c r="S41" s="36"/>
      <c r="CU41" s="225" t="str">
        <f>IF(Basisdaten!$B$15=Basisdaten!$D$2,CV41,CW41)</f>
        <v>Einnahmen / Einzahlungen</v>
      </c>
      <c r="CV41" s="226" t="s">
        <v>41</v>
      </c>
      <c r="CW41" s="71" t="str">
        <f>CW9</f>
        <v>Receipts / payments-in</v>
      </c>
    </row>
    <row r="42" spans="2:134" ht="15" customHeight="1">
      <c r="C42" s="862"/>
      <c r="D42" s="843" t="str">
        <f t="shared" si="10"/>
        <v>Umsatzerlöse (ohne MwSt) (aus Tab 2a-1)</v>
      </c>
      <c r="E42" s="252">
        <f>'2 Umsatz|Sales'!H65</f>
        <v>0</v>
      </c>
      <c r="F42" s="252">
        <f>'2 Umsatz|Sales'!I65</f>
        <v>0</v>
      </c>
      <c r="G42" s="252">
        <f>'2 Umsatz|Sales'!J65</f>
        <v>0</v>
      </c>
      <c r="H42" s="252">
        <f>'2 Umsatz|Sales'!K65</f>
        <v>0</v>
      </c>
      <c r="I42" s="252">
        <f>'2 Umsatz|Sales'!L65</f>
        <v>0</v>
      </c>
      <c r="J42" s="252">
        <f>'2 Umsatz|Sales'!M65</f>
        <v>0</v>
      </c>
      <c r="K42" s="252">
        <f>'2 Umsatz|Sales'!N65</f>
        <v>0</v>
      </c>
      <c r="L42" s="252">
        <f>'2 Umsatz|Sales'!O65</f>
        <v>0</v>
      </c>
      <c r="M42" s="252">
        <f>'2 Umsatz|Sales'!P65</f>
        <v>0</v>
      </c>
      <c r="N42" s="252">
        <f>'2 Umsatz|Sales'!Q65</f>
        <v>0</v>
      </c>
      <c r="O42" s="252">
        <f>'2 Umsatz|Sales'!R65</f>
        <v>0</v>
      </c>
      <c r="P42" s="252">
        <f>'2 Umsatz|Sales'!S65</f>
        <v>0</v>
      </c>
      <c r="Q42" s="252">
        <f>IF(D42="","",SUM(E42:P42))</f>
        <v>0</v>
      </c>
      <c r="S42" s="36"/>
      <c r="CU42" s="225" t="str">
        <f>IF(Basisdaten!$B$15=Basisdaten!$D$2,CV42,CW42)</f>
        <v>Umsatzerlöse (ohne MwSt)  (aus Tab 2a-2)</v>
      </c>
      <c r="CV42" s="30" t="str">
        <f>"Umsatzerlöse"&amp;Basisdaten!L15&amp;" (aus Tab 2a-2)"</f>
        <v>Umsatzerlöse (ohne MwSt)  (aus Tab 2a-2)</v>
      </c>
      <c r="CW42" s="30" t="str">
        <f>"Sales"&amp;Basisdaten!L15&amp; "(from tab 2a-2)"</f>
        <v>Sales (ohne MwSt) (from tab 2a-2)</v>
      </c>
    </row>
    <row r="43" spans="2:134" ht="15" customHeight="1">
      <c r="C43" s="862"/>
      <c r="D43" s="843" t="str">
        <f t="shared" si="10"/>
        <v>steuerpflichtig</v>
      </c>
      <c r="E43" s="252">
        <f>'2 Umsatz|Sales'!H152</f>
        <v>0</v>
      </c>
      <c r="F43" s="252">
        <f>'2 Umsatz|Sales'!I152</f>
        <v>0</v>
      </c>
      <c r="G43" s="252">
        <f>'2 Umsatz|Sales'!J152</f>
        <v>0</v>
      </c>
      <c r="H43" s="252">
        <f>'2 Umsatz|Sales'!K152</f>
        <v>0</v>
      </c>
      <c r="I43" s="252">
        <f>'2 Umsatz|Sales'!L152</f>
        <v>0</v>
      </c>
      <c r="J43" s="252">
        <f>'2 Umsatz|Sales'!M152</f>
        <v>0</v>
      </c>
      <c r="K43" s="252">
        <f>'2 Umsatz|Sales'!N152</f>
        <v>0</v>
      </c>
      <c r="L43" s="252">
        <f>'2 Umsatz|Sales'!O152</f>
        <v>0</v>
      </c>
      <c r="M43" s="252">
        <f>'2 Umsatz|Sales'!P152</f>
        <v>0</v>
      </c>
      <c r="N43" s="252">
        <f>'2 Umsatz|Sales'!Q152</f>
        <v>0</v>
      </c>
      <c r="O43" s="252">
        <f>'2 Umsatz|Sales'!R152</f>
        <v>0</v>
      </c>
      <c r="P43" s="252">
        <f>'2 Umsatz|Sales'!S152</f>
        <v>0</v>
      </c>
      <c r="Q43" s="252">
        <f>IF(D43="","",SUM(E43:P43))</f>
        <v>0</v>
      </c>
      <c r="S43" s="36"/>
      <c r="CU43" s="225" t="str">
        <f>IF(Basisdaten!$B$15=Basisdaten!$D$2,CV43,CW43)</f>
        <v>Rechnung gestellte MwSt auf Umsatzerlöse (Zeile 143 in Tab 2.1 b)</v>
      </c>
      <c r="CV43" s="30" t="str">
        <f>IF('2 Umsatz|Sales'!$CT$23=0,Basisdaten!$U$34,"Rechnung gestellte MwSt auf Umsatzerlöse (Zeile 143 in Tab 2.1 b)")</f>
        <v>Rechnung gestellte MwSt auf Umsatzerlöse (Zeile 143 in Tab 2.1 b)</v>
      </c>
      <c r="CW43" s="71" t="str">
        <f>IF('2 Umsatz|Sales'!$CT$23=0,Basisdaten!$U$34,"Charged  VAT for sales (line 143 in tab 2.1 b)")</f>
        <v>Charged  VAT for sales (line 143 in tab 2.1 b)</v>
      </c>
    </row>
    <row r="44" spans="2:134" ht="15" customHeight="1">
      <c r="C44" s="862"/>
      <c r="D44" s="843" t="str">
        <f t="shared" si="10"/>
        <v>Eingegangene Zahlungen aus Umsätzen</v>
      </c>
      <c r="E44" s="252">
        <f>IF($G$2=0,'2 Umsatz|Sales'!H65+'2 Umsatz|Sales'!H152,IF($G$2=0.5,'2 Umsatz|Sales'!H65/2+'2 Umsatz|Sales'!H152/2+'2 Umsatz|Sales'!S31/2,IF($G$2=1,'2 Umsatz|Sales'!S31,IF($G$2=2,'2 Umsatz|Sales'!R31,'2 Umsatz|Sales'!Q31))))</f>
        <v>0</v>
      </c>
      <c r="F44" s="252">
        <f>IF($G$2=0,'2 Umsatz|Sales'!I65+'2 Umsatz|Sales'!I152,IF($G$2=0.5,'2 Umsatz|Sales'!I65/2+'2 Umsatz|Sales'!I152/2+'2 Umsatz|Sales'!H65/2+'2 Umsatz|Sales'!H152/2,IF($G$2=1,'2 Umsatz|Sales'!H65+'2 Umsatz|Sales'!H152,IF($G$2=2,'2 Umsatz|Sales'!R31+'2 Umsatz|Sales'!R143,'2 Umsatz|Sales'!S31+'2 Umsatz|Sales'!S143))))</f>
        <v>0</v>
      </c>
      <c r="G44" s="252">
        <f>IF($G$2=0,'2 Umsatz|Sales'!J65+'2 Umsatz|Sales'!J152,IF($G$2=0.5,'2 Umsatz|Sales'!J65/2+'2 Umsatz|Sales'!J152/2+'2 Umsatz|Sales'!I65/2+'2 Umsatz|Sales'!I152/2,IF($G$2=1,'2 Umsatz|Sales'!I65+'2 Umsatz|Sales'!I152,IF($G$2=2,'2 Umsatz|Sales'!F65+'2 Umsatz|Sales'!H152,'2 Umsatz|Sales'!S31+'2 Umsatz|Sales'!S143))))</f>
        <v>0</v>
      </c>
      <c r="H44" s="252">
        <f>IF($G$2=0,'2 Umsatz|Sales'!K65+'2 Umsatz|Sales'!K152,IF($G$2=0.5,'2 Umsatz|Sales'!K65/2+'2 Umsatz|Sales'!K152/2+'2 Umsatz|Sales'!J65/2+'2 Umsatz|Sales'!J152/2,IF($G$2=1,'2 Umsatz|Sales'!J65+'2 Umsatz|Sales'!J152,IF($G$2=2,'2 Umsatz|Sales'!I65+'2 Umsatz|Sales'!I152,'2 Umsatz|Sales'!H65+'2 Umsatz|Sales'!H152))))</f>
        <v>0</v>
      </c>
      <c r="I44" s="252">
        <f>IF($G$2=0,'2 Umsatz|Sales'!L65+'2 Umsatz|Sales'!L152,IF($G$2=0.5,'2 Umsatz|Sales'!L65/2+'2 Umsatz|Sales'!L152/2+'2 Umsatz|Sales'!K65/2+'2 Umsatz|Sales'!K152/2,IF($G$2=1,'2 Umsatz|Sales'!K65+'2 Umsatz|Sales'!K152,IF($G$2=2,'2 Umsatz|Sales'!J65+'2 Umsatz|Sales'!J152,'2 Umsatz|Sales'!I65+'2 Umsatz|Sales'!I152))))</f>
        <v>0</v>
      </c>
      <c r="J44" s="252">
        <f>IF($G$2=0,'2 Umsatz|Sales'!M65+'2 Umsatz|Sales'!M152,IF($G$2=0.5,'2 Umsatz|Sales'!M65/2+'2 Umsatz|Sales'!M152/2+'2 Umsatz|Sales'!L65/2+'2 Umsatz|Sales'!L152/2,IF($G$2=1,'2 Umsatz|Sales'!L65+'2 Umsatz|Sales'!L152,IF($G$2=2,'2 Umsatz|Sales'!K65+'2 Umsatz|Sales'!K152,'2 Umsatz|Sales'!J65+'2 Umsatz|Sales'!J152))))</f>
        <v>0</v>
      </c>
      <c r="K44" s="252">
        <f>IF($G$2=0,'2 Umsatz|Sales'!N65+'2 Umsatz|Sales'!N152,IF($G$2=0.5,'2 Umsatz|Sales'!N65/2+'2 Umsatz|Sales'!N152/2+'2 Umsatz|Sales'!M65/2+'2 Umsatz|Sales'!M152/2,IF($G$2=1,'2 Umsatz|Sales'!M65+'2 Umsatz|Sales'!M152,IF($G$2=2,'2 Umsatz|Sales'!L65+'2 Umsatz|Sales'!L152,'2 Umsatz|Sales'!K65+'2 Umsatz|Sales'!K152))))</f>
        <v>0</v>
      </c>
      <c r="L44" s="252">
        <f>IF($G$2=0,'2 Umsatz|Sales'!O65+'2 Umsatz|Sales'!O152,IF($G$2=0.5,'2 Umsatz|Sales'!O65/2+'2 Umsatz|Sales'!O152/2+'2 Umsatz|Sales'!N65/2+'2 Umsatz|Sales'!N152/2,IF($G$2=1,'2 Umsatz|Sales'!N65+'2 Umsatz|Sales'!N152,IF($G$2=2,'2 Umsatz|Sales'!M65+'2 Umsatz|Sales'!M152,'2 Umsatz|Sales'!L65+'2 Umsatz|Sales'!L152))))</f>
        <v>0</v>
      </c>
      <c r="M44" s="252">
        <f>IF($G$2=0,'2 Umsatz|Sales'!P65+'2 Umsatz|Sales'!P152,IF($G$2=0.5,'2 Umsatz|Sales'!P65/2+'2 Umsatz|Sales'!P152/2+'2 Umsatz|Sales'!O65/2+'2 Umsatz|Sales'!O152/2,IF($G$2=1,'2 Umsatz|Sales'!O65+'2 Umsatz|Sales'!O152,IF($G$2=2,'2 Umsatz|Sales'!N65+'2 Umsatz|Sales'!N152,'2 Umsatz|Sales'!M65+'2 Umsatz|Sales'!M152))))</f>
        <v>0</v>
      </c>
      <c r="N44" s="252">
        <f>IF($G$2=0,'2 Umsatz|Sales'!Q65+'2 Umsatz|Sales'!Q152,IF($G$2=0.5,'2 Umsatz|Sales'!Q65/2+'2 Umsatz|Sales'!Q152/2+'2 Umsatz|Sales'!P65/2+'2 Umsatz|Sales'!P152/2,IF($G$2=1,'2 Umsatz|Sales'!P65+'2 Umsatz|Sales'!P152,IF($G$2=2,'2 Umsatz|Sales'!O65+'2 Umsatz|Sales'!O152,'2 Umsatz|Sales'!N65+'2 Umsatz|Sales'!N152))))</f>
        <v>0</v>
      </c>
      <c r="O44" s="252">
        <f>IF($G$2=0,'2 Umsatz|Sales'!R65+'2 Umsatz|Sales'!R152,IF($G$2=0.5,'2 Umsatz|Sales'!R65/2+'2 Umsatz|Sales'!R152/2+'2 Umsatz|Sales'!Q65/2+'2 Umsatz|Sales'!Q152/2,IF($G$2=1,'2 Umsatz|Sales'!Q65+'2 Umsatz|Sales'!Q152,IF($G$2=2,'2 Umsatz|Sales'!P65+'2 Umsatz|Sales'!P152,'2 Umsatz|Sales'!O65+'2 Umsatz|Sales'!O152))))</f>
        <v>0</v>
      </c>
      <c r="P44" s="252">
        <f>IF($G$2=0,'2 Umsatz|Sales'!S65+'2 Umsatz|Sales'!S152,IF($G$2=0.5,'2 Umsatz|Sales'!S65/2+'2 Umsatz|Sales'!S152/2+'2 Umsatz|Sales'!R65/2+'2 Umsatz|Sales'!R152/2,IF($G$2=1,'2 Umsatz|Sales'!R65+'2 Umsatz|Sales'!R152,IF($G$2=2,'2 Umsatz|Sales'!Q65+'2 Umsatz|Sales'!Q152,'2 Umsatz|Sales'!P65+'2 Umsatz|Sales'!P152))))</f>
        <v>0</v>
      </c>
      <c r="Q44" s="252">
        <f>SUM(E44:P44)</f>
        <v>0</v>
      </c>
      <c r="S44" s="36"/>
      <c r="CU44" s="225">
        <f>IF(Basisdaten!$B$15=Basisdaten!$D$2,CV44,CW44)</f>
        <v>0</v>
      </c>
      <c r="CW44" s="71"/>
    </row>
    <row r="45" spans="2:134" ht="15" customHeight="1">
      <c r="C45" s="862"/>
      <c r="D45" s="843" t="str">
        <f t="shared" si="10"/>
        <v>Finanzierung aus Tab. 7a (o. Eigenanteil/Beteiligungen)</v>
      </c>
      <c r="E45" s="252">
        <f>IF(E5='8 Kapital|Capital'!$P$11,'8 Kapital|Capital'!$O$11,IF('8 Kapital|Capital'!$P$12=E5,'8 Kapital|Capital'!$O$12,IF('8 Kapital|Capital'!$P$13=E5,'8 Kapital|Capital'!$O$13,0)))</f>
        <v>0</v>
      </c>
      <c r="F45" s="252">
        <f>IF(F5='8 Kapital|Capital'!$P$11,'8 Kapital|Capital'!$O$11,IF('8 Kapital|Capital'!$P$12=F5,'8 Kapital|Capital'!$O$12,IF('8 Kapital|Capital'!$P$13=F5,'8 Kapital|Capital'!$O$13,0)))</f>
        <v>0</v>
      </c>
      <c r="G45" s="252">
        <f>IF(G5='8 Kapital|Capital'!$P$11,'8 Kapital|Capital'!$O$11,IF('8 Kapital|Capital'!$P$12=G5,'8 Kapital|Capital'!$O$12,IF('8 Kapital|Capital'!$P$13=G5,'8 Kapital|Capital'!$O$13,0)))</f>
        <v>0</v>
      </c>
      <c r="H45" s="252">
        <f>IF(H5='8 Kapital|Capital'!$P$11,'8 Kapital|Capital'!$O$11,IF('8 Kapital|Capital'!$P$12=H5,'8 Kapital|Capital'!$O$12,IF('8 Kapital|Capital'!$P$13=H5,'8 Kapital|Capital'!$O$13,0)))</f>
        <v>0</v>
      </c>
      <c r="I45" s="252">
        <f>IF(I5='8 Kapital|Capital'!$P$11,'8 Kapital|Capital'!$O$11,IF('8 Kapital|Capital'!$P$12=I5,'8 Kapital|Capital'!$O$12,IF('8 Kapital|Capital'!$P$13=I5,'8 Kapital|Capital'!$O$13,0)))</f>
        <v>0</v>
      </c>
      <c r="J45" s="252">
        <f>IF(J5='8 Kapital|Capital'!$P$11,'8 Kapital|Capital'!$O$11,IF('8 Kapital|Capital'!$P$12=J5,'8 Kapital|Capital'!$O$12,IF('8 Kapital|Capital'!$P$13=J5,'8 Kapital|Capital'!$O$13,0)))</f>
        <v>0</v>
      </c>
      <c r="K45" s="252">
        <f>IF(K5='8 Kapital|Capital'!$P$11,'8 Kapital|Capital'!$O$11,IF('8 Kapital|Capital'!$P$12=K5,'8 Kapital|Capital'!$O$12,IF('8 Kapital|Capital'!$P$13=K5,'8 Kapital|Capital'!$O$13,0)))</f>
        <v>0</v>
      </c>
      <c r="L45" s="252">
        <f>IF(L5='8 Kapital|Capital'!$P$11,'8 Kapital|Capital'!$O$11,IF('8 Kapital|Capital'!$P$12=L5,'8 Kapital|Capital'!$O$12,IF('8 Kapital|Capital'!$P$13=L5,'8 Kapital|Capital'!$O$13,0)))</f>
        <v>0</v>
      </c>
      <c r="M45" s="252">
        <f>IF(M5='8 Kapital|Capital'!$P$11,'8 Kapital|Capital'!$O$11,IF('8 Kapital|Capital'!$P$12=M5,'8 Kapital|Capital'!$O$12,IF('8 Kapital|Capital'!$P$13=M5,'8 Kapital|Capital'!$O$13,0)))</f>
        <v>0</v>
      </c>
      <c r="N45" s="252">
        <f>IF(N5='8 Kapital|Capital'!$P$11,'8 Kapital|Capital'!$O$11,IF('8 Kapital|Capital'!$P$12=N5,'8 Kapital|Capital'!$O$12,IF('8 Kapital|Capital'!$P$13=N5,'8 Kapital|Capital'!$O$13,0)))</f>
        <v>0</v>
      </c>
      <c r="O45" s="252">
        <f>IF(O5='8 Kapital|Capital'!$P$11,'8 Kapital|Capital'!$O$11,IF('8 Kapital|Capital'!$P$12=O5,'8 Kapital|Capital'!$O$12,IF('8 Kapital|Capital'!$P$13=O5,'8 Kapital|Capital'!$O$13,0)))</f>
        <v>0</v>
      </c>
      <c r="P45" s="252">
        <f>IF(P5='8 Kapital|Capital'!$P$11,'8 Kapital|Capital'!$O$11,IF('8 Kapital|Capital'!$P$12=P5,'8 Kapital|Capital'!$O$12,IF('8 Kapital|Capital'!$P$13=P5,'8 Kapital|Capital'!$O$13,0)))</f>
        <v>0</v>
      </c>
      <c r="Q45" s="252">
        <f>IF(D45="","",SUM(E45:P45))</f>
        <v>0</v>
      </c>
      <c r="S45" s="36"/>
      <c r="CU45" s="225" t="str">
        <f>IF(Basisdaten!$B$15=Basisdaten!$D$2,CV45,CW45)</f>
        <v>Finanzierung (aus Tab. 7a o. Eigenanteil / Beteiligungen)</v>
      </c>
      <c r="CV45" s="30" t="str">
        <f>"Finanzierung (aus Tab. 7a o. Eigenanteil / Beteiligungen)"</f>
        <v>Finanzierung (aus Tab. 7a o. Eigenanteil / Beteiligungen)</v>
      </c>
      <c r="CW45" s="71" t="s">
        <v>431</v>
      </c>
    </row>
    <row r="46" spans="2:134" ht="15" customHeight="1">
      <c r="C46" s="862"/>
      <c r="D46" s="365" t="str">
        <f t="shared" si="10"/>
        <v>Forderungsausgleich</v>
      </c>
      <c r="E46" s="1160"/>
      <c r="F46" s="1160"/>
      <c r="G46" s="1160"/>
      <c r="H46" s="1160"/>
      <c r="I46" s="1160"/>
      <c r="J46" s="1160"/>
      <c r="K46" s="1160"/>
      <c r="L46" s="1160"/>
      <c r="M46" s="1160"/>
      <c r="N46" s="1160"/>
      <c r="O46" s="1160"/>
      <c r="P46" s="1160"/>
      <c r="Q46" s="281">
        <f>IF(D46="","",SUM(E46:P46))</f>
        <v>0</v>
      </c>
      <c r="S46" s="36"/>
      <c r="CU46" s="225" t="str">
        <f>IF(Basisdaten!$B$15=Basisdaten!$D$2,CV46,CW46)</f>
        <v>Forderungsausgleich</v>
      </c>
      <c r="CV46" s="30" t="s">
        <v>49</v>
      </c>
      <c r="CW46" s="71" t="str">
        <f>CW14</f>
        <v>Payments of outstanding bills</v>
      </c>
    </row>
    <row r="47" spans="2:134" ht="15" customHeight="1">
      <c r="C47" s="862"/>
      <c r="D47" s="365" t="str">
        <f t="shared" si="10"/>
        <v>Fördermittel</v>
      </c>
      <c r="E47" s="1912"/>
      <c r="F47" s="1912"/>
      <c r="G47" s="1912"/>
      <c r="H47" s="1912"/>
      <c r="I47" s="1912"/>
      <c r="J47" s="1912"/>
      <c r="K47" s="1912"/>
      <c r="L47" s="1912"/>
      <c r="M47" s="1912"/>
      <c r="N47" s="1912"/>
      <c r="O47" s="1912"/>
      <c r="P47" s="1912"/>
      <c r="Q47" s="1154"/>
      <c r="S47" s="36"/>
      <c r="CU47" s="225"/>
      <c r="CW47" s="71"/>
    </row>
    <row r="48" spans="2:134" ht="15" customHeight="1" thickBot="1">
      <c r="C48" s="862"/>
      <c r="D48" s="1162" t="str">
        <f t="shared" si="10"/>
        <v>Sonstige Einzahlungen, z.B. Gutscheine, Zuschüsse, ...</v>
      </c>
      <c r="E48" s="1161"/>
      <c r="F48" s="1161"/>
      <c r="G48" s="1161"/>
      <c r="H48" s="1161"/>
      <c r="I48" s="1161"/>
      <c r="J48" s="1161"/>
      <c r="K48" s="1161"/>
      <c r="L48" s="1161"/>
      <c r="M48" s="1161"/>
      <c r="N48" s="1161"/>
      <c r="O48" s="1161"/>
      <c r="P48" s="1161"/>
      <c r="Q48" s="282">
        <f>IF(D48="","",SUM(E48:P48))</f>
        <v>0</v>
      </c>
      <c r="S48" s="84"/>
      <c r="CU48" s="225" t="str">
        <f>IF(Basisdaten!$B$15=Basisdaten!$D$2,CV48,CW48)</f>
        <v>Sonstige Einzahlungen, z.B. Gutscheine, Zuschüsse, ...</v>
      </c>
      <c r="CV48" s="135" t="s">
        <v>133</v>
      </c>
      <c r="CW48" s="71" t="str">
        <f>CW16</f>
        <v>Other earnings e.g. vouchers, grants</v>
      </c>
    </row>
    <row r="49" spans="3:101" ht="15" customHeight="1" thickTop="1">
      <c r="C49" s="1157"/>
      <c r="D49" s="1158" t="str">
        <f t="shared" si="10"/>
        <v>Summe Liquiditätszugang</v>
      </c>
      <c r="E49" s="1159">
        <f>SUM(E44:E48)+E40</f>
        <v>0</v>
      </c>
      <c r="F49" s="1159">
        <f t="shared" ref="F49:P49" si="12">SUM(F44:F48)+F40</f>
        <v>0</v>
      </c>
      <c r="G49" s="1159">
        <f t="shared" si="12"/>
        <v>0</v>
      </c>
      <c r="H49" s="1159">
        <f t="shared" si="12"/>
        <v>0</v>
      </c>
      <c r="I49" s="1159">
        <f t="shared" si="12"/>
        <v>0</v>
      </c>
      <c r="J49" s="1159">
        <f t="shared" si="12"/>
        <v>0</v>
      </c>
      <c r="K49" s="1159">
        <f t="shared" si="12"/>
        <v>0</v>
      </c>
      <c r="L49" s="1159">
        <f t="shared" si="12"/>
        <v>0</v>
      </c>
      <c r="M49" s="1159">
        <f t="shared" si="12"/>
        <v>0</v>
      </c>
      <c r="N49" s="1159">
        <f t="shared" si="12"/>
        <v>0</v>
      </c>
      <c r="O49" s="1159">
        <f t="shared" si="12"/>
        <v>0</v>
      </c>
      <c r="P49" s="1159">
        <f t="shared" si="12"/>
        <v>0</v>
      </c>
      <c r="Q49" s="1159">
        <f>SUM(Q42:Q48)</f>
        <v>0</v>
      </c>
      <c r="R49" s="1468"/>
      <c r="S49" s="44"/>
      <c r="CU49" s="225" t="str">
        <f>IF(Basisdaten!$B$15=Basisdaten!$D$2,CV49,CW49)</f>
        <v>Summe Liquiditätszugang</v>
      </c>
      <c r="CV49" s="30" t="s">
        <v>42</v>
      </c>
      <c r="CW49" s="71" t="str">
        <f>CW17</f>
        <v>Sum liquidity access</v>
      </c>
    </row>
    <row r="50" spans="3:101" ht="15" customHeight="1">
      <c r="C50" s="1165">
        <v>3</v>
      </c>
      <c r="D50" s="1434" t="str">
        <f t="shared" si="10"/>
        <v>Ausgaben / Auszahlungen</v>
      </c>
      <c r="E50" s="1167"/>
      <c r="F50" s="1167"/>
      <c r="G50" s="1167"/>
      <c r="H50" s="1167"/>
      <c r="I50" s="1167"/>
      <c r="J50" s="1167"/>
      <c r="K50" s="1167"/>
      <c r="L50" s="1167"/>
      <c r="M50" s="1167"/>
      <c r="N50" s="1167"/>
      <c r="O50" s="1167"/>
      <c r="P50" s="1167"/>
      <c r="Q50" s="1167"/>
      <c r="S50" s="36"/>
      <c r="CU50" s="225" t="str">
        <f>IF(Basisdaten!$B$15=Basisdaten!$D$2,CV50,CW50)</f>
        <v>Ausgaben / Auszahlungen</v>
      </c>
      <c r="CV50" s="30" t="s">
        <v>43</v>
      </c>
      <c r="CW50" s="71" t="str">
        <f>CW18</f>
        <v>Expenses / outgoings</v>
      </c>
    </row>
    <row r="51" spans="3:101" ht="15" customHeight="1">
      <c r="C51" s="1098"/>
      <c r="D51" s="1105" t="str">
        <f t="shared" si="10"/>
        <v>Anschaffungen (ohne MwSt) aus Tab 3 Invest tab 3.1</v>
      </c>
      <c r="E51" s="252">
        <f>'4 Invest'!P299</f>
        <v>0</v>
      </c>
      <c r="F51" s="252">
        <f>'4 Invest'!Q299</f>
        <v>0</v>
      </c>
      <c r="G51" s="252">
        <f>'4 Invest'!R299</f>
        <v>0</v>
      </c>
      <c r="H51" s="252">
        <f>'4 Invest'!S299</f>
        <v>0</v>
      </c>
      <c r="I51" s="252">
        <f>'4 Invest'!T299</f>
        <v>0</v>
      </c>
      <c r="J51" s="252">
        <f>'4 Invest'!U299</f>
        <v>0</v>
      </c>
      <c r="K51" s="252">
        <f>'4 Invest'!V299</f>
        <v>0</v>
      </c>
      <c r="L51" s="252">
        <f>'4 Invest'!W299</f>
        <v>0</v>
      </c>
      <c r="M51" s="252">
        <f>'4 Invest'!X299</f>
        <v>0</v>
      </c>
      <c r="N51" s="252">
        <f>'4 Invest'!Y299</f>
        <v>0</v>
      </c>
      <c r="O51" s="252">
        <f>'4 Invest'!Z299</f>
        <v>0</v>
      </c>
      <c r="P51" s="252">
        <f>'4 Invest'!AA299</f>
        <v>0</v>
      </c>
      <c r="Q51" s="252">
        <f>SUM(E51:P51)</f>
        <v>0</v>
      </c>
      <c r="S51" s="36"/>
      <c r="CU51" s="225" t="str">
        <f>IF(Basisdaten!$B$15=Basisdaten!$D$2,CV51,CW51)</f>
        <v>Anschaffungen (ohne MwSt) (aus Tab 3a)</v>
      </c>
      <c r="CV51" s="30" t="str">
        <f>"Anschaffungen"&amp;Basisdaten!L15&amp;"(aus Tab 3a)"</f>
        <v>Anschaffungen (ohne MwSt) (aus Tab 3a)</v>
      </c>
      <c r="CW51" s="71" t="str">
        <f>CW19</f>
        <v>Invest (ohne MwSt) from Sheet 3 Invest tab 3.1</v>
      </c>
    </row>
    <row r="52" spans="3:101" ht="15" customHeight="1">
      <c r="C52" s="1098"/>
      <c r="D52" s="1105" t="str">
        <f t="shared" si="10"/>
        <v>auf Anschaffungen bezahlte MwSt im Januar FJ wirksan</v>
      </c>
      <c r="E52" s="252">
        <f>IF('0 Daten|Data'!$H$7='0 Daten|Data'!$G$1,0,E51*MwSt_19)</f>
        <v>0</v>
      </c>
      <c r="F52" s="252">
        <f>IF('0 Daten|Data'!$H$7='0 Daten|Data'!$G$1,0,F51*MwSt_19)</f>
        <v>0</v>
      </c>
      <c r="G52" s="252">
        <f>IF('0 Daten|Data'!$H$7='0 Daten|Data'!$G$1,0,G51*MwSt_19)</f>
        <v>0</v>
      </c>
      <c r="H52" s="252">
        <f>IF('0 Daten|Data'!$H$7='0 Daten|Data'!$G$1,0,H51*MwSt_19)</f>
        <v>0</v>
      </c>
      <c r="I52" s="252">
        <f>IF('0 Daten|Data'!$H$7='0 Daten|Data'!$G$1,0,I51*MwSt_19)</f>
        <v>0</v>
      </c>
      <c r="J52" s="252">
        <f>IF('0 Daten|Data'!$H$7='0 Daten|Data'!$G$1,0,J51*MwSt_19)</f>
        <v>0</v>
      </c>
      <c r="K52" s="252">
        <f>IF('0 Daten|Data'!$H$7='0 Daten|Data'!$G$1,0,K51*MwSt_19)</f>
        <v>0</v>
      </c>
      <c r="L52" s="252">
        <f>IF('0 Daten|Data'!$H$7='0 Daten|Data'!$G$1,0,L51*MwSt_19)</f>
        <v>0</v>
      </c>
      <c r="M52" s="252">
        <f>IF('0 Daten|Data'!$H$7='0 Daten|Data'!$G$1,0,M51*MwSt_19)</f>
        <v>0</v>
      </c>
      <c r="N52" s="252">
        <f>IF('0 Daten|Data'!$H$7='0 Daten|Data'!$G$1,0,N51*MwSt_19)</f>
        <v>0</v>
      </c>
      <c r="O52" s="252">
        <f>IF('0 Daten|Data'!$H$7='0 Daten|Data'!$G$1,0,O51*MwSt_19)</f>
        <v>0</v>
      </c>
      <c r="P52" s="252">
        <f>IF('0 Daten|Data'!$H$7='0 Daten|Data'!$G$1,0,P51*MwSt_19)</f>
        <v>0</v>
      </c>
      <c r="Q52" s="252">
        <f>SUM(E52:P52)</f>
        <v>0</v>
      </c>
      <c r="S52" s="36"/>
      <c r="CU52" s="225" t="str">
        <f>IF(Basisdaten!$B$15=Basisdaten!$D$2,CV52,CW52)</f>
        <v>auf Anschaffungen bezahlte MwSt.</v>
      </c>
      <c r="CV52" s="30" t="str">
        <f>IF(Basisdaten!$L$15=Basisdaten!$Q$15,"","auf Anschaffungen bezahlte MwSt.")</f>
        <v>auf Anschaffungen bezahlte MwSt.</v>
      </c>
      <c r="CW52" s="71" t="str">
        <f>CW20</f>
        <v>VAT paid on invest in January next year</v>
      </c>
    </row>
    <row r="53" spans="3:101" ht="15" customHeight="1">
      <c r="C53" s="1098"/>
      <c r="D53" s="1105" t="str">
        <f t="shared" si="10"/>
        <v>Betriebskosten I ohne MwSt (Übernahme aus Tab. 4a-1)</v>
      </c>
      <c r="E53" s="252">
        <f>'3  Betriebskosten|Operation Ex'!G143+'3  Betriebskosten|Operation Ex'!G155</f>
        <v>0</v>
      </c>
      <c r="F53" s="252">
        <f>'3  Betriebskosten|Operation Ex'!H143+'3  Betriebskosten|Operation Ex'!H155</f>
        <v>0</v>
      </c>
      <c r="G53" s="252">
        <f>'3  Betriebskosten|Operation Ex'!I143+'3  Betriebskosten|Operation Ex'!I155</f>
        <v>0</v>
      </c>
      <c r="H53" s="252">
        <f>'3  Betriebskosten|Operation Ex'!J143+'3  Betriebskosten|Operation Ex'!J155</f>
        <v>0</v>
      </c>
      <c r="I53" s="252">
        <f>'3  Betriebskosten|Operation Ex'!K143+'3  Betriebskosten|Operation Ex'!K155</f>
        <v>0</v>
      </c>
      <c r="J53" s="252">
        <f>'3  Betriebskosten|Operation Ex'!L143+'3  Betriebskosten|Operation Ex'!L155</f>
        <v>0</v>
      </c>
      <c r="K53" s="252">
        <f>'3  Betriebskosten|Operation Ex'!M143+'3  Betriebskosten|Operation Ex'!M155</f>
        <v>0</v>
      </c>
      <c r="L53" s="252">
        <f>'3  Betriebskosten|Operation Ex'!N143+'3  Betriebskosten|Operation Ex'!N155</f>
        <v>0</v>
      </c>
      <c r="M53" s="252">
        <f>'3  Betriebskosten|Operation Ex'!O143+'3  Betriebskosten|Operation Ex'!O155</f>
        <v>0</v>
      </c>
      <c r="N53" s="252">
        <f>'3  Betriebskosten|Operation Ex'!P143+'3  Betriebskosten|Operation Ex'!P155</f>
        <v>0</v>
      </c>
      <c r="O53" s="252">
        <f>'3  Betriebskosten|Operation Ex'!Q143+'3  Betriebskosten|Operation Ex'!Q155</f>
        <v>0</v>
      </c>
      <c r="P53" s="252">
        <f>'3  Betriebskosten|Operation Ex'!R143+'3  Betriebskosten|Operation Ex'!R155</f>
        <v>0</v>
      </c>
      <c r="Q53" s="252">
        <f>SUM(E53:P53)</f>
        <v>0</v>
      </c>
      <c r="S53" s="36"/>
      <c r="CU53" s="225" t="str">
        <f>IF(Basisdaten!$B$15=Basisdaten!$D$2,CV53,CW53)</f>
        <v>Betriebskosten I ohne MwSt (Übernahme aus Tab. 4a-2)</v>
      </c>
      <c r="CV53" s="30" t="str">
        <f>IF(Basisdaten!$L$15=Basisdaten!$Q$15,"Betriebskosten I mit MwSt (Übernahme aus Tab. 4a-2)","Betriebskosten I ohne MwSt (Übernahme aus Tab. 4a-2)")</f>
        <v>Betriebskosten I ohne MwSt (Übernahme aus Tab. 4a-2)</v>
      </c>
      <c r="CW53" s="30" t="str">
        <f>IF(Basisdaten!$L$15=Basisdaten!$Q$15,"Operation Costs I inculding VAT (from tab 4a)","Operation Costs I w/o VAT (from tab 4a-2)")</f>
        <v>Operation Costs I w/o VAT (from tab 4a-2)</v>
      </c>
    </row>
    <row r="54" spans="3:101" ht="15" customHeight="1">
      <c r="C54" s="1098"/>
      <c r="D54" s="1105" t="str">
        <f t="shared" si="10"/>
        <v>auf Betriebsausgaben bezahlte MwSt</v>
      </c>
      <c r="E54" s="252">
        <f>'3  Betriebskosten|Operation Ex'!G155</f>
        <v>0</v>
      </c>
      <c r="F54" s="252">
        <f>'3  Betriebskosten|Operation Ex'!H155</f>
        <v>0</v>
      </c>
      <c r="G54" s="252">
        <f>'3  Betriebskosten|Operation Ex'!I155</f>
        <v>0</v>
      </c>
      <c r="H54" s="252">
        <f>'3  Betriebskosten|Operation Ex'!J155</f>
        <v>0</v>
      </c>
      <c r="I54" s="252">
        <f>'3  Betriebskosten|Operation Ex'!K155</f>
        <v>0</v>
      </c>
      <c r="J54" s="252">
        <f>'3  Betriebskosten|Operation Ex'!L155</f>
        <v>0</v>
      </c>
      <c r="K54" s="252">
        <f>'3  Betriebskosten|Operation Ex'!M155</f>
        <v>0</v>
      </c>
      <c r="L54" s="252">
        <f>'3  Betriebskosten|Operation Ex'!N155</f>
        <v>0</v>
      </c>
      <c r="M54" s="252">
        <f>'3  Betriebskosten|Operation Ex'!O155</f>
        <v>0</v>
      </c>
      <c r="N54" s="252">
        <f>'3  Betriebskosten|Operation Ex'!P155</f>
        <v>0</v>
      </c>
      <c r="O54" s="252">
        <f>'3  Betriebskosten|Operation Ex'!Q155</f>
        <v>0</v>
      </c>
      <c r="P54" s="252">
        <f>'3  Betriebskosten|Operation Ex'!R155</f>
        <v>0</v>
      </c>
      <c r="Q54" s="252">
        <f>SUM(E54:P54)</f>
        <v>0</v>
      </c>
      <c r="S54" s="36"/>
      <c r="CU54" s="225" t="str">
        <f>IF(Basisdaten!$B$15=Basisdaten!$D$2,CV54,CW54)</f>
        <v>auf Betriebskosten bezahlte MwSt (aus Tab. 4a-2 Anhang)</v>
      </c>
      <c r="CV54" s="30" t="str">
        <f>IF(Basisdaten!$L$15=Basisdaten!$Q$15,"","auf Betriebskosten bezahlte MwSt (aus Tab. 4a-2 Anhang)")</f>
        <v>auf Betriebskosten bezahlte MwSt (aus Tab. 4a-2 Anhang)</v>
      </c>
      <c r="CW54" s="30" t="e">
        <f>IF(Basisdaten!$L$15=Basisdaten!$Q$15,"","Payed VAT "&amp;$C$1*100 &amp;"%  for Costs of Operation (from ta. 4a-2 annex)")</f>
        <v>#VALUE!</v>
      </c>
    </row>
    <row r="55" spans="3:101" ht="15" customHeight="1">
      <c r="C55" s="1098"/>
      <c r="D55" s="1105" t="str">
        <f>CU55</f>
        <v>Vorsteuerausgleich jährlich (gemäß gemeldeter Vorsteuerschuld)</v>
      </c>
      <c r="E55" s="1304">
        <f>R23</f>
        <v>0</v>
      </c>
      <c r="F55" s="1304">
        <f>IF(AND($Q$43&lt;Basisdaten!$H$35,F5=13),SUM($E$43:$P$43)-SUM($E$52:$P$52)-SUM($E$54:$P$54),IF(AND($Q$43&gt;=Basisdaten!$H$35,$Q$43&lt;Basisdaten!$I$35,F4=1),SUM($E$43:$G$43)-SUM($E$52:$G$52)-SUM($E$54:$G$54),IF(AND($Q$43&gt;=Basisdaten!$H$35,$Q$43&lt;Basisdaten!$I$35,F4=2),SUM($H$43:$J$43)-SUM($H$52:$J$52)-SUM($H$54:$J$54),IF(AND($Q$43&gt;=Basisdaten!$H$35,$Q$43&lt;Basisdaten!$I$35,F4=3),SUM($K$43:$M$43)-SUM($K$52:$M$52)-SUM($K$54:$M$54),IF(AND($Q$43&gt;=Basisdaten!$H$35,$Q$43&lt;Basisdaten!$I$35,F4=4),SUM($N$43:$P$43)-SUM($N$52:$P$52)-SUM($N$54:$P$54),IF($Q$43&gt;Basisdaten!$I$35,E43-E52-E54,0))))))</f>
        <v>0</v>
      </c>
      <c r="G55" s="1304">
        <f>IF(AND($Q$43&lt;Basisdaten!$H$35,G5=13),SUM($E$43:$P$43)-SUM($E$52:$P$52)-SUM($E$54:$P$54),IF(AND($Q$43&gt;=Basisdaten!$H$35,$Q$43&lt;Basisdaten!$I$35,G4=1),SUM($E$43:$G$43)-SUM($E$52:$G$52)-SUM($E$54:$G$54),IF(AND($Q$43&gt;=Basisdaten!$H$35,$Q$43&lt;Basisdaten!$I$35,G4=2),SUM($H$43:$J$43)-SUM($H$52:$J$52)-SUM($H$54:$J$54),IF(AND($Q$43&gt;=Basisdaten!$H$35,$Q$43&lt;Basisdaten!$I$35,G4=3),SUM($K$43:$M$43)-SUM($K$52:$M$52)-SUM($K$54:$M$54),IF(AND($Q$43&gt;=Basisdaten!$H$35,$Q$43&lt;Basisdaten!$I$35,G4=4),SUM($N$43:$P$43)-SUM($N$52:$P$52)-SUM($N$54:$P$54),IF('7 Liquiditaet|Liquidity'!$Q$43&gt;Basisdaten!$I$35,F43-F52-F54,0))))))</f>
        <v>0</v>
      </c>
      <c r="H55" s="1304">
        <f>IF(AND($Q$43&lt;Basisdaten!$H$35,H5=13),SUM($E$43:$P$43)-SUM($E$52:$P$52)-SUM($E$54:$P$54),IF(AND($Q$43&gt;=Basisdaten!$H$35,$Q$43&lt;Basisdaten!$I$35,H4=1),SUM($E$43:$G$43)-SUM($E$52:$G$52)-SUM($E$54:$G$54),IF(AND($Q$43&gt;=Basisdaten!$H$35,$Q$43&lt;Basisdaten!$I$35,H4=2),SUM($H$43:$J$43)-SUM($H$52:$J$52)-SUM($H$54:$J$54),IF(AND($Q$43&gt;=Basisdaten!$H$35,$Q$43&lt;Basisdaten!$I$35,H4=3),SUM($K$43:$M$43)-SUM($K$52:$M$52)-SUM($K$54:$M$54),IF(AND($Q$43&gt;=Basisdaten!$H$35,$Q$43&lt;Basisdaten!$I$35,H4=4),SUM($N$43:$P$43)-SUM($N$52:$P$52)-SUM($N$54:$P$54),IF('7 Liquiditaet|Liquidity'!$Q$43&gt;Basisdaten!$I$35,G43-G52-G54,0))))))</f>
        <v>0</v>
      </c>
      <c r="I55" s="1304">
        <f>IF(AND($Q$43&lt;Basisdaten!$H$35,I5=13),SUM($E$43:$P$43)-SUM($E$52:$P$52)-SUM($E$54:$P$54),IF(AND($Q$43&gt;=Basisdaten!$H$35,$Q$43&lt;Basisdaten!$I$35,I4=1),SUM($E$43:$G$43)-SUM($E$52:$G$52)-SUM($E$54:$G$54),IF(AND($Q$43&gt;=Basisdaten!$H$35,$Q$43&lt;Basisdaten!$I$35,I4=2),SUM($H$43:$J$43)-SUM($H$52:$J$52)-SUM($H$54:$J$54),IF(AND($Q$43&gt;=Basisdaten!$H$35,$Q$43&lt;Basisdaten!$I$35,I4=3),SUM($K$43:$M$43)-SUM($K$52:$M$52)-SUM($K$54:$M$54),IF(AND($Q$43&gt;=Basisdaten!$H$35,$Q$43&lt;Basisdaten!$I$35,I4=4),SUM($N$43:$P$43)-SUM($N$52:$P$52)-SUM($N$54:$P$54),IF('7 Liquiditaet|Liquidity'!$Q$43&gt;Basisdaten!$I$35,H43-H52-H54,0))))))</f>
        <v>0</v>
      </c>
      <c r="J55" s="1304">
        <f>IF(AND($Q$43&lt;Basisdaten!$H$35,J5=13),SUM($E$43:$P$43)-SUM($E$52:$P$52)-SUM($E$54:$P$54),IF(AND($Q$43&gt;=Basisdaten!$H$35,$Q$43&lt;Basisdaten!$I$35,J4=1),SUM($E$43:$G$43)-SUM($E$52:$G$52)-SUM($E$54:$G$54),IF(AND($Q$43&gt;=Basisdaten!$H$35,$Q$43&lt;Basisdaten!$I$35,J4=2),SUM($H$43:$J$43)-SUM($H$52:$J$52)-SUM($H$54:$J$54),IF(AND($Q$43&gt;=Basisdaten!$H$35,$Q$43&lt;Basisdaten!$I$35,J4=3),SUM($K$43:$M$43)-SUM($K$52:$M$52)-SUM($K$54:$M$54),IF(AND($Q$43&gt;=Basisdaten!$H$35,$Q$43&lt;Basisdaten!$I$35,J4=4),SUM($N$43:$P$43)-SUM($N$52:$P$52)-SUM($N$54:$P$54),IF('7 Liquiditaet|Liquidity'!$Q$43&gt;Basisdaten!$I$35,I43-I52-I54,0))))))</f>
        <v>0</v>
      </c>
      <c r="K55" s="1304">
        <f>IF(AND($Q$43&lt;Basisdaten!$H$35,K5=13),SUM($E$43:$P$43)-SUM($E$52:$P$52)-SUM($E$54:$P$54),IF(AND($Q$43&gt;=Basisdaten!$H$35,$Q$43&lt;Basisdaten!$I$35,K4=1),SUM($E$43:$G$43)-SUM($E$52:$G$52)-SUM($E$54:$G$54),IF(AND($Q$43&gt;=Basisdaten!$H$35,$Q$43&lt;Basisdaten!$I$35,K4=2),SUM($H$43:$J$43)-SUM($H$52:$J$52)-SUM($H$54:$J$54),IF(AND($Q$43&gt;=Basisdaten!$H$35,$Q$43&lt;Basisdaten!$I$35,K4=3),SUM($K$43:$M$43)-SUM($K$52:$M$52)-SUM($K$54:$M$54),IF(AND($Q$43&gt;=Basisdaten!$H$35,$Q$43&lt;Basisdaten!$I$35,K4=4),SUM($N$43:$P$43)-SUM($N$52:$P$52)-SUM($N$54:$P$54),IF('7 Liquiditaet|Liquidity'!$Q$43&gt;Basisdaten!$I$35,J43-J52-J54,0))))))</f>
        <v>0</v>
      </c>
      <c r="L55" s="1304">
        <f>IF(AND($Q$43&lt;Basisdaten!$H$35,L5=13),SUM($E$43:$P$43)-SUM($E$52:$P$52)-SUM($E$54:$P$54),IF(AND($Q$43&gt;=Basisdaten!$H$35,$Q$43&lt;Basisdaten!$I$35,L4=1),SUM($E$43:$G$43)-SUM($E$52:$G$52)-SUM($E$54:$G$54),IF(AND($Q$43&gt;=Basisdaten!$H$35,$Q$43&lt;Basisdaten!$I$35,L4=2),SUM($H$43:$J$43)-SUM($H$52:$J$52)-SUM($H$54:$J$54),IF(AND($Q$43&gt;=Basisdaten!$H$35,$Q$43&lt;Basisdaten!$I$35,L4=3),SUM($K$43:$M$43)-SUM($K$52:$M$52)-SUM($K$54:$M$54),IF(AND($Q$43&gt;=Basisdaten!$H$35,$Q$43&lt;Basisdaten!$I$35,L4=4),SUM($N$43:$P$43)-SUM($N$52:$P$52)-SUM($N$54:$P$54),IF('7 Liquiditaet|Liquidity'!$Q$43&gt;Basisdaten!$I$35,K43-K52-K54,0))))))</f>
        <v>0</v>
      </c>
      <c r="M55" s="1304">
        <f>IF(AND($Q$43&lt;Basisdaten!$H$35,M5=13),SUM($E$43:$P$43)-SUM($E$52:$P$52)-SUM($E$54:$P$54),IF(AND($Q$43&gt;=Basisdaten!$H$35,$Q$43&lt;Basisdaten!$I$35,M4=1),SUM($E$43:$G$43)-SUM($E$52:$G$52)-SUM($E$54:$G$54),IF(AND($Q$43&gt;=Basisdaten!$H$35,$Q$43&lt;Basisdaten!$I$35,M4=2),SUM($H$43:$J$43)-SUM($H$52:$J$52)-SUM($H$54:$J$54),IF(AND($Q$43&gt;=Basisdaten!$H$35,$Q$43&lt;Basisdaten!$I$35,M4=3),SUM($K$43:$M$43)-SUM($K$52:$M$52)-SUM($K$54:$M$54),IF(AND($Q$43&gt;=Basisdaten!$H$35,$Q$43&lt;Basisdaten!$I$35,M4=4),SUM($N$43:$P$43)-SUM($N$52:$P$52)-SUM($N$54:$P$54),IF('7 Liquiditaet|Liquidity'!$Q$43&gt;Basisdaten!$I$35,L43-L52-L54,0))))))</f>
        <v>0</v>
      </c>
      <c r="N55" s="1304">
        <f>IF(AND($Q$43&lt;Basisdaten!$H$35,N5=13),SUM($E$43:$P$43)-SUM($E$52:$P$52)-SUM($E$54:$P$54),IF(AND($Q$43&gt;=Basisdaten!$H$35,$Q$43&lt;Basisdaten!$I$35,N4=1),SUM($E$43:$G$43)-SUM($E$52:$G$52)-SUM($E$54:$G$54),IF(AND($Q$43&gt;=Basisdaten!$H$35,$Q$43&lt;Basisdaten!$I$35,N4=2),SUM($H$43:$J$43)-SUM($H$52:$J$52)-SUM($H$54:$J$54),IF(AND($Q$43&gt;=Basisdaten!$H$35,$Q$43&lt;Basisdaten!$I$35,N4=3),SUM($K$43:$M$43)-SUM($K$52:$M$52)-SUM($K$54:$M$54),IF(AND($Q$43&gt;=Basisdaten!$H$35,$Q$43&lt;Basisdaten!$I$35,N4=4),SUM($N$43:$P$43)-SUM($N$52:$P$52)-SUM($N$54:$P$54),IF('7 Liquiditaet|Liquidity'!$Q$43&gt;Basisdaten!$I$35,M43-M52-M54,0))))))</f>
        <v>0</v>
      </c>
      <c r="O55" s="1304">
        <f>IF(AND($Q$43&lt;Basisdaten!$H$35,O5=13),SUM($E$43:$P$43)-SUM($E$52:$P$52)-SUM($E$54:$P$54),IF(AND($Q$43&gt;=Basisdaten!$H$35,$Q$43&lt;Basisdaten!$I$35,O4=1),SUM($E$43:$G$43)-SUM($E$52:$G$52)-SUM($E$54:$G$54),IF(AND($Q$43&gt;=Basisdaten!$H$35,$Q$43&lt;Basisdaten!$I$35,O4=2),SUM($H$43:$J$43)-SUM($H$52:$J$52)-SUM($H$54:$J$54),IF(AND($Q$43&gt;=Basisdaten!$H$35,$Q$43&lt;Basisdaten!$I$35,O4=3),SUM($K$43:$M$43)-SUM($K$52:$M$52)-SUM($K$54:$M$54),IF(AND($Q$43&gt;=Basisdaten!$H$35,$Q$43&lt;Basisdaten!$I$35,O4=4),SUM($N$43:$P$43)-SUM($N$52:$P$52)-SUM($N$54:$P$54),IF('7 Liquiditaet|Liquidity'!$Q$43&gt;Basisdaten!$I$35,N43-N52-N54,0))))))</f>
        <v>0</v>
      </c>
      <c r="P55" s="1304">
        <f>IF(AND($Q$43&lt;Basisdaten!$H$35,P5=13),SUM($E$43:$P$43)-SUM($E$52:$P$52)-SUM($E$54:$P$54),IF(AND($Q$43&gt;=Basisdaten!$H$35,$Q$43&lt;Basisdaten!$I$35,P4=1),SUM($E$43:$G$43)-SUM($E$52:$G$52)-SUM($E$54:$G$54),IF(AND($Q$43&gt;=Basisdaten!$H$35,$Q$43&lt;Basisdaten!$I$35,P4=2),SUM($H$43:$J$43)-SUM($H$52:$J$52)-SUM($H$54:$J$54),IF(AND($Q$43&gt;=Basisdaten!$H$35,$Q$43&lt;Basisdaten!$I$35,P4=3),SUM($K$43:$M$43)-SUM($K$52:$M$52)-SUM($K$54:$M$54),IF(AND($Q$43&gt;=Basisdaten!$H$35,$Q$43&lt;Basisdaten!$I$35,P4=4),SUM($N$43:$P$43)-SUM($N$52:$P$52)-SUM($N$54:$P$54),IF('7 Liquiditaet|Liquidity'!$Q$43&gt;Basisdaten!$I$35,O43-O52-O54,0))))))</f>
        <v>0</v>
      </c>
      <c r="Q55" s="1304">
        <f>IF(AND($Q$43&lt;Basisdaten!$H$35,Q5=13),SUM($E$43:$P$43)-SUM($E$52:$P$52)-SUM($E$54:$P$54),IF(AND($Q$43&gt;=Basisdaten!$H$35,$Q$43&lt;Basisdaten!$I$35,Q4=1),SUM($E$43:$G$43)-SUM($E$52:$G$52)-SUM($E$54:$G$54),IF(AND($Q$43&gt;=Basisdaten!$H$35,$Q$43&lt;Basisdaten!$I$35,Q4=2),SUM($H$43:$J$43)-SUM($H$52:$J$52)-SUM($H$54:$J$54),IF(AND($Q$43&gt;=Basisdaten!$H$35,$Q$43&lt;Basisdaten!$I$35,Q4=3),SUM($K$43:$M$43)-SUM($K$52:$M$52)-SUM($K$54:$M$54),IF(AND($Q$43&gt;=Basisdaten!$H$35,$Q$43&lt;Basisdaten!$I$35,Q4=4),SUM($N$43:$P$43)-SUM($N$52:$P$52)-SUM($N$54:$P$54),IF('7 Liquiditaet|Liquidity'!$Q$43&gt;Basisdaten!$I$35,P43-P52-P54,0))))))</f>
        <v>0</v>
      </c>
      <c r="R55" s="175">
        <f>IF(AND($Q$43&lt;Basisdaten!$H$35,Q5=13),SUM($E$43:$P$43)-SUM($E$52:$P$52)-SUM($E$54:$P$54),IF(AND($Q$43&gt;=Basisdaten!$H$35,$Q$43&lt;Basisdaten!$I$35,Q4=1),SUM($E$43:$G$43)-SUM($E$52:$G$52)-SUM($E$54:$G$54),IF(AND($Q$43&gt;=Basisdaten!$H$35,$Q$43&lt;Basisdaten!$I$35,Q4=2),SUM($H$43:$J$43)-SUM($H$52:$J$52)-SUM($H$54:$J$54),IF(AND($Q$43&gt;=Basisdaten!$H$35,$Q$43&lt;Basisdaten!$I$35,Q4=3),SUM($K$43:$M$43)-SUM($K$52:$M$52)-SUM($K$54:$M$54),IF(AND($Q$43&gt;=Basisdaten!$H$35,$Q$43&lt;Basisdaten!$I$35,Q4=4),SUM($N$43:$P$43)-SUM($N$52:$P$52)-SUM($N$54:$P$54),IF('7 Liquiditaet|Liquidity'!$Q$43&gt;Basisdaten!$I$35,P43-P52-P54,0))))))</f>
        <v>0</v>
      </c>
      <c r="S55" s="36"/>
      <c r="CU55" s="225" t="str">
        <f>IF(Basisdaten!$B$15=Basisdaten!$D$2,CV55,CW55)</f>
        <v>Vorsteuerausgleich jährlich (gemäß gemeldeter Vorsteuerschuld)</v>
      </c>
      <c r="CV55" s="30" t="str">
        <f>"Vorsteuerausgleich "&amp;IF(Q11&lt;Basisdaten!$H$35,"jährlich",IF( Q43&gt;Basisdaten!I35,"monatlich","quartelsweise"))&amp;" (gemäß gemeldeter Vorsteuerschuld)"</f>
        <v>Vorsteuerausgleich jährlich (gemäß gemeldeter Vorsteuerschuld)</v>
      </c>
      <c r="CW55" s="30" t="str">
        <f>"input tax "&amp;IF(Q43&lt;Basisdaten!$H$35,"annualy",IF( Q43&gt;Basisdaten!$I$35,"monthly","quaterly"))&amp;" (according to reported input tax liability)"</f>
        <v>input tax annualy (according to reported input tax liability)</v>
      </c>
    </row>
    <row r="56" spans="3:101" ht="15" customHeight="1">
      <c r="C56" s="862"/>
      <c r="D56" s="1105" t="str">
        <f t="shared" ref="D56:D66" si="13">D24</f>
        <v>Kapitaldienst Tilgung (aus Tab.7.b-1)</v>
      </c>
      <c r="E56" s="252">
        <f>'8 Kapital|Capital'!E71</f>
        <v>0</v>
      </c>
      <c r="F56" s="252">
        <f>'8 Kapital|Capital'!F71</f>
        <v>0</v>
      </c>
      <c r="G56" s="252">
        <f>'8 Kapital|Capital'!G71</f>
        <v>0</v>
      </c>
      <c r="H56" s="252">
        <f>'8 Kapital|Capital'!H71</f>
        <v>0</v>
      </c>
      <c r="I56" s="252">
        <f>'8 Kapital|Capital'!I71</f>
        <v>0</v>
      </c>
      <c r="J56" s="252">
        <f>'8 Kapital|Capital'!J71</f>
        <v>0</v>
      </c>
      <c r="K56" s="252">
        <f>'8 Kapital|Capital'!K71</f>
        <v>0</v>
      </c>
      <c r="L56" s="252">
        <f>'8 Kapital|Capital'!L71</f>
        <v>0</v>
      </c>
      <c r="M56" s="252">
        <f>'8 Kapital|Capital'!M71</f>
        <v>0</v>
      </c>
      <c r="N56" s="252">
        <f>'8 Kapital|Capital'!N71</f>
        <v>0</v>
      </c>
      <c r="O56" s="252">
        <f>'8 Kapital|Capital'!O71</f>
        <v>0</v>
      </c>
      <c r="P56" s="252">
        <f>'8 Kapital|Capital'!P71</f>
        <v>0</v>
      </c>
      <c r="Q56" s="252">
        <f>SUM(E56:P56)</f>
        <v>0</v>
      </c>
      <c r="S56" s="37"/>
      <c r="CU56" s="225" t="str">
        <f>IF(Basisdaten!$B$15=Basisdaten!$D$2,CV56,CW56)</f>
        <v>ans Finanzamt abzuführende MwSt. aus Umsätzen (aus Tab. 2a-2)</v>
      </c>
      <c r="CV56" s="30" t="str">
        <f>IF(Basisdaten!$L$15=Basisdaten!$Q$15,"","ans Finanzamt abzuführende MwSt. aus Umsätzen (aus Tab. 2a-2)")</f>
        <v>ans Finanzamt abzuführende MwSt. aus Umsätzen (aus Tab. 2a-2)</v>
      </c>
      <c r="CW56" s="30" t="str">
        <f>IF(Basisdaten!$L$15=Basisdaten!$Q$15,"","Payed VAT from Sales to Tax Office (tab 2a-2)")</f>
        <v>Payed VAT from Sales to Tax Office (tab 2a-2)</v>
      </c>
    </row>
    <row r="57" spans="3:101" ht="15" customHeight="1">
      <c r="C57" s="862"/>
      <c r="D57" s="1105" t="str">
        <f t="shared" si="13"/>
        <v>Gewerbesteuer (Übernahme aus Tab. 5c)</v>
      </c>
      <c r="E57" s="252">
        <f>'5 Rendite|Profit'!$E$50/12</f>
        <v>0</v>
      </c>
      <c r="F57" s="252">
        <f>'5 Rendite|Profit'!$E$50/12</f>
        <v>0</v>
      </c>
      <c r="G57" s="252">
        <f>'5 Rendite|Profit'!$E$50/12</f>
        <v>0</v>
      </c>
      <c r="H57" s="252">
        <f>'5 Rendite|Profit'!$E$50/12</f>
        <v>0</v>
      </c>
      <c r="I57" s="252">
        <f>'5 Rendite|Profit'!$E$50/12</f>
        <v>0</v>
      </c>
      <c r="J57" s="252">
        <f>'5 Rendite|Profit'!$E$50/12</f>
        <v>0</v>
      </c>
      <c r="K57" s="252">
        <f>'5 Rendite|Profit'!$E$50/12</f>
        <v>0</v>
      </c>
      <c r="L57" s="252">
        <f>'5 Rendite|Profit'!$E$50/12</f>
        <v>0</v>
      </c>
      <c r="M57" s="252">
        <f>'5 Rendite|Profit'!$E$50/12</f>
        <v>0</v>
      </c>
      <c r="N57" s="252">
        <f>'5 Rendite|Profit'!$E$50/12</f>
        <v>0</v>
      </c>
      <c r="O57" s="252">
        <f>'5 Rendite|Profit'!$E$50/12</f>
        <v>0</v>
      </c>
      <c r="P57" s="252">
        <f>'5 Rendite|Profit'!$E$50/12</f>
        <v>0</v>
      </c>
      <c r="Q57" s="252">
        <f>SUM(E57:P57)</f>
        <v>0</v>
      </c>
      <c r="S57" s="37"/>
      <c r="CU57" s="225" t="str">
        <f>IF(Basisdaten!$B$15=Basisdaten!$D$2,CV57,CW57)</f>
        <v>Kapitaldienst Tilgung (aus Tab. 7b-2)</v>
      </c>
      <c r="CV57" s="30" t="s">
        <v>347</v>
      </c>
      <c r="CW57" s="71" t="s">
        <v>408</v>
      </c>
    </row>
    <row r="58" spans="3:101" ht="15" customHeight="1">
      <c r="C58" s="862"/>
      <c r="D58" s="1105" t="str">
        <f t="shared" si="13"/>
        <v>Einkommensteuer (Übernahme aus Tab. 5c; Jahreswert gezwölftelt)</v>
      </c>
      <c r="E58" s="252">
        <f>'5 Rendite|Profit'!$E$49/12</f>
        <v>0</v>
      </c>
      <c r="F58" s="252">
        <f>'5 Rendite|Profit'!$E$49/12</f>
        <v>0</v>
      </c>
      <c r="G58" s="252">
        <f>'5 Rendite|Profit'!$E$49/12</f>
        <v>0</v>
      </c>
      <c r="H58" s="252">
        <f>'5 Rendite|Profit'!$E$49/12</f>
        <v>0</v>
      </c>
      <c r="I58" s="252">
        <f>'5 Rendite|Profit'!$E$49/12</f>
        <v>0</v>
      </c>
      <c r="J58" s="252">
        <f>'5 Rendite|Profit'!$E$49/12</f>
        <v>0</v>
      </c>
      <c r="K58" s="252">
        <f>'5 Rendite|Profit'!$E$49/12</f>
        <v>0</v>
      </c>
      <c r="L58" s="252">
        <f>'5 Rendite|Profit'!$E$49/12</f>
        <v>0</v>
      </c>
      <c r="M58" s="252">
        <f>'5 Rendite|Profit'!$E$49/12</f>
        <v>0</v>
      </c>
      <c r="N58" s="252">
        <f>'5 Rendite|Profit'!$E$49/12</f>
        <v>0</v>
      </c>
      <c r="O58" s="252">
        <f>'5 Rendite|Profit'!$E$49/12</f>
        <v>0</v>
      </c>
      <c r="P58" s="252">
        <f>'5 Rendite|Profit'!$E$49/12</f>
        <v>0</v>
      </c>
      <c r="Q58" s="252">
        <f>SUM(E58:P58)</f>
        <v>0</v>
      </c>
      <c r="S58" s="37"/>
      <c r="CU58" s="225" t="str">
        <f>IF(Basisdaten!$B$15=Basisdaten!$D$2,CV58,CW58)</f>
        <v>Gewerbesteuer (Übernahme aus Tab. 5c)</v>
      </c>
      <c r="CV58" s="30" t="s">
        <v>113</v>
      </c>
      <c r="CW58" s="71" t="str">
        <f t="shared" ref="CW58:CW67" si="14">CW25</f>
        <v>Business tax (from tab 5c)</v>
      </c>
    </row>
    <row r="59" spans="3:101" ht="15" customHeight="1">
      <c r="C59" s="862"/>
      <c r="D59" s="1105" t="str">
        <f t="shared" si="13"/>
        <v>Privatentnahmen Lebensunterhalt (aus TAB 1 Private ....1.3)</v>
      </c>
      <c r="E59" s="252">
        <f>IF(OR(Basisdaten!$U$31='0 Daten|Data'!$D$7,'0 Daten|Data'!$D$7=""),'1 Private Kosten|Costs'!$F$102/12,"")</f>
        <v>0</v>
      </c>
      <c r="F59" s="252">
        <f>IF(OR(Basisdaten!$U$31='0 Daten|Data'!$D$7,'0 Daten|Data'!$D$7=""),'1 Private Kosten|Costs'!$F$102/12,"")</f>
        <v>0</v>
      </c>
      <c r="G59" s="252">
        <f>IF(OR(Basisdaten!$U$31='0 Daten|Data'!$D$7,'0 Daten|Data'!$D$7=""),'1 Private Kosten|Costs'!$F$102/12,"")</f>
        <v>0</v>
      </c>
      <c r="H59" s="252">
        <f>IF(OR(Basisdaten!$U$31='0 Daten|Data'!$D$7,'0 Daten|Data'!$D$7=""),'1 Private Kosten|Costs'!$F$102/12,"")</f>
        <v>0</v>
      </c>
      <c r="I59" s="252">
        <f>IF(OR(Basisdaten!$U$31='0 Daten|Data'!$D$7,'0 Daten|Data'!$D$7=""),'1 Private Kosten|Costs'!$F$102/12,"")</f>
        <v>0</v>
      </c>
      <c r="J59" s="252">
        <f>IF(OR(Basisdaten!$U$31='0 Daten|Data'!$D$7,'0 Daten|Data'!$D$7=""),'1 Private Kosten|Costs'!$F$102/12,"")</f>
        <v>0</v>
      </c>
      <c r="K59" s="252">
        <f>IF(OR(Basisdaten!$U$31='0 Daten|Data'!$D$7,'0 Daten|Data'!$D$7=""),'1 Private Kosten|Costs'!$F$102/12,"")</f>
        <v>0</v>
      </c>
      <c r="L59" s="252">
        <f>IF(OR(Basisdaten!$U$31='0 Daten|Data'!$D$7,'0 Daten|Data'!$D$7=""),'1 Private Kosten|Costs'!$F$102/12,"")</f>
        <v>0</v>
      </c>
      <c r="M59" s="252">
        <f>IF(OR(Basisdaten!$U$31='0 Daten|Data'!$D$7,'0 Daten|Data'!$D$7=""),'1 Private Kosten|Costs'!$F$102/12,"")</f>
        <v>0</v>
      </c>
      <c r="N59" s="252">
        <f>IF(OR(Basisdaten!$U$31='0 Daten|Data'!$D$7,'0 Daten|Data'!$D$7=""),'1 Private Kosten|Costs'!$F$102/12,"")</f>
        <v>0</v>
      </c>
      <c r="O59" s="252">
        <f>IF(OR(Basisdaten!$U$31='0 Daten|Data'!$D$7,'0 Daten|Data'!$D$7=""),'1 Private Kosten|Costs'!$F$102/12,"")</f>
        <v>0</v>
      </c>
      <c r="P59" s="252">
        <f>IF(OR(Basisdaten!$U$31='0 Daten|Data'!$D$7,'0 Daten|Data'!$D$7=""),'1 Private Kosten|Costs'!$F$102/12,"")</f>
        <v>0</v>
      </c>
      <c r="Q59" s="252">
        <f>SUM(E59:P59)</f>
        <v>0</v>
      </c>
      <c r="S59" s="37"/>
      <c r="CU59" s="225" t="str">
        <f>IF(Basisdaten!$B$15=Basisdaten!$D$2,CV59,CW59)</f>
        <v>Einkommensteuer (Übernahme aus Tab. 5c; Jahreswert gezwölftelt)</v>
      </c>
      <c r="CV59" s="30" t="str">
        <f>CV26</f>
        <v>Einkommensteuer (Übernahme aus Tab. 5c; Jahreswert gezwölftelt)</v>
      </c>
      <c r="CW59" s="71" t="str">
        <f t="shared" si="14"/>
        <v xml:space="preserve">Income Tax (from tab 5c; annual value partitioned into twelve) </v>
      </c>
    </row>
    <row r="60" spans="3:101" ht="15" customHeight="1" thickBot="1">
      <c r="C60" s="862"/>
      <c r="D60" s="1162" t="str">
        <f t="shared" si="13"/>
        <v xml:space="preserve">Sonstige Auszahlungen </v>
      </c>
      <c r="E60" s="1161"/>
      <c r="F60" s="1161"/>
      <c r="G60" s="1161"/>
      <c r="H60" s="1161"/>
      <c r="I60" s="1161"/>
      <c r="J60" s="1161"/>
      <c r="K60" s="1161"/>
      <c r="L60" s="1161"/>
      <c r="M60" s="1161"/>
      <c r="N60" s="1161"/>
      <c r="O60" s="1161"/>
      <c r="P60" s="1161"/>
      <c r="Q60" s="1154">
        <f>SUM(E60:P60)</f>
        <v>0</v>
      </c>
      <c r="S60" s="84"/>
      <c r="CU60" s="225" t="str">
        <f>IF(Basisdaten!$B$15=Basisdaten!$D$2,CV60,CW60)</f>
        <v>Privatentnahmen Lebensunterhalt (aus TAB 1 Private ....1.3)</v>
      </c>
      <c r="CV60" s="30" t="str">
        <f>CV27</f>
        <v>Privatentnahmen Lebensunterhalt (aus TAB 1 Private ....1.3)</v>
      </c>
      <c r="CW60" s="71" t="str">
        <f t="shared" si="14"/>
        <v>Personal Draw for Living (from Sheet 1 Private… Tab.1.3)</v>
      </c>
    </row>
    <row r="61" spans="3:101" ht="15" customHeight="1" thickTop="1" thickBot="1">
      <c r="C61" s="1103"/>
      <c r="D61" s="1155" t="str">
        <f t="shared" si="13"/>
        <v>Summe Liquiditätsabgang (ohne Zeile 21 und 23)</v>
      </c>
      <c r="E61" s="1156">
        <f t="shared" ref="E61:P61" si="15">SUM(E51:E60)</f>
        <v>0</v>
      </c>
      <c r="F61" s="1156">
        <f t="shared" si="15"/>
        <v>0</v>
      </c>
      <c r="G61" s="1156">
        <f t="shared" si="15"/>
        <v>0</v>
      </c>
      <c r="H61" s="1156">
        <f t="shared" si="15"/>
        <v>0</v>
      </c>
      <c r="I61" s="1156">
        <f t="shared" si="15"/>
        <v>0</v>
      </c>
      <c r="J61" s="1156">
        <f t="shared" si="15"/>
        <v>0</v>
      </c>
      <c r="K61" s="1156">
        <f t="shared" si="15"/>
        <v>0</v>
      </c>
      <c r="L61" s="1156">
        <f t="shared" si="15"/>
        <v>0</v>
      </c>
      <c r="M61" s="1156">
        <f t="shared" si="15"/>
        <v>0</v>
      </c>
      <c r="N61" s="1156">
        <f t="shared" si="15"/>
        <v>0</v>
      </c>
      <c r="O61" s="1156">
        <f t="shared" si="15"/>
        <v>0</v>
      </c>
      <c r="P61" s="1156">
        <f t="shared" si="15"/>
        <v>0</v>
      </c>
      <c r="Q61" s="1156">
        <f>SUM(Q51:Q60)</f>
        <v>0</v>
      </c>
      <c r="S61" s="44"/>
      <c r="CU61" s="225" t="str">
        <f>IF(Basisdaten!$B$15=Basisdaten!$D$2,CV61,CW61)</f>
        <v xml:space="preserve">Sonstige Auszahlungen </v>
      </c>
      <c r="CV61" s="135" t="s">
        <v>44</v>
      </c>
      <c r="CW61" s="71" t="str">
        <f t="shared" si="14"/>
        <v>Other pay offs</v>
      </c>
    </row>
    <row r="62" spans="3:101" ht="15" customHeight="1" thickTop="1">
      <c r="C62" s="1165">
        <v>4</v>
      </c>
      <c r="D62" s="1434" t="str">
        <f t="shared" si="13"/>
        <v>Liquiditätssaldo</v>
      </c>
      <c r="E62" s="1167"/>
      <c r="F62" s="1167"/>
      <c r="G62" s="1167"/>
      <c r="H62" s="1167"/>
      <c r="I62" s="1167"/>
      <c r="J62" s="1167"/>
      <c r="K62" s="1167"/>
      <c r="L62" s="1167"/>
      <c r="M62" s="1167"/>
      <c r="N62" s="1167"/>
      <c r="O62" s="1167"/>
      <c r="P62" s="1167"/>
      <c r="Q62" s="1167"/>
      <c r="S62" s="37"/>
      <c r="CU62" s="225" t="str">
        <f>IF(Basisdaten!$B$15=Basisdaten!$D$2,CV62,CW62)</f>
        <v>Summe Liquiditätsabgang</v>
      </c>
      <c r="CV62" s="30" t="s">
        <v>45</v>
      </c>
      <c r="CW62" s="71" t="str">
        <f t="shared" si="14"/>
        <v>Sum liquidity outflow</v>
      </c>
    </row>
    <row r="63" spans="3:101" ht="15" customHeight="1">
      <c r="C63" s="1098"/>
      <c r="D63" s="843" t="str">
        <f t="shared" si="13"/>
        <v xml:space="preserve">Konto/flüss. Mittel/ Liquiditätssaldo/Startg. </v>
      </c>
      <c r="E63" s="252">
        <f>E39</f>
        <v>0</v>
      </c>
      <c r="F63" s="252">
        <f t="shared" ref="F63:P63" si="16">F39+F40</f>
        <v>0</v>
      </c>
      <c r="G63" s="252">
        <f t="shared" si="16"/>
        <v>0</v>
      </c>
      <c r="H63" s="252">
        <f t="shared" si="16"/>
        <v>0</v>
      </c>
      <c r="I63" s="252">
        <f t="shared" si="16"/>
        <v>0</v>
      </c>
      <c r="J63" s="252">
        <f t="shared" si="16"/>
        <v>0</v>
      </c>
      <c r="K63" s="252">
        <f t="shared" si="16"/>
        <v>0</v>
      </c>
      <c r="L63" s="252">
        <f t="shared" si="16"/>
        <v>0</v>
      </c>
      <c r="M63" s="252">
        <f t="shared" si="16"/>
        <v>0</v>
      </c>
      <c r="N63" s="252">
        <f t="shared" si="16"/>
        <v>0</v>
      </c>
      <c r="O63" s="252">
        <f t="shared" si="16"/>
        <v>0</v>
      </c>
      <c r="P63" s="252">
        <f t="shared" si="16"/>
        <v>0</v>
      </c>
      <c r="Q63" s="252">
        <f>P63</f>
        <v>0</v>
      </c>
      <c r="S63" s="37"/>
      <c r="CU63" s="225" t="str">
        <f>IF(Basisdaten!$B$15=Basisdaten!$D$2,CV63,CW63)</f>
        <v>Liquiditätssaldo</v>
      </c>
      <c r="CV63" s="30" t="s">
        <v>46</v>
      </c>
      <c r="CW63" s="71" t="str">
        <f t="shared" si="14"/>
        <v xml:space="preserve">Liquidity balance </v>
      </c>
    </row>
    <row r="64" spans="3:101" ht="15" customHeight="1">
      <c r="C64" s="1098"/>
      <c r="D64" s="843" t="str">
        <f t="shared" si="13"/>
        <v>(+) Summe Liquiditätszugang</v>
      </c>
      <c r="E64" s="252">
        <f t="shared" ref="E64:P64" si="17">E49</f>
        <v>0</v>
      </c>
      <c r="F64" s="252">
        <f t="shared" si="17"/>
        <v>0</v>
      </c>
      <c r="G64" s="252">
        <f t="shared" si="17"/>
        <v>0</v>
      </c>
      <c r="H64" s="252">
        <f t="shared" si="17"/>
        <v>0</v>
      </c>
      <c r="I64" s="252">
        <f t="shared" si="17"/>
        <v>0</v>
      </c>
      <c r="J64" s="252">
        <f t="shared" si="17"/>
        <v>0</v>
      </c>
      <c r="K64" s="252">
        <f t="shared" si="17"/>
        <v>0</v>
      </c>
      <c r="L64" s="252">
        <f t="shared" si="17"/>
        <v>0</v>
      </c>
      <c r="M64" s="252">
        <f t="shared" si="17"/>
        <v>0</v>
      </c>
      <c r="N64" s="252">
        <f t="shared" si="17"/>
        <v>0</v>
      </c>
      <c r="O64" s="252">
        <f t="shared" si="17"/>
        <v>0</v>
      </c>
      <c r="P64" s="252">
        <f t="shared" si="17"/>
        <v>0</v>
      </c>
      <c r="Q64" s="252">
        <f>P64</f>
        <v>0</v>
      </c>
      <c r="S64" s="37"/>
      <c r="CU64" s="225" t="str">
        <f>IF(Basisdaten!$B$15=Basisdaten!$D$2,CV64,CW64)</f>
        <v xml:space="preserve">Konto/flüss. Mittel/ Liquiditätssaldo/Startg. </v>
      </c>
      <c r="CV64" s="30" t="s">
        <v>59</v>
      </c>
      <c r="CW64" s="71" t="str">
        <f t="shared" si="14"/>
        <v>Account / liquid resources / liquidity balance / opening balance</v>
      </c>
    </row>
    <row r="65" spans="3:130" ht="15" customHeight="1">
      <c r="C65" s="862"/>
      <c r="D65" s="843" t="str">
        <f t="shared" si="13"/>
        <v>(-) Summe Liquiditätsabgang</v>
      </c>
      <c r="E65" s="252">
        <f t="shared" ref="E65:P65" si="18">E61</f>
        <v>0</v>
      </c>
      <c r="F65" s="252">
        <f t="shared" si="18"/>
        <v>0</v>
      </c>
      <c r="G65" s="252">
        <f t="shared" si="18"/>
        <v>0</v>
      </c>
      <c r="H65" s="252">
        <f t="shared" si="18"/>
        <v>0</v>
      </c>
      <c r="I65" s="252">
        <f t="shared" si="18"/>
        <v>0</v>
      </c>
      <c r="J65" s="252">
        <f t="shared" si="18"/>
        <v>0</v>
      </c>
      <c r="K65" s="252">
        <f t="shared" si="18"/>
        <v>0</v>
      </c>
      <c r="L65" s="252">
        <f t="shared" si="18"/>
        <v>0</v>
      </c>
      <c r="M65" s="252">
        <f t="shared" si="18"/>
        <v>0</v>
      </c>
      <c r="N65" s="252">
        <f t="shared" si="18"/>
        <v>0</v>
      </c>
      <c r="O65" s="252">
        <f t="shared" si="18"/>
        <v>0</v>
      </c>
      <c r="P65" s="252">
        <f t="shared" si="18"/>
        <v>0</v>
      </c>
      <c r="Q65" s="252">
        <f>P65</f>
        <v>0</v>
      </c>
      <c r="S65" s="37"/>
      <c r="CU65" s="225" t="str">
        <f>IF(Basisdaten!$B$15=Basisdaten!$D$2,CV65,CW65)</f>
        <v>(+) Summe Liquiditätszugang</v>
      </c>
      <c r="CV65" s="30" t="s">
        <v>47</v>
      </c>
      <c r="CW65" s="71" t="str">
        <f t="shared" si="14"/>
        <v>(+) Sum liquidity access</v>
      </c>
    </row>
    <row r="66" spans="3:130" ht="15" customHeight="1">
      <c r="C66" s="1104"/>
      <c r="D66" s="667" t="str">
        <f t="shared" si="13"/>
        <v>Liquiditätssaldo</v>
      </c>
      <c r="E66" s="1096">
        <f>E64-E65+E63</f>
        <v>0</v>
      </c>
      <c r="F66" s="1096">
        <f>F64-F65+F63</f>
        <v>0</v>
      </c>
      <c r="G66" s="1096">
        <f t="shared" ref="G66:O66" si="19">G64-G65+G63</f>
        <v>0</v>
      </c>
      <c r="H66" s="1096">
        <f t="shared" si="19"/>
        <v>0</v>
      </c>
      <c r="I66" s="1096">
        <f t="shared" si="19"/>
        <v>0</v>
      </c>
      <c r="J66" s="1096">
        <f t="shared" si="19"/>
        <v>0</v>
      </c>
      <c r="K66" s="1096">
        <f t="shared" si="19"/>
        <v>0</v>
      </c>
      <c r="L66" s="1096">
        <f t="shared" si="19"/>
        <v>0</v>
      </c>
      <c r="M66" s="1096">
        <f t="shared" si="19"/>
        <v>0</v>
      </c>
      <c r="N66" s="1096">
        <f t="shared" si="19"/>
        <v>0</v>
      </c>
      <c r="O66" s="1096">
        <f t="shared" si="19"/>
        <v>0</v>
      </c>
      <c r="P66" s="1096">
        <f>P64-P65+P63</f>
        <v>0</v>
      </c>
      <c r="Q66" s="1096">
        <f>Q64-Q65+Q63</f>
        <v>0</v>
      </c>
      <c r="R66" s="1466"/>
      <c r="S66" s="44"/>
      <c r="CU66" s="225" t="str">
        <f>IF(Basisdaten!$B$15=Basisdaten!$D$2,CV66,CW66)</f>
        <v>(-) Summe Liquiditätsabgang</v>
      </c>
      <c r="CV66" s="30" t="s">
        <v>48</v>
      </c>
      <c r="CW66" s="71" t="str">
        <f t="shared" si="14"/>
        <v>(-)Sum liquidity outflow</v>
      </c>
    </row>
    <row r="67" spans="3:130" s="142" customFormat="1">
      <c r="C67" s="174"/>
      <c r="D67" s="136"/>
      <c r="Q67" s="175"/>
      <c r="R67" s="175"/>
      <c r="S67" s="45"/>
      <c r="T67" s="1510"/>
      <c r="U67" s="85"/>
      <c r="V67" s="85"/>
      <c r="W67" s="85"/>
      <c r="X67" s="85"/>
      <c r="Y67" s="85"/>
      <c r="Z67" s="85"/>
      <c r="CT67" s="30"/>
      <c r="CU67" s="225" t="str">
        <f>IF(Basisdaten!$B$15=Basisdaten!$D$2,CV67,CW67)</f>
        <v>Liquiditätssaldo</v>
      </c>
      <c r="CV67" s="30" t="s">
        <v>46</v>
      </c>
      <c r="CW67" s="71" t="str">
        <f t="shared" si="14"/>
        <v xml:space="preserve">Liquidity balance </v>
      </c>
      <c r="CX67" s="30"/>
      <c r="CY67" s="30"/>
      <c r="CZ67" s="30"/>
      <c r="DA67" s="30"/>
      <c r="DB67" s="30"/>
      <c r="DC67" s="30"/>
      <c r="DD67" s="30"/>
      <c r="DE67" s="30"/>
      <c r="DF67" s="30"/>
      <c r="DG67" s="30"/>
      <c r="DH67" s="30"/>
      <c r="DI67" s="30"/>
      <c r="DJ67" s="30"/>
      <c r="DK67" s="30"/>
    </row>
    <row r="68" spans="3:130" s="142" customFormat="1">
      <c r="J68" s="45"/>
      <c r="Q68" s="175"/>
      <c r="R68" s="175"/>
      <c r="S68" s="1601"/>
      <c r="T68" s="1510"/>
      <c r="U68" s="85"/>
      <c r="V68" s="85"/>
      <c r="W68" s="85"/>
      <c r="X68" s="85"/>
      <c r="Y68" s="85"/>
      <c r="Z68" s="85"/>
      <c r="CT68" s="30"/>
      <c r="CU68" s="225" t="str">
        <f>IF(Basisdaten!$B$15=Basisdaten!$D$2,CV68,CW68)</f>
        <v xml:space="preserve"> für die Jahre</v>
      </c>
      <c r="CV68" s="44" t="s">
        <v>848</v>
      </c>
      <c r="CW68" s="1107" t="s">
        <v>344</v>
      </c>
      <c r="CY68" s="30"/>
      <c r="CZ68" s="30"/>
      <c r="DA68" s="30"/>
      <c r="DB68" s="30"/>
      <c r="DC68" s="30"/>
      <c r="DD68" s="30"/>
      <c r="DE68" s="30"/>
      <c r="DF68" s="30"/>
      <c r="DG68" s="30"/>
      <c r="DH68" s="30"/>
      <c r="DI68" s="30"/>
      <c r="DJ68" s="30"/>
      <c r="DK68" s="30"/>
    </row>
    <row r="69" spans="3:130" s="1110" customFormat="1" ht="24.6">
      <c r="C69" s="1367" t="str">
        <f ca="1">CU70</f>
        <v>6b Liquidität in den Jahren 2028 - 2030</v>
      </c>
      <c r="E69" s="1111"/>
      <c r="F69" s="1111"/>
      <c r="G69" s="1111"/>
      <c r="H69" s="1111"/>
      <c r="I69" s="1111"/>
      <c r="L69" s="1111"/>
      <c r="N69" s="1112"/>
      <c r="O69" s="1111"/>
      <c r="P69" s="1111"/>
      <c r="Q69" s="1111"/>
      <c r="R69" s="1111"/>
      <c r="T69" s="1606"/>
      <c r="U69" s="302"/>
      <c r="V69" s="302"/>
      <c r="W69" s="302"/>
      <c r="X69" s="302"/>
      <c r="Y69" s="302"/>
      <c r="Z69" s="302"/>
      <c r="CT69" s="30"/>
      <c r="CU69" s="225" t="str">
        <f>IF(Basisdaten!$B$15=Basisdaten!$D$2,CV69,CW69)</f>
        <v xml:space="preserve"> für das Jahr</v>
      </c>
      <c r="CV69" s="37" t="s">
        <v>847</v>
      </c>
      <c r="CW69" s="1106" t="s">
        <v>265</v>
      </c>
      <c r="CY69" s="901"/>
      <c r="CZ69" s="901"/>
      <c r="DA69" s="901"/>
      <c r="DB69" s="901"/>
      <c r="DC69" s="901"/>
      <c r="DD69" s="901"/>
      <c r="DE69" s="901"/>
      <c r="DF69" s="901"/>
      <c r="DG69" s="901"/>
      <c r="DH69" s="901"/>
      <c r="DI69" s="901"/>
      <c r="DJ69" s="901"/>
      <c r="DK69" s="901"/>
      <c r="DL69" s="1113"/>
      <c r="DM69" s="1113"/>
      <c r="DN69" s="1113"/>
      <c r="DO69" s="1113"/>
      <c r="DP69" s="1113"/>
      <c r="DQ69" s="1113"/>
      <c r="DR69" s="1113"/>
      <c r="DS69" s="1113"/>
      <c r="DT69" s="1113"/>
      <c r="DU69" s="1113"/>
      <c r="DV69" s="1113"/>
      <c r="DW69" s="1113"/>
      <c r="DX69" s="1113"/>
      <c r="DY69" s="1113"/>
      <c r="DZ69" s="1113"/>
    </row>
    <row r="70" spans="3:130" s="37" customFormat="1" ht="16.2">
      <c r="C70" s="62"/>
      <c r="E70" s="49"/>
      <c r="F70" s="49"/>
      <c r="G70" s="49"/>
      <c r="H70" s="49"/>
      <c r="I70" s="49"/>
      <c r="K70" s="49"/>
      <c r="L70" s="49"/>
      <c r="M70" s="49"/>
      <c r="N70" s="49"/>
      <c r="O70" s="49"/>
      <c r="P70" s="49"/>
      <c r="Q70" s="49"/>
      <c r="R70" s="49"/>
      <c r="T70" s="1510"/>
      <c r="U70" s="50"/>
      <c r="V70" s="50"/>
      <c r="W70" s="50"/>
      <c r="X70" s="50"/>
      <c r="Y70" s="50"/>
      <c r="Z70" s="50"/>
      <c r="CT70" s="30"/>
      <c r="CU70" s="225" t="str">
        <f ca="1">IF(Basisdaten!$B$15=Basisdaten!$D$2,CV70,CW70)</f>
        <v>6b Liquidität in den Jahren 2028 - 2030</v>
      </c>
      <c r="CV70" s="170" t="str">
        <f ca="1">"6b Liquidität in den Jahren "&amp;Basisdaten!O17</f>
        <v>6b Liquidität in den Jahren 2028 - 2030</v>
      </c>
      <c r="CW70" s="98" t="str">
        <f ca="1">"6b Liquidity in the years "&amp;Basisdaten!O17</f>
        <v>6b Liquidity in the years 2028 - 2030</v>
      </c>
      <c r="CX70" s="30"/>
      <c r="CY70" s="30"/>
      <c r="CZ70" s="30"/>
      <c r="DA70" s="30"/>
      <c r="DB70" s="30"/>
      <c r="DC70" s="30"/>
      <c r="DD70" s="30"/>
      <c r="DE70" s="30"/>
      <c r="DF70" s="30"/>
      <c r="DG70" s="30"/>
      <c r="DH70" s="30"/>
      <c r="DI70" s="30"/>
      <c r="DJ70" s="30"/>
      <c r="DK70" s="30"/>
      <c r="DL70" s="45"/>
      <c r="DM70" s="45"/>
      <c r="DN70" s="45"/>
      <c r="DO70" s="45"/>
      <c r="DP70" s="45"/>
      <c r="DQ70" s="45"/>
      <c r="DR70" s="45"/>
      <c r="DS70" s="45"/>
      <c r="DT70" s="45"/>
      <c r="DU70" s="45"/>
      <c r="DV70" s="45"/>
      <c r="DW70" s="45"/>
      <c r="DX70" s="45"/>
      <c r="DY70" s="45"/>
      <c r="DZ70" s="45"/>
    </row>
    <row r="71" spans="3:130" ht="16.2">
      <c r="C71" s="1097" t="s">
        <v>89</v>
      </c>
      <c r="D71" s="342" t="str">
        <f>D6</f>
        <v>Einzahlungen/Auszahlungen (MwSt-Satz s. Tab.2 und Tab.4)</v>
      </c>
      <c r="E71" s="1129">
        <f ca="1">Basisdaten!$C$15</f>
        <v>2026</v>
      </c>
      <c r="F71" s="1129">
        <f ca="1">E71+1</f>
        <v>2027</v>
      </c>
      <c r="G71" s="342">
        <f ca="1">F71+1</f>
        <v>2028</v>
      </c>
      <c r="H71" s="342">
        <f ca="1">G71+1</f>
        <v>2029</v>
      </c>
      <c r="I71" s="342">
        <f ca="1">H71+1</f>
        <v>2030</v>
      </c>
      <c r="J71" s="37"/>
      <c r="K71" s="49"/>
      <c r="L71" s="49"/>
      <c r="M71" s="49"/>
      <c r="N71" s="49"/>
      <c r="O71" s="49"/>
      <c r="P71" s="49"/>
      <c r="Q71" s="49"/>
      <c r="S71" s="37"/>
      <c r="CU71" s="225">
        <f>IF(Basisdaten!$B$15=Basisdaten!$D$2,CV71,CW71)</f>
        <v>0</v>
      </c>
    </row>
    <row r="72" spans="3:130" ht="15" customHeight="1">
      <c r="C72" s="1098">
        <v>1</v>
      </c>
      <c r="D72" s="1100" t="str">
        <f t="shared" ref="D72:D80" si="20">D39</f>
        <v>Konto / flüss. Mittel / Liquiditätssaldo</v>
      </c>
      <c r="E72" s="1130"/>
      <c r="F72" s="1131">
        <f>E99</f>
        <v>0</v>
      </c>
      <c r="G72" s="252">
        <f>F99</f>
        <v>0</v>
      </c>
      <c r="H72" s="252">
        <f ca="1">G99</f>
        <v>0</v>
      </c>
      <c r="I72" s="252">
        <f ca="1">H99</f>
        <v>0</v>
      </c>
      <c r="J72" s="37"/>
      <c r="K72" s="49"/>
      <c r="L72" s="49"/>
      <c r="M72" s="49"/>
      <c r="N72" s="49"/>
      <c r="O72" s="49"/>
      <c r="P72" s="49"/>
      <c r="Q72" s="49"/>
      <c r="S72" s="37"/>
      <c r="CU72" s="225" t="str">
        <f>IF(Basisdaten!$B$15=Basisdaten!$D$2,CV72,CW72)</f>
        <v>Einzahlungen/Auszahlungen (MwSt-Satz s. Tab.2 und Tab.4)</v>
      </c>
      <c r="CV72" s="71" t="str">
        <f t="shared" ref="CV72:CW75" si="21">CV6</f>
        <v>Einzahlungen/Auszahlungen (MwSt-Satz s. Tab.2 und Tab.4)</v>
      </c>
      <c r="CW72" s="71" t="str">
        <f t="shared" si="21"/>
        <v>Receipts / pay offs (VAT rate s. tab 2 and tab 4)</v>
      </c>
    </row>
    <row r="73" spans="3:130" ht="15" customHeight="1">
      <c r="C73" s="1098"/>
      <c r="D73" s="1100" t="str">
        <f t="shared" si="20"/>
        <v>Startguthaben (Eigenkapital und -leistung und Beteiligungen aus Tab. 7a)</v>
      </c>
      <c r="E73" s="1131">
        <f>Q8</f>
        <v>0</v>
      </c>
      <c r="F73" s="1131">
        <f>Q40</f>
        <v>0</v>
      </c>
      <c r="G73" s="252">
        <f>'8 Kapital|Capital'!E25</f>
        <v>0</v>
      </c>
      <c r="H73" s="252">
        <f>'8 Kapital|Capital'!J25</f>
        <v>0</v>
      </c>
      <c r="I73" s="252">
        <f>'8 Kapital|Capital'!O25</f>
        <v>0</v>
      </c>
      <c r="J73" s="37"/>
      <c r="K73" s="179"/>
      <c r="L73" s="179"/>
      <c r="M73" s="179"/>
      <c r="N73" s="179"/>
      <c r="O73" s="179"/>
      <c r="P73" s="179"/>
      <c r="Q73" s="179"/>
      <c r="R73" s="1469"/>
      <c r="S73" s="37"/>
      <c r="CU73" s="225" t="str">
        <f>IF(Basisdaten!$B$15=Basisdaten!$D$2,CV73,CW73)</f>
        <v>Konto / flüss. Mittel / Liquiditätssaldo</v>
      </c>
      <c r="CV73" s="71" t="str">
        <f t="shared" si="21"/>
        <v>Konto / flüss. Mittel / Liquiditätssaldo</v>
      </c>
      <c r="CW73" s="71" t="str">
        <f t="shared" si="21"/>
        <v>Account / liquid resources / liquidity balance / opening balance</v>
      </c>
    </row>
    <row r="74" spans="3:130" ht="15" customHeight="1">
      <c r="C74" s="1165">
        <v>2</v>
      </c>
      <c r="D74" s="1434" t="str">
        <f t="shared" si="20"/>
        <v>Einnahmen / Einzahlungen</v>
      </c>
      <c r="E74" s="1166"/>
      <c r="F74" s="1166"/>
      <c r="G74" s="1167"/>
      <c r="H74" s="1167"/>
      <c r="I74" s="1167"/>
      <c r="J74" s="37"/>
      <c r="K74" s="179"/>
      <c r="L74" s="179"/>
      <c r="M74" s="179"/>
      <c r="N74" s="179"/>
      <c r="O74" s="179"/>
      <c r="P74" s="179"/>
      <c r="Q74" s="179"/>
      <c r="R74" s="1469"/>
      <c r="S74" s="37"/>
      <c r="CU74" s="225" t="str">
        <f>IF(Basisdaten!$B$15=Basisdaten!$D$2,CV74,CW74)</f>
        <v>Startguthaben (Eigenkapital und -leistung und Beteiligungen aus Tab. 7a)</v>
      </c>
      <c r="CV74" s="71" t="str">
        <f t="shared" si="21"/>
        <v>Startguthaben (Eigenkapital und -leistung und Beteiligungen aus Tab. 7a)</v>
      </c>
      <c r="CW74" s="71" t="str">
        <f t="shared" si="21"/>
        <v>Opening balance (own capital, personal contribution and participations from tab 7a)</v>
      </c>
    </row>
    <row r="75" spans="3:130" ht="15" customHeight="1">
      <c r="C75" s="862"/>
      <c r="D75" s="1100" t="str">
        <f t="shared" si="20"/>
        <v>Umsatzerlöse (ohne MwSt) (aus Tab 2a-1)</v>
      </c>
      <c r="E75" s="1131">
        <f>Q10</f>
        <v>0</v>
      </c>
      <c r="F75" s="1131">
        <f>Q42</f>
        <v>0</v>
      </c>
      <c r="G75" s="252">
        <f>'2 Umsatz|Sales'!L124</f>
        <v>0</v>
      </c>
      <c r="H75" s="252">
        <f>'2 Umsatz|Sales'!P124</f>
        <v>0</v>
      </c>
      <c r="I75" s="252">
        <f>'2 Umsatz|Sales'!T124</f>
        <v>0</v>
      </c>
      <c r="J75" s="37"/>
      <c r="K75" s="179"/>
      <c r="L75" s="179"/>
      <c r="M75" s="179"/>
      <c r="N75" s="179"/>
      <c r="O75" s="179"/>
      <c r="P75" s="179"/>
      <c r="Q75" s="179"/>
      <c r="R75" s="1469"/>
      <c r="S75" s="37"/>
      <c r="CU75" s="225" t="str">
        <f>IF(Basisdaten!$B$15=Basisdaten!$D$2,CV75,CW75)</f>
        <v>Einnahmen / Einzahlungen</v>
      </c>
      <c r="CV75" s="71" t="str">
        <f t="shared" si="21"/>
        <v>Einnahmen / Einzahlungen</v>
      </c>
      <c r="CW75" s="71" t="str">
        <f t="shared" si="21"/>
        <v>Receipts / payments-in</v>
      </c>
    </row>
    <row r="76" spans="3:130" ht="15" customHeight="1">
      <c r="C76" s="862"/>
      <c r="D76" s="1100" t="str">
        <f t="shared" si="20"/>
        <v>steuerpflichtig</v>
      </c>
      <c r="E76" s="1131">
        <f>Q11</f>
        <v>0</v>
      </c>
      <c r="F76" s="1131">
        <f>Q43</f>
        <v>0</v>
      </c>
      <c r="G76" s="252">
        <f>'2 Umsatz|Sales'!J162</f>
        <v>0</v>
      </c>
      <c r="H76" s="252">
        <f>'2 Umsatz|Sales'!K162</f>
        <v>0</v>
      </c>
      <c r="I76" s="252">
        <f>'2 Umsatz|Sales'!L162</f>
        <v>0</v>
      </c>
      <c r="J76" s="37"/>
      <c r="K76" s="179"/>
      <c r="L76" s="179"/>
      <c r="M76" s="179"/>
      <c r="N76" s="179"/>
      <c r="O76" s="179"/>
      <c r="P76" s="179"/>
      <c r="Q76" s="179"/>
      <c r="R76" s="1469"/>
      <c r="S76" s="37"/>
      <c r="CU76" s="225" t="str">
        <f>IF(Basisdaten!$B$15=Basisdaten!$D$2,CV76,CW76)</f>
        <v>Umsatzerlöse  (ohne MwSt)  (aus Tab 2a)</v>
      </c>
      <c r="CV76" s="30" t="str">
        <f>"Umsatzerlöse "&amp;Basisdaten!L15&amp; " (aus Tab 2a)"</f>
        <v>Umsatzerlöse  (ohne MwSt)  (aus Tab 2a)</v>
      </c>
      <c r="CW76" s="71" t="str">
        <f>CW10</f>
        <v>Sales (ohne MwSt) (from tab 2a)</v>
      </c>
    </row>
    <row r="77" spans="3:130" ht="15" customHeight="1">
      <c r="C77" s="862"/>
      <c r="D77" s="1100" t="str">
        <f t="shared" si="20"/>
        <v>Eingegangene Zahlungen aus Umsätzen</v>
      </c>
      <c r="E77" s="1131">
        <f>Q12</f>
        <v>0</v>
      </c>
      <c r="F77" s="1131">
        <f>Q44</f>
        <v>0</v>
      </c>
      <c r="G77" s="252">
        <f>IF($G$2=0,'2 Umsatz|Sales'!L124+'2 Umsatz|Sales'!J162,IF($G$2=0.5,('2 Umsatz|Sales'!L124+'2 Umsatz|Sales'!J162)*23/24+'2 Umsatz|Sales'!S65/2+'2 Umsatz|Sales'!S152/2,IF($G$2=1,('2 Umsatz|Sales'!L124+'2 Umsatz|Sales'!J162)*11/12+'2 Umsatz|Sales'!S65+'2 Umsatz|Sales'!S143,IF($G$2=2,('2 Umsatz|Sales'!LK124+'2 Umsatz|Sales'!J162)*10/12+'2 Umsatz|Sales'!S65+'2 Umsatz|Sales'!R64+'2 Umsatz|Sales'!S152+'2 Umsatz|Sales'!R152,IF($G$2=3,('2 Umsatz|Sales'!L124+'2 Umsatz|Sales'!J162)*9/12+'2 Umsatz|Sales'!S65+'2 Umsatz|Sales'!R65+'2 Umsatz|Sales'!Q65+'2 Umsatz|Sales'!S152+'2 Umsatz|Sales'!R152+'2 Umsatz|Sales'!Q152,"hoppla")))))</f>
        <v>0</v>
      </c>
      <c r="H77" s="252">
        <f>IF($G$2=0,'2 Umsatz|Sales'!P124+'2 Umsatz|Sales'!K162,IF($G$2=0.5,('2 Umsatz|Sales'!P124+'2 Umsatz|Sales'!K162)*23/24,IF($G$2=1,('2 Umsatz|Sales'!P124+'2 Umsatz|Sales'!K162)*11/12,IF($G$2=2,('2 Umsatz|Sales'!P124+'2 Umsatz|Sales'!K162)*10/12,IF($G$2=3,('2 Umsatz|Sales'!P124+'2 Umsatz|Sales'!K162)*9/12,"hoppla")))))</f>
        <v>0</v>
      </c>
      <c r="I77" s="252">
        <f>IF($G$2=0,'2 Umsatz|Sales'!T124+'2 Umsatz|Sales'!L162,IF($G$2=0.5,('2 Umsatz|Sales'!T124+'2 Umsatz|Sales'!L162)*23/24,IF($G$2=1,('2 Umsatz|Sales'!T124+'2 Umsatz|Sales'!L162)*11/12,IF($G$2=2,('2 Umsatz|Sales'!T124+'2 Umsatz|Sales'!L162)*10/12,IF($G$2=3,('2 Umsatz|Sales'!T124+'2 Umsatz|Sales'!L162)*9/12,"hoppla")))))</f>
        <v>0</v>
      </c>
      <c r="J77" s="37"/>
      <c r="K77" s="179"/>
      <c r="L77" s="179"/>
      <c r="M77" s="179"/>
      <c r="N77" s="179"/>
      <c r="O77" s="179"/>
      <c r="P77" s="179"/>
      <c r="Q77" s="179"/>
      <c r="R77" s="1469"/>
      <c r="S77" s="37"/>
      <c r="CU77" s="225">
        <f>IF(Basisdaten!$B$15=Basisdaten!$D$2,CV77,CW77)</f>
        <v>0</v>
      </c>
      <c r="CW77" s="71"/>
    </row>
    <row r="78" spans="3:130" ht="15" customHeight="1">
      <c r="C78" s="862"/>
      <c r="D78" s="1100" t="str">
        <f t="shared" si="20"/>
        <v>Finanzierung aus Tab. 7a (o. Eigenanteil/Beteiligungen)</v>
      </c>
      <c r="E78" s="1131">
        <f>Q13</f>
        <v>0</v>
      </c>
      <c r="F78" s="1131">
        <f>Q45</f>
        <v>0</v>
      </c>
      <c r="G78" s="252">
        <f>'8 Kapital|Capital'!J117</f>
        <v>0</v>
      </c>
      <c r="H78" s="252">
        <f>'8 Kapital|Capital'!L117</f>
        <v>0</v>
      </c>
      <c r="I78" s="252">
        <f>'8 Kapital|Capital'!N117</f>
        <v>0</v>
      </c>
      <c r="J78" s="37"/>
      <c r="K78" s="180"/>
      <c r="L78" s="180"/>
      <c r="M78" s="180"/>
      <c r="N78" s="180"/>
      <c r="O78" s="180"/>
      <c r="P78" s="180"/>
      <c r="Q78" s="179"/>
      <c r="R78" s="1469"/>
      <c r="S78" s="37"/>
      <c r="CU78" s="225">
        <f>IF(Basisdaten!$B$15=Basisdaten!$D$2,CV78,CW78)</f>
        <v>0</v>
      </c>
    </row>
    <row r="79" spans="3:130" ht="15" customHeight="1">
      <c r="C79" s="862"/>
      <c r="D79" s="1101" t="str">
        <f t="shared" si="20"/>
        <v>Forderungsausgleich</v>
      </c>
      <c r="E79" s="1132">
        <f>Q14</f>
        <v>0</v>
      </c>
      <c r="F79" s="1132">
        <f>Q46</f>
        <v>0</v>
      </c>
      <c r="G79" s="1160"/>
      <c r="H79" s="1160"/>
      <c r="I79" s="1160"/>
      <c r="J79" s="37"/>
      <c r="K79" s="180"/>
      <c r="L79" s="180"/>
      <c r="M79" s="180"/>
      <c r="N79" s="180"/>
      <c r="O79" s="180"/>
      <c r="P79" s="180"/>
      <c r="Q79" s="179"/>
      <c r="R79" s="1469"/>
      <c r="S79" s="84"/>
      <c r="CU79" s="225" t="str">
        <f>IF(Basisdaten!$B$15=Basisdaten!$D$2,CV79,CW79)</f>
        <v>Finanzierung (aus Tab. 7a o. Eigenanteil / Beteiligungen)</v>
      </c>
      <c r="CV79" s="30" t="str">
        <f>CV45</f>
        <v>Finanzierung (aus Tab. 7a o. Eigenanteil / Beteiligungen)</v>
      </c>
      <c r="CW79" s="71" t="str">
        <f>CW45</f>
        <v>Financing (from tab 7a w/o equity ratio, participations)</v>
      </c>
    </row>
    <row r="80" spans="3:130" ht="15" customHeight="1">
      <c r="C80" s="862"/>
      <c r="D80" s="1101" t="str">
        <f t="shared" si="20"/>
        <v>Fördermittel</v>
      </c>
      <c r="E80" s="1913"/>
      <c r="F80" s="1913"/>
      <c r="G80" s="1912"/>
      <c r="H80" s="1912"/>
      <c r="I80" s="1912"/>
      <c r="J80" s="37"/>
      <c r="K80" s="180"/>
      <c r="L80" s="180"/>
      <c r="M80" s="180"/>
      <c r="N80" s="180"/>
      <c r="O80" s="180"/>
      <c r="P80" s="180"/>
      <c r="Q80" s="179"/>
      <c r="R80" s="1469"/>
      <c r="S80" s="84"/>
      <c r="CU80" s="225"/>
      <c r="CW80" s="71"/>
    </row>
    <row r="81" spans="3:115" ht="15" customHeight="1" thickBot="1">
      <c r="C81" s="862"/>
      <c r="D81" s="1163" t="str">
        <f t="shared" ref="D81:D87" si="22">D48</f>
        <v>Sonstige Einzahlungen, z.B. Gutscheine, Zuschüsse, ...</v>
      </c>
      <c r="E81" s="1153">
        <f>Q16</f>
        <v>0</v>
      </c>
      <c r="F81" s="1153">
        <f t="shared" ref="F81:F82" si="23">Q48</f>
        <v>0</v>
      </c>
      <c r="G81" s="1164"/>
      <c r="H81" s="1164"/>
      <c r="I81" s="1164"/>
      <c r="J81" s="37"/>
      <c r="K81" s="179"/>
      <c r="L81" s="179"/>
      <c r="M81" s="179"/>
      <c r="N81" s="179"/>
      <c r="O81" s="179"/>
      <c r="P81" s="179"/>
      <c r="Q81" s="179"/>
      <c r="R81" s="1469"/>
      <c r="S81" s="84"/>
      <c r="CU81" s="225" t="str">
        <f>IF(Basisdaten!$B$15=Basisdaten!$D$2,CV81,CW81)</f>
        <v>Forderungsausgleich</v>
      </c>
      <c r="CV81" s="30" t="s">
        <v>49</v>
      </c>
      <c r="CW81" s="71" t="str">
        <f>CW46</f>
        <v>Payments of outstanding bills</v>
      </c>
    </row>
    <row r="82" spans="3:115" ht="15" customHeight="1" thickTop="1">
      <c r="C82" s="862"/>
      <c r="D82" s="1151" t="str">
        <f t="shared" si="22"/>
        <v>Summe Liquiditätszugang</v>
      </c>
      <c r="E82" s="1131">
        <f>Q17</f>
        <v>0</v>
      </c>
      <c r="F82" s="1131">
        <f t="shared" si="23"/>
        <v>0</v>
      </c>
      <c r="G82" s="1152">
        <f>SUM(G77:G81)+G73</f>
        <v>0</v>
      </c>
      <c r="H82" s="1152">
        <f>SUM(H77:H81)+H73</f>
        <v>0</v>
      </c>
      <c r="I82" s="1152">
        <f>SUM(I77:I81)+I73</f>
        <v>0</v>
      </c>
      <c r="J82" s="37"/>
      <c r="K82" s="179"/>
      <c r="L82" s="179"/>
      <c r="M82" s="179"/>
      <c r="N82" s="179"/>
      <c r="O82" s="179"/>
      <c r="P82" s="179"/>
      <c r="Q82" s="179"/>
      <c r="R82" s="1469"/>
      <c r="CU82" s="225" t="str">
        <f>IF(Basisdaten!$B$15=Basisdaten!$D$2,CV82,CW82)</f>
        <v>Sonstige Einzahlungen, z.B. Gutscheine, Zuschüsse, ...</v>
      </c>
      <c r="CV82" s="135" t="s">
        <v>133</v>
      </c>
      <c r="CW82" s="71" t="str">
        <f>CW48</f>
        <v>Other earnings e.g. vouchers, grants</v>
      </c>
    </row>
    <row r="83" spans="3:115" ht="15" customHeight="1">
      <c r="C83" s="1165">
        <v>3</v>
      </c>
      <c r="D83" s="1434" t="str">
        <f t="shared" si="22"/>
        <v>Ausgaben / Auszahlungen</v>
      </c>
      <c r="E83" s="1166"/>
      <c r="F83" s="1166"/>
      <c r="G83" s="1167"/>
      <c r="H83" s="1167"/>
      <c r="I83" s="1167"/>
      <c r="J83" s="37"/>
      <c r="K83" s="179"/>
      <c r="L83" s="179"/>
      <c r="M83" s="179"/>
      <c r="N83" s="179"/>
      <c r="O83" s="179"/>
      <c r="P83" s="179"/>
      <c r="Q83" s="179"/>
      <c r="R83" s="1469"/>
      <c r="CU83" s="225" t="str">
        <f>IF(Basisdaten!$B$15=Basisdaten!$D$2,CV83,CW83)</f>
        <v>Summe Liquiditätszugang</v>
      </c>
      <c r="CV83" s="30" t="s">
        <v>42</v>
      </c>
      <c r="CW83" s="71" t="str">
        <f>CW49</f>
        <v>Sum liquidity access</v>
      </c>
    </row>
    <row r="84" spans="3:115" ht="15" customHeight="1">
      <c r="C84" s="1098"/>
      <c r="D84" s="1102" t="str">
        <f t="shared" si="22"/>
        <v>Anschaffungen (ohne MwSt) aus Tab 3 Invest tab 3.1</v>
      </c>
      <c r="E84" s="1131">
        <f t="shared" ref="E84:E89" si="24">Q19</f>
        <v>0</v>
      </c>
      <c r="F84" s="1131">
        <f t="shared" ref="F84:F94" si="25">Q51</f>
        <v>0</v>
      </c>
      <c r="G84" s="252">
        <f ca="1">'4 Invest'!H305</f>
        <v>0</v>
      </c>
      <c r="H84" s="252">
        <f ca="1">'4 Invest'!J305</f>
        <v>0</v>
      </c>
      <c r="I84" s="252">
        <f ca="1">'4 Invest'!L305</f>
        <v>0</v>
      </c>
      <c r="J84" s="37"/>
      <c r="K84" s="179"/>
      <c r="L84" s="179"/>
      <c r="M84" s="179"/>
      <c r="N84" s="179"/>
      <c r="O84" s="179"/>
      <c r="P84" s="179"/>
      <c r="Q84" s="179"/>
      <c r="R84" s="1469"/>
      <c r="CU84" s="225" t="str">
        <f>IF(Basisdaten!$B$15=Basisdaten!$D$2,CV84,CW84)</f>
        <v>Ausgaben / Auszahlungen</v>
      </c>
      <c r="CV84" s="30" t="s">
        <v>43</v>
      </c>
      <c r="CW84" s="71" t="str">
        <f>CW50</f>
        <v>Expenses / outgoings</v>
      </c>
    </row>
    <row r="85" spans="3:115" ht="15" customHeight="1">
      <c r="C85" s="1098"/>
      <c r="D85" s="1102" t="str">
        <f t="shared" si="22"/>
        <v>auf Anschaffungen bezahlte MwSt im Januar FJ wirksan</v>
      </c>
      <c r="E85" s="1131">
        <f t="shared" si="24"/>
        <v>0</v>
      </c>
      <c r="F85" s="1131">
        <f t="shared" si="25"/>
        <v>0</v>
      </c>
      <c r="G85" s="252">
        <f ca="1">'4 Invest'!H307</f>
        <v>0</v>
      </c>
      <c r="H85" s="252">
        <f ca="1">'4 Invest'!J307</f>
        <v>0</v>
      </c>
      <c r="I85" s="252">
        <f ca="1">'4 Invest'!L307</f>
        <v>0</v>
      </c>
      <c r="J85" s="37"/>
      <c r="K85" s="179"/>
      <c r="L85" s="179"/>
      <c r="M85" s="179"/>
      <c r="N85" s="179"/>
      <c r="O85" s="179"/>
      <c r="P85" s="179"/>
      <c r="Q85" s="179"/>
      <c r="R85" s="1469"/>
      <c r="CU85" s="225" t="str">
        <f>IF(Basisdaten!$B$15=Basisdaten!$D$2,CV85,CW85)</f>
        <v>Anschaffungen (ohne MwSt)  (aus Tab 3b)</v>
      </c>
      <c r="CV85" s="30" t="str">
        <f>"Anschaffungen"&amp;Basisdaten!L15&amp;" (aus Tab 3b)"</f>
        <v>Anschaffungen (ohne MwSt)  (aus Tab 3b)</v>
      </c>
      <c r="CW85" s="30" t="str">
        <f>"Acquirements"&amp;Basisdaten!L15 &amp;" (out of tab 3b)"</f>
        <v>Acquirements (ohne MwSt)  (out of tab 3b)</v>
      </c>
    </row>
    <row r="86" spans="3:115" ht="15" customHeight="1">
      <c r="C86" s="1098"/>
      <c r="D86" s="1102" t="str">
        <f t="shared" si="22"/>
        <v>Betriebskosten I ohne MwSt (Übernahme aus Tab. 4a-1)</v>
      </c>
      <c r="E86" s="1131">
        <f t="shared" si="24"/>
        <v>0</v>
      </c>
      <c r="F86" s="1131">
        <f t="shared" si="25"/>
        <v>0</v>
      </c>
      <c r="G86" s="252">
        <f ca="1">'3  Betriebskosten|Operation Ex'!I221+'3  Betriebskosten|Operation Ex'!I233</f>
        <v>0</v>
      </c>
      <c r="H86" s="252">
        <f ca="1">'3  Betriebskosten|Operation Ex'!J221+'3  Betriebskosten|Operation Ex'!J233</f>
        <v>0</v>
      </c>
      <c r="I86" s="252">
        <f ca="1">'3  Betriebskosten|Operation Ex'!K221+'3  Betriebskosten|Operation Ex'!K233</f>
        <v>0</v>
      </c>
      <c r="J86" s="37"/>
      <c r="K86" s="179"/>
      <c r="L86" s="179"/>
      <c r="M86" s="179"/>
      <c r="N86" s="179"/>
      <c r="O86" s="179"/>
      <c r="P86" s="179"/>
      <c r="Q86" s="179"/>
      <c r="R86" s="1469"/>
      <c r="CU86" s="225" t="str">
        <f>IF(Basisdaten!$B$15=Basisdaten!$D$2,CV86,CW86)</f>
        <v>auf Anschaffungen bezahlte MwSt</v>
      </c>
      <c r="CV86" s="30" t="str">
        <f>IF(Basisdaten!$L$15=Basisdaten!$Q$15,"","auf Anschaffungen bezahlte MwSt")</f>
        <v>auf Anschaffungen bezahlte MwSt</v>
      </c>
      <c r="CW86" s="30" t="str">
        <f>IF(Basisdaten!$L$15=Basisdaten!$Q$15,"","For acquirements paid VAT")</f>
        <v>For acquirements paid VAT</v>
      </c>
    </row>
    <row r="87" spans="3:115" ht="15" customHeight="1">
      <c r="C87" s="1098"/>
      <c r="D87" s="1102" t="str">
        <f t="shared" si="22"/>
        <v>auf Betriebsausgaben bezahlte MwSt</v>
      </c>
      <c r="E87" s="1131">
        <f t="shared" si="24"/>
        <v>0</v>
      </c>
      <c r="F87" s="1131">
        <f t="shared" si="25"/>
        <v>0</v>
      </c>
      <c r="G87" s="252">
        <f>'3  Betriebskosten|Operation Ex'!I233</f>
        <v>0</v>
      </c>
      <c r="H87" s="252">
        <f>'3  Betriebskosten|Operation Ex'!J233</f>
        <v>0</v>
      </c>
      <c r="I87" s="252">
        <f>'3  Betriebskosten|Operation Ex'!K233</f>
        <v>0</v>
      </c>
      <c r="J87" s="37"/>
      <c r="K87" s="179"/>
      <c r="L87" s="179"/>
      <c r="M87" s="179"/>
      <c r="N87" s="179"/>
      <c r="O87" s="179"/>
      <c r="P87" s="179"/>
      <c r="Q87" s="179"/>
      <c r="R87" s="1307">
        <f ca="1">IF(G76&lt;Basisdaten!$H$35,('7 Liquiditaet|Liquidity'!G76-'7 Liquiditaet|Liquidity'!G85-'7 Liquiditaet|Liquidity'!G87)*11/12,IF(AND('7 Liquiditaet|Liquidity'!G76&gt;=Basisdaten!H35,'7 Liquiditaet|Liquidity'!G7&lt;Basisdaten!I35),('7 Liquiditaet|Liquidity'!G76-'7 Liquiditaet|Liquidity'!G85-'7 Liquiditaet|Liquidity'!G87)*3/4,('7 Liquiditaet|Liquidity'!G76-'7 Liquiditaet|Liquidity'!G85-'7 Liquiditaet|Liquidity'!G87)*1/12))</f>
        <v>0</v>
      </c>
      <c r="S87" s="1308">
        <f ca="1">IF($I$76&lt;Basisdaten!$H$35,('7 Liquiditaet|Liquidity'!I76-'7 Liquiditaet|Liquidity'!I85-'7 Liquiditaet|Liquidity'!I87)*11/12,IF(AND('7 Liquiditaet|Liquidity'!I76&gt;=Basisdaten!$H$35,'7 Liquiditaet|Liquidity'!I76&lt;Basisdaten!$I$35),('7 Liquiditaet|Liquidity'!I76-'7 Liquiditaet|Liquidity'!I85-'7 Liquiditaet|Liquidity'!I87)*3/4,('7 Liquiditaet|Liquidity'!I76-'7 Liquiditaet|Liquidity'!I85-'7 Liquiditaet|Liquidity'!I87)*1/12))</f>
        <v>0</v>
      </c>
      <c r="CU87" s="225" t="str">
        <f>IF(Basisdaten!$B$15=Basisdaten!$D$2,CV87,CW87)</f>
        <v>Betriebskosten I ohne MwSt (Übernahme aus Tab. 4b)</v>
      </c>
      <c r="CV87" s="30" t="str">
        <f>IF(Basisdaten!$L$15=Basisdaten!$Q$15,"Betriebskosten I mit MwSt (Übernahme aus Tab. 4b)","Betriebskosten I ohne MwSt (Übernahme aus Tab. 4b)")</f>
        <v>Betriebskosten I ohne MwSt (Übernahme aus Tab. 4b)</v>
      </c>
      <c r="CW87" s="30" t="str">
        <f>IF(Basisdaten!$L$15=Basisdaten!$Q$15,"Operation Costs I inculding VAT (from Tab. 4b)","Operation Costs I w/o VAT (from tab 4b)")</f>
        <v>Operation Costs I w/o VAT (from tab 4b)</v>
      </c>
    </row>
    <row r="88" spans="3:115" ht="15" customHeight="1">
      <c r="C88" s="1098"/>
      <c r="D88" s="1102" t="str">
        <f>CU89</f>
        <v>Vorsteuerausgleich  (gemäß gemeldeter Vorsteuerschuld)</v>
      </c>
      <c r="E88" s="1131">
        <f t="shared" si="24"/>
        <v>0</v>
      </c>
      <c r="F88" s="1131">
        <f t="shared" si="25"/>
        <v>0</v>
      </c>
      <c r="G88" s="225">
        <f ca="1">P55+IF(G76&lt;Basisdaten!$H$35,(G76-G85-G87)*11/12,IF(AND(G76&gt;=Basisdaten!$H$35,G76&lt;Basisdaten!I35),(G76-G85-G87)*3/4,(G76-G85-G87)*1/12))</f>
        <v>0</v>
      </c>
      <c r="H88" s="252">
        <f ca="1">(G88-G76)*1/12+IF(H76&lt;Basisdaten!$H$35,(H76-H85-H87)*11/12,IF(AND(H76&gt;=Basisdaten!$H$35,G7&lt;Basisdaten!$I$35),(H76-H85-H87)*3/4,(H76-H85-H87)*1/12))</f>
        <v>0</v>
      </c>
      <c r="I88" s="252">
        <f ca="1">H88*1/12+IF($I$76&lt;Basisdaten!$H$35,(I76-I85-I87)*11/12,IF(AND(I76&gt;=Basisdaten!$H$35,H76&lt;Basisdaten!$I$35),(I76-I85-I87)*3/4,(I76-I85-I87)*1/12))</f>
        <v>0</v>
      </c>
      <c r="J88" s="37"/>
      <c r="K88" s="180"/>
      <c r="L88" s="180"/>
      <c r="M88" s="180"/>
      <c r="N88" s="180"/>
      <c r="O88" s="180"/>
      <c r="P88" s="180"/>
      <c r="Q88" s="180"/>
      <c r="R88" s="1469"/>
      <c r="CU88" s="225" t="e">
        <f>IF(Basisdaten!$B$15=Basisdaten!$D$2,CV88,CW88)</f>
        <v>#VALUE!</v>
      </c>
      <c r="CV88" s="30" t="e">
        <f>IF(Basisdaten!$L$15=Basisdaten!$Q$130,"","auf Betriebskosten bezahlte MwSt "&amp;$C$1*100 &amp;"% (aus Tab. 4b Anhang)")</f>
        <v>#VALUE!</v>
      </c>
      <c r="CW88" s="30" t="str">
        <f>IF(Basisdaten!$L$15=Basisdaten!$Q$15,"","Payed VAT  for Costs of Operation (from tab 4b annex)")</f>
        <v>Payed VAT  for Costs of Operation (from tab 4b annex)</v>
      </c>
      <c r="CX88" s="37"/>
      <c r="CY88" s="37"/>
      <c r="CZ88" s="37"/>
      <c r="DA88" s="37"/>
      <c r="DB88" s="37"/>
      <c r="DC88" s="37"/>
      <c r="DD88" s="37"/>
      <c r="DE88" s="37"/>
      <c r="DF88" s="37"/>
      <c r="DG88" s="37"/>
      <c r="DH88" s="37"/>
      <c r="DI88" s="37"/>
      <c r="DJ88" s="37"/>
      <c r="DK88" s="37"/>
    </row>
    <row r="89" spans="3:115" ht="15" customHeight="1">
      <c r="C89" s="862"/>
      <c r="D89" s="1102" t="str">
        <f>D56</f>
        <v>Kapitaldienst Tilgung (aus Tab.7.b-1)</v>
      </c>
      <c r="E89" s="1131">
        <f t="shared" si="24"/>
        <v>0</v>
      </c>
      <c r="F89" s="1131">
        <f t="shared" si="25"/>
        <v>0</v>
      </c>
      <c r="G89" s="252">
        <f>'8 Kapital|Capital'!G80</f>
        <v>0</v>
      </c>
      <c r="H89" s="252">
        <f>'8 Kapital|Capital'!H80</f>
        <v>0</v>
      </c>
      <c r="I89" s="252">
        <f>'8 Kapital|Capital'!I80</f>
        <v>0</v>
      </c>
      <c r="J89" s="37"/>
      <c r="K89" s="181"/>
      <c r="L89" s="181"/>
      <c r="M89" s="181"/>
      <c r="N89" s="177"/>
      <c r="O89" s="181"/>
      <c r="P89" s="181"/>
      <c r="Q89" s="181"/>
      <c r="R89" s="1469"/>
      <c r="CU89" s="225" t="str">
        <f>IF(Basisdaten!$B$15=Basisdaten!$D$2,CV89,CW89)</f>
        <v>Vorsteuerausgleich  (gemäß gemeldeter Vorsteuerschuld)</v>
      </c>
      <c r="CV89" s="30" t="str">
        <f>"Vorsteuerausgleich  (gemäß gemeldeter Vorsteuerschuld)"</f>
        <v>Vorsteuerausgleich  (gemäß gemeldeter Vorsteuerschuld)</v>
      </c>
      <c r="CW89" s="30" t="str">
        <f>"input tax  (according to reported input tax liability)"</f>
        <v>input tax  (according to reported input tax liability)</v>
      </c>
      <c r="CX89" s="37"/>
      <c r="CY89" s="37"/>
      <c r="CZ89" s="37"/>
      <c r="DA89" s="37"/>
      <c r="DB89" s="37"/>
      <c r="DC89" s="37"/>
      <c r="DD89" s="37"/>
      <c r="DE89" s="37"/>
      <c r="DF89" s="37"/>
      <c r="DG89" s="37"/>
      <c r="DH89" s="37"/>
      <c r="DI89" s="37"/>
      <c r="DJ89" s="37"/>
      <c r="DK89" s="37"/>
    </row>
    <row r="90" spans="3:115" ht="15" customHeight="1">
      <c r="C90" s="862"/>
      <c r="D90" s="1102" t="str">
        <f>D57</f>
        <v>Gewerbesteuer (Übernahme aus Tab. 5c)</v>
      </c>
      <c r="E90" s="1131">
        <f>Q26</f>
        <v>0</v>
      </c>
      <c r="F90" s="1131">
        <f t="shared" si="25"/>
        <v>0</v>
      </c>
      <c r="G90" s="252">
        <f ca="1">'5 Rendite|Profit'!F50</f>
        <v>0</v>
      </c>
      <c r="H90" s="252">
        <f ca="1">'5 Rendite|Profit'!G50</f>
        <v>0</v>
      </c>
      <c r="I90" s="252">
        <f ca="1">'5 Rendite|Profit'!H50</f>
        <v>0</v>
      </c>
      <c r="J90" s="37"/>
      <c r="L90" s="180"/>
      <c r="M90" s="180"/>
      <c r="O90" s="180"/>
      <c r="P90" s="180"/>
      <c r="Q90" s="180"/>
      <c r="R90" s="1469"/>
      <c r="CU90" s="225" t="str">
        <f>IF(Basisdaten!$B$15=Basisdaten!$D$2,CV90,CW90)</f>
        <v>ans Finanzamt abzuführende 0% MwSt. aus Umsätzen (aus Tab. 2b)</v>
      </c>
      <c r="CV90" s="30" t="str">
        <f>IF(Basisdaten!$L$15=Basisdaten!$Q$15,"","ans Finanzamt abzuführende "&amp;$D$1*100&amp;"% MwSt. aus Umsätzen (aus Tab. 2b)")</f>
        <v>ans Finanzamt abzuführende 0% MwSt. aus Umsätzen (aus Tab. 2b)</v>
      </c>
      <c r="CW90" s="30" t="str">
        <f>IF(Basisdaten!$L$15=Basisdaten!$Q$15,"","Payed VAT " &amp; $D$1*100 &amp; "% from Sales to Tax Office (tab 2b)")</f>
        <v>Payed VAT 0% from Sales to Tax Office (tab 2b)</v>
      </c>
      <c r="CX90" s="37"/>
      <c r="CY90" s="37"/>
      <c r="CZ90" s="37"/>
      <c r="DA90" s="37"/>
      <c r="DB90" s="37"/>
      <c r="DC90" s="37"/>
      <c r="DD90" s="37"/>
      <c r="DE90" s="37"/>
      <c r="DF90" s="37"/>
      <c r="DG90" s="37"/>
      <c r="DH90" s="37"/>
      <c r="DI90" s="37"/>
      <c r="DJ90" s="37"/>
      <c r="DK90" s="37"/>
    </row>
    <row r="91" spans="3:115" ht="15" customHeight="1">
      <c r="C91" s="1098"/>
      <c r="D91" s="1102" t="str">
        <f>D58</f>
        <v>Einkommensteuer (Übernahme aus Tab. 5c; Jahreswert gezwölftelt)</v>
      </c>
      <c r="E91" s="1131">
        <f>Q27</f>
        <v>0</v>
      </c>
      <c r="F91" s="1131">
        <f t="shared" si="25"/>
        <v>0</v>
      </c>
      <c r="G91" s="252">
        <f ca="1">'5 Rendite|Profit'!F49</f>
        <v>0</v>
      </c>
      <c r="H91" s="252">
        <f ca="1">'5 Rendite|Profit'!G49</f>
        <v>0</v>
      </c>
      <c r="I91" s="252">
        <f ca="1">'5 Rendite|Profit'!H49</f>
        <v>0</v>
      </c>
      <c r="J91" s="37"/>
      <c r="K91" s="180"/>
      <c r="L91" s="180"/>
      <c r="M91" s="180"/>
      <c r="N91" s="180"/>
      <c r="O91" s="180"/>
      <c r="P91" s="180"/>
      <c r="Q91" s="180"/>
      <c r="R91" s="1469"/>
      <c r="CU91" s="225" t="str">
        <f>IF(Basisdaten!$B$15=Basisdaten!$D$2,CV91,CW91)</f>
        <v>Kapitaldienst Tilgung (aus Tab. 7b-1)</v>
      </c>
      <c r="CV91" s="30" t="s">
        <v>139</v>
      </c>
      <c r="CW91" s="71" t="s">
        <v>406</v>
      </c>
      <c r="CX91" s="37"/>
      <c r="CY91" s="37"/>
      <c r="CZ91" s="37"/>
      <c r="DA91" s="37"/>
      <c r="DB91" s="37"/>
      <c r="DC91" s="37"/>
      <c r="DD91" s="37"/>
      <c r="DE91" s="37"/>
      <c r="DF91" s="37"/>
      <c r="DG91" s="37"/>
      <c r="DH91" s="37"/>
      <c r="DI91" s="37"/>
      <c r="DJ91" s="37"/>
      <c r="DK91" s="37"/>
    </row>
    <row r="92" spans="3:115" ht="15" customHeight="1">
      <c r="C92" s="862"/>
      <c r="D92" s="1102" t="str">
        <f>D59</f>
        <v>Privatentnahmen Lebensunterhalt (aus TAB 1 Private ....1.3)</v>
      </c>
      <c r="E92" s="1131">
        <f>Q27</f>
        <v>0</v>
      </c>
      <c r="F92" s="1131">
        <f t="shared" si="25"/>
        <v>0</v>
      </c>
      <c r="G92" s="252">
        <f>IF(OR(Basisdaten!$U$31='0 Daten|Data'!$D$7,'0 Daten|Data'!$D$7=""),'1 Private Kosten|Costs'!G102,0)</f>
        <v>0</v>
      </c>
      <c r="H92" s="252">
        <f>IF(OR(Basisdaten!$U$31='0 Daten|Data'!$D$7,'0 Daten|Data'!$D$7=""),'1 Private Kosten|Costs'!H102,0)</f>
        <v>0</v>
      </c>
      <c r="I92" s="252">
        <f>IF(OR(Basisdaten!$U$31='0 Daten|Data'!$D$7,'0 Daten|Data'!$D$7=""),'1 Private Kosten|Costs'!I102,0)</f>
        <v>0</v>
      </c>
      <c r="J92" s="37"/>
      <c r="K92" s="180"/>
      <c r="L92" s="180"/>
      <c r="M92" s="180"/>
      <c r="N92" s="180"/>
      <c r="O92" s="180"/>
      <c r="P92" s="180"/>
      <c r="Q92" s="180"/>
      <c r="R92" s="1469"/>
      <c r="CU92" s="225" t="str">
        <f>IF(Basisdaten!$B$15=Basisdaten!$D$2,CV92,CW92)</f>
        <v>Gewerbesteuer (Übernahme aus Tab. 5c)</v>
      </c>
      <c r="CV92" s="30" t="s">
        <v>113</v>
      </c>
      <c r="CW92" s="71" t="str">
        <f>CW58</f>
        <v>Business tax (from tab 5c)</v>
      </c>
      <c r="CX92" s="37"/>
      <c r="CY92" s="37"/>
      <c r="CZ92" s="37"/>
      <c r="DA92" s="37"/>
      <c r="DB92" s="37"/>
      <c r="DC92" s="37"/>
      <c r="DD92" s="37"/>
      <c r="DE92" s="37"/>
      <c r="DF92" s="37"/>
      <c r="DG92" s="37"/>
      <c r="DH92" s="37"/>
      <c r="DI92" s="37"/>
      <c r="DJ92" s="37"/>
      <c r="DK92" s="37"/>
    </row>
    <row r="93" spans="3:115" ht="15" customHeight="1" thickBot="1">
      <c r="C93" s="862"/>
      <c r="D93" s="1163" t="str">
        <f t="shared" ref="D93:D99" si="26">D60</f>
        <v xml:space="preserve">Sonstige Auszahlungen </v>
      </c>
      <c r="E93" s="1153">
        <f>Q28</f>
        <v>0</v>
      </c>
      <c r="F93" s="1153">
        <f t="shared" si="25"/>
        <v>0</v>
      </c>
      <c r="G93" s="1164"/>
      <c r="H93" s="1164"/>
      <c r="I93" s="1164"/>
      <c r="J93" s="37"/>
      <c r="K93" s="179"/>
      <c r="L93" s="179"/>
      <c r="M93" s="179"/>
      <c r="N93" s="179"/>
      <c r="O93" s="179"/>
      <c r="P93" s="179"/>
      <c r="Q93" s="179"/>
      <c r="R93" s="1469"/>
      <c r="S93" s="84"/>
      <c r="CU93" s="225" t="str">
        <f>IF(Basisdaten!$B$15=Basisdaten!$D$2,CV93,CW93)</f>
        <v>Einkommensteuer (Übernahme aus Tab. 5c; Jahreswert gezwölftelt)</v>
      </c>
      <c r="CV93" s="71" t="str">
        <f>CV59</f>
        <v>Einkommensteuer (Übernahme aus Tab. 5c; Jahreswert gezwölftelt)</v>
      </c>
      <c r="CW93" s="71" t="str">
        <f>CW59</f>
        <v xml:space="preserve">Income Tax (from tab 5c; annual value partitioned into twelve) </v>
      </c>
      <c r="CX93" s="37"/>
      <c r="CY93" s="37"/>
      <c r="CZ93" s="37"/>
      <c r="DA93" s="37"/>
      <c r="DB93" s="37"/>
      <c r="DC93" s="37"/>
      <c r="DD93" s="37"/>
      <c r="DE93" s="37"/>
      <c r="DF93" s="37"/>
      <c r="DG93" s="37"/>
      <c r="DH93" s="37"/>
      <c r="DI93" s="37"/>
      <c r="DJ93" s="37"/>
      <c r="DK93" s="37"/>
    </row>
    <row r="94" spans="3:115" ht="15" customHeight="1" thickTop="1">
      <c r="C94" s="862"/>
      <c r="D94" s="1149" t="str">
        <f t="shared" si="26"/>
        <v>Summe Liquiditätsabgang (ohne Zeile 21 und 23)</v>
      </c>
      <c r="E94" s="1131">
        <f>Q29</f>
        <v>0</v>
      </c>
      <c r="F94" s="1131">
        <f t="shared" si="25"/>
        <v>0</v>
      </c>
      <c r="G94" s="1150">
        <f ca="1">SUM(G84:G93)</f>
        <v>0</v>
      </c>
      <c r="H94" s="1150">
        <f ca="1">SUM(H84:H93)</f>
        <v>0</v>
      </c>
      <c r="I94" s="1150">
        <f ca="1">SUM(I84:I93)</f>
        <v>0</v>
      </c>
      <c r="J94" s="37"/>
      <c r="K94" s="179"/>
      <c r="L94" s="179"/>
      <c r="M94" s="179"/>
      <c r="N94" s="179"/>
      <c r="O94" s="179"/>
      <c r="P94" s="179"/>
      <c r="Q94" s="179"/>
      <c r="R94" s="1469"/>
      <c r="CU94" s="225" t="str">
        <f>IF(Basisdaten!$B$15=Basisdaten!$D$2,CV94,CW94)</f>
        <v xml:space="preserve">Sonstige Auszahlungen </v>
      </c>
      <c r="CV94" s="135" t="s">
        <v>44</v>
      </c>
      <c r="CW94" s="71" t="str">
        <f t="shared" ref="CW94:CW100" si="27">CW61</f>
        <v>Other pay offs</v>
      </c>
      <c r="CX94" s="37"/>
      <c r="CY94" s="37"/>
      <c r="CZ94" s="37"/>
      <c r="DA94" s="37"/>
      <c r="DB94" s="37"/>
      <c r="DC94" s="37"/>
      <c r="DD94" s="37"/>
      <c r="DE94" s="37"/>
      <c r="DF94" s="37"/>
      <c r="DG94" s="37"/>
      <c r="DH94" s="37"/>
      <c r="DI94" s="37"/>
      <c r="DJ94" s="37"/>
      <c r="DK94" s="37"/>
    </row>
    <row r="95" spans="3:115" ht="15" customHeight="1">
      <c r="C95" s="1165">
        <v>4</v>
      </c>
      <c r="D95" s="1434" t="str">
        <f t="shared" si="26"/>
        <v>Liquiditätssaldo</v>
      </c>
      <c r="E95" s="1166"/>
      <c r="F95" s="1166"/>
      <c r="G95" s="1167"/>
      <c r="H95" s="1167"/>
      <c r="I95" s="1167"/>
      <c r="J95" s="37"/>
      <c r="K95" s="179"/>
      <c r="L95" s="179"/>
      <c r="M95" s="179"/>
      <c r="N95" s="179"/>
      <c r="O95" s="179"/>
      <c r="P95" s="179"/>
      <c r="Q95" s="179"/>
      <c r="R95" s="1469"/>
      <c r="CU95" s="225" t="str">
        <f>IF(Basisdaten!$B$15=Basisdaten!$D$2,CV95,CW95)</f>
        <v>Summe Liquiditätsabgang</v>
      </c>
      <c r="CV95" s="30" t="s">
        <v>45</v>
      </c>
      <c r="CW95" s="71" t="str">
        <f t="shared" si="27"/>
        <v>Sum liquidity outflow</v>
      </c>
      <c r="CX95" s="37"/>
      <c r="CY95" s="37"/>
      <c r="CZ95" s="37"/>
      <c r="DA95" s="37"/>
      <c r="DB95" s="37"/>
      <c r="DC95" s="37"/>
      <c r="DD95" s="37"/>
      <c r="DE95" s="37"/>
      <c r="DF95" s="37"/>
      <c r="DG95" s="37"/>
      <c r="DH95" s="37"/>
      <c r="DI95" s="37"/>
      <c r="DJ95" s="37"/>
      <c r="DK95" s="37"/>
    </row>
    <row r="96" spans="3:115" ht="15" customHeight="1">
      <c r="C96" s="1098"/>
      <c r="D96" s="1100" t="str">
        <f t="shared" si="26"/>
        <v xml:space="preserve">Konto/flüss. Mittel/ Liquiditätssaldo/Startg. </v>
      </c>
      <c r="E96" s="1131">
        <f>E73</f>
        <v>0</v>
      </c>
      <c r="F96" s="1131">
        <f>Q63</f>
        <v>0</v>
      </c>
      <c r="G96" s="1131">
        <f>G72+G73+G78</f>
        <v>0</v>
      </c>
      <c r="H96" s="1131">
        <f ca="1">H72+H73+H78</f>
        <v>0</v>
      </c>
      <c r="I96" s="1131">
        <f ca="1">I72+I73+I78</f>
        <v>0</v>
      </c>
      <c r="J96" s="37"/>
      <c r="K96" s="179"/>
      <c r="L96" s="179"/>
      <c r="M96" s="179"/>
      <c r="N96" s="179"/>
      <c r="O96" s="179"/>
      <c r="P96" s="179"/>
      <c r="Q96" s="179"/>
      <c r="R96" s="1469"/>
      <c r="CU96" s="225" t="str">
        <f>IF(Basisdaten!$B$15=Basisdaten!$D$2,CV96,CW96)</f>
        <v>Liquiditätssaldo</v>
      </c>
      <c r="CV96" s="30" t="s">
        <v>46</v>
      </c>
      <c r="CW96" s="71" t="str">
        <f t="shared" si="27"/>
        <v xml:space="preserve">Liquidity balance </v>
      </c>
    </row>
    <row r="97" spans="3:134" ht="15" customHeight="1">
      <c r="C97" s="1098"/>
      <c r="D97" s="1100" t="str">
        <f t="shared" si="26"/>
        <v>(+) Summe Liquiditätszugang</v>
      </c>
      <c r="E97" s="1131">
        <f>Q17</f>
        <v>0</v>
      </c>
      <c r="F97" s="1131">
        <f>Q64</f>
        <v>0</v>
      </c>
      <c r="G97" s="252">
        <f>G82</f>
        <v>0</v>
      </c>
      <c r="H97" s="252">
        <f>H82</f>
        <v>0</v>
      </c>
      <c r="I97" s="252">
        <f>I82</f>
        <v>0</v>
      </c>
      <c r="J97" s="37"/>
      <c r="K97" s="179"/>
      <c r="L97" s="179"/>
      <c r="M97" s="179"/>
      <c r="N97" s="179"/>
      <c r="O97" s="179"/>
      <c r="P97" s="179"/>
      <c r="Q97" s="179"/>
      <c r="R97" s="1469"/>
      <c r="CU97" s="225" t="str">
        <f>IF(Basisdaten!$B$15=Basisdaten!$D$2,CV97,CW97)</f>
        <v xml:space="preserve">Konto/flüss. Mittel/ Liquiditätssaldo/Startg. </v>
      </c>
      <c r="CV97" s="30" t="s">
        <v>59</v>
      </c>
      <c r="CW97" s="71" t="str">
        <f t="shared" si="27"/>
        <v>Account / liquid resources / liquidity balance / opening balance</v>
      </c>
    </row>
    <row r="98" spans="3:134" ht="15" customHeight="1">
      <c r="C98" s="862"/>
      <c r="D98" s="1100" t="str">
        <f t="shared" si="26"/>
        <v>(-) Summe Liquiditätsabgang</v>
      </c>
      <c r="E98" s="1131">
        <f>Q29</f>
        <v>0</v>
      </c>
      <c r="F98" s="1131">
        <f>Q65</f>
        <v>0</v>
      </c>
      <c r="G98" s="252">
        <f ca="1">G94</f>
        <v>0</v>
      </c>
      <c r="H98" s="252">
        <f ca="1">H94</f>
        <v>0</v>
      </c>
      <c r="I98" s="252">
        <f ca="1">I94</f>
        <v>0</v>
      </c>
      <c r="J98" s="37"/>
      <c r="K98" s="179"/>
      <c r="L98" s="179"/>
      <c r="M98" s="179"/>
      <c r="N98" s="179"/>
      <c r="O98" s="179"/>
      <c r="P98" s="179"/>
      <c r="Q98" s="179"/>
      <c r="R98" s="1469"/>
      <c r="CU98" s="225" t="str">
        <f>IF(Basisdaten!$B$15=Basisdaten!$D$2,CV98,CW98)</f>
        <v>(+) Summe Liquiditätszugang</v>
      </c>
      <c r="CV98" s="30" t="s">
        <v>47</v>
      </c>
      <c r="CW98" s="71" t="str">
        <f t="shared" si="27"/>
        <v>(+) Sum liquidity access</v>
      </c>
    </row>
    <row r="99" spans="3:134" ht="15" customHeight="1">
      <c r="C99" s="1099"/>
      <c r="D99" s="667" t="str">
        <f t="shared" si="26"/>
        <v>Liquiditätssaldo</v>
      </c>
      <c r="E99" s="1133">
        <f>E96+E97-E98</f>
        <v>0</v>
      </c>
      <c r="F99" s="1133">
        <f>F96+F97-F98</f>
        <v>0</v>
      </c>
      <c r="G99" s="1096">
        <f ca="1">G96+G97-G98</f>
        <v>0</v>
      </c>
      <c r="H99" s="1096">
        <f ca="1">H96+H97-H98</f>
        <v>0</v>
      </c>
      <c r="I99" s="1096">
        <f ca="1">I96+I97-I98</f>
        <v>0</v>
      </c>
      <c r="J99" s="37"/>
      <c r="K99" s="179"/>
      <c r="L99" s="179"/>
      <c r="M99" s="179"/>
      <c r="N99" s="179"/>
      <c r="O99" s="179"/>
      <c r="P99" s="179"/>
      <c r="Q99" s="179"/>
      <c r="R99" s="1469"/>
      <c r="CU99" s="225" t="str">
        <f>IF(Basisdaten!$B$15=Basisdaten!$D$2,CV99,CW99)</f>
        <v>(-) Summe Liquiditätsabgang</v>
      </c>
      <c r="CV99" s="30" t="s">
        <v>48</v>
      </c>
      <c r="CW99" s="71" t="str">
        <f t="shared" si="27"/>
        <v>(-)Sum liquidity outflow</v>
      </c>
    </row>
    <row r="100" spans="3:134" s="1527" customFormat="1">
      <c r="T100" s="926"/>
      <c r="U100" s="926"/>
      <c r="V100" s="926"/>
      <c r="W100" s="926"/>
      <c r="X100" s="926"/>
      <c r="Y100" s="926"/>
      <c r="Z100" s="926"/>
      <c r="CU100" s="1526" t="str">
        <f>IF(Basisdaten!$B$15=Basisdaten!$D$2,CV100,CW100)</f>
        <v>Liquiditätssaldo</v>
      </c>
      <c r="CV100" s="1545" t="s">
        <v>46</v>
      </c>
      <c r="CW100" s="40" t="str">
        <f t="shared" si="27"/>
        <v xml:space="preserve">Liquidity balance </v>
      </c>
      <c r="CX100" s="1545"/>
      <c r="CY100" s="1545"/>
      <c r="CZ100" s="1545"/>
      <c r="DA100" s="1545"/>
      <c r="DB100" s="1545"/>
      <c r="DC100" s="1545"/>
      <c r="DD100" s="1545"/>
      <c r="DE100" s="1545"/>
      <c r="DF100" s="1545"/>
      <c r="DG100" s="1545"/>
      <c r="DH100" s="1545"/>
      <c r="DI100" s="1545"/>
      <c r="DJ100" s="1545"/>
      <c r="DK100" s="1545"/>
    </row>
    <row r="101" spans="3:134" s="1527" customFormat="1">
      <c r="T101" s="926"/>
      <c r="U101" s="926"/>
      <c r="V101" s="926"/>
      <c r="W101" s="926"/>
      <c r="X101" s="926"/>
      <c r="Y101" s="926"/>
      <c r="Z101" s="926"/>
      <c r="CU101" s="1526">
        <f>IF(Basisdaten!$B$15=Basisdaten!$D$2,CV101,CW101)</f>
        <v>0</v>
      </c>
      <c r="CV101" s="1545"/>
      <c r="CW101" s="1545"/>
      <c r="CX101" s="1545"/>
      <c r="CY101" s="1545"/>
      <c r="CZ101" s="1545"/>
      <c r="DA101" s="1545"/>
      <c r="DB101" s="1545"/>
      <c r="DC101" s="1545"/>
      <c r="DD101" s="1545"/>
      <c r="DE101" s="1545"/>
      <c r="DF101" s="1545"/>
      <c r="DG101" s="1545"/>
      <c r="DH101" s="1545"/>
      <c r="DI101" s="1545"/>
      <c r="DJ101" s="1545"/>
      <c r="DK101" s="1545"/>
    </row>
    <row r="102" spans="3:134" s="249" customFormat="1" ht="13.8" customHeight="1">
      <c r="C102" s="1527"/>
      <c r="D102" s="1527"/>
      <c r="E102" s="1527"/>
      <c r="F102" s="1527"/>
      <c r="G102" s="1527"/>
      <c r="H102" s="1527"/>
      <c r="I102" s="1527"/>
      <c r="J102" s="1527"/>
      <c r="K102" s="1527"/>
      <c r="L102" s="1527"/>
      <c r="M102" s="1527"/>
      <c r="N102" s="1527"/>
      <c r="O102" s="1527"/>
      <c r="P102" s="1527"/>
      <c r="Q102" s="1527"/>
      <c r="R102" s="1527"/>
      <c r="S102" s="1527"/>
      <c r="T102" s="926"/>
      <c r="U102" s="926"/>
      <c r="V102" s="926"/>
      <c r="W102" s="926"/>
      <c r="X102" s="926"/>
      <c r="Y102" s="926"/>
      <c r="Z102" s="926"/>
      <c r="AA102" s="1527"/>
      <c r="AB102" s="1527"/>
      <c r="AC102" s="1527"/>
      <c r="AD102" s="1527"/>
      <c r="AE102" s="1527"/>
      <c r="CU102" s="1526" t="str">
        <f>IF(Basisdaten!$B$15=Basisdaten!$D$2,CV102,CW102)</f>
        <v>Anmerkungen</v>
      </c>
      <c r="CV102" s="1545" t="s">
        <v>92</v>
      </c>
      <c r="CW102" s="1545" t="s">
        <v>237</v>
      </c>
      <c r="CX102" s="1545"/>
      <c r="CY102" s="1545"/>
      <c r="CZ102" s="1545"/>
      <c r="DA102" s="1545"/>
      <c r="DB102" s="1545"/>
      <c r="DC102" s="1545"/>
      <c r="DD102" s="1545"/>
      <c r="DE102" s="1545"/>
      <c r="DF102" s="1545"/>
      <c r="DG102" s="1545"/>
      <c r="DH102" s="1545"/>
      <c r="DI102" s="1545"/>
      <c r="DJ102" s="1545"/>
      <c r="DK102" s="1545"/>
    </row>
    <row r="103" spans="3:134" s="249" customFormat="1" ht="13.8" customHeight="1">
      <c r="C103" s="1527"/>
      <c r="D103" s="1527"/>
      <c r="E103" s="1527"/>
      <c r="F103" s="1527"/>
      <c r="G103" s="1527"/>
      <c r="H103" s="1527"/>
      <c r="I103" s="1527"/>
      <c r="J103" s="1527"/>
      <c r="K103" s="1527"/>
      <c r="L103" s="1527"/>
      <c r="M103" s="1527"/>
      <c r="N103" s="1527"/>
      <c r="O103" s="1527"/>
      <c r="P103" s="1527"/>
      <c r="Q103" s="1527"/>
      <c r="R103" s="1527"/>
      <c r="S103" s="1527"/>
      <c r="T103" s="926"/>
      <c r="U103" s="926"/>
      <c r="V103" s="926"/>
      <c r="W103" s="926"/>
      <c r="X103" s="926"/>
      <c r="Y103" s="926"/>
      <c r="Z103" s="926"/>
      <c r="AA103" s="1527"/>
      <c r="AB103" s="1527"/>
      <c r="AC103" s="1527"/>
      <c r="AD103" s="1527"/>
      <c r="AE103" s="1527"/>
      <c r="CU103" s="1526" t="str">
        <f>IF(Basisdaten!$B$15=Basisdaten!$D$2,CV103,CW103)</f>
        <v>MwSt-Rückerstattung aus Betriebsausgaben (Zeilen 91+92 Tab. 6b)</v>
      </c>
      <c r="CV103" s="1545" t="str">
        <f>IF(Basisdaten!$L$15=Basisdaten!$Q$15,"","MwSt-Rückerstattung aus Betriebsausgaben (Zeilen 91+92 Tab. 6b)")</f>
        <v>MwSt-Rückerstattung aus Betriebsausgaben (Zeilen 91+92 Tab. 6b)</v>
      </c>
      <c r="CW103" s="1545" t="str">
        <f>IF(Basisdaten!$L$15=Basisdaten!$Q$15,"","VAT Payback from Business Cost Acquirements (out of tab 6b)")</f>
        <v>VAT Payback from Business Cost Acquirements (out of tab 6b)</v>
      </c>
      <c r="CX103" s="1545"/>
      <c r="CY103" s="1545"/>
      <c r="CZ103" s="1545"/>
      <c r="DA103" s="1545"/>
      <c r="DB103" s="1545"/>
      <c r="DC103" s="1545"/>
      <c r="DD103" s="1545"/>
      <c r="DE103" s="1545"/>
      <c r="DF103" s="1545"/>
      <c r="DG103" s="1545"/>
      <c r="DH103" s="1545"/>
      <c r="DI103" s="1545"/>
      <c r="DJ103" s="1545"/>
      <c r="DK103" s="1545"/>
    </row>
    <row r="104" spans="3:134" s="249" customFormat="1" ht="13.8" customHeight="1">
      <c r="C104" s="1527"/>
      <c r="D104" s="1527"/>
      <c r="E104" s="1527"/>
      <c r="F104" s="1527"/>
      <c r="G104" s="1527"/>
      <c r="H104" s="1527"/>
      <c r="J104" s="1527"/>
      <c r="K104" s="1527"/>
      <c r="L104" s="1527"/>
      <c r="M104" s="1527"/>
      <c r="N104" s="1527"/>
      <c r="O104" s="1527"/>
      <c r="P104" s="1527"/>
      <c r="Q104" s="1527"/>
      <c r="R104" s="1527"/>
      <c r="S104" s="1527"/>
      <c r="T104" s="926"/>
      <c r="U104" s="926"/>
      <c r="V104" s="926"/>
      <c r="W104" s="926"/>
      <c r="X104" s="926"/>
      <c r="Y104" s="926"/>
      <c r="Z104" s="926"/>
      <c r="AA104" s="1527"/>
      <c r="AB104" s="1527"/>
      <c r="AC104" s="1527"/>
      <c r="AD104" s="1527"/>
      <c r="AE104" s="1527"/>
      <c r="CU104" s="1526" t="str">
        <f>IF(Basisdaten!$B$15=Basisdaten!$D$2,CV104,CW104)</f>
        <v>MwSt-Rückerstattung aus Anschaffungen (Zeile 18 Tab. 6b)</v>
      </c>
      <c r="CV104" s="1545" t="str">
        <f>IF(Basisdaten!$L$15=Basisdaten!$Q$15,"","MwSt-Rückerstattung aus Anschaffungen (Zeile 18 Tab. 6b)")</f>
        <v>MwSt-Rückerstattung aus Anschaffungen (Zeile 18 Tab. 6b)</v>
      </c>
      <c r="CW104" s="1545" t="str">
        <f>IF(Basisdaten!$L$15=Basisdaten!$Q$15,"","VAT Payback from Acquirements (out of tab 6b)")</f>
        <v>VAT Payback from Acquirements (out of tab 6b)</v>
      </c>
      <c r="CX104" s="1545"/>
      <c r="CY104" s="1545"/>
      <c r="CZ104" s="1545"/>
      <c r="DA104" s="1545"/>
      <c r="DB104" s="1545"/>
      <c r="DC104" s="1545"/>
      <c r="DD104" s="1545"/>
      <c r="DE104" s="1545"/>
      <c r="DF104" s="1545"/>
      <c r="DG104" s="1545"/>
      <c r="DH104" s="1545"/>
      <c r="DI104" s="1545"/>
      <c r="DJ104" s="1545"/>
      <c r="DK104" s="1545"/>
    </row>
    <row r="105" spans="3:134" s="249" customFormat="1" ht="13.8" customHeight="1">
      <c r="C105" s="1527"/>
      <c r="D105" s="1527"/>
      <c r="E105" s="1527"/>
      <c r="F105" s="1527"/>
      <c r="G105" s="1527"/>
      <c r="H105" s="1527"/>
      <c r="I105" s="1527"/>
      <c r="J105" s="1527"/>
      <c r="K105" s="1527"/>
      <c r="L105" s="1527"/>
      <c r="M105" s="1527"/>
      <c r="N105" s="1527"/>
      <c r="O105" s="1527"/>
      <c r="P105" s="1527"/>
      <c r="Q105" s="1527"/>
      <c r="R105" s="1527"/>
      <c r="S105" s="1527"/>
      <c r="T105" s="926"/>
      <c r="U105" s="926"/>
      <c r="V105" s="926"/>
      <c r="W105" s="926"/>
      <c r="X105" s="926"/>
      <c r="Y105" s="926"/>
      <c r="Z105" s="926"/>
      <c r="AA105" s="1527"/>
      <c r="AB105" s="1527"/>
      <c r="AC105" s="1527"/>
      <c r="AD105" s="1527"/>
      <c r="AE105" s="1527"/>
      <c r="CU105" s="1526">
        <f>IF(Basisdaten!$B$15=Basisdaten!$D$2,CV105,CW105)</f>
        <v>0</v>
      </c>
      <c r="CV105" s="1545"/>
      <c r="CW105" s="1545"/>
      <c r="CX105" s="1545"/>
      <c r="CY105" s="1545"/>
      <c r="CZ105" s="1545"/>
      <c r="DA105" s="1545"/>
      <c r="DB105" s="1545"/>
      <c r="DC105" s="1545"/>
      <c r="DD105" s="1545"/>
      <c r="DE105" s="1545"/>
      <c r="DF105" s="1545"/>
      <c r="DG105" s="1545"/>
      <c r="DH105" s="1545"/>
      <c r="DI105" s="1545"/>
      <c r="DJ105" s="1545"/>
      <c r="DK105" s="1545"/>
    </row>
    <row r="106" spans="3:134" s="249" customFormat="1">
      <c r="C106" s="1527"/>
      <c r="D106" s="1527"/>
      <c r="E106" s="1527"/>
      <c r="F106" s="1527"/>
      <c r="G106" s="1527"/>
      <c r="H106" s="1527"/>
      <c r="I106" s="1527"/>
      <c r="J106" s="1527"/>
      <c r="K106" s="1527"/>
      <c r="L106" s="1527"/>
      <c r="M106" s="1527"/>
      <c r="N106" s="1527"/>
      <c r="O106" s="1527"/>
      <c r="P106" s="1527"/>
      <c r="Q106" s="1527"/>
      <c r="R106" s="1527"/>
      <c r="S106" s="1527"/>
      <c r="T106" s="926"/>
      <c r="U106" s="926"/>
      <c r="V106" s="926"/>
      <c r="W106" s="926"/>
      <c r="X106" s="926"/>
      <c r="Y106" s="926"/>
      <c r="Z106" s="926"/>
      <c r="AA106" s="1527"/>
      <c r="AB106" s="1527"/>
      <c r="AC106" s="1527"/>
      <c r="AD106" s="1527"/>
      <c r="AE106" s="1527"/>
      <c r="CU106" s="1526" t="str">
        <f>IF(Basisdaten!$B$15=Basisdaten!$D$2,CV106,CW106)</f>
        <v xml:space="preserve">Vorsteuerausgleich lfd Jahr(jahresweise) </v>
      </c>
      <c r="CV106" s="1545" t="str">
        <f>"Vorsteuerausgleich lfd Jahr" &amp;IF(Q11&gt;9000,"(monatlich) ",IF(AND(Q11&gt;=2000,Q11&lt;=9000),"(quartalsweise )","(jahresweise) "))</f>
        <v xml:space="preserve">Vorsteuerausgleich lfd Jahr(jahresweise) </v>
      </c>
      <c r="CW106" s="1545" t="str">
        <f>"Input tax adjustment current year "&amp;IF(Q11&gt;9000,"(monthly) ",IF(AND(Q11&gt;=2000,Q11&lt;=9000),"(quarterly )","(annual) "))</f>
        <v xml:space="preserve">Input tax adjustment current year (annual) </v>
      </c>
      <c r="CX106" s="1545"/>
      <c r="CY106" s="1545"/>
      <c r="CZ106" s="1545"/>
      <c r="DA106" s="1545"/>
      <c r="DB106" s="1545"/>
      <c r="DC106" s="1545"/>
      <c r="DD106" s="1545"/>
      <c r="DE106" s="1545"/>
      <c r="DF106" s="1545"/>
      <c r="DG106" s="1545"/>
      <c r="DH106" s="1545"/>
      <c r="DI106" s="1545"/>
      <c r="DJ106" s="1545"/>
      <c r="DK106" s="1545"/>
    </row>
    <row r="107" spans="3:134" s="249" customFormat="1">
      <c r="C107" s="1527"/>
      <c r="D107" s="1527"/>
      <c r="E107" s="1527"/>
      <c r="F107" s="1527"/>
      <c r="G107" s="1527"/>
      <c r="H107" s="1527"/>
      <c r="I107" s="1527"/>
      <c r="J107" s="1527"/>
      <c r="K107" s="1527"/>
      <c r="L107" s="1527"/>
      <c r="M107" s="1527"/>
      <c r="N107" s="1527"/>
      <c r="O107" s="1527"/>
      <c r="P107" s="1527"/>
      <c r="Q107" s="1527"/>
      <c r="R107" s="1527"/>
      <c r="S107" s="1527"/>
      <c r="T107" s="926"/>
      <c r="U107" s="926"/>
      <c r="V107" s="926"/>
      <c r="W107" s="926"/>
      <c r="X107" s="926"/>
      <c r="Y107" s="926"/>
      <c r="Z107" s="926"/>
      <c r="AA107" s="1527"/>
      <c r="AB107" s="1527"/>
      <c r="AC107" s="1527"/>
      <c r="AD107" s="1527"/>
      <c r="AE107" s="1527"/>
      <c r="CU107" s="1526" t="str">
        <f ca="1">IF(Basisdaten!$B$15=Basisdaten!$D$2,CV107,CW107)</f>
        <v>Liquiditätsentwicklung 2026</v>
      </c>
      <c r="CV107" s="1545" t="str">
        <f ca="1">"Liquiditätsentwicklung "&amp;Basisdaten!$C$15</f>
        <v>Liquiditätsentwicklung 2026</v>
      </c>
      <c r="CW107" s="1545" t="str">
        <f ca="1">"Liquidity development "&amp;Basisdaten!$C$15</f>
        <v>Liquidity development 2026</v>
      </c>
      <c r="CX107" s="1545"/>
      <c r="CY107" s="1545"/>
      <c r="CZ107" s="1545"/>
      <c r="DA107" s="1545"/>
      <c r="DB107" s="1545"/>
      <c r="DC107" s="1545"/>
      <c r="DD107" s="1545"/>
      <c r="DE107" s="1545"/>
      <c r="DF107" s="1545"/>
      <c r="DG107" s="1545"/>
      <c r="DH107" s="1545"/>
      <c r="DI107" s="1545"/>
      <c r="DJ107" s="1545"/>
      <c r="DK107" s="1545"/>
    </row>
    <row r="108" spans="3:134" s="1542" customFormat="1">
      <c r="C108" s="249"/>
      <c r="D108" s="249"/>
      <c r="E108" s="1550"/>
      <c r="F108" s="1527"/>
      <c r="G108" s="1527"/>
      <c r="H108" s="1527"/>
      <c r="I108" s="1527"/>
      <c r="J108" s="1550"/>
      <c r="K108" s="1540"/>
      <c r="L108" s="1540"/>
      <c r="M108" s="1540"/>
      <c r="N108" s="1540"/>
      <c r="O108" s="1540"/>
      <c r="P108" s="1540"/>
      <c r="Q108" s="1540"/>
      <c r="R108" s="1540"/>
      <c r="S108" s="249"/>
      <c r="T108" s="926"/>
      <c r="U108" s="926"/>
      <c r="V108" s="926"/>
      <c r="W108" s="926"/>
      <c r="X108" s="926"/>
      <c r="Y108" s="926"/>
      <c r="Z108" s="926"/>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9"/>
      <c r="BW108" s="249"/>
      <c r="BX108" s="249"/>
      <c r="BY108" s="249"/>
      <c r="BZ108" s="249"/>
      <c r="CA108" s="249"/>
      <c r="CB108" s="249"/>
      <c r="CC108" s="249"/>
      <c r="CD108" s="249"/>
      <c r="CE108" s="249"/>
      <c r="CF108" s="249"/>
      <c r="CG108" s="249"/>
      <c r="CH108" s="249"/>
      <c r="CI108" s="249"/>
      <c r="CJ108" s="249"/>
      <c r="CK108" s="249"/>
      <c r="CL108" s="249"/>
      <c r="CM108" s="249"/>
      <c r="CN108" s="249"/>
      <c r="CO108" s="249"/>
      <c r="CP108" s="249"/>
      <c r="CQ108" s="249"/>
      <c r="CR108" s="249"/>
      <c r="CS108" s="249"/>
      <c r="CT108" s="249"/>
      <c r="CU108" s="1526" t="str">
        <f ca="1">IF(Basisdaten!$B$15=Basisdaten!$D$2,CV108,CW108)</f>
        <v>Liquiditätsentwicklung 2027</v>
      </c>
      <c r="CV108" s="1545" t="str">
        <f ca="1">"Liquiditätsentwicklung "&amp;Basisdaten!$C$15+1</f>
        <v>Liquiditätsentwicklung 2027</v>
      </c>
      <c r="CW108" s="1545" t="str">
        <f ca="1">"Liquidity development "&amp;Basisdaten!$C$15+1</f>
        <v>Liquidity development 2027</v>
      </c>
      <c r="CX108" s="1545"/>
      <c r="CY108" s="1545"/>
      <c r="CZ108" s="1545"/>
      <c r="DA108" s="1545"/>
      <c r="DB108" s="1545"/>
      <c r="DC108" s="1545"/>
      <c r="DD108" s="1545"/>
      <c r="DE108" s="1545"/>
      <c r="DF108" s="1545"/>
      <c r="DG108" s="1545"/>
      <c r="DH108" s="1545"/>
      <c r="DI108" s="1545"/>
      <c r="DJ108" s="1545"/>
      <c r="DK108" s="1545"/>
      <c r="DL108" s="249"/>
      <c r="DM108" s="249"/>
      <c r="DN108" s="249"/>
      <c r="DO108" s="249"/>
      <c r="DP108" s="249"/>
      <c r="DQ108" s="249"/>
      <c r="DR108" s="249"/>
      <c r="DS108" s="249"/>
      <c r="DT108" s="249"/>
      <c r="DU108" s="249"/>
      <c r="DV108" s="249"/>
      <c r="DW108" s="249"/>
      <c r="DX108" s="249"/>
      <c r="DY108" s="249"/>
      <c r="DZ108" s="249"/>
      <c r="EA108" s="249"/>
      <c r="EB108" s="249"/>
      <c r="EC108" s="249"/>
      <c r="ED108" s="249"/>
    </row>
    <row r="109" spans="3:134" s="1542" customFormat="1">
      <c r="C109" s="249"/>
      <c r="D109" s="249"/>
      <c r="E109" s="1550"/>
      <c r="F109" s="1527"/>
      <c r="G109" s="1527"/>
      <c r="H109" s="1527"/>
      <c r="I109" s="1527"/>
      <c r="J109" s="1550"/>
      <c r="K109" s="1540"/>
      <c r="L109" s="1540"/>
      <c r="M109" s="1540"/>
      <c r="N109" s="1540"/>
      <c r="O109" s="1540"/>
      <c r="P109" s="1540"/>
      <c r="Q109" s="1540"/>
      <c r="R109" s="1540"/>
      <c r="S109" s="249"/>
      <c r="T109" s="926"/>
      <c r="U109" s="926"/>
      <c r="V109" s="926"/>
      <c r="W109" s="926"/>
      <c r="X109" s="926"/>
      <c r="Y109" s="926"/>
      <c r="Z109" s="926"/>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9"/>
      <c r="BW109" s="249"/>
      <c r="BX109" s="249"/>
      <c r="BY109" s="249"/>
      <c r="BZ109" s="249"/>
      <c r="CA109" s="249"/>
      <c r="CB109" s="249"/>
      <c r="CC109" s="249"/>
      <c r="CD109" s="249"/>
      <c r="CE109" s="249"/>
      <c r="CF109" s="249"/>
      <c r="CG109" s="249"/>
      <c r="CH109" s="249"/>
      <c r="CI109" s="249"/>
      <c r="CJ109" s="249"/>
      <c r="CK109" s="249"/>
      <c r="CL109" s="249"/>
      <c r="CM109" s="249"/>
      <c r="CN109" s="249"/>
      <c r="CO109" s="249"/>
      <c r="CP109" s="249"/>
      <c r="CQ109" s="249"/>
      <c r="CR109" s="249"/>
      <c r="CS109" s="249"/>
      <c r="CT109" s="249"/>
      <c r="CU109" s="1526" t="str">
        <f ca="1">IF(Basisdaten!$B$15=Basisdaten!$D$2,CV109,CW109)</f>
        <v>Liquiditätsentwicklung der Jahre 2026 - 2030</v>
      </c>
      <c r="CV109" s="1545" t="str">
        <f ca="1">"Liquiditätsentwicklung der Jahre "&amp;Basisdaten!$O$18</f>
        <v>Liquiditätsentwicklung der Jahre 2026 - 2030</v>
      </c>
      <c r="CW109" s="1545" t="str">
        <f ca="1">"Liquidity development for the years "&amp;Basisdaten!O18</f>
        <v>Liquidity development for the years 2026 - 2030</v>
      </c>
      <c r="CX109" s="1545"/>
      <c r="CY109" s="1545"/>
      <c r="CZ109" s="1545"/>
      <c r="DA109" s="1545"/>
      <c r="DB109" s="1545"/>
      <c r="DC109" s="1545"/>
      <c r="DD109" s="1545"/>
      <c r="DE109" s="1545"/>
      <c r="DF109" s="1545"/>
      <c r="DG109" s="1545"/>
      <c r="DH109" s="1545"/>
      <c r="DI109" s="1545"/>
      <c r="DJ109" s="1545"/>
      <c r="DK109" s="1545"/>
      <c r="DL109" s="249"/>
      <c r="DM109" s="249"/>
      <c r="DN109" s="249"/>
      <c r="DO109" s="249"/>
      <c r="DP109" s="249"/>
      <c r="DQ109" s="249"/>
      <c r="DR109" s="249"/>
      <c r="DS109" s="249"/>
      <c r="DT109" s="249"/>
      <c r="DU109" s="249"/>
      <c r="DV109" s="249"/>
      <c r="DW109" s="249"/>
      <c r="DX109" s="249"/>
      <c r="DY109" s="249"/>
      <c r="DZ109" s="249"/>
      <c r="EA109" s="249"/>
      <c r="EB109" s="249"/>
      <c r="EC109" s="249"/>
      <c r="ED109" s="249"/>
    </row>
    <row r="110" spans="3:134" s="1542" customFormat="1">
      <c r="C110" s="249"/>
      <c r="D110" s="249"/>
      <c r="E110" s="1550"/>
      <c r="F110" s="1527"/>
      <c r="G110" s="1527"/>
      <c r="H110" s="1527"/>
      <c r="I110" s="1527"/>
      <c r="J110" s="1550"/>
      <c r="K110" s="1540"/>
      <c r="L110" s="1540"/>
      <c r="M110" s="1540"/>
      <c r="N110" s="1540"/>
      <c r="O110" s="1540"/>
      <c r="P110" s="1540"/>
      <c r="Q110" s="1540"/>
      <c r="R110" s="1540"/>
      <c r="S110" s="249"/>
      <c r="T110" s="926"/>
      <c r="U110" s="926"/>
      <c r="V110" s="926"/>
      <c r="W110" s="926"/>
      <c r="X110" s="926"/>
      <c r="Y110" s="926"/>
      <c r="Z110" s="926"/>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49"/>
      <c r="CF110" s="249"/>
      <c r="CG110" s="249"/>
      <c r="CH110" s="249"/>
      <c r="CI110" s="249"/>
      <c r="CJ110" s="249"/>
      <c r="CK110" s="249"/>
      <c r="CL110" s="249"/>
      <c r="CM110" s="249"/>
      <c r="CN110" s="249"/>
      <c r="CO110" s="249"/>
      <c r="CP110" s="249"/>
      <c r="CQ110" s="249"/>
      <c r="CR110" s="249"/>
      <c r="CS110" s="249"/>
      <c r="CT110" s="249"/>
      <c r="CU110" s="1526" t="str">
        <f>IF(Basisdaten!$B$15=Basisdaten!$D$2,CV110,CW110)</f>
        <v>Jährliche Liquiditätsentwicklung</v>
      </c>
      <c r="CV110" s="1545" t="s">
        <v>950</v>
      </c>
      <c r="CW110" s="1545" t="s">
        <v>949</v>
      </c>
      <c r="CX110" s="1545"/>
      <c r="CY110" s="1545"/>
      <c r="CZ110" s="1545"/>
      <c r="DA110" s="1545"/>
      <c r="DB110" s="1545"/>
      <c r="DC110" s="1545"/>
      <c r="DD110" s="1545"/>
      <c r="DE110" s="1545"/>
      <c r="DF110" s="1545"/>
      <c r="DG110" s="1545"/>
      <c r="DH110" s="1545"/>
      <c r="DI110" s="1545"/>
      <c r="DJ110" s="1545"/>
      <c r="DK110" s="1545"/>
      <c r="DL110" s="249"/>
      <c r="DM110" s="249"/>
      <c r="DN110" s="249"/>
      <c r="DO110" s="249"/>
      <c r="DP110" s="249"/>
      <c r="DQ110" s="249"/>
      <c r="DR110" s="249"/>
      <c r="DS110" s="249"/>
      <c r="DT110" s="249"/>
      <c r="DU110" s="249"/>
      <c r="DV110" s="249"/>
      <c r="DW110" s="249"/>
      <c r="DX110" s="249"/>
      <c r="DY110" s="249"/>
      <c r="DZ110" s="249"/>
      <c r="EA110" s="249"/>
      <c r="EB110" s="249"/>
      <c r="EC110" s="249"/>
      <c r="ED110" s="249"/>
    </row>
    <row r="111" spans="3:134" s="1542" customFormat="1">
      <c r="C111" s="249"/>
      <c r="D111" s="249"/>
      <c r="E111" s="1550"/>
      <c r="F111" s="1527"/>
      <c r="G111" s="1527"/>
      <c r="H111" s="1527"/>
      <c r="I111" s="1527"/>
      <c r="J111" s="1550"/>
      <c r="K111" s="1540"/>
      <c r="L111" s="1540"/>
      <c r="M111" s="1540"/>
      <c r="N111" s="1540"/>
      <c r="O111" s="1540"/>
      <c r="P111" s="1540"/>
      <c r="Q111" s="1540"/>
      <c r="R111" s="1540"/>
      <c r="S111" s="249"/>
      <c r="T111" s="926"/>
      <c r="U111" s="926"/>
      <c r="V111" s="926"/>
      <c r="W111" s="926"/>
      <c r="X111" s="926"/>
      <c r="Y111" s="926"/>
      <c r="Z111" s="926"/>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9"/>
      <c r="BW111" s="249"/>
      <c r="BX111" s="249"/>
      <c r="BY111" s="249"/>
      <c r="BZ111" s="249"/>
      <c r="CA111" s="249"/>
      <c r="CB111" s="249"/>
      <c r="CC111" s="249"/>
      <c r="CD111" s="249"/>
      <c r="CE111" s="249"/>
      <c r="CF111" s="249"/>
      <c r="CG111" s="249"/>
      <c r="CH111" s="249"/>
      <c r="CI111" s="249"/>
      <c r="CJ111" s="249"/>
      <c r="CK111" s="249"/>
      <c r="CL111" s="249"/>
      <c r="CM111" s="249"/>
      <c r="CN111" s="249"/>
      <c r="CO111" s="249"/>
      <c r="CP111" s="249"/>
      <c r="CQ111" s="249"/>
      <c r="CR111" s="249"/>
      <c r="CS111" s="249"/>
      <c r="CT111" s="249"/>
      <c r="CU111" s="1545"/>
      <c r="CV111" s="1545"/>
      <c r="CW111" s="1545"/>
      <c r="CX111" s="1545"/>
      <c r="CY111" s="1545"/>
      <c r="CZ111" s="1545"/>
      <c r="DA111" s="1545"/>
      <c r="DB111" s="1545"/>
      <c r="DC111" s="1545"/>
      <c r="DD111" s="1545"/>
      <c r="DE111" s="1545"/>
      <c r="DF111" s="1545"/>
      <c r="DG111" s="1545"/>
      <c r="DH111" s="1545"/>
      <c r="DI111" s="1545"/>
      <c r="DJ111" s="1545"/>
      <c r="DK111" s="1545"/>
      <c r="DL111" s="249"/>
      <c r="DM111" s="249"/>
      <c r="DN111" s="249"/>
      <c r="DO111" s="249"/>
      <c r="DP111" s="249"/>
      <c r="DQ111" s="249"/>
      <c r="DR111" s="249"/>
      <c r="DS111" s="249"/>
      <c r="DT111" s="249"/>
      <c r="DU111" s="249"/>
      <c r="DV111" s="249"/>
      <c r="DW111" s="249"/>
      <c r="DX111" s="249"/>
      <c r="DY111" s="249"/>
      <c r="DZ111" s="249"/>
      <c r="EA111" s="249"/>
      <c r="EB111" s="249"/>
      <c r="EC111" s="249"/>
      <c r="ED111" s="249"/>
    </row>
    <row r="112" spans="3:134" s="1542" customFormat="1">
      <c r="C112" s="249"/>
      <c r="D112" s="249"/>
      <c r="E112" s="1550"/>
      <c r="F112" s="1527"/>
      <c r="G112" s="1527"/>
      <c r="H112" s="1527"/>
      <c r="I112" s="1527"/>
      <c r="J112" s="1550"/>
      <c r="K112" s="1540"/>
      <c r="L112" s="1540"/>
      <c r="M112" s="1540"/>
      <c r="N112" s="1540"/>
      <c r="O112" s="1540"/>
      <c r="P112" s="1540"/>
      <c r="Q112" s="1540"/>
      <c r="R112" s="1540"/>
      <c r="S112" s="249"/>
      <c r="T112" s="926"/>
      <c r="U112" s="926"/>
      <c r="V112" s="926"/>
      <c r="W112" s="926"/>
      <c r="X112" s="926"/>
      <c r="Y112" s="926"/>
      <c r="Z112" s="926"/>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9"/>
      <c r="BW112" s="249"/>
      <c r="BX112" s="249"/>
      <c r="BY112" s="249"/>
      <c r="BZ112" s="249"/>
      <c r="CA112" s="249"/>
      <c r="CB112" s="249"/>
      <c r="CC112" s="249"/>
      <c r="CD112" s="249"/>
      <c r="CE112" s="249"/>
      <c r="CF112" s="249"/>
      <c r="CG112" s="249"/>
      <c r="CH112" s="249"/>
      <c r="CI112" s="249"/>
      <c r="CJ112" s="249"/>
      <c r="CK112" s="249"/>
      <c r="CL112" s="249"/>
      <c r="CM112" s="249"/>
      <c r="CN112" s="249"/>
      <c r="CO112" s="249"/>
      <c r="CP112" s="249"/>
      <c r="CQ112" s="249"/>
      <c r="CR112" s="249"/>
      <c r="CS112" s="249"/>
      <c r="CT112" s="249"/>
      <c r="CU112" s="1545"/>
      <c r="CV112" s="1545"/>
      <c r="CW112" s="1545"/>
      <c r="CX112" s="1545"/>
      <c r="CY112" s="1545"/>
      <c r="CZ112" s="1545"/>
      <c r="DA112" s="1545"/>
      <c r="DB112" s="1545"/>
      <c r="DC112" s="1545"/>
      <c r="DD112" s="1545"/>
      <c r="DE112" s="1545"/>
      <c r="DF112" s="1545"/>
      <c r="DG112" s="1545"/>
      <c r="DH112" s="1545"/>
      <c r="DI112" s="1545"/>
      <c r="DJ112" s="1545"/>
      <c r="DK112" s="1545"/>
      <c r="DL112" s="249"/>
      <c r="DM112" s="249"/>
      <c r="DN112" s="249"/>
      <c r="DO112" s="249"/>
      <c r="DP112" s="249"/>
      <c r="DQ112" s="249"/>
      <c r="DR112" s="249"/>
      <c r="DS112" s="249"/>
      <c r="DT112" s="249"/>
      <c r="DU112" s="249"/>
      <c r="DV112" s="249"/>
      <c r="DW112" s="249"/>
      <c r="DX112" s="249"/>
      <c r="DY112" s="249"/>
      <c r="DZ112" s="249"/>
      <c r="EA112" s="249"/>
      <c r="EB112" s="249"/>
      <c r="EC112" s="249"/>
      <c r="ED112" s="249"/>
    </row>
    <row r="113" spans="3:134" s="1542" customFormat="1">
      <c r="C113" s="249"/>
      <c r="D113" s="249"/>
      <c r="E113" s="1550"/>
      <c r="F113" s="1527"/>
      <c r="G113" s="1527"/>
      <c r="H113" s="1527"/>
      <c r="I113" s="1527"/>
      <c r="J113" s="1550"/>
      <c r="K113" s="1540"/>
      <c r="L113" s="1540"/>
      <c r="M113" s="1540"/>
      <c r="N113" s="1540"/>
      <c r="O113" s="1540"/>
      <c r="P113" s="1540"/>
      <c r="Q113" s="1540"/>
      <c r="R113" s="1540"/>
      <c r="S113" s="249"/>
      <c r="T113" s="926"/>
      <c r="U113" s="926"/>
      <c r="V113" s="926"/>
      <c r="W113" s="926"/>
      <c r="X113" s="926"/>
      <c r="Y113" s="926"/>
      <c r="Z113" s="926"/>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9"/>
      <c r="BW113" s="249"/>
      <c r="BX113" s="249"/>
      <c r="BY113" s="249"/>
      <c r="BZ113" s="249"/>
      <c r="CA113" s="249"/>
      <c r="CB113" s="249"/>
      <c r="CC113" s="249"/>
      <c r="CD113" s="249"/>
      <c r="CE113" s="249"/>
      <c r="CF113" s="249"/>
      <c r="CG113" s="249"/>
      <c r="CH113" s="249"/>
      <c r="CI113" s="249"/>
      <c r="CJ113" s="249"/>
      <c r="CK113" s="249"/>
      <c r="CL113" s="249"/>
      <c r="CM113" s="249"/>
      <c r="CN113" s="249"/>
      <c r="CO113" s="249"/>
      <c r="CP113" s="249"/>
      <c r="CQ113" s="249"/>
      <c r="CR113" s="249"/>
      <c r="CS113" s="249"/>
      <c r="CT113" s="249"/>
      <c r="CU113" s="1545"/>
      <c r="CV113" s="1545"/>
      <c r="CW113" s="1545"/>
      <c r="CX113" s="1545"/>
      <c r="CY113" s="1545"/>
      <c r="CZ113" s="1545"/>
      <c r="DA113" s="1545"/>
      <c r="DB113" s="1545"/>
      <c r="DC113" s="1545"/>
      <c r="DD113" s="1545"/>
      <c r="DE113" s="1545"/>
      <c r="DF113" s="1545"/>
      <c r="DG113" s="1545"/>
      <c r="DH113" s="1545"/>
      <c r="DI113" s="1545"/>
      <c r="DJ113" s="1545"/>
      <c r="DK113" s="1545"/>
      <c r="DL113" s="249"/>
      <c r="DM113" s="249"/>
      <c r="DN113" s="249"/>
      <c r="DO113" s="249"/>
      <c r="DP113" s="249"/>
      <c r="DQ113" s="249"/>
      <c r="DR113" s="249"/>
      <c r="DS113" s="249"/>
      <c r="DT113" s="249"/>
      <c r="DU113" s="249"/>
      <c r="DV113" s="249"/>
      <c r="DW113" s="249"/>
      <c r="DX113" s="249"/>
      <c r="DY113" s="249"/>
      <c r="DZ113" s="249"/>
      <c r="EA113" s="249"/>
      <c r="EB113" s="249"/>
      <c r="EC113" s="249"/>
      <c r="ED113" s="249"/>
    </row>
    <row r="114" spans="3:134" s="1542" customFormat="1">
      <c r="C114" s="249"/>
      <c r="D114" s="249"/>
      <c r="E114" s="1550"/>
      <c r="F114" s="1527"/>
      <c r="G114" s="1527"/>
      <c r="H114" s="1527"/>
      <c r="I114" s="1527"/>
      <c r="J114" s="1550"/>
      <c r="K114" s="1540"/>
      <c r="L114" s="1540"/>
      <c r="M114" s="1540"/>
      <c r="N114" s="1540"/>
      <c r="O114" s="1540"/>
      <c r="P114" s="1540"/>
      <c r="Q114" s="1540"/>
      <c r="R114" s="1540"/>
      <c r="S114" s="249"/>
      <c r="T114" s="926"/>
      <c r="U114" s="926"/>
      <c r="V114" s="926"/>
      <c r="W114" s="926"/>
      <c r="X114" s="926"/>
      <c r="Y114" s="926"/>
      <c r="Z114" s="926"/>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9"/>
      <c r="BW114" s="249"/>
      <c r="BX114" s="249"/>
      <c r="BY114" s="249"/>
      <c r="BZ114" s="249"/>
      <c r="CA114" s="249"/>
      <c r="CB114" s="249"/>
      <c r="CC114" s="249"/>
      <c r="CD114" s="249"/>
      <c r="CE114" s="249"/>
      <c r="CF114" s="249"/>
      <c r="CG114" s="249"/>
      <c r="CH114" s="249"/>
      <c r="CI114" s="249"/>
      <c r="CJ114" s="249"/>
      <c r="CK114" s="249"/>
      <c r="CL114" s="249"/>
      <c r="CM114" s="249"/>
      <c r="CN114" s="249"/>
      <c r="CO114" s="249"/>
      <c r="CP114" s="249"/>
      <c r="CQ114" s="249"/>
      <c r="CR114" s="249"/>
      <c r="CS114" s="249"/>
      <c r="CT114" s="249"/>
      <c r="CU114" s="1545"/>
      <c r="CV114" s="1545"/>
      <c r="CW114" s="1545"/>
      <c r="CX114" s="1545"/>
      <c r="CY114" s="1545"/>
      <c r="CZ114" s="1545"/>
      <c r="DA114" s="1545"/>
      <c r="DB114" s="1545"/>
      <c r="DC114" s="1545"/>
      <c r="DD114" s="1545"/>
      <c r="DE114" s="1545"/>
      <c r="DF114" s="1545"/>
      <c r="DG114" s="1545"/>
      <c r="DH114" s="1545"/>
      <c r="DI114" s="1545"/>
      <c r="DJ114" s="1545"/>
      <c r="DK114" s="1545"/>
      <c r="DL114" s="249"/>
      <c r="DM114" s="249"/>
      <c r="DN114" s="249"/>
      <c r="DO114" s="249"/>
      <c r="DP114" s="249"/>
      <c r="DQ114" s="249"/>
      <c r="DR114" s="249"/>
      <c r="DS114" s="249"/>
      <c r="DT114" s="249"/>
      <c r="DU114" s="249"/>
      <c r="DV114" s="249"/>
      <c r="DW114" s="249"/>
      <c r="DX114" s="249"/>
      <c r="DY114" s="249"/>
      <c r="DZ114" s="249"/>
      <c r="EA114" s="249"/>
      <c r="EB114" s="249"/>
      <c r="EC114" s="249"/>
      <c r="ED114" s="249"/>
    </row>
    <row r="115" spans="3:134" s="1542" customFormat="1">
      <c r="C115" s="249"/>
      <c r="D115" s="249"/>
      <c r="E115" s="1550"/>
      <c r="F115" s="1527"/>
      <c r="G115" s="1527"/>
      <c r="H115" s="1527"/>
      <c r="I115" s="1527"/>
      <c r="J115" s="1550"/>
      <c r="K115" s="1540"/>
      <c r="L115" s="1540"/>
      <c r="M115" s="1540"/>
      <c r="N115" s="1540"/>
      <c r="O115" s="1540"/>
      <c r="P115" s="1540"/>
      <c r="Q115" s="1540"/>
      <c r="R115" s="1540"/>
      <c r="S115" s="249"/>
      <c r="T115" s="926"/>
      <c r="U115" s="926"/>
      <c r="V115" s="926"/>
      <c r="W115" s="926"/>
      <c r="X115" s="926"/>
      <c r="Y115" s="926"/>
      <c r="Z115" s="926"/>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9"/>
      <c r="BW115" s="249"/>
      <c r="BX115" s="249"/>
      <c r="BY115" s="249"/>
      <c r="BZ115" s="249"/>
      <c r="CA115" s="249"/>
      <c r="CB115" s="249"/>
      <c r="CC115" s="249"/>
      <c r="CD115" s="249"/>
      <c r="CE115" s="249"/>
      <c r="CF115" s="249"/>
      <c r="CG115" s="249"/>
      <c r="CH115" s="249"/>
      <c r="CI115" s="249"/>
      <c r="CJ115" s="249"/>
      <c r="CK115" s="249"/>
      <c r="CL115" s="249"/>
      <c r="CM115" s="249"/>
      <c r="CN115" s="249"/>
      <c r="CO115" s="249"/>
      <c r="CP115" s="249"/>
      <c r="CQ115" s="249"/>
      <c r="CR115" s="249"/>
      <c r="CS115" s="249"/>
      <c r="CT115" s="249"/>
      <c r="CU115" s="1545"/>
      <c r="CV115" s="1545"/>
      <c r="CW115" s="1545"/>
      <c r="CX115" s="1545"/>
      <c r="CY115" s="1545"/>
      <c r="CZ115" s="1545"/>
      <c r="DA115" s="1545"/>
      <c r="DB115" s="1545"/>
      <c r="DC115" s="1545"/>
      <c r="DD115" s="1545"/>
      <c r="DE115" s="1545"/>
      <c r="DF115" s="1545"/>
      <c r="DG115" s="1545"/>
      <c r="DH115" s="1545"/>
      <c r="DI115" s="1545"/>
      <c r="DJ115" s="1545"/>
      <c r="DK115" s="1545"/>
      <c r="DL115" s="249"/>
      <c r="DM115" s="249"/>
      <c r="DN115" s="249"/>
      <c r="DO115" s="249"/>
      <c r="DP115" s="249"/>
      <c r="DQ115" s="249"/>
      <c r="DR115" s="249"/>
      <c r="DS115" s="249"/>
      <c r="DT115" s="249"/>
      <c r="DU115" s="249"/>
      <c r="DV115" s="249"/>
      <c r="DW115" s="249"/>
      <c r="DX115" s="249"/>
      <c r="DY115" s="249"/>
      <c r="DZ115" s="249"/>
      <c r="EA115" s="249"/>
      <c r="EB115" s="249"/>
      <c r="EC115" s="249"/>
      <c r="ED115" s="249"/>
    </row>
    <row r="116" spans="3:134" s="1542" customFormat="1">
      <c r="C116" s="249"/>
      <c r="D116" s="249"/>
      <c r="E116" s="1550"/>
      <c r="F116" s="1550"/>
      <c r="G116" s="1550"/>
      <c r="H116" s="1550"/>
      <c r="I116" s="1550"/>
      <c r="J116" s="1550"/>
      <c r="K116" s="1540"/>
      <c r="L116" s="1540"/>
      <c r="M116" s="1540"/>
      <c r="N116" s="1540"/>
      <c r="O116" s="1540"/>
      <c r="P116" s="1540"/>
      <c r="Q116" s="1540"/>
      <c r="R116" s="1540"/>
      <c r="S116" s="249"/>
      <c r="T116" s="926"/>
      <c r="U116" s="926"/>
      <c r="V116" s="926"/>
      <c r="W116" s="926"/>
      <c r="X116" s="926"/>
      <c r="Y116" s="926"/>
      <c r="Z116" s="926"/>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49"/>
      <c r="BZ116" s="249"/>
      <c r="CA116" s="249"/>
      <c r="CB116" s="249"/>
      <c r="CC116" s="249"/>
      <c r="CD116" s="249"/>
      <c r="CE116" s="249"/>
      <c r="CF116" s="249"/>
      <c r="CG116" s="249"/>
      <c r="CH116" s="249"/>
      <c r="CI116" s="249"/>
      <c r="CJ116" s="249"/>
      <c r="CK116" s="249"/>
      <c r="CL116" s="249"/>
      <c r="CM116" s="249"/>
      <c r="CN116" s="249"/>
      <c r="CO116" s="249"/>
      <c r="CP116" s="249"/>
      <c r="CQ116" s="249"/>
      <c r="CR116" s="249"/>
      <c r="CS116" s="249"/>
      <c r="CT116" s="249"/>
      <c r="CU116" s="1545"/>
      <c r="CV116" s="1545"/>
      <c r="CW116" s="1545"/>
      <c r="CX116" s="1545"/>
      <c r="CY116" s="1545"/>
      <c r="CZ116" s="1545"/>
      <c r="DA116" s="1545"/>
      <c r="DB116" s="1545"/>
      <c r="DC116" s="1545"/>
      <c r="DD116" s="1545"/>
      <c r="DE116" s="1545"/>
      <c r="DF116" s="1545"/>
      <c r="DG116" s="1545"/>
      <c r="DH116" s="1545"/>
      <c r="DI116" s="1545"/>
      <c r="DJ116" s="1545"/>
      <c r="DK116" s="1545"/>
      <c r="DL116" s="249"/>
      <c r="DM116" s="249"/>
      <c r="DN116" s="249"/>
      <c r="DO116" s="249"/>
      <c r="DP116" s="249"/>
      <c r="DQ116" s="249"/>
      <c r="DR116" s="249"/>
      <c r="DS116" s="249"/>
      <c r="DT116" s="249"/>
      <c r="DU116" s="249"/>
      <c r="DV116" s="249"/>
      <c r="DW116" s="249"/>
      <c r="DX116" s="249"/>
      <c r="DY116" s="249"/>
      <c r="DZ116" s="249"/>
      <c r="EA116" s="249"/>
      <c r="EB116" s="249"/>
      <c r="EC116" s="249"/>
      <c r="ED116" s="249"/>
    </row>
    <row r="117" spans="3:134" s="1542" customFormat="1">
      <c r="C117" s="249"/>
      <c r="D117" s="249"/>
      <c r="E117" s="1550"/>
      <c r="F117" s="1550"/>
      <c r="G117" s="1550"/>
      <c r="H117" s="1550"/>
      <c r="I117" s="1550"/>
      <c r="J117" s="1550"/>
      <c r="K117" s="1540"/>
      <c r="L117" s="1540"/>
      <c r="M117" s="1540"/>
      <c r="N117" s="1540"/>
      <c r="O117" s="1540"/>
      <c r="P117" s="1540"/>
      <c r="Q117" s="1540"/>
      <c r="R117" s="1540"/>
      <c r="S117" s="249"/>
      <c r="T117" s="926"/>
      <c r="U117" s="926"/>
      <c r="V117" s="926"/>
      <c r="W117" s="926"/>
      <c r="X117" s="926"/>
      <c r="Y117" s="926"/>
      <c r="Z117" s="926"/>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49"/>
      <c r="CD117" s="249"/>
      <c r="CE117" s="249"/>
      <c r="CF117" s="249"/>
      <c r="CG117" s="249"/>
      <c r="CH117" s="249"/>
      <c r="CI117" s="249"/>
      <c r="CJ117" s="249"/>
      <c r="CK117" s="249"/>
      <c r="CL117" s="249"/>
      <c r="CM117" s="249"/>
      <c r="CN117" s="249"/>
      <c r="CO117" s="249"/>
      <c r="CP117" s="249"/>
      <c r="CQ117" s="249"/>
      <c r="CR117" s="249"/>
      <c r="CS117" s="249"/>
      <c r="CT117" s="249"/>
      <c r="CU117" s="1545"/>
      <c r="CV117" s="1545"/>
      <c r="CW117" s="1545"/>
      <c r="CX117" s="1545"/>
      <c r="CY117" s="1545"/>
      <c r="CZ117" s="1545"/>
      <c r="DA117" s="1545"/>
      <c r="DB117" s="1545"/>
      <c r="DC117" s="1545"/>
      <c r="DD117" s="1545"/>
      <c r="DE117" s="1545"/>
      <c r="DF117" s="1545"/>
      <c r="DG117" s="1545"/>
      <c r="DH117" s="1545"/>
      <c r="DI117" s="1545"/>
      <c r="DJ117" s="1545"/>
      <c r="DK117" s="1545"/>
      <c r="DL117" s="249"/>
      <c r="DM117" s="249"/>
      <c r="DN117" s="249"/>
      <c r="DO117" s="249"/>
      <c r="DP117" s="249"/>
      <c r="DQ117" s="249"/>
      <c r="DR117" s="249"/>
      <c r="DS117" s="249"/>
      <c r="DT117" s="249"/>
      <c r="DU117" s="249"/>
      <c r="DV117" s="249"/>
      <c r="DW117" s="249"/>
      <c r="DX117" s="249"/>
      <c r="DY117" s="249"/>
      <c r="DZ117" s="249"/>
      <c r="EA117" s="249"/>
      <c r="EB117" s="249"/>
      <c r="EC117" s="249"/>
      <c r="ED117" s="249"/>
    </row>
    <row r="118" spans="3:134" s="1542" customFormat="1">
      <c r="C118" s="249"/>
      <c r="D118" s="249"/>
      <c r="E118" s="1550"/>
      <c r="F118" s="1550"/>
      <c r="G118" s="1550"/>
      <c r="H118" s="1550"/>
      <c r="I118" s="1550"/>
      <c r="J118" s="1550"/>
      <c r="K118" s="1540"/>
      <c r="L118" s="1540"/>
      <c r="M118" s="1540"/>
      <c r="N118" s="1540"/>
      <c r="O118" s="1540"/>
      <c r="P118" s="1540"/>
      <c r="Q118" s="1540"/>
      <c r="R118" s="1540"/>
      <c r="S118" s="249"/>
      <c r="T118" s="926"/>
      <c r="U118" s="926"/>
      <c r="V118" s="926"/>
      <c r="W118" s="926"/>
      <c r="X118" s="926"/>
      <c r="Y118" s="926"/>
      <c r="Z118" s="926"/>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9"/>
      <c r="BW118" s="249"/>
      <c r="BX118" s="249"/>
      <c r="BY118" s="249"/>
      <c r="BZ118" s="249"/>
      <c r="CA118" s="249"/>
      <c r="CB118" s="249"/>
      <c r="CC118" s="249"/>
      <c r="CD118" s="249"/>
      <c r="CE118" s="249"/>
      <c r="CF118" s="249"/>
      <c r="CG118" s="249"/>
      <c r="CH118" s="249"/>
      <c r="CI118" s="249"/>
      <c r="CJ118" s="249"/>
      <c r="CK118" s="249"/>
      <c r="CL118" s="249"/>
      <c r="CM118" s="249"/>
      <c r="CN118" s="249"/>
      <c r="CO118" s="249"/>
      <c r="CP118" s="249"/>
      <c r="CQ118" s="249"/>
      <c r="CR118" s="249"/>
      <c r="CS118" s="249"/>
      <c r="CT118" s="249"/>
      <c r="CU118" s="1545"/>
      <c r="CV118" s="1545"/>
      <c r="CW118" s="1545"/>
      <c r="CX118" s="1545"/>
      <c r="CY118" s="1545"/>
      <c r="CZ118" s="1545"/>
      <c r="DA118" s="1545"/>
      <c r="DB118" s="1545"/>
      <c r="DC118" s="1545"/>
      <c r="DD118" s="1545"/>
      <c r="DE118" s="1545"/>
      <c r="DF118" s="1545"/>
      <c r="DG118" s="1545"/>
      <c r="DH118" s="1545"/>
      <c r="DI118" s="1545"/>
      <c r="DJ118" s="1545"/>
      <c r="DK118" s="1545"/>
      <c r="DL118" s="249"/>
      <c r="DM118" s="249"/>
      <c r="DN118" s="249"/>
      <c r="DO118" s="249"/>
      <c r="DP118" s="249"/>
      <c r="DQ118" s="249"/>
      <c r="DR118" s="249"/>
      <c r="DS118" s="249"/>
      <c r="DT118" s="249"/>
      <c r="DU118" s="249"/>
      <c r="DV118" s="249"/>
      <c r="DW118" s="249"/>
      <c r="DX118" s="249"/>
      <c r="DY118" s="249"/>
      <c r="DZ118" s="249"/>
      <c r="EA118" s="249"/>
      <c r="EB118" s="249"/>
      <c r="EC118" s="249"/>
      <c r="ED118" s="249"/>
    </row>
    <row r="119" spans="3:134" s="1542" customFormat="1">
      <c r="C119" s="249"/>
      <c r="D119" s="249"/>
      <c r="E119" s="1550"/>
      <c r="F119" s="1550"/>
      <c r="G119" s="1550"/>
      <c r="H119" s="1550"/>
      <c r="I119" s="1550"/>
      <c r="J119" s="1550"/>
      <c r="K119" s="1540"/>
      <c r="L119" s="1540"/>
      <c r="M119" s="1540"/>
      <c r="N119" s="1540"/>
      <c r="O119" s="1540"/>
      <c r="P119" s="1540"/>
      <c r="Q119" s="1540"/>
      <c r="R119" s="1540"/>
      <c r="S119" s="249"/>
      <c r="T119" s="926"/>
      <c r="U119" s="926"/>
      <c r="V119" s="926"/>
      <c r="W119" s="926"/>
      <c r="X119" s="926"/>
      <c r="Y119" s="926"/>
      <c r="Z119" s="926"/>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9"/>
      <c r="BW119" s="249"/>
      <c r="BX119" s="249"/>
      <c r="BY119" s="249"/>
      <c r="BZ119" s="249"/>
      <c r="CA119" s="249"/>
      <c r="CB119" s="249"/>
      <c r="CC119" s="249"/>
      <c r="CD119" s="249"/>
      <c r="CE119" s="249"/>
      <c r="CF119" s="249"/>
      <c r="CG119" s="249"/>
      <c r="CH119" s="249"/>
      <c r="CI119" s="249"/>
      <c r="CJ119" s="249"/>
      <c r="CK119" s="249"/>
      <c r="CL119" s="249"/>
      <c r="CM119" s="249"/>
      <c r="CN119" s="249"/>
      <c r="CO119" s="249"/>
      <c r="CP119" s="249"/>
      <c r="CQ119" s="249"/>
      <c r="CR119" s="249"/>
      <c r="CS119" s="249"/>
      <c r="CT119" s="249"/>
      <c r="CU119" s="1545"/>
      <c r="CV119" s="1545"/>
      <c r="CW119" s="1545"/>
      <c r="CX119" s="1545"/>
      <c r="CY119" s="1545"/>
      <c r="CZ119" s="1545"/>
      <c r="DA119" s="1545"/>
      <c r="DB119" s="1545"/>
      <c r="DC119" s="1545"/>
      <c r="DD119" s="1545"/>
      <c r="DE119" s="1545"/>
      <c r="DF119" s="1545"/>
      <c r="DG119" s="1545"/>
      <c r="DH119" s="1545"/>
      <c r="DI119" s="1545"/>
      <c r="DJ119" s="1545"/>
      <c r="DK119" s="1545"/>
      <c r="DL119" s="249"/>
      <c r="DM119" s="249"/>
      <c r="DN119" s="249"/>
      <c r="DO119" s="249"/>
      <c r="DP119" s="249"/>
      <c r="DQ119" s="249"/>
      <c r="DR119" s="249"/>
      <c r="DS119" s="249"/>
      <c r="DT119" s="249"/>
      <c r="DU119" s="249"/>
      <c r="DV119" s="249"/>
      <c r="DW119" s="249"/>
      <c r="DX119" s="249"/>
      <c r="DY119" s="249"/>
      <c r="DZ119" s="249"/>
      <c r="EA119" s="249"/>
      <c r="EB119" s="249"/>
      <c r="EC119" s="249"/>
      <c r="ED119" s="249"/>
    </row>
    <row r="120" spans="3:134" s="1542" customFormat="1">
      <c r="C120" s="249"/>
      <c r="D120" s="249"/>
      <c r="E120" s="1550"/>
      <c r="F120" s="1550"/>
      <c r="G120" s="1550"/>
      <c r="H120" s="1550"/>
      <c r="I120" s="1550"/>
      <c r="J120" s="1550"/>
      <c r="K120" s="1540"/>
      <c r="L120" s="1540"/>
      <c r="M120" s="1540"/>
      <c r="N120" s="1540"/>
      <c r="O120" s="1540"/>
      <c r="P120" s="1540"/>
      <c r="Q120" s="1540"/>
      <c r="R120" s="1540"/>
      <c r="S120" s="249"/>
      <c r="T120" s="926"/>
      <c r="U120" s="926"/>
      <c r="V120" s="926"/>
      <c r="W120" s="926"/>
      <c r="X120" s="926"/>
      <c r="Y120" s="926"/>
      <c r="Z120" s="926"/>
      <c r="AA120" s="249"/>
      <c r="AB120" s="249"/>
      <c r="AC120" s="249"/>
      <c r="AD120" s="249"/>
      <c r="AE120" s="249"/>
      <c r="AF120" s="249"/>
      <c r="AG120" s="249"/>
      <c r="AH120" s="249"/>
      <c r="AI120" s="249"/>
      <c r="AJ120" s="249"/>
      <c r="AK120" s="249"/>
      <c r="AL120" s="249"/>
      <c r="AM120" s="249"/>
      <c r="AN120" s="249"/>
      <c r="AO120" s="249"/>
      <c r="AP120" s="249"/>
      <c r="AQ120" s="249"/>
      <c r="AR120" s="249"/>
      <c r="AS120" s="249"/>
      <c r="AT120" s="249"/>
      <c r="AU120" s="249"/>
      <c r="AV120" s="249"/>
      <c r="AW120" s="249"/>
      <c r="AX120" s="249"/>
      <c r="AY120" s="249"/>
      <c r="AZ120" s="249"/>
      <c r="BA120" s="249"/>
      <c r="BB120" s="249"/>
      <c r="BC120" s="249"/>
      <c r="BD120" s="249"/>
      <c r="BE120" s="249"/>
      <c r="BF120" s="249"/>
      <c r="BG120" s="249"/>
      <c r="BH120" s="249"/>
      <c r="BI120" s="249"/>
      <c r="BJ120" s="249"/>
      <c r="BK120" s="249"/>
      <c r="BL120" s="249"/>
      <c r="BM120" s="249"/>
      <c r="BN120" s="249"/>
      <c r="BO120" s="249"/>
      <c r="BP120" s="249"/>
      <c r="BQ120" s="249"/>
      <c r="BR120" s="249"/>
      <c r="BS120" s="249"/>
      <c r="BT120" s="249"/>
      <c r="BU120" s="249"/>
      <c r="BV120" s="249"/>
      <c r="BW120" s="249"/>
      <c r="BX120" s="249"/>
      <c r="BY120" s="249"/>
      <c r="BZ120" s="249"/>
      <c r="CA120" s="249"/>
      <c r="CB120" s="249"/>
      <c r="CC120" s="249"/>
      <c r="CD120" s="249"/>
      <c r="CE120" s="249"/>
      <c r="CF120" s="249"/>
      <c r="CG120" s="249"/>
      <c r="CH120" s="249"/>
      <c r="CI120" s="249"/>
      <c r="CJ120" s="249"/>
      <c r="CK120" s="249"/>
      <c r="CL120" s="249"/>
      <c r="CM120" s="249"/>
      <c r="CN120" s="249"/>
      <c r="CO120" s="249"/>
      <c r="CP120" s="249"/>
      <c r="CQ120" s="249"/>
      <c r="CR120" s="249"/>
      <c r="CS120" s="249"/>
      <c r="CT120" s="249"/>
      <c r="CU120" s="1545"/>
      <c r="CV120" s="1545"/>
      <c r="CW120" s="1545"/>
      <c r="CX120" s="1545"/>
      <c r="CY120" s="1545"/>
      <c r="CZ120" s="1545"/>
      <c r="DA120" s="1545"/>
      <c r="DB120" s="1545"/>
      <c r="DC120" s="1545"/>
      <c r="DD120" s="1545"/>
      <c r="DE120" s="1545"/>
      <c r="DF120" s="1545"/>
      <c r="DG120" s="1545"/>
      <c r="DH120" s="1545"/>
      <c r="DI120" s="1545"/>
      <c r="DJ120" s="1545"/>
      <c r="DK120" s="1545"/>
      <c r="DL120" s="249"/>
      <c r="DM120" s="249"/>
      <c r="DN120" s="249"/>
      <c r="DO120" s="249"/>
      <c r="DP120" s="249"/>
      <c r="DQ120" s="249"/>
      <c r="DR120" s="249"/>
      <c r="DS120" s="249"/>
      <c r="DT120" s="249"/>
      <c r="DU120" s="249"/>
      <c r="DV120" s="249"/>
      <c r="DW120" s="249"/>
      <c r="DX120" s="249"/>
      <c r="DY120" s="249"/>
      <c r="DZ120" s="249"/>
      <c r="EA120" s="249"/>
      <c r="EB120" s="249"/>
      <c r="EC120" s="249"/>
      <c r="ED120" s="249"/>
    </row>
    <row r="121" spans="3:134" s="1542" customFormat="1">
      <c r="C121" s="249"/>
      <c r="D121" s="249"/>
      <c r="E121" s="1550"/>
      <c r="F121" s="1550"/>
      <c r="G121" s="1550"/>
      <c r="H121" s="1550"/>
      <c r="I121" s="1550"/>
      <c r="J121" s="1550"/>
      <c r="K121" s="1540"/>
      <c r="L121" s="1540"/>
      <c r="M121" s="1540"/>
      <c r="N121" s="1540"/>
      <c r="O121" s="1540"/>
      <c r="P121" s="1540"/>
      <c r="Q121" s="1540"/>
      <c r="R121" s="1540"/>
      <c r="S121" s="249"/>
      <c r="T121" s="926"/>
      <c r="U121" s="926"/>
      <c r="V121" s="926"/>
      <c r="W121" s="926"/>
      <c r="X121" s="926"/>
      <c r="Y121" s="926"/>
      <c r="Z121" s="926"/>
      <c r="AA121" s="249"/>
      <c r="AB121" s="249"/>
      <c r="AC121" s="249"/>
      <c r="AD121" s="249"/>
      <c r="AE121" s="249"/>
      <c r="AF121" s="249"/>
      <c r="AG121" s="249"/>
      <c r="AH121" s="249"/>
      <c r="AI121" s="249"/>
      <c r="AJ121" s="249"/>
      <c r="AK121" s="249"/>
      <c r="AL121" s="249"/>
      <c r="AM121" s="249"/>
      <c r="AN121" s="249"/>
      <c r="AO121" s="249"/>
      <c r="AP121" s="249"/>
      <c r="AQ121" s="249"/>
      <c r="AR121" s="249"/>
      <c r="AS121" s="249"/>
      <c r="AT121" s="249"/>
      <c r="AU121" s="249"/>
      <c r="AV121" s="249"/>
      <c r="AW121" s="249"/>
      <c r="AX121" s="249"/>
      <c r="AY121" s="249"/>
      <c r="AZ121" s="249"/>
      <c r="BA121" s="249"/>
      <c r="BB121" s="249"/>
      <c r="BC121" s="249"/>
      <c r="BD121" s="249"/>
      <c r="BE121" s="249"/>
      <c r="BF121" s="249"/>
      <c r="BG121" s="249"/>
      <c r="BH121" s="249"/>
      <c r="BI121" s="249"/>
      <c r="BJ121" s="249"/>
      <c r="BK121" s="249"/>
      <c r="BL121" s="249"/>
      <c r="BM121" s="249"/>
      <c r="BN121" s="249"/>
      <c r="BO121" s="249"/>
      <c r="BP121" s="249"/>
      <c r="BQ121" s="249"/>
      <c r="BR121" s="249"/>
      <c r="BS121" s="249"/>
      <c r="BT121" s="249"/>
      <c r="BU121" s="249"/>
      <c r="BV121" s="249"/>
      <c r="BW121" s="249"/>
      <c r="BX121" s="249"/>
      <c r="BY121" s="249"/>
      <c r="BZ121" s="249"/>
      <c r="CA121" s="249"/>
      <c r="CB121" s="249"/>
      <c r="CC121" s="249"/>
      <c r="CD121" s="249"/>
      <c r="CE121" s="249"/>
      <c r="CF121" s="249"/>
      <c r="CG121" s="249"/>
      <c r="CH121" s="249"/>
      <c r="CI121" s="249"/>
      <c r="CJ121" s="249"/>
      <c r="CK121" s="249"/>
      <c r="CL121" s="249"/>
      <c r="CM121" s="249"/>
      <c r="CN121" s="249"/>
      <c r="CO121" s="249"/>
      <c r="CP121" s="249"/>
      <c r="CQ121" s="249"/>
      <c r="CR121" s="249"/>
      <c r="CS121" s="249"/>
      <c r="CT121" s="249"/>
      <c r="CU121" s="1545"/>
      <c r="CV121" s="1545"/>
      <c r="CW121" s="1545"/>
      <c r="CX121" s="1545"/>
      <c r="CY121" s="1545"/>
      <c r="CZ121" s="1545"/>
      <c r="DA121" s="1545"/>
      <c r="DB121" s="1545"/>
      <c r="DC121" s="1545"/>
      <c r="DD121" s="1545"/>
      <c r="DE121" s="1545"/>
      <c r="DF121" s="1545"/>
      <c r="DG121" s="1545"/>
      <c r="DH121" s="1545"/>
      <c r="DI121" s="1545"/>
      <c r="DJ121" s="1545"/>
      <c r="DK121" s="1545"/>
      <c r="DL121" s="249"/>
      <c r="DM121" s="249"/>
      <c r="DN121" s="249"/>
      <c r="DO121" s="249"/>
      <c r="DP121" s="249"/>
      <c r="DQ121" s="249"/>
      <c r="DR121" s="249"/>
      <c r="DS121" s="249"/>
      <c r="DT121" s="249"/>
      <c r="DU121" s="249"/>
      <c r="DV121" s="249"/>
      <c r="DW121" s="249"/>
      <c r="DX121" s="249"/>
      <c r="DY121" s="249"/>
      <c r="DZ121" s="249"/>
      <c r="EA121" s="249"/>
      <c r="EB121" s="249"/>
      <c r="EC121" s="249"/>
      <c r="ED121" s="249"/>
    </row>
    <row r="122" spans="3:134" s="1542" customFormat="1">
      <c r="C122" s="249"/>
      <c r="D122" s="249"/>
      <c r="E122" s="1550"/>
      <c r="F122" s="1550"/>
      <c r="G122" s="1550"/>
      <c r="H122" s="1550"/>
      <c r="I122" s="1550"/>
      <c r="J122" s="1550"/>
      <c r="K122" s="1540"/>
      <c r="L122" s="1540"/>
      <c r="M122" s="1540"/>
      <c r="N122" s="1540"/>
      <c r="O122" s="1540"/>
      <c r="P122" s="1540"/>
      <c r="Q122" s="1540"/>
      <c r="R122" s="1540"/>
      <c r="S122" s="249"/>
      <c r="T122" s="926"/>
      <c r="U122" s="926"/>
      <c r="V122" s="926"/>
      <c r="W122" s="926"/>
      <c r="X122" s="926"/>
      <c r="Y122" s="926"/>
      <c r="Z122" s="926"/>
      <c r="AA122" s="249"/>
      <c r="AB122" s="249"/>
      <c r="AC122" s="249"/>
      <c r="AD122" s="249"/>
      <c r="AE122" s="249"/>
      <c r="AF122" s="249"/>
      <c r="AG122" s="249"/>
      <c r="AH122" s="249"/>
      <c r="AI122" s="249"/>
      <c r="AJ122" s="249"/>
      <c r="AK122" s="249"/>
      <c r="AL122" s="249"/>
      <c r="AM122" s="249"/>
      <c r="AN122" s="249"/>
      <c r="AO122" s="249"/>
      <c r="AP122" s="249"/>
      <c r="AQ122" s="249"/>
      <c r="AR122" s="249"/>
      <c r="AS122" s="249"/>
      <c r="AT122" s="249"/>
      <c r="AU122" s="249"/>
      <c r="AV122" s="249"/>
      <c r="AW122" s="249"/>
      <c r="AX122" s="249"/>
      <c r="AY122" s="249"/>
      <c r="AZ122" s="249"/>
      <c r="BA122" s="249"/>
      <c r="BB122" s="249"/>
      <c r="BC122" s="249"/>
      <c r="BD122" s="249"/>
      <c r="BE122" s="249"/>
      <c r="BF122" s="249"/>
      <c r="BG122" s="249"/>
      <c r="BH122" s="249"/>
      <c r="BI122" s="249"/>
      <c r="BJ122" s="249"/>
      <c r="BK122" s="249"/>
      <c r="BL122" s="249"/>
      <c r="BM122" s="249"/>
      <c r="BN122" s="249"/>
      <c r="BO122" s="249"/>
      <c r="BP122" s="249"/>
      <c r="BQ122" s="249"/>
      <c r="BR122" s="249"/>
      <c r="BS122" s="249"/>
      <c r="BT122" s="249"/>
      <c r="BU122" s="249"/>
      <c r="BV122" s="249"/>
      <c r="BW122" s="249"/>
      <c r="BX122" s="249"/>
      <c r="BY122" s="249"/>
      <c r="BZ122" s="249"/>
      <c r="CA122" s="249"/>
      <c r="CB122" s="249"/>
      <c r="CC122" s="249"/>
      <c r="CD122" s="249"/>
      <c r="CE122" s="249"/>
      <c r="CF122" s="249"/>
      <c r="CG122" s="249"/>
      <c r="CH122" s="249"/>
      <c r="CI122" s="249"/>
      <c r="CJ122" s="249"/>
      <c r="CK122" s="249"/>
      <c r="CL122" s="249"/>
      <c r="CM122" s="249"/>
      <c r="CN122" s="249"/>
      <c r="CO122" s="249"/>
      <c r="CP122" s="249"/>
      <c r="CQ122" s="249"/>
      <c r="CR122" s="249"/>
      <c r="CS122" s="249"/>
      <c r="CT122" s="249"/>
      <c r="CU122" s="1545"/>
      <c r="CV122" s="1545"/>
      <c r="CW122" s="1545"/>
      <c r="CX122" s="1545"/>
      <c r="CY122" s="1545"/>
      <c r="CZ122" s="1545"/>
      <c r="DA122" s="1545"/>
      <c r="DB122" s="1545"/>
      <c r="DC122" s="1545"/>
      <c r="DD122" s="1545"/>
      <c r="DE122" s="1545"/>
      <c r="DF122" s="1545"/>
      <c r="DG122" s="1545"/>
      <c r="DH122" s="1545"/>
      <c r="DI122" s="1545"/>
      <c r="DJ122" s="1545"/>
      <c r="DK122" s="1545"/>
      <c r="DL122" s="249"/>
      <c r="DM122" s="249"/>
      <c r="DN122" s="249"/>
      <c r="DO122" s="249"/>
      <c r="DP122" s="249"/>
      <c r="DQ122" s="249"/>
      <c r="DR122" s="249"/>
      <c r="DS122" s="249"/>
      <c r="DT122" s="249"/>
      <c r="DU122" s="249"/>
      <c r="DV122" s="249"/>
      <c r="DW122" s="249"/>
      <c r="DX122" s="249"/>
      <c r="DY122" s="249"/>
      <c r="DZ122" s="249"/>
      <c r="EA122" s="249"/>
      <c r="EB122" s="249"/>
      <c r="EC122" s="249"/>
      <c r="ED122" s="249"/>
    </row>
    <row r="123" spans="3:134" s="1542" customFormat="1">
      <c r="C123" s="249"/>
      <c r="D123" s="249"/>
      <c r="E123" s="1550"/>
      <c r="F123" s="1550"/>
      <c r="G123" s="1550"/>
      <c r="H123" s="1550"/>
      <c r="I123" s="1550"/>
      <c r="J123" s="1550"/>
      <c r="K123" s="1540"/>
      <c r="L123" s="1540"/>
      <c r="M123" s="1540"/>
      <c r="N123" s="1540"/>
      <c r="O123" s="1540"/>
      <c r="P123" s="1540"/>
      <c r="Q123" s="1540"/>
      <c r="R123" s="1540"/>
      <c r="S123" s="249"/>
      <c r="T123" s="926"/>
      <c r="U123" s="926"/>
      <c r="V123" s="926"/>
      <c r="W123" s="926"/>
      <c r="X123" s="926"/>
      <c r="Y123" s="926"/>
      <c r="Z123" s="926"/>
      <c r="AA123" s="249"/>
      <c r="AB123" s="249"/>
      <c r="AC123" s="249"/>
      <c r="AD123" s="249"/>
      <c r="AE123" s="249"/>
      <c r="AF123" s="249"/>
      <c r="AG123" s="249"/>
      <c r="AH123" s="249"/>
      <c r="AI123" s="249"/>
      <c r="AJ123" s="249"/>
      <c r="AK123" s="249"/>
      <c r="AL123" s="249"/>
      <c r="AM123" s="249"/>
      <c r="AN123" s="249"/>
      <c r="AO123" s="249"/>
      <c r="AP123" s="249"/>
      <c r="AQ123" s="249"/>
      <c r="AR123" s="249"/>
      <c r="AS123" s="249"/>
      <c r="AT123" s="249"/>
      <c r="AU123" s="249"/>
      <c r="AV123" s="249"/>
      <c r="AW123" s="249"/>
      <c r="AX123" s="249"/>
      <c r="AY123" s="249"/>
      <c r="AZ123" s="249"/>
      <c r="BA123" s="249"/>
      <c r="BB123" s="249"/>
      <c r="BC123" s="249"/>
      <c r="BD123" s="249"/>
      <c r="BE123" s="249"/>
      <c r="BF123" s="249"/>
      <c r="BG123" s="249"/>
      <c r="BH123" s="249"/>
      <c r="BI123" s="249"/>
      <c r="BJ123" s="249"/>
      <c r="BK123" s="249"/>
      <c r="BL123" s="249"/>
      <c r="BM123" s="249"/>
      <c r="BN123" s="249"/>
      <c r="BO123" s="249"/>
      <c r="BP123" s="249"/>
      <c r="BQ123" s="249"/>
      <c r="BR123" s="249"/>
      <c r="BS123" s="249"/>
      <c r="BT123" s="249"/>
      <c r="BU123" s="249"/>
      <c r="BV123" s="249"/>
      <c r="BW123" s="249"/>
      <c r="BX123" s="249"/>
      <c r="BY123" s="249"/>
      <c r="BZ123" s="249"/>
      <c r="CA123" s="249"/>
      <c r="CB123" s="249"/>
      <c r="CC123" s="249"/>
      <c r="CD123" s="249"/>
      <c r="CE123" s="249"/>
      <c r="CF123" s="249"/>
      <c r="CG123" s="249"/>
      <c r="CH123" s="249"/>
      <c r="CI123" s="249"/>
      <c r="CJ123" s="249"/>
      <c r="CK123" s="249"/>
      <c r="CL123" s="249"/>
      <c r="CM123" s="249"/>
      <c r="CN123" s="249"/>
      <c r="CO123" s="249"/>
      <c r="CP123" s="249"/>
      <c r="CQ123" s="249"/>
      <c r="CR123" s="249"/>
      <c r="CS123" s="249"/>
      <c r="CT123" s="249"/>
      <c r="CU123" s="1545"/>
      <c r="CV123" s="1545"/>
      <c r="CW123" s="1545"/>
      <c r="CX123" s="1545"/>
      <c r="CY123" s="1545"/>
      <c r="CZ123" s="1545"/>
      <c r="DA123" s="1545"/>
      <c r="DB123" s="1545"/>
      <c r="DC123" s="1545"/>
      <c r="DD123" s="1545"/>
      <c r="DE123" s="1545"/>
      <c r="DF123" s="1545"/>
      <c r="DG123" s="1545"/>
      <c r="DH123" s="1545"/>
      <c r="DI123" s="1545"/>
      <c r="DJ123" s="1545"/>
      <c r="DK123" s="1545"/>
      <c r="DL123" s="249"/>
      <c r="DM123" s="249"/>
      <c r="DN123" s="249"/>
      <c r="DO123" s="249"/>
      <c r="DP123" s="249"/>
      <c r="DQ123" s="249"/>
      <c r="DR123" s="249"/>
      <c r="DS123" s="249"/>
      <c r="DT123" s="249"/>
      <c r="DU123" s="249"/>
      <c r="DV123" s="249"/>
      <c r="DW123" s="249"/>
      <c r="DX123" s="249"/>
      <c r="DY123" s="249"/>
      <c r="DZ123" s="249"/>
      <c r="EA123" s="249"/>
      <c r="EB123" s="249"/>
      <c r="EC123" s="249"/>
      <c r="ED123" s="249"/>
    </row>
    <row r="124" spans="3:134" s="1542" customFormat="1">
      <c r="C124" s="249"/>
      <c r="D124" s="249"/>
      <c r="E124" s="1550"/>
      <c r="F124" s="1550"/>
      <c r="G124" s="1550"/>
      <c r="H124" s="1550"/>
      <c r="I124" s="1550"/>
      <c r="J124" s="1550"/>
      <c r="K124" s="1540"/>
      <c r="L124" s="1540"/>
      <c r="M124" s="1540"/>
      <c r="N124" s="1540"/>
      <c r="O124" s="1540"/>
      <c r="P124" s="1540"/>
      <c r="Q124" s="1540"/>
      <c r="R124" s="1540"/>
      <c r="S124" s="249"/>
      <c r="T124" s="926"/>
      <c r="U124" s="926"/>
      <c r="V124" s="926"/>
      <c r="W124" s="926"/>
      <c r="X124" s="926"/>
      <c r="Y124" s="926"/>
      <c r="Z124" s="926"/>
      <c r="AA124" s="249"/>
      <c r="AB124" s="249"/>
      <c r="AC124" s="249"/>
      <c r="AD124" s="249"/>
      <c r="AE124" s="249"/>
      <c r="AF124" s="249"/>
      <c r="AG124" s="249"/>
      <c r="AH124" s="249"/>
      <c r="AI124" s="249"/>
      <c r="AJ124" s="249"/>
      <c r="AK124" s="249"/>
      <c r="AL124" s="249"/>
      <c r="AM124" s="249"/>
      <c r="AN124" s="249"/>
      <c r="AO124" s="249"/>
      <c r="AP124" s="249"/>
      <c r="AQ124" s="249"/>
      <c r="AR124" s="249"/>
      <c r="AS124" s="249"/>
      <c r="AT124" s="249"/>
      <c r="AU124" s="249"/>
      <c r="AV124" s="249"/>
      <c r="AW124" s="249"/>
      <c r="AX124" s="249"/>
      <c r="AY124" s="249"/>
      <c r="AZ124" s="249"/>
      <c r="BA124" s="249"/>
      <c r="BB124" s="249"/>
      <c r="BC124" s="249"/>
      <c r="BD124" s="249"/>
      <c r="BE124" s="249"/>
      <c r="BF124" s="249"/>
      <c r="BG124" s="249"/>
      <c r="BH124" s="249"/>
      <c r="BI124" s="249"/>
      <c r="BJ124" s="249"/>
      <c r="BK124" s="249"/>
      <c r="BL124" s="249"/>
      <c r="BM124" s="249"/>
      <c r="BN124" s="249"/>
      <c r="BO124" s="249"/>
      <c r="BP124" s="249"/>
      <c r="BQ124" s="249"/>
      <c r="BR124" s="249"/>
      <c r="BS124" s="249"/>
      <c r="BT124" s="249"/>
      <c r="BU124" s="249"/>
      <c r="BV124" s="249"/>
      <c r="BW124" s="249"/>
      <c r="BX124" s="249"/>
      <c r="BY124" s="249"/>
      <c r="BZ124" s="249"/>
      <c r="CA124" s="249"/>
      <c r="CB124" s="249"/>
      <c r="CC124" s="249"/>
      <c r="CD124" s="249"/>
      <c r="CE124" s="249"/>
      <c r="CF124" s="249"/>
      <c r="CG124" s="249"/>
      <c r="CH124" s="249"/>
      <c r="CI124" s="249"/>
      <c r="CJ124" s="249"/>
      <c r="CK124" s="249"/>
      <c r="CL124" s="249"/>
      <c r="CM124" s="249"/>
      <c r="CN124" s="249"/>
      <c r="CO124" s="249"/>
      <c r="CP124" s="249"/>
      <c r="CQ124" s="249"/>
      <c r="CR124" s="249"/>
      <c r="CS124" s="249"/>
      <c r="CT124" s="249"/>
      <c r="CU124" s="1545"/>
      <c r="CV124" s="1545"/>
      <c r="CW124" s="1545"/>
      <c r="CX124" s="1545"/>
      <c r="CY124" s="1545"/>
      <c r="CZ124" s="1545"/>
      <c r="DA124" s="1545"/>
      <c r="DB124" s="1545"/>
      <c r="DC124" s="1545"/>
      <c r="DD124" s="1545"/>
      <c r="DE124" s="1545"/>
      <c r="DF124" s="1545"/>
      <c r="DG124" s="1545"/>
      <c r="DH124" s="1545"/>
      <c r="DI124" s="1545"/>
      <c r="DJ124" s="1545"/>
      <c r="DK124" s="1545"/>
      <c r="DL124" s="249"/>
      <c r="DM124" s="249"/>
      <c r="DN124" s="249"/>
      <c r="DO124" s="249"/>
      <c r="DP124" s="249"/>
      <c r="DQ124" s="249"/>
      <c r="DR124" s="249"/>
      <c r="DS124" s="249"/>
      <c r="DT124" s="249"/>
      <c r="DU124" s="249"/>
      <c r="DV124" s="249"/>
      <c r="DW124" s="249"/>
      <c r="DX124" s="249"/>
      <c r="DY124" s="249"/>
      <c r="DZ124" s="249"/>
      <c r="EA124" s="249"/>
      <c r="EB124" s="249"/>
      <c r="EC124" s="249"/>
      <c r="ED124" s="249"/>
    </row>
    <row r="125" spans="3:134" s="1542" customFormat="1">
      <c r="C125" s="249"/>
      <c r="D125" s="249"/>
      <c r="E125" s="1550"/>
      <c r="F125" s="1550"/>
      <c r="G125" s="1550"/>
      <c r="H125" s="1550"/>
      <c r="I125" s="1550"/>
      <c r="J125" s="1550"/>
      <c r="K125" s="1540"/>
      <c r="L125" s="1540"/>
      <c r="M125" s="1540"/>
      <c r="N125" s="1540"/>
      <c r="O125" s="1540"/>
      <c r="P125" s="1540"/>
      <c r="Q125" s="1540"/>
      <c r="R125" s="1540"/>
      <c r="S125" s="249"/>
      <c r="T125" s="926"/>
      <c r="U125" s="926"/>
      <c r="V125" s="926"/>
      <c r="W125" s="926"/>
      <c r="X125" s="926"/>
      <c r="Y125" s="926"/>
      <c r="Z125" s="926"/>
      <c r="AA125" s="249"/>
      <c r="AB125" s="249"/>
      <c r="AC125" s="249"/>
      <c r="AD125" s="249"/>
      <c r="AE125" s="249"/>
      <c r="AF125" s="249"/>
      <c r="AG125" s="249"/>
      <c r="AH125" s="249"/>
      <c r="AI125" s="249"/>
      <c r="AJ125" s="249"/>
      <c r="AK125" s="249"/>
      <c r="AL125" s="249"/>
      <c r="AM125" s="249"/>
      <c r="AN125" s="249"/>
      <c r="AO125" s="249"/>
      <c r="AP125" s="249"/>
      <c r="AQ125" s="249"/>
      <c r="AR125" s="249"/>
      <c r="AS125" s="249"/>
      <c r="AT125" s="249"/>
      <c r="AU125" s="249"/>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49"/>
      <c r="BR125" s="249"/>
      <c r="BS125" s="249"/>
      <c r="BT125" s="249"/>
      <c r="BU125" s="249"/>
      <c r="BV125" s="249"/>
      <c r="BW125" s="249"/>
      <c r="BX125" s="249"/>
      <c r="BY125" s="249"/>
      <c r="BZ125" s="249"/>
      <c r="CA125" s="249"/>
      <c r="CB125" s="249"/>
      <c r="CC125" s="249"/>
      <c r="CD125" s="249"/>
      <c r="CE125" s="249"/>
      <c r="CF125" s="249"/>
      <c r="CG125" s="249"/>
      <c r="CH125" s="249"/>
      <c r="CI125" s="249"/>
      <c r="CJ125" s="249"/>
      <c r="CK125" s="249"/>
      <c r="CL125" s="249"/>
      <c r="CM125" s="249"/>
      <c r="CN125" s="249"/>
      <c r="CO125" s="249"/>
      <c r="CP125" s="249"/>
      <c r="CQ125" s="249"/>
      <c r="CR125" s="249"/>
      <c r="CS125" s="249"/>
      <c r="CT125" s="249"/>
      <c r="CU125" s="1545"/>
      <c r="CV125" s="1545"/>
      <c r="CW125" s="1545"/>
      <c r="CX125" s="1545"/>
      <c r="CY125" s="1545"/>
      <c r="CZ125" s="1545"/>
      <c r="DA125" s="1545"/>
      <c r="DB125" s="1545"/>
      <c r="DC125" s="1545"/>
      <c r="DD125" s="1545"/>
      <c r="DE125" s="1545"/>
      <c r="DF125" s="1545"/>
      <c r="DG125" s="1545"/>
      <c r="DH125" s="1545"/>
      <c r="DI125" s="1545"/>
      <c r="DJ125" s="1545"/>
      <c r="DK125" s="1545"/>
      <c r="DL125" s="249"/>
      <c r="DM125" s="249"/>
      <c r="DN125" s="249"/>
      <c r="DO125" s="249"/>
      <c r="DP125" s="249"/>
      <c r="DQ125" s="249"/>
      <c r="DR125" s="249"/>
      <c r="DS125" s="249"/>
      <c r="DT125" s="249"/>
      <c r="DU125" s="249"/>
      <c r="DV125" s="249"/>
      <c r="DW125" s="249"/>
      <c r="DX125" s="249"/>
      <c r="DY125" s="249"/>
      <c r="DZ125" s="249"/>
      <c r="EA125" s="249"/>
      <c r="EB125" s="249"/>
      <c r="EC125" s="249"/>
      <c r="ED125" s="249"/>
    </row>
    <row r="126" spans="3:134" s="1542" customFormat="1">
      <c r="C126" s="249"/>
      <c r="D126" s="249"/>
      <c r="E126" s="1550"/>
      <c r="F126" s="1550"/>
      <c r="G126" s="1550"/>
      <c r="H126" s="1550"/>
      <c r="I126" s="1550"/>
      <c r="J126" s="1550"/>
      <c r="K126" s="1540"/>
      <c r="L126" s="1540"/>
      <c r="M126" s="1540"/>
      <c r="N126" s="1540"/>
      <c r="O126" s="1540"/>
      <c r="P126" s="1540"/>
      <c r="Q126" s="1540"/>
      <c r="R126" s="1540"/>
      <c r="S126" s="249"/>
      <c r="T126" s="926"/>
      <c r="U126" s="926"/>
      <c r="V126" s="926"/>
      <c r="W126" s="926"/>
      <c r="X126" s="926"/>
      <c r="Y126" s="926"/>
      <c r="Z126" s="926"/>
      <c r="AA126" s="249"/>
      <c r="AB126" s="249"/>
      <c r="AC126" s="249"/>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49"/>
      <c r="BD126" s="249"/>
      <c r="BE126" s="249"/>
      <c r="BF126" s="249"/>
      <c r="BG126" s="249"/>
      <c r="BH126" s="249"/>
      <c r="BI126" s="249"/>
      <c r="BJ126" s="249"/>
      <c r="BK126" s="249"/>
      <c r="BL126" s="249"/>
      <c r="BM126" s="249"/>
      <c r="BN126" s="249"/>
      <c r="BO126" s="249"/>
      <c r="BP126" s="249"/>
      <c r="BQ126" s="249"/>
      <c r="BR126" s="249"/>
      <c r="BS126" s="249"/>
      <c r="BT126" s="249"/>
      <c r="BU126" s="249"/>
      <c r="BV126" s="249"/>
      <c r="BW126" s="249"/>
      <c r="BX126" s="249"/>
      <c r="BY126" s="249"/>
      <c r="BZ126" s="249"/>
      <c r="CA126" s="249"/>
      <c r="CB126" s="249"/>
      <c r="CC126" s="249"/>
      <c r="CD126" s="249"/>
      <c r="CE126" s="249"/>
      <c r="CF126" s="249"/>
      <c r="CG126" s="249"/>
      <c r="CH126" s="249"/>
      <c r="CI126" s="249"/>
      <c r="CJ126" s="249"/>
      <c r="CK126" s="249"/>
      <c r="CL126" s="249"/>
      <c r="CM126" s="249"/>
      <c r="CN126" s="249"/>
      <c r="CO126" s="249"/>
      <c r="CP126" s="249"/>
      <c r="CQ126" s="249"/>
      <c r="CR126" s="249"/>
      <c r="CS126" s="249"/>
      <c r="CT126" s="249"/>
      <c r="CU126" s="1545"/>
      <c r="CV126" s="1545"/>
      <c r="CW126" s="1545"/>
      <c r="CX126" s="1545"/>
      <c r="CY126" s="1545"/>
      <c r="CZ126" s="1545"/>
      <c r="DA126" s="1545"/>
      <c r="DB126" s="1545"/>
      <c r="DC126" s="1545"/>
      <c r="DD126" s="1545"/>
      <c r="DE126" s="1545"/>
      <c r="DF126" s="1545"/>
      <c r="DG126" s="1545"/>
      <c r="DH126" s="1545"/>
      <c r="DI126" s="1545"/>
      <c r="DJ126" s="1545"/>
      <c r="DK126" s="1545"/>
      <c r="DL126" s="249"/>
      <c r="DM126" s="249"/>
      <c r="DN126" s="249"/>
      <c r="DO126" s="249"/>
      <c r="DP126" s="249"/>
      <c r="DQ126" s="249"/>
      <c r="DR126" s="249"/>
      <c r="DS126" s="249"/>
      <c r="DT126" s="249"/>
      <c r="DU126" s="249"/>
      <c r="DV126" s="249"/>
      <c r="DW126" s="249"/>
      <c r="DX126" s="249"/>
      <c r="DY126" s="249"/>
      <c r="DZ126" s="249"/>
      <c r="EA126" s="249"/>
      <c r="EB126" s="249"/>
      <c r="EC126" s="249"/>
      <c r="ED126" s="249"/>
    </row>
    <row r="127" spans="3:134" s="1542" customFormat="1">
      <c r="C127" s="249"/>
      <c r="D127" s="249"/>
      <c r="E127" s="1550"/>
      <c r="F127" s="1550"/>
      <c r="G127" s="1550"/>
      <c r="H127" s="1550"/>
      <c r="I127" s="1550"/>
      <c r="J127" s="1550"/>
      <c r="K127" s="1540"/>
      <c r="L127" s="1540"/>
      <c r="M127" s="1540"/>
      <c r="N127" s="1540"/>
      <c r="O127" s="1540"/>
      <c r="P127" s="1540"/>
      <c r="Q127" s="1540"/>
      <c r="R127" s="1540"/>
      <c r="S127" s="249"/>
      <c r="T127" s="926"/>
      <c r="U127" s="926"/>
      <c r="V127" s="926"/>
      <c r="W127" s="926"/>
      <c r="X127" s="926"/>
      <c r="Y127" s="926"/>
      <c r="Z127" s="926"/>
      <c r="AA127" s="249"/>
      <c r="AB127" s="249"/>
      <c r="AC127" s="249"/>
      <c r="AD127" s="249"/>
      <c r="AE127" s="249"/>
      <c r="AF127" s="249"/>
      <c r="AG127" s="249"/>
      <c r="AH127" s="249"/>
      <c r="AI127" s="249"/>
      <c r="AJ127" s="249"/>
      <c r="AK127" s="249"/>
      <c r="AL127" s="249"/>
      <c r="AM127" s="249"/>
      <c r="AN127" s="249"/>
      <c r="AO127" s="249"/>
      <c r="AP127" s="249"/>
      <c r="AQ127" s="249"/>
      <c r="AR127" s="249"/>
      <c r="AS127" s="249"/>
      <c r="AT127" s="249"/>
      <c r="AU127" s="249"/>
      <c r="AV127" s="249"/>
      <c r="AW127" s="249"/>
      <c r="AX127" s="249"/>
      <c r="AY127" s="249"/>
      <c r="AZ127" s="249"/>
      <c r="BA127" s="249"/>
      <c r="BB127" s="249"/>
      <c r="BC127" s="249"/>
      <c r="BD127" s="249"/>
      <c r="BE127" s="249"/>
      <c r="BF127" s="249"/>
      <c r="BG127" s="249"/>
      <c r="BH127" s="249"/>
      <c r="BI127" s="249"/>
      <c r="BJ127" s="249"/>
      <c r="BK127" s="249"/>
      <c r="BL127" s="249"/>
      <c r="BM127" s="249"/>
      <c r="BN127" s="249"/>
      <c r="BO127" s="249"/>
      <c r="BP127" s="249"/>
      <c r="BQ127" s="249"/>
      <c r="BR127" s="249"/>
      <c r="BS127" s="249"/>
      <c r="BT127" s="249"/>
      <c r="BU127" s="249"/>
      <c r="BV127" s="249"/>
      <c r="BW127" s="249"/>
      <c r="BX127" s="249"/>
      <c r="BY127" s="249"/>
      <c r="BZ127" s="249"/>
      <c r="CA127" s="249"/>
      <c r="CB127" s="249"/>
      <c r="CC127" s="249"/>
      <c r="CD127" s="249"/>
      <c r="CE127" s="249"/>
      <c r="CF127" s="249"/>
      <c r="CG127" s="249"/>
      <c r="CH127" s="249"/>
      <c r="CI127" s="249"/>
      <c r="CJ127" s="249"/>
      <c r="CK127" s="249"/>
      <c r="CL127" s="249"/>
      <c r="CM127" s="249"/>
      <c r="CN127" s="249"/>
      <c r="CO127" s="249"/>
      <c r="CP127" s="249"/>
      <c r="CQ127" s="249"/>
      <c r="CR127" s="249"/>
      <c r="CS127" s="249"/>
      <c r="CT127" s="249"/>
      <c r="CU127" s="1545"/>
      <c r="CV127" s="1545"/>
      <c r="CW127" s="1545"/>
      <c r="CX127" s="1545"/>
      <c r="CY127" s="1545"/>
      <c r="CZ127" s="1545"/>
      <c r="DA127" s="1545"/>
      <c r="DB127" s="1545"/>
      <c r="DC127" s="1545"/>
      <c r="DD127" s="1545"/>
      <c r="DE127" s="1545"/>
      <c r="DF127" s="1545"/>
      <c r="DG127" s="1545"/>
      <c r="DH127" s="1545"/>
      <c r="DI127" s="1545"/>
      <c r="DJ127" s="1545"/>
      <c r="DK127" s="1545"/>
      <c r="DL127" s="249"/>
      <c r="DM127" s="249"/>
      <c r="DN127" s="249"/>
      <c r="DO127" s="249"/>
      <c r="DP127" s="249"/>
      <c r="DQ127" s="249"/>
      <c r="DR127" s="249"/>
      <c r="DS127" s="249"/>
      <c r="DT127" s="249"/>
      <c r="DU127" s="249"/>
      <c r="DV127" s="249"/>
      <c r="DW127" s="249"/>
      <c r="DX127" s="249"/>
      <c r="DY127" s="249"/>
      <c r="DZ127" s="249"/>
      <c r="EA127" s="249"/>
      <c r="EB127" s="249"/>
      <c r="EC127" s="249"/>
      <c r="ED127" s="249"/>
    </row>
    <row r="128" spans="3:134" s="1542" customFormat="1">
      <c r="C128" s="249"/>
      <c r="D128" s="249"/>
      <c r="E128" s="1550"/>
      <c r="F128" s="1550"/>
      <c r="G128" s="1550"/>
      <c r="H128" s="1550"/>
      <c r="I128" s="1550"/>
      <c r="J128" s="1550"/>
      <c r="K128" s="1540"/>
      <c r="L128" s="1540"/>
      <c r="M128" s="1540"/>
      <c r="N128" s="1540"/>
      <c r="O128" s="1540"/>
      <c r="P128" s="1540"/>
      <c r="Q128" s="1540"/>
      <c r="R128" s="1540"/>
      <c r="S128" s="249"/>
      <c r="T128" s="926"/>
      <c r="U128" s="926"/>
      <c r="V128" s="926"/>
      <c r="W128" s="926"/>
      <c r="X128" s="926"/>
      <c r="Y128" s="926"/>
      <c r="Z128" s="926"/>
      <c r="AA128" s="249"/>
      <c r="AB128" s="249"/>
      <c r="AC128" s="249"/>
      <c r="AD128" s="249"/>
      <c r="AE128" s="249"/>
      <c r="AF128" s="249"/>
      <c r="AG128" s="249"/>
      <c r="AH128" s="249"/>
      <c r="AI128" s="249"/>
      <c r="AJ128" s="249"/>
      <c r="AK128" s="249"/>
      <c r="AL128" s="249"/>
      <c r="AM128" s="249"/>
      <c r="AN128" s="249"/>
      <c r="AO128" s="249"/>
      <c r="AP128" s="249"/>
      <c r="AQ128" s="249"/>
      <c r="AR128" s="249"/>
      <c r="AS128" s="249"/>
      <c r="AT128" s="249"/>
      <c r="AU128" s="249"/>
      <c r="AV128" s="249"/>
      <c r="AW128" s="249"/>
      <c r="AX128" s="249"/>
      <c r="AY128" s="249"/>
      <c r="AZ128" s="249"/>
      <c r="BA128" s="249"/>
      <c r="BB128" s="249"/>
      <c r="BC128" s="249"/>
      <c r="BD128" s="249"/>
      <c r="BE128" s="249"/>
      <c r="BF128" s="249"/>
      <c r="BG128" s="249"/>
      <c r="BH128" s="249"/>
      <c r="BI128" s="249"/>
      <c r="BJ128" s="249"/>
      <c r="BK128" s="249"/>
      <c r="BL128" s="249"/>
      <c r="BM128" s="249"/>
      <c r="BN128" s="249"/>
      <c r="BO128" s="249"/>
      <c r="BP128" s="249"/>
      <c r="BQ128" s="249"/>
      <c r="BR128" s="249"/>
      <c r="BS128" s="249"/>
      <c r="BT128" s="249"/>
      <c r="BU128" s="249"/>
      <c r="BV128" s="249"/>
      <c r="BW128" s="249"/>
      <c r="BX128" s="249"/>
      <c r="BY128" s="249"/>
      <c r="BZ128" s="249"/>
      <c r="CA128" s="249"/>
      <c r="CB128" s="249"/>
      <c r="CC128" s="249"/>
      <c r="CD128" s="249"/>
      <c r="CE128" s="249"/>
      <c r="CF128" s="249"/>
      <c r="CG128" s="249"/>
      <c r="CH128" s="249"/>
      <c r="CI128" s="249"/>
      <c r="CJ128" s="249"/>
      <c r="CK128" s="249"/>
      <c r="CL128" s="249"/>
      <c r="CM128" s="249"/>
      <c r="CN128" s="249"/>
      <c r="CO128" s="249"/>
      <c r="CP128" s="249"/>
      <c r="CQ128" s="249"/>
      <c r="CR128" s="249"/>
      <c r="CS128" s="249"/>
      <c r="CT128" s="249"/>
      <c r="CU128" s="1545"/>
      <c r="CV128" s="1545"/>
      <c r="CW128" s="1545"/>
      <c r="CX128" s="1545"/>
      <c r="CY128" s="1545"/>
      <c r="CZ128" s="1545"/>
      <c r="DA128" s="1545"/>
      <c r="DB128" s="1545"/>
      <c r="DC128" s="1545"/>
      <c r="DD128" s="1545"/>
      <c r="DE128" s="1545"/>
      <c r="DF128" s="1545"/>
      <c r="DG128" s="1545"/>
      <c r="DH128" s="1545"/>
      <c r="DI128" s="1545"/>
      <c r="DJ128" s="1545"/>
      <c r="DK128" s="1545"/>
      <c r="DL128" s="249"/>
      <c r="DM128" s="249"/>
      <c r="DN128" s="249"/>
      <c r="DO128" s="249"/>
      <c r="DP128" s="249"/>
      <c r="DQ128" s="249"/>
      <c r="DR128" s="249"/>
      <c r="DS128" s="249"/>
      <c r="DT128" s="249"/>
      <c r="DU128" s="249"/>
      <c r="DV128" s="249"/>
      <c r="DW128" s="249"/>
      <c r="DX128" s="249"/>
      <c r="DY128" s="249"/>
      <c r="DZ128" s="249"/>
      <c r="EA128" s="249"/>
      <c r="EB128" s="249"/>
      <c r="EC128" s="249"/>
      <c r="ED128" s="249"/>
    </row>
    <row r="129" spans="3:134" s="1542" customFormat="1">
      <c r="C129" s="249"/>
      <c r="D129" s="249"/>
      <c r="E129" s="1550"/>
      <c r="F129" s="1550"/>
      <c r="G129" s="1550"/>
      <c r="H129" s="1550"/>
      <c r="I129" s="1550"/>
      <c r="J129" s="1550"/>
      <c r="K129" s="1540"/>
      <c r="L129" s="1540"/>
      <c r="M129" s="1540"/>
      <c r="N129" s="1540"/>
      <c r="O129" s="1540"/>
      <c r="P129" s="1540"/>
      <c r="Q129" s="1540"/>
      <c r="R129" s="1540"/>
      <c r="S129" s="249"/>
      <c r="T129" s="926"/>
      <c r="U129" s="926"/>
      <c r="V129" s="926"/>
      <c r="W129" s="926"/>
      <c r="X129" s="926"/>
      <c r="Y129" s="926"/>
      <c r="Z129" s="926"/>
      <c r="AA129" s="249"/>
      <c r="AB129" s="249"/>
      <c r="AC129" s="249"/>
      <c r="AD129" s="249"/>
      <c r="AE129" s="249"/>
      <c r="AF129" s="249"/>
      <c r="AG129" s="249"/>
      <c r="AH129" s="249"/>
      <c r="AI129" s="249"/>
      <c r="AJ129" s="249"/>
      <c r="AK129" s="249"/>
      <c r="AL129" s="249"/>
      <c r="AM129" s="249"/>
      <c r="AN129" s="249"/>
      <c r="AO129" s="249"/>
      <c r="AP129" s="249"/>
      <c r="AQ129" s="249"/>
      <c r="AR129" s="249"/>
      <c r="AS129" s="249"/>
      <c r="AT129" s="249"/>
      <c r="AU129" s="249"/>
      <c r="AV129" s="249"/>
      <c r="AW129" s="249"/>
      <c r="AX129" s="249"/>
      <c r="AY129" s="249"/>
      <c r="AZ129" s="249"/>
      <c r="BA129" s="249"/>
      <c r="BB129" s="249"/>
      <c r="BC129" s="249"/>
      <c r="BD129" s="249"/>
      <c r="BE129" s="249"/>
      <c r="BF129" s="249"/>
      <c r="BG129" s="249"/>
      <c r="BH129" s="249"/>
      <c r="BI129" s="249"/>
      <c r="BJ129" s="249"/>
      <c r="BK129" s="249"/>
      <c r="BL129" s="249"/>
      <c r="BM129" s="249"/>
      <c r="BN129" s="249"/>
      <c r="BO129" s="249"/>
      <c r="BP129" s="249"/>
      <c r="BQ129" s="249"/>
      <c r="BR129" s="249"/>
      <c r="BS129" s="249"/>
      <c r="BT129" s="249"/>
      <c r="BU129" s="249"/>
      <c r="BV129" s="249"/>
      <c r="BW129" s="249"/>
      <c r="BX129" s="249"/>
      <c r="BY129" s="249"/>
      <c r="BZ129" s="249"/>
      <c r="CA129" s="249"/>
      <c r="CB129" s="249"/>
      <c r="CC129" s="249"/>
      <c r="CD129" s="249"/>
      <c r="CE129" s="249"/>
      <c r="CF129" s="249"/>
      <c r="CG129" s="249"/>
      <c r="CH129" s="249"/>
      <c r="CI129" s="249"/>
      <c r="CJ129" s="249"/>
      <c r="CK129" s="249"/>
      <c r="CL129" s="249"/>
      <c r="CM129" s="249"/>
      <c r="CN129" s="249"/>
      <c r="CO129" s="249"/>
      <c r="CP129" s="249"/>
      <c r="CQ129" s="249"/>
      <c r="CR129" s="249"/>
      <c r="CS129" s="249"/>
      <c r="CT129" s="249"/>
      <c r="CU129" s="1545"/>
      <c r="CV129" s="1545"/>
      <c r="CW129" s="1545"/>
      <c r="CX129" s="1545"/>
      <c r="CY129" s="1545"/>
      <c r="CZ129" s="1545"/>
      <c r="DA129" s="1545"/>
      <c r="DB129" s="1545"/>
      <c r="DC129" s="1545"/>
      <c r="DD129" s="1545"/>
      <c r="DE129" s="1545"/>
      <c r="DF129" s="1545"/>
      <c r="DG129" s="1545"/>
      <c r="DH129" s="1545"/>
      <c r="DI129" s="1545"/>
      <c r="DJ129" s="1545"/>
      <c r="DK129" s="1545"/>
      <c r="DL129" s="249"/>
      <c r="DM129" s="249"/>
      <c r="DN129" s="249"/>
      <c r="DO129" s="249"/>
      <c r="DP129" s="249"/>
      <c r="DQ129" s="249"/>
      <c r="DR129" s="249"/>
      <c r="DS129" s="249"/>
      <c r="DT129" s="249"/>
      <c r="DU129" s="249"/>
      <c r="DV129" s="249"/>
      <c r="DW129" s="249"/>
      <c r="DX129" s="249"/>
      <c r="DY129" s="249"/>
      <c r="DZ129" s="249"/>
      <c r="EA129" s="249"/>
      <c r="EB129" s="249"/>
      <c r="EC129" s="249"/>
      <c r="ED129" s="249"/>
    </row>
    <row r="130" spans="3:134" s="167" customFormat="1">
      <c r="C130" s="37"/>
      <c r="D130" s="249"/>
      <c r="E130" s="1550"/>
      <c r="F130" s="1550"/>
      <c r="G130" s="1550"/>
      <c r="H130" s="1550"/>
      <c r="I130" s="1550"/>
      <c r="J130" s="1550"/>
      <c r="K130" s="1540"/>
      <c r="L130" s="49"/>
      <c r="M130" s="49"/>
      <c r="N130" s="49"/>
      <c r="O130" s="49"/>
      <c r="P130" s="49"/>
      <c r="Q130" s="49"/>
      <c r="R130" s="49"/>
      <c r="S130" s="37"/>
      <c r="T130" s="1510"/>
      <c r="U130" s="50"/>
      <c r="V130" s="50"/>
      <c r="W130" s="50"/>
      <c r="X130" s="50"/>
      <c r="Y130" s="50"/>
      <c r="Z130" s="50"/>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0"/>
      <c r="CV130" s="30"/>
      <c r="CW130" s="30"/>
      <c r="CX130" s="30"/>
      <c r="CY130" s="30"/>
      <c r="CZ130" s="30"/>
      <c r="DA130" s="30"/>
      <c r="DB130" s="30"/>
      <c r="DC130" s="30"/>
      <c r="DD130" s="30"/>
      <c r="DE130" s="30"/>
      <c r="DF130" s="30"/>
      <c r="DG130" s="30"/>
      <c r="DH130" s="30"/>
      <c r="DI130" s="30"/>
      <c r="DJ130" s="30"/>
      <c r="DK130" s="30"/>
      <c r="DL130" s="45"/>
      <c r="DM130" s="45"/>
      <c r="DN130" s="45"/>
      <c r="DO130" s="45"/>
      <c r="DP130" s="45"/>
      <c r="DQ130" s="45"/>
      <c r="DR130" s="45"/>
      <c r="DS130" s="45"/>
      <c r="DT130" s="45"/>
      <c r="DU130" s="45"/>
      <c r="DV130" s="45"/>
      <c r="DW130" s="45"/>
      <c r="DX130" s="45"/>
      <c r="DY130" s="45"/>
      <c r="DZ130" s="45"/>
      <c r="EA130" s="37"/>
      <c r="EB130" s="37"/>
      <c r="EC130" s="37"/>
      <c r="ED130" s="37"/>
    </row>
    <row r="131" spans="3:134" s="167" customFormat="1">
      <c r="C131" s="37"/>
      <c r="D131" s="37"/>
      <c r="E131" s="173"/>
      <c r="F131" s="173"/>
      <c r="G131" s="173"/>
      <c r="H131" s="173"/>
      <c r="I131" s="173"/>
      <c r="J131" s="173"/>
      <c r="K131" s="49"/>
      <c r="L131" s="49"/>
      <c r="M131" s="49"/>
      <c r="N131" s="49"/>
      <c r="O131" s="49"/>
      <c r="P131" s="49"/>
      <c r="Q131" s="49"/>
      <c r="R131" s="49"/>
      <c r="S131" s="37"/>
      <c r="T131" s="1510"/>
      <c r="U131" s="50"/>
      <c r="V131" s="50"/>
      <c r="W131" s="50"/>
      <c r="X131" s="50"/>
      <c r="Y131" s="50"/>
      <c r="Z131" s="50"/>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0"/>
      <c r="CV131" s="30"/>
      <c r="CW131" s="30"/>
      <c r="CX131" s="30"/>
      <c r="CY131" s="30"/>
      <c r="CZ131" s="30"/>
      <c r="DA131" s="30"/>
      <c r="DB131" s="30"/>
      <c r="DC131" s="30"/>
      <c r="DD131" s="30"/>
      <c r="DE131" s="30"/>
      <c r="DF131" s="30"/>
      <c r="DG131" s="30"/>
      <c r="DH131" s="30"/>
      <c r="DI131" s="30"/>
      <c r="DJ131" s="30"/>
      <c r="DK131" s="30"/>
      <c r="DL131" s="45"/>
      <c r="DM131" s="45"/>
      <c r="DN131" s="45"/>
      <c r="DO131" s="45"/>
      <c r="DP131" s="45"/>
      <c r="DQ131" s="45"/>
      <c r="DR131" s="45"/>
      <c r="DS131" s="45"/>
      <c r="DT131" s="45"/>
      <c r="DU131" s="45"/>
      <c r="DV131" s="45"/>
      <c r="DW131" s="45"/>
      <c r="DX131" s="45"/>
      <c r="DY131" s="45"/>
      <c r="DZ131" s="45"/>
      <c r="EA131" s="37"/>
      <c r="EB131" s="37"/>
      <c r="EC131" s="37"/>
      <c r="ED131" s="37"/>
    </row>
    <row r="132" spans="3:134" s="167" customFormat="1">
      <c r="C132" s="37"/>
      <c r="D132" s="37"/>
      <c r="E132" s="173"/>
      <c r="F132" s="173"/>
      <c r="G132" s="173"/>
      <c r="H132" s="173"/>
      <c r="I132" s="173"/>
      <c r="J132" s="173"/>
      <c r="K132" s="49"/>
      <c r="L132" s="49"/>
      <c r="M132" s="49"/>
      <c r="N132" s="49"/>
      <c r="O132" s="49"/>
      <c r="P132" s="49"/>
      <c r="Q132" s="49"/>
      <c r="R132" s="49"/>
      <c r="S132" s="37"/>
      <c r="T132" s="1510"/>
      <c r="U132" s="50"/>
      <c r="V132" s="50"/>
      <c r="W132" s="50"/>
      <c r="X132" s="50"/>
      <c r="Y132" s="50"/>
      <c r="Z132" s="50"/>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0"/>
      <c r="CV132" s="30"/>
      <c r="CW132" s="30"/>
      <c r="CX132" s="30"/>
      <c r="CY132" s="30"/>
      <c r="CZ132" s="30"/>
      <c r="DA132" s="30"/>
      <c r="DB132" s="30"/>
      <c r="DC132" s="30"/>
      <c r="DD132" s="30"/>
      <c r="DE132" s="30"/>
      <c r="DF132" s="30"/>
      <c r="DG132" s="30"/>
      <c r="DH132" s="30"/>
      <c r="DI132" s="30"/>
      <c r="DJ132" s="30"/>
      <c r="DK132" s="30"/>
      <c r="DL132" s="45"/>
      <c r="DM132" s="45"/>
      <c r="DN132" s="45"/>
      <c r="DO132" s="45"/>
      <c r="DP132" s="45"/>
      <c r="DQ132" s="45"/>
      <c r="DR132" s="45"/>
      <c r="DS132" s="45"/>
      <c r="DT132" s="45"/>
      <c r="DU132" s="45"/>
      <c r="DV132" s="45"/>
      <c r="DW132" s="45"/>
      <c r="DX132" s="45"/>
      <c r="DY132" s="45"/>
      <c r="DZ132" s="45"/>
      <c r="EA132" s="37"/>
      <c r="EB132" s="37"/>
      <c r="EC132" s="37"/>
      <c r="ED132" s="37"/>
    </row>
    <row r="133" spans="3:134" s="167" customFormat="1">
      <c r="C133" s="37"/>
      <c r="D133" s="37"/>
      <c r="E133" s="173"/>
      <c r="F133" s="173"/>
      <c r="G133" s="173"/>
      <c r="H133" s="173"/>
      <c r="I133" s="173"/>
      <c r="J133" s="173"/>
      <c r="K133" s="49"/>
      <c r="L133" s="49"/>
      <c r="M133" s="49"/>
      <c r="N133" s="49"/>
      <c r="O133" s="49"/>
      <c r="P133" s="49"/>
      <c r="Q133" s="49"/>
      <c r="R133" s="49"/>
      <c r="S133" s="37"/>
      <c r="T133" s="1510"/>
      <c r="U133" s="50"/>
      <c r="V133" s="50"/>
      <c r="W133" s="50"/>
      <c r="X133" s="50"/>
      <c r="Y133" s="50"/>
      <c r="Z133" s="50"/>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0"/>
      <c r="CV133" s="30"/>
      <c r="CW133" s="30"/>
      <c r="CX133" s="30"/>
      <c r="CY133" s="30"/>
      <c r="CZ133" s="30"/>
      <c r="DA133" s="30"/>
      <c r="DB133" s="30"/>
      <c r="DC133" s="30"/>
      <c r="DD133" s="30"/>
      <c r="DE133" s="30"/>
      <c r="DF133" s="30"/>
      <c r="DG133" s="30"/>
      <c r="DH133" s="30"/>
      <c r="DI133" s="30"/>
      <c r="DJ133" s="30"/>
      <c r="DK133" s="30"/>
      <c r="DL133" s="45"/>
      <c r="DM133" s="45"/>
      <c r="DN133" s="45"/>
      <c r="DO133" s="45"/>
      <c r="DP133" s="45"/>
      <c r="DQ133" s="45"/>
      <c r="DR133" s="45"/>
      <c r="DS133" s="45"/>
      <c r="DT133" s="45"/>
      <c r="DU133" s="45"/>
      <c r="DV133" s="45"/>
      <c r="DW133" s="45"/>
      <c r="DX133" s="45"/>
      <c r="DY133" s="45"/>
      <c r="DZ133" s="45"/>
      <c r="EA133" s="37"/>
      <c r="EB133" s="37"/>
      <c r="EC133" s="37"/>
      <c r="ED133" s="37"/>
    </row>
    <row r="134" spans="3:134" s="167" customFormat="1">
      <c r="C134" s="37"/>
      <c r="D134" s="37"/>
      <c r="E134" s="173"/>
      <c r="F134" s="173"/>
      <c r="G134" s="173"/>
      <c r="H134" s="173"/>
      <c r="I134" s="173"/>
      <c r="J134" s="173"/>
      <c r="K134" s="49"/>
      <c r="L134" s="49"/>
      <c r="M134" s="49"/>
      <c r="N134" s="49"/>
      <c r="O134" s="49"/>
      <c r="P134" s="49"/>
      <c r="Q134" s="49"/>
      <c r="R134" s="49"/>
      <c r="S134" s="37"/>
      <c r="T134" s="1510"/>
      <c r="U134" s="50"/>
      <c r="V134" s="50"/>
      <c r="W134" s="50"/>
      <c r="X134" s="50"/>
      <c r="Y134" s="50"/>
      <c r="Z134" s="50"/>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0"/>
      <c r="CV134" s="30"/>
      <c r="CW134" s="30"/>
      <c r="CX134" s="30"/>
      <c r="CY134" s="30"/>
      <c r="CZ134" s="30"/>
      <c r="DA134" s="30"/>
      <c r="DB134" s="30"/>
      <c r="DC134" s="30"/>
      <c r="DD134" s="30"/>
      <c r="DE134" s="30"/>
      <c r="DF134" s="30"/>
      <c r="DG134" s="30"/>
      <c r="DH134" s="30"/>
      <c r="DI134" s="30"/>
      <c r="DJ134" s="30"/>
      <c r="DK134" s="30"/>
      <c r="DL134" s="45"/>
      <c r="DM134" s="45"/>
      <c r="DN134" s="45"/>
      <c r="DO134" s="45"/>
      <c r="DP134" s="45"/>
      <c r="DQ134" s="45"/>
      <c r="DR134" s="45"/>
      <c r="DS134" s="45"/>
      <c r="DT134" s="45"/>
      <c r="DU134" s="45"/>
      <c r="DV134" s="45"/>
      <c r="DW134" s="45"/>
      <c r="DX134" s="45"/>
      <c r="DY134" s="45"/>
      <c r="DZ134" s="45"/>
      <c r="EA134" s="37"/>
      <c r="EB134" s="37"/>
      <c r="EC134" s="37"/>
      <c r="ED134" s="37"/>
    </row>
    <row r="135" spans="3:134" s="167" customFormat="1">
      <c r="C135" s="37"/>
      <c r="D135" s="37"/>
      <c r="E135" s="173"/>
      <c r="F135" s="173"/>
      <c r="G135" s="173"/>
      <c r="H135" s="173"/>
      <c r="I135" s="173"/>
      <c r="J135" s="173"/>
      <c r="K135" s="49"/>
      <c r="L135" s="49"/>
      <c r="M135" s="49"/>
      <c r="N135" s="49"/>
      <c r="O135" s="49"/>
      <c r="P135" s="49"/>
      <c r="Q135" s="49"/>
      <c r="R135" s="49"/>
      <c r="S135" s="37"/>
      <c r="T135" s="1510"/>
      <c r="U135" s="50"/>
      <c r="V135" s="50"/>
      <c r="W135" s="50"/>
      <c r="X135" s="50"/>
      <c r="Y135" s="50"/>
      <c r="Z135" s="50"/>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0"/>
      <c r="CV135" s="30"/>
      <c r="CW135" s="30"/>
      <c r="CX135" s="30"/>
      <c r="CY135" s="30"/>
      <c r="CZ135" s="30"/>
      <c r="DA135" s="30"/>
      <c r="DB135" s="30"/>
      <c r="DC135" s="30"/>
      <c r="DD135" s="30"/>
      <c r="DE135" s="30"/>
      <c r="DF135" s="30"/>
      <c r="DG135" s="30"/>
      <c r="DH135" s="30"/>
      <c r="DI135" s="30"/>
      <c r="DJ135" s="30"/>
      <c r="DK135" s="30"/>
      <c r="DL135" s="45"/>
      <c r="DM135" s="45"/>
      <c r="DN135" s="45"/>
      <c r="DO135" s="45"/>
      <c r="DP135" s="45"/>
      <c r="DQ135" s="45"/>
      <c r="DR135" s="45"/>
      <c r="DS135" s="45"/>
      <c r="DT135" s="45"/>
      <c r="DU135" s="45"/>
      <c r="DV135" s="45"/>
      <c r="DW135" s="45"/>
      <c r="DX135" s="45"/>
      <c r="DY135" s="45"/>
      <c r="DZ135" s="45"/>
      <c r="EA135" s="37"/>
      <c r="EB135" s="37"/>
      <c r="EC135" s="37"/>
      <c r="ED135" s="37"/>
    </row>
    <row r="136" spans="3:134" s="167" customFormat="1">
      <c r="C136" s="37"/>
      <c r="D136" s="37"/>
      <c r="E136" s="173"/>
      <c r="F136" s="173"/>
      <c r="G136" s="173"/>
      <c r="H136" s="173"/>
      <c r="I136" s="173"/>
      <c r="J136" s="173"/>
      <c r="K136" s="49"/>
      <c r="L136" s="49"/>
      <c r="M136" s="49"/>
      <c r="N136" s="49"/>
      <c r="O136" s="49"/>
      <c r="P136" s="49"/>
      <c r="Q136" s="49"/>
      <c r="R136" s="49"/>
      <c r="S136" s="37"/>
      <c r="T136" s="1510"/>
      <c r="U136" s="50"/>
      <c r="V136" s="50"/>
      <c r="W136" s="50"/>
      <c r="X136" s="50"/>
      <c r="Y136" s="50"/>
      <c r="Z136" s="50"/>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0"/>
      <c r="CV136" s="30"/>
      <c r="CW136" s="30"/>
      <c r="CX136" s="30"/>
      <c r="CY136" s="30"/>
      <c r="CZ136" s="30"/>
      <c r="DA136" s="30"/>
      <c r="DB136" s="30"/>
      <c r="DC136" s="30"/>
      <c r="DD136" s="30"/>
      <c r="DE136" s="30"/>
      <c r="DF136" s="30"/>
      <c r="DG136" s="30"/>
      <c r="DH136" s="30"/>
      <c r="DI136" s="30"/>
      <c r="DJ136" s="30"/>
      <c r="DK136" s="30"/>
      <c r="DL136" s="45"/>
      <c r="DM136" s="45"/>
      <c r="DN136" s="45"/>
      <c r="DO136" s="45"/>
      <c r="DP136" s="45"/>
      <c r="DQ136" s="45"/>
      <c r="DR136" s="45"/>
      <c r="DS136" s="45"/>
      <c r="DT136" s="45"/>
      <c r="DU136" s="45"/>
      <c r="DV136" s="45"/>
      <c r="DW136" s="45"/>
      <c r="DX136" s="45"/>
      <c r="DY136" s="45"/>
      <c r="DZ136" s="45"/>
      <c r="EA136" s="37"/>
      <c r="EB136" s="37"/>
      <c r="EC136" s="37"/>
      <c r="ED136" s="37"/>
    </row>
    <row r="137" spans="3:134" s="167" customFormat="1">
      <c r="C137" s="37"/>
      <c r="D137" s="37"/>
      <c r="E137" s="173"/>
      <c r="F137" s="173"/>
      <c r="G137" s="173"/>
      <c r="H137" s="173"/>
      <c r="I137" s="173"/>
      <c r="J137" s="173"/>
      <c r="K137" s="49"/>
      <c r="L137" s="49"/>
      <c r="M137" s="49"/>
      <c r="N137" s="49"/>
      <c r="O137" s="49"/>
      <c r="P137" s="49"/>
      <c r="Q137" s="49"/>
      <c r="R137" s="49"/>
      <c r="S137" s="37"/>
      <c r="T137" s="1510"/>
      <c r="U137" s="50"/>
      <c r="V137" s="50"/>
      <c r="W137" s="50"/>
      <c r="X137" s="50"/>
      <c r="Y137" s="50"/>
      <c r="Z137" s="50"/>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0"/>
      <c r="CV137" s="30"/>
      <c r="CW137" s="30"/>
      <c r="CX137" s="30"/>
      <c r="CY137" s="30"/>
      <c r="CZ137" s="30"/>
      <c r="DA137" s="30"/>
      <c r="DB137" s="30"/>
      <c r="DC137" s="30"/>
      <c r="DD137" s="30"/>
      <c r="DE137" s="30"/>
      <c r="DF137" s="30"/>
      <c r="DG137" s="30"/>
      <c r="DH137" s="30"/>
      <c r="DI137" s="30"/>
      <c r="DJ137" s="30"/>
      <c r="DK137" s="30"/>
      <c r="DL137" s="45"/>
      <c r="DM137" s="45"/>
      <c r="DN137" s="45"/>
      <c r="DO137" s="45"/>
      <c r="DP137" s="45"/>
      <c r="DQ137" s="45"/>
      <c r="DR137" s="45"/>
      <c r="DS137" s="45"/>
      <c r="DT137" s="45"/>
      <c r="DU137" s="45"/>
      <c r="DV137" s="45"/>
      <c r="DW137" s="45"/>
      <c r="DX137" s="45"/>
      <c r="DY137" s="45"/>
      <c r="DZ137" s="45"/>
      <c r="EA137" s="37"/>
      <c r="EB137" s="37"/>
      <c r="EC137" s="37"/>
      <c r="ED137" s="37"/>
    </row>
    <row r="138" spans="3:134" s="167" customFormat="1">
      <c r="C138" s="37"/>
      <c r="D138" s="37"/>
      <c r="E138" s="173"/>
      <c r="F138" s="173"/>
      <c r="G138" s="173"/>
      <c r="H138" s="173"/>
      <c r="I138" s="173"/>
      <c r="J138" s="173"/>
      <c r="K138" s="49"/>
      <c r="L138" s="49"/>
      <c r="M138" s="49"/>
      <c r="N138" s="49"/>
      <c r="O138" s="49"/>
      <c r="P138" s="49"/>
      <c r="Q138" s="49"/>
      <c r="R138" s="49"/>
      <c r="S138" s="37"/>
      <c r="T138" s="1510"/>
      <c r="U138" s="50"/>
      <c r="V138" s="50"/>
      <c r="W138" s="50"/>
      <c r="X138" s="50"/>
      <c r="Y138" s="50"/>
      <c r="Z138" s="50"/>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0"/>
      <c r="CV138" s="30"/>
      <c r="CW138" s="30"/>
      <c r="CX138" s="30"/>
      <c r="CY138" s="30"/>
      <c r="CZ138" s="30"/>
      <c r="DA138" s="30"/>
      <c r="DB138" s="30"/>
      <c r="DC138" s="30"/>
      <c r="DD138" s="30"/>
      <c r="DE138" s="30"/>
      <c r="DF138" s="30"/>
      <c r="DG138" s="30"/>
      <c r="DH138" s="30"/>
      <c r="DI138" s="30"/>
      <c r="DJ138" s="30"/>
      <c r="DK138" s="30"/>
      <c r="DL138" s="45"/>
      <c r="DM138" s="45"/>
      <c r="DN138" s="45"/>
      <c r="DO138" s="45"/>
      <c r="DP138" s="45"/>
      <c r="DQ138" s="45"/>
      <c r="DR138" s="45"/>
      <c r="DS138" s="45"/>
      <c r="DT138" s="45"/>
      <c r="DU138" s="45"/>
      <c r="DV138" s="45"/>
      <c r="DW138" s="45"/>
      <c r="DX138" s="45"/>
      <c r="DY138" s="45"/>
      <c r="DZ138" s="45"/>
      <c r="EA138" s="37"/>
      <c r="EB138" s="37"/>
      <c r="EC138" s="37"/>
      <c r="ED138" s="37"/>
    </row>
    <row r="139" spans="3:134" s="167" customFormat="1">
      <c r="C139" s="37"/>
      <c r="D139" s="37"/>
      <c r="E139" s="173"/>
      <c r="F139" s="173"/>
      <c r="G139" s="173"/>
      <c r="H139" s="173"/>
      <c r="I139" s="173"/>
      <c r="J139" s="173"/>
      <c r="K139" s="49"/>
      <c r="L139" s="49"/>
      <c r="M139" s="49"/>
      <c r="N139" s="49"/>
      <c r="O139" s="49"/>
      <c r="P139" s="49"/>
      <c r="Q139" s="49"/>
      <c r="R139" s="49"/>
      <c r="S139" s="37"/>
      <c r="T139" s="1510"/>
      <c r="U139" s="50"/>
      <c r="V139" s="50"/>
      <c r="W139" s="50"/>
      <c r="X139" s="50"/>
      <c r="Y139" s="50"/>
      <c r="Z139" s="50"/>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0"/>
      <c r="CV139" s="30"/>
      <c r="CW139" s="30"/>
      <c r="CX139" s="30"/>
      <c r="CY139" s="30"/>
      <c r="CZ139" s="30"/>
      <c r="DA139" s="30"/>
      <c r="DB139" s="30"/>
      <c r="DC139" s="30"/>
      <c r="DD139" s="30"/>
      <c r="DE139" s="30"/>
      <c r="DF139" s="30"/>
      <c r="DG139" s="30"/>
      <c r="DH139" s="30"/>
      <c r="DI139" s="30"/>
      <c r="DJ139" s="30"/>
      <c r="DK139" s="30"/>
      <c r="DL139" s="45"/>
      <c r="DM139" s="45"/>
      <c r="DN139" s="45"/>
      <c r="DO139" s="45"/>
      <c r="DP139" s="45"/>
      <c r="DQ139" s="45"/>
      <c r="DR139" s="45"/>
      <c r="DS139" s="45"/>
      <c r="DT139" s="45"/>
      <c r="DU139" s="45"/>
      <c r="DV139" s="45"/>
      <c r="DW139" s="45"/>
      <c r="DX139" s="45"/>
      <c r="DY139" s="45"/>
      <c r="DZ139" s="45"/>
      <c r="EA139" s="37"/>
      <c r="EB139" s="37"/>
      <c r="EC139" s="37"/>
      <c r="ED139" s="37"/>
    </row>
    <row r="140" spans="3:134" s="167" customFormat="1">
      <c r="C140" s="37"/>
      <c r="D140" s="37"/>
      <c r="E140" s="173"/>
      <c r="F140" s="173"/>
      <c r="G140" s="173"/>
      <c r="H140" s="173"/>
      <c r="I140" s="173"/>
      <c r="J140" s="173"/>
      <c r="K140" s="49"/>
      <c r="L140" s="49"/>
      <c r="M140" s="49"/>
      <c r="N140" s="49"/>
      <c r="O140" s="49"/>
      <c r="P140" s="49"/>
      <c r="Q140" s="49"/>
      <c r="R140" s="49"/>
      <c r="S140" s="37"/>
      <c r="T140" s="1510"/>
      <c r="U140" s="50"/>
      <c r="V140" s="50"/>
      <c r="W140" s="50"/>
      <c r="X140" s="50"/>
      <c r="Y140" s="50"/>
      <c r="Z140" s="50"/>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0"/>
      <c r="CV140" s="30"/>
      <c r="CW140" s="30"/>
      <c r="CX140" s="30"/>
      <c r="CY140" s="30"/>
      <c r="CZ140" s="30"/>
      <c r="DA140" s="30"/>
      <c r="DB140" s="30"/>
      <c r="DC140" s="30"/>
      <c r="DD140" s="30"/>
      <c r="DE140" s="30"/>
      <c r="DF140" s="30"/>
      <c r="DG140" s="30"/>
      <c r="DH140" s="30"/>
      <c r="DI140" s="30"/>
      <c r="DJ140" s="30"/>
      <c r="DK140" s="30"/>
      <c r="DL140" s="45"/>
      <c r="DM140" s="45"/>
      <c r="DN140" s="45"/>
      <c r="DO140" s="45"/>
      <c r="DP140" s="45"/>
      <c r="DQ140" s="45"/>
      <c r="DR140" s="45"/>
      <c r="DS140" s="45"/>
      <c r="DT140" s="45"/>
      <c r="DU140" s="45"/>
      <c r="DV140" s="45"/>
      <c r="DW140" s="45"/>
      <c r="DX140" s="45"/>
      <c r="DY140" s="45"/>
      <c r="DZ140" s="45"/>
      <c r="EA140" s="37"/>
      <c r="EB140" s="37"/>
      <c r="EC140" s="37"/>
      <c r="ED140" s="37"/>
    </row>
    <row r="141" spans="3:134" s="167" customFormat="1">
      <c r="C141" s="37"/>
      <c r="D141" s="37"/>
      <c r="E141" s="173"/>
      <c r="F141" s="173"/>
      <c r="G141" s="173"/>
      <c r="H141" s="173"/>
      <c r="I141" s="173"/>
      <c r="J141" s="173"/>
      <c r="K141" s="49"/>
      <c r="L141" s="49"/>
      <c r="M141" s="49"/>
      <c r="N141" s="49"/>
      <c r="O141" s="49"/>
      <c r="P141" s="49"/>
      <c r="Q141" s="49"/>
      <c r="R141" s="49"/>
      <c r="S141" s="37"/>
      <c r="T141" s="1510"/>
      <c r="U141" s="50"/>
      <c r="V141" s="50"/>
      <c r="W141" s="50"/>
      <c r="X141" s="50"/>
      <c r="Y141" s="50"/>
      <c r="Z141" s="50"/>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0"/>
      <c r="CV141" s="30"/>
      <c r="CW141" s="30"/>
      <c r="CX141" s="30"/>
      <c r="CY141" s="30"/>
      <c r="CZ141" s="30"/>
      <c r="DA141" s="30"/>
      <c r="DB141" s="30"/>
      <c r="DC141" s="30"/>
      <c r="DD141" s="30"/>
      <c r="DE141" s="30"/>
      <c r="DF141" s="30"/>
      <c r="DG141" s="30"/>
      <c r="DH141" s="30"/>
      <c r="DI141" s="30"/>
      <c r="DJ141" s="30"/>
      <c r="DK141" s="30"/>
      <c r="DL141" s="45"/>
      <c r="DM141" s="45"/>
      <c r="DN141" s="45"/>
      <c r="DO141" s="45"/>
      <c r="DP141" s="45"/>
      <c r="DQ141" s="45"/>
      <c r="DR141" s="45"/>
      <c r="DS141" s="45"/>
      <c r="DT141" s="45"/>
      <c r="DU141" s="45"/>
      <c r="DV141" s="45"/>
      <c r="DW141" s="45"/>
      <c r="DX141" s="45"/>
      <c r="DY141" s="45"/>
      <c r="DZ141" s="45"/>
      <c r="EA141" s="37"/>
      <c r="EB141" s="37"/>
      <c r="EC141" s="37"/>
      <c r="ED141" s="37"/>
    </row>
    <row r="142" spans="3:134" s="167" customFormat="1">
      <c r="C142" s="37"/>
      <c r="D142" s="37"/>
      <c r="E142" s="173"/>
      <c r="F142" s="173"/>
      <c r="G142" s="173"/>
      <c r="H142" s="173"/>
      <c r="I142" s="173"/>
      <c r="J142" s="173"/>
      <c r="K142" s="49"/>
      <c r="L142" s="49"/>
      <c r="M142" s="49"/>
      <c r="N142" s="49"/>
      <c r="O142" s="49"/>
      <c r="P142" s="49"/>
      <c r="Q142" s="49"/>
      <c r="R142" s="49"/>
      <c r="S142" s="37"/>
      <c r="T142" s="1510"/>
      <c r="U142" s="50"/>
      <c r="V142" s="50"/>
      <c r="W142" s="50"/>
      <c r="X142" s="50"/>
      <c r="Y142" s="50"/>
      <c r="Z142" s="50"/>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0"/>
      <c r="CV142" s="30"/>
      <c r="CW142" s="30"/>
      <c r="CX142" s="30"/>
      <c r="CY142" s="30"/>
      <c r="CZ142" s="30"/>
      <c r="DA142" s="30"/>
      <c r="DB142" s="30"/>
      <c r="DC142" s="30"/>
      <c r="DD142" s="30"/>
      <c r="DE142" s="30"/>
      <c r="DF142" s="30"/>
      <c r="DG142" s="30"/>
      <c r="DH142" s="30"/>
      <c r="DI142" s="30"/>
      <c r="DJ142" s="30"/>
      <c r="DK142" s="30"/>
      <c r="DL142" s="45"/>
      <c r="DM142" s="45"/>
      <c r="DN142" s="45"/>
      <c r="DO142" s="45"/>
      <c r="DP142" s="45"/>
      <c r="DQ142" s="45"/>
      <c r="DR142" s="45"/>
      <c r="DS142" s="45"/>
      <c r="DT142" s="45"/>
      <c r="DU142" s="45"/>
      <c r="DV142" s="45"/>
      <c r="DW142" s="45"/>
      <c r="DX142" s="45"/>
      <c r="DY142" s="45"/>
      <c r="DZ142" s="45"/>
      <c r="EA142" s="37"/>
      <c r="EB142" s="37"/>
      <c r="EC142" s="37"/>
      <c r="ED142" s="37"/>
    </row>
    <row r="143" spans="3:134" s="167" customFormat="1">
      <c r="C143" s="37"/>
      <c r="D143" s="37"/>
      <c r="E143" s="173"/>
      <c r="F143" s="173"/>
      <c r="G143" s="173"/>
      <c r="H143" s="173"/>
      <c r="I143" s="173"/>
      <c r="J143" s="173"/>
      <c r="K143" s="49"/>
      <c r="L143" s="49"/>
      <c r="M143" s="49"/>
      <c r="N143" s="49"/>
      <c r="O143" s="49"/>
      <c r="P143" s="49"/>
      <c r="Q143" s="49"/>
      <c r="R143" s="49"/>
      <c r="S143" s="37"/>
      <c r="T143" s="1510"/>
      <c r="U143" s="50"/>
      <c r="V143" s="50"/>
      <c r="W143" s="50"/>
      <c r="X143" s="50"/>
      <c r="Y143" s="50"/>
      <c r="Z143" s="50"/>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0"/>
      <c r="CV143" s="30"/>
      <c r="CW143" s="30"/>
      <c r="CX143" s="30"/>
      <c r="CY143" s="30"/>
      <c r="CZ143" s="30"/>
      <c r="DA143" s="30"/>
      <c r="DB143" s="30"/>
      <c r="DC143" s="30"/>
      <c r="DD143" s="30"/>
      <c r="DE143" s="30"/>
      <c r="DF143" s="30"/>
      <c r="DG143" s="30"/>
      <c r="DH143" s="30"/>
      <c r="DI143" s="30"/>
      <c r="DJ143" s="30"/>
      <c r="DK143" s="30"/>
      <c r="DL143" s="45"/>
      <c r="DM143" s="45"/>
      <c r="DN143" s="45"/>
      <c r="DO143" s="45"/>
      <c r="DP143" s="45"/>
      <c r="DQ143" s="45"/>
      <c r="DR143" s="45"/>
      <c r="DS143" s="45"/>
      <c r="DT143" s="45"/>
      <c r="DU143" s="45"/>
      <c r="DV143" s="45"/>
      <c r="DW143" s="45"/>
      <c r="DX143" s="45"/>
      <c r="DY143" s="45"/>
      <c r="DZ143" s="45"/>
      <c r="EA143" s="37"/>
      <c r="EB143" s="37"/>
      <c r="EC143" s="37"/>
      <c r="ED143" s="37"/>
    </row>
    <row r="144" spans="3:134" s="167" customFormat="1">
      <c r="C144" s="37"/>
      <c r="D144" s="37"/>
      <c r="E144" s="173"/>
      <c r="F144" s="173"/>
      <c r="G144" s="173"/>
      <c r="H144" s="173"/>
      <c r="I144" s="173"/>
      <c r="J144" s="173"/>
      <c r="K144" s="49"/>
      <c r="L144" s="49"/>
      <c r="M144" s="49"/>
      <c r="N144" s="49"/>
      <c r="O144" s="49"/>
      <c r="P144" s="49"/>
      <c r="Q144" s="49"/>
      <c r="R144" s="49"/>
      <c r="S144" s="37"/>
      <c r="T144" s="1510"/>
      <c r="U144" s="50"/>
      <c r="V144" s="50"/>
      <c r="W144" s="50"/>
      <c r="X144" s="50"/>
      <c r="Y144" s="50"/>
      <c r="Z144" s="50"/>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0"/>
      <c r="CV144" s="30"/>
      <c r="CW144" s="30"/>
      <c r="CX144" s="30"/>
      <c r="CY144" s="30"/>
      <c r="CZ144" s="30"/>
      <c r="DA144" s="30"/>
      <c r="DB144" s="30"/>
      <c r="DC144" s="30"/>
      <c r="DD144" s="30"/>
      <c r="DE144" s="30"/>
      <c r="DF144" s="30"/>
      <c r="DG144" s="30"/>
      <c r="DH144" s="30"/>
      <c r="DI144" s="30"/>
      <c r="DJ144" s="30"/>
      <c r="DK144" s="30"/>
      <c r="DL144" s="45"/>
      <c r="DM144" s="45"/>
      <c r="DN144" s="45"/>
      <c r="DO144" s="45"/>
      <c r="DP144" s="45"/>
      <c r="DQ144" s="45"/>
      <c r="DR144" s="45"/>
      <c r="DS144" s="45"/>
      <c r="DT144" s="45"/>
      <c r="DU144" s="45"/>
      <c r="DV144" s="45"/>
      <c r="DW144" s="45"/>
      <c r="DX144" s="45"/>
      <c r="DY144" s="45"/>
      <c r="DZ144" s="45"/>
      <c r="EA144" s="37"/>
      <c r="EB144" s="37"/>
      <c r="EC144" s="37"/>
      <c r="ED144" s="37"/>
    </row>
    <row r="145" spans="3:134" s="167" customFormat="1">
      <c r="C145" s="37"/>
      <c r="D145" s="37"/>
      <c r="E145" s="173"/>
      <c r="F145" s="173"/>
      <c r="G145" s="173"/>
      <c r="H145" s="173"/>
      <c r="I145" s="173"/>
      <c r="J145" s="173"/>
      <c r="K145" s="49"/>
      <c r="L145" s="49"/>
      <c r="M145" s="49"/>
      <c r="N145" s="49"/>
      <c r="O145" s="49"/>
      <c r="P145" s="49"/>
      <c r="Q145" s="49"/>
      <c r="R145" s="49"/>
      <c r="S145" s="37"/>
      <c r="T145" s="1510"/>
      <c r="U145" s="50"/>
      <c r="V145" s="50"/>
      <c r="W145" s="50"/>
      <c r="X145" s="50"/>
      <c r="Y145" s="50"/>
      <c r="Z145" s="50"/>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0"/>
      <c r="CV145" s="30"/>
      <c r="CW145" s="30"/>
      <c r="CX145" s="30"/>
      <c r="CY145" s="30"/>
      <c r="CZ145" s="30"/>
      <c r="DA145" s="30"/>
      <c r="DB145" s="30"/>
      <c r="DC145" s="30"/>
      <c r="DD145" s="30"/>
      <c r="DE145" s="30"/>
      <c r="DF145" s="30"/>
      <c r="DG145" s="30"/>
      <c r="DH145" s="30"/>
      <c r="DI145" s="30"/>
      <c r="DJ145" s="30"/>
      <c r="DK145" s="30"/>
      <c r="DL145" s="45"/>
      <c r="DM145" s="45"/>
      <c r="DN145" s="45"/>
      <c r="DO145" s="45"/>
      <c r="DP145" s="45"/>
      <c r="DQ145" s="45"/>
      <c r="DR145" s="45"/>
      <c r="DS145" s="45"/>
      <c r="DT145" s="45"/>
      <c r="DU145" s="45"/>
      <c r="DV145" s="45"/>
      <c r="DW145" s="45"/>
      <c r="DX145" s="45"/>
      <c r="DY145" s="45"/>
      <c r="DZ145" s="45"/>
      <c r="EA145" s="37"/>
      <c r="EB145" s="37"/>
      <c r="EC145" s="37"/>
      <c r="ED145" s="37"/>
    </row>
    <row r="146" spans="3:134" s="167" customFormat="1">
      <c r="C146" s="37"/>
      <c r="D146" s="37"/>
      <c r="E146" s="173"/>
      <c r="F146" s="173"/>
      <c r="G146" s="173"/>
      <c r="H146" s="173"/>
      <c r="I146" s="173"/>
      <c r="J146" s="173"/>
      <c r="K146" s="49"/>
      <c r="L146" s="49"/>
      <c r="M146" s="49"/>
      <c r="N146" s="49"/>
      <c r="O146" s="49"/>
      <c r="P146" s="49"/>
      <c r="Q146" s="49"/>
      <c r="R146" s="49"/>
      <c r="S146" s="37"/>
      <c r="T146" s="1510"/>
      <c r="U146" s="50"/>
      <c r="V146" s="50"/>
      <c r="W146" s="50"/>
      <c r="X146" s="50"/>
      <c r="Y146" s="50"/>
      <c r="Z146" s="50"/>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0"/>
      <c r="CV146" s="30"/>
      <c r="CW146" s="30"/>
      <c r="CX146" s="30"/>
      <c r="CY146" s="30"/>
      <c r="CZ146" s="30"/>
      <c r="DA146" s="30"/>
      <c r="DB146" s="30"/>
      <c r="DC146" s="30"/>
      <c r="DD146" s="30"/>
      <c r="DE146" s="30"/>
      <c r="DF146" s="30"/>
      <c r="DG146" s="30"/>
      <c r="DH146" s="30"/>
      <c r="DI146" s="30"/>
      <c r="DJ146" s="30"/>
      <c r="DK146" s="30"/>
      <c r="DL146" s="45"/>
      <c r="DM146" s="45"/>
      <c r="DN146" s="45"/>
      <c r="DO146" s="45"/>
      <c r="DP146" s="45"/>
      <c r="DQ146" s="45"/>
      <c r="DR146" s="45"/>
      <c r="DS146" s="45"/>
      <c r="DT146" s="45"/>
      <c r="DU146" s="45"/>
      <c r="DV146" s="45"/>
      <c r="DW146" s="45"/>
      <c r="DX146" s="45"/>
      <c r="DY146" s="45"/>
      <c r="DZ146" s="45"/>
      <c r="EA146" s="37"/>
      <c r="EB146" s="37"/>
      <c r="EC146" s="37"/>
      <c r="ED146" s="37"/>
    </row>
    <row r="147" spans="3:134" s="1302" customFormat="1">
      <c r="C147" s="168"/>
      <c r="D147" s="168"/>
      <c r="E147" s="1300"/>
      <c r="F147" s="1300"/>
      <c r="G147" s="1300"/>
      <c r="H147" s="1300"/>
      <c r="I147" s="1300"/>
      <c r="J147" s="1300"/>
      <c r="K147" s="1301"/>
      <c r="L147" s="1301"/>
      <c r="M147" s="1301"/>
      <c r="N147" s="1301"/>
      <c r="O147" s="1301"/>
      <c r="P147" s="1301"/>
      <c r="Q147" s="1301"/>
      <c r="R147" s="1301"/>
      <c r="S147" s="168"/>
      <c r="T147" s="1510"/>
      <c r="U147" s="1510"/>
      <c r="V147" s="1510"/>
      <c r="W147" s="1510"/>
      <c r="X147" s="1510"/>
      <c r="Y147" s="1510"/>
      <c r="Z147" s="1510"/>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8"/>
      <c r="AX147" s="168"/>
      <c r="AY147" s="168"/>
      <c r="AZ147" s="168"/>
      <c r="BA147" s="168"/>
      <c r="BB147" s="168"/>
      <c r="BC147" s="168"/>
      <c r="BD147" s="168"/>
      <c r="BE147" s="168"/>
      <c r="BF147" s="168"/>
      <c r="BG147" s="168"/>
      <c r="BH147" s="168"/>
      <c r="BI147" s="168"/>
      <c r="BJ147" s="168"/>
      <c r="BK147" s="168"/>
      <c r="BL147" s="168"/>
      <c r="BM147" s="168"/>
      <c r="BN147" s="168"/>
      <c r="BO147" s="168"/>
      <c r="BP147" s="168"/>
      <c r="BQ147" s="168"/>
      <c r="BR147" s="168"/>
      <c r="BS147" s="168"/>
      <c r="BT147" s="168"/>
      <c r="BU147" s="168"/>
      <c r="BV147" s="168"/>
      <c r="BW147" s="168"/>
      <c r="BX147" s="168"/>
      <c r="BY147" s="168"/>
      <c r="BZ147" s="168"/>
      <c r="CA147" s="168"/>
      <c r="CB147" s="168"/>
      <c r="CC147" s="168"/>
      <c r="CD147" s="168"/>
      <c r="CE147" s="168"/>
      <c r="CF147" s="168"/>
      <c r="CG147" s="168"/>
      <c r="CH147" s="168"/>
      <c r="CI147" s="168"/>
      <c r="CJ147" s="168"/>
      <c r="CK147" s="168"/>
      <c r="CL147" s="168"/>
      <c r="CM147" s="168"/>
      <c r="CN147" s="168"/>
      <c r="CO147" s="168"/>
      <c r="CP147" s="168"/>
      <c r="CQ147" s="168"/>
      <c r="CR147" s="168"/>
      <c r="CS147" s="168"/>
      <c r="CT147" s="168"/>
      <c r="CU147" s="116"/>
      <c r="CV147" s="116"/>
      <c r="CW147" s="116"/>
      <c r="CX147" s="116"/>
      <c r="CY147" s="116"/>
      <c r="CZ147" s="116"/>
      <c r="DA147" s="116"/>
      <c r="DB147" s="116"/>
      <c r="DC147" s="116"/>
      <c r="DD147" s="116"/>
      <c r="DE147" s="116"/>
      <c r="DF147" s="116"/>
      <c r="DG147" s="116"/>
      <c r="DH147" s="116"/>
      <c r="DI147" s="116"/>
      <c r="DJ147" s="116"/>
      <c r="DK147" s="116"/>
      <c r="DL147" s="168"/>
      <c r="DM147" s="168"/>
      <c r="DN147" s="168"/>
      <c r="DO147" s="168"/>
      <c r="DP147" s="168"/>
      <c r="DQ147" s="168"/>
      <c r="DR147" s="168"/>
      <c r="DS147" s="168"/>
      <c r="DT147" s="168"/>
      <c r="DU147" s="168"/>
      <c r="DV147" s="168"/>
      <c r="DW147" s="168"/>
      <c r="DX147" s="168"/>
      <c r="DY147" s="168"/>
      <c r="DZ147" s="168"/>
      <c r="EA147" s="168"/>
      <c r="EB147" s="168"/>
      <c r="EC147" s="168"/>
      <c r="ED147" s="168"/>
    </row>
    <row r="148" spans="3:134" s="1302" customFormat="1">
      <c r="C148" s="168"/>
      <c r="D148" s="168"/>
      <c r="E148" s="1300"/>
      <c r="F148" s="1300"/>
      <c r="G148" s="1300"/>
      <c r="H148" s="1300"/>
      <c r="I148" s="1300"/>
      <c r="J148" s="1300"/>
      <c r="K148" s="1301"/>
      <c r="L148" s="1301"/>
      <c r="M148" s="1301"/>
      <c r="N148" s="1301"/>
      <c r="O148" s="1301"/>
      <c r="P148" s="1301"/>
      <c r="Q148" s="1301"/>
      <c r="R148" s="1301"/>
      <c r="S148" s="168"/>
      <c r="T148" s="1510"/>
      <c r="U148" s="1510"/>
      <c r="V148" s="1510"/>
      <c r="W148" s="1510"/>
      <c r="X148" s="1510"/>
      <c r="Y148" s="1510"/>
      <c r="Z148" s="1510"/>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8"/>
      <c r="AX148" s="168"/>
      <c r="AY148" s="168"/>
      <c r="AZ148" s="168"/>
      <c r="BA148" s="168"/>
      <c r="BB148" s="168"/>
      <c r="BC148" s="168"/>
      <c r="BD148" s="168"/>
      <c r="BE148" s="168"/>
      <c r="BF148" s="168"/>
      <c r="BG148" s="168"/>
      <c r="BH148" s="168"/>
      <c r="BI148" s="168"/>
      <c r="BJ148" s="168"/>
      <c r="BK148" s="168"/>
      <c r="BL148" s="168"/>
      <c r="BM148" s="168"/>
      <c r="BN148" s="168"/>
      <c r="BO148" s="168"/>
      <c r="BP148" s="168"/>
      <c r="BQ148" s="168"/>
      <c r="BR148" s="168"/>
      <c r="BS148" s="168"/>
      <c r="BT148" s="168"/>
      <c r="BU148" s="168"/>
      <c r="BV148" s="168"/>
      <c r="BW148" s="168"/>
      <c r="BX148" s="168"/>
      <c r="BY148" s="168"/>
      <c r="BZ148" s="168"/>
      <c r="CA148" s="168"/>
      <c r="CB148" s="168"/>
      <c r="CC148" s="168"/>
      <c r="CD148" s="168"/>
      <c r="CE148" s="168"/>
      <c r="CF148" s="168"/>
      <c r="CG148" s="168"/>
      <c r="CH148" s="168"/>
      <c r="CI148" s="168"/>
      <c r="CJ148" s="168"/>
      <c r="CK148" s="168"/>
      <c r="CL148" s="168"/>
      <c r="CM148" s="168"/>
      <c r="CN148" s="168"/>
      <c r="CO148" s="168"/>
      <c r="CP148" s="168"/>
      <c r="CQ148" s="168"/>
      <c r="CR148" s="168"/>
      <c r="CS148" s="168"/>
      <c r="CT148" s="168"/>
      <c r="CU148" s="116"/>
      <c r="CV148" s="116"/>
      <c r="CW148" s="116"/>
      <c r="CX148" s="116"/>
      <c r="CY148" s="116"/>
      <c r="CZ148" s="116"/>
      <c r="DA148" s="116"/>
      <c r="DB148" s="116"/>
      <c r="DC148" s="116"/>
      <c r="DD148" s="116"/>
      <c r="DE148" s="116"/>
      <c r="DF148" s="116"/>
      <c r="DG148" s="116"/>
      <c r="DH148" s="116"/>
      <c r="DI148" s="116"/>
      <c r="DJ148" s="116"/>
      <c r="DK148" s="116"/>
      <c r="DL148" s="168"/>
      <c r="DM148" s="168"/>
      <c r="DN148" s="168"/>
      <c r="DO148" s="168"/>
      <c r="DP148" s="168"/>
      <c r="DQ148" s="168"/>
      <c r="DR148" s="168"/>
      <c r="DS148" s="168"/>
      <c r="DT148" s="168"/>
      <c r="DU148" s="168"/>
      <c r="DV148" s="168"/>
      <c r="DW148" s="168"/>
      <c r="DX148" s="168"/>
      <c r="DY148" s="168"/>
      <c r="DZ148" s="168"/>
      <c r="EA148" s="168"/>
      <c r="EB148" s="168"/>
      <c r="EC148" s="168"/>
      <c r="ED148" s="168"/>
    </row>
    <row r="149" spans="3:134" s="1302" customFormat="1">
      <c r="C149" s="168"/>
      <c r="D149" s="168"/>
      <c r="E149" s="1300"/>
      <c r="F149" s="1300"/>
      <c r="G149" s="1300"/>
      <c r="H149" s="1300"/>
      <c r="I149" s="1300"/>
      <c r="J149" s="1300"/>
      <c r="K149" s="1301"/>
      <c r="L149" s="1301"/>
      <c r="M149" s="1301"/>
      <c r="N149" s="1301"/>
      <c r="O149" s="1301"/>
      <c r="P149" s="1301"/>
      <c r="Q149" s="1301"/>
      <c r="R149" s="1301"/>
      <c r="S149" s="168"/>
      <c r="T149" s="1510"/>
      <c r="U149" s="1510"/>
      <c r="V149" s="1510"/>
      <c r="W149" s="1510"/>
      <c r="X149" s="1510"/>
      <c r="Y149" s="1510"/>
      <c r="Z149" s="1510"/>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c r="AX149" s="168"/>
      <c r="AY149" s="168"/>
      <c r="AZ149" s="168"/>
      <c r="BA149" s="168"/>
      <c r="BB149" s="168"/>
      <c r="BC149" s="168"/>
      <c r="BD149" s="168"/>
      <c r="BE149" s="168"/>
      <c r="BF149" s="168"/>
      <c r="BG149" s="168"/>
      <c r="BH149" s="168"/>
      <c r="BI149" s="168"/>
      <c r="BJ149" s="168"/>
      <c r="BK149" s="168"/>
      <c r="BL149" s="168"/>
      <c r="BM149" s="168"/>
      <c r="BN149" s="168"/>
      <c r="BO149" s="168"/>
      <c r="BP149" s="168"/>
      <c r="BQ149" s="168"/>
      <c r="BR149" s="168"/>
      <c r="BS149" s="168"/>
      <c r="BT149" s="168"/>
      <c r="BU149" s="168"/>
      <c r="BV149" s="168"/>
      <c r="BW149" s="168"/>
      <c r="BX149" s="168"/>
      <c r="BY149" s="168"/>
      <c r="BZ149" s="168"/>
      <c r="CA149" s="168"/>
      <c r="CB149" s="168"/>
      <c r="CC149" s="168"/>
      <c r="CD149" s="168"/>
      <c r="CE149" s="168"/>
      <c r="CF149" s="168"/>
      <c r="CG149" s="168"/>
      <c r="CH149" s="168"/>
      <c r="CI149" s="168"/>
      <c r="CJ149" s="168"/>
      <c r="CK149" s="168"/>
      <c r="CL149" s="168"/>
      <c r="CM149" s="168"/>
      <c r="CN149" s="168"/>
      <c r="CO149" s="168"/>
      <c r="CP149" s="168"/>
      <c r="CQ149" s="168"/>
      <c r="CR149" s="168"/>
      <c r="CS149" s="168"/>
      <c r="CT149" s="168"/>
      <c r="CU149" s="116"/>
      <c r="CV149" s="116"/>
      <c r="CW149" s="116"/>
      <c r="CX149" s="116"/>
      <c r="CY149" s="116"/>
      <c r="CZ149" s="116"/>
      <c r="DA149" s="116"/>
      <c r="DB149" s="116"/>
      <c r="DC149" s="116"/>
      <c r="DD149" s="116"/>
      <c r="DE149" s="116"/>
      <c r="DF149" s="116"/>
      <c r="DG149" s="116"/>
      <c r="DH149" s="116"/>
      <c r="DI149" s="116"/>
      <c r="DJ149" s="116"/>
      <c r="DK149" s="116"/>
      <c r="DL149" s="168"/>
      <c r="DM149" s="168"/>
      <c r="DN149" s="168"/>
      <c r="DO149" s="168"/>
      <c r="DP149" s="168"/>
      <c r="DQ149" s="168"/>
      <c r="DR149" s="168"/>
      <c r="DS149" s="168"/>
      <c r="DT149" s="168"/>
      <c r="DU149" s="168"/>
      <c r="DV149" s="168"/>
      <c r="DW149" s="168"/>
      <c r="DX149" s="168"/>
      <c r="DY149" s="168"/>
      <c r="DZ149" s="168"/>
      <c r="EA149" s="168"/>
      <c r="EB149" s="168"/>
      <c r="EC149" s="168"/>
      <c r="ED149" s="168"/>
    </row>
    <row r="150" spans="3:134" s="1302" customFormat="1">
      <c r="C150" s="168"/>
      <c r="D150" s="168"/>
      <c r="E150" s="1300"/>
      <c r="F150" s="1300"/>
      <c r="G150" s="1300"/>
      <c r="H150" s="1300"/>
      <c r="I150" s="1300"/>
      <c r="J150" s="1300"/>
      <c r="K150" s="1301"/>
      <c r="L150" s="1301"/>
      <c r="M150" s="1301"/>
      <c r="N150" s="1301"/>
      <c r="O150" s="1301"/>
      <c r="P150" s="1301"/>
      <c r="Q150" s="1301"/>
      <c r="R150" s="1301"/>
      <c r="S150" s="168"/>
      <c r="T150" s="1510"/>
      <c r="U150" s="1510"/>
      <c r="V150" s="1510"/>
      <c r="W150" s="1510"/>
      <c r="X150" s="1510"/>
      <c r="Y150" s="1510"/>
      <c r="Z150" s="1510"/>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c r="BC150" s="168"/>
      <c r="BD150" s="168"/>
      <c r="BE150" s="168"/>
      <c r="BF150" s="168"/>
      <c r="BG150" s="168"/>
      <c r="BH150" s="168"/>
      <c r="BI150" s="168"/>
      <c r="BJ150" s="168"/>
      <c r="BK150" s="168"/>
      <c r="BL150" s="168"/>
      <c r="BM150" s="168"/>
      <c r="BN150" s="168"/>
      <c r="BO150" s="168"/>
      <c r="BP150" s="168"/>
      <c r="BQ150" s="168"/>
      <c r="BR150" s="168"/>
      <c r="BS150" s="168"/>
      <c r="BT150" s="168"/>
      <c r="BU150" s="168"/>
      <c r="BV150" s="168"/>
      <c r="BW150" s="168"/>
      <c r="BX150" s="168"/>
      <c r="BY150" s="168"/>
      <c r="BZ150" s="168"/>
      <c r="CA150" s="168"/>
      <c r="CB150" s="168"/>
      <c r="CC150" s="168"/>
      <c r="CD150" s="168"/>
      <c r="CE150" s="168"/>
      <c r="CF150" s="168"/>
      <c r="CG150" s="168"/>
      <c r="CH150" s="168"/>
      <c r="CI150" s="168"/>
      <c r="CJ150" s="168"/>
      <c r="CK150" s="168"/>
      <c r="CL150" s="168"/>
      <c r="CM150" s="168"/>
      <c r="CN150" s="168"/>
      <c r="CO150" s="168"/>
      <c r="CP150" s="168"/>
      <c r="CQ150" s="168"/>
      <c r="CR150" s="168"/>
      <c r="CS150" s="168"/>
      <c r="CT150" s="168"/>
      <c r="CU150" s="116"/>
      <c r="CV150" s="116"/>
      <c r="CW150" s="116"/>
      <c r="CX150" s="116"/>
      <c r="CY150" s="116"/>
      <c r="CZ150" s="116"/>
      <c r="DA150" s="116"/>
      <c r="DB150" s="116"/>
      <c r="DC150" s="116"/>
      <c r="DD150" s="116"/>
      <c r="DE150" s="116"/>
      <c r="DF150" s="116"/>
      <c r="DG150" s="116"/>
      <c r="DH150" s="116"/>
      <c r="DI150" s="116"/>
      <c r="DJ150" s="116"/>
      <c r="DK150" s="116"/>
      <c r="DL150" s="168"/>
      <c r="DM150" s="168"/>
      <c r="DN150" s="168"/>
      <c r="DO150" s="168"/>
      <c r="DP150" s="168"/>
      <c r="DQ150" s="168"/>
      <c r="DR150" s="168"/>
      <c r="DS150" s="168"/>
      <c r="DT150" s="168"/>
      <c r="DU150" s="168"/>
      <c r="DV150" s="168"/>
      <c r="DW150" s="168"/>
      <c r="DX150" s="168"/>
      <c r="DY150" s="168"/>
      <c r="DZ150" s="168"/>
      <c r="EA150" s="168"/>
      <c r="EB150" s="168"/>
      <c r="EC150" s="168"/>
      <c r="ED150" s="168"/>
    </row>
    <row r="151" spans="3:134" s="1302" customFormat="1">
      <c r="C151" s="168"/>
      <c r="D151" s="168"/>
      <c r="E151" s="1300"/>
      <c r="F151" s="1300"/>
      <c r="G151" s="1300"/>
      <c r="H151" s="1300"/>
      <c r="I151" s="1300"/>
      <c r="J151" s="1300"/>
      <c r="K151" s="1301"/>
      <c r="L151" s="1301"/>
      <c r="M151" s="1301"/>
      <c r="N151" s="1301"/>
      <c r="O151" s="1301"/>
      <c r="P151" s="1301"/>
      <c r="Q151" s="1301"/>
      <c r="R151" s="1301"/>
      <c r="S151" s="168"/>
      <c r="T151" s="1510"/>
      <c r="U151" s="1510"/>
      <c r="V151" s="1510"/>
      <c r="W151" s="1510"/>
      <c r="X151" s="1510"/>
      <c r="Y151" s="1510"/>
      <c r="Z151" s="1510"/>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c r="BC151" s="168"/>
      <c r="BD151" s="168"/>
      <c r="BE151" s="168"/>
      <c r="BF151" s="168"/>
      <c r="BG151" s="168"/>
      <c r="BH151" s="168"/>
      <c r="BI151" s="168"/>
      <c r="BJ151" s="168"/>
      <c r="BK151" s="168"/>
      <c r="BL151" s="168"/>
      <c r="BM151" s="168"/>
      <c r="BN151" s="168"/>
      <c r="BO151" s="168"/>
      <c r="BP151" s="168"/>
      <c r="BQ151" s="168"/>
      <c r="BR151" s="168"/>
      <c r="BS151" s="168"/>
      <c r="BT151" s="168"/>
      <c r="BU151" s="168"/>
      <c r="BV151" s="168"/>
      <c r="BW151" s="168"/>
      <c r="BX151" s="168"/>
      <c r="BY151" s="168"/>
      <c r="BZ151" s="168"/>
      <c r="CA151" s="168"/>
      <c r="CB151" s="168"/>
      <c r="CC151" s="168"/>
      <c r="CD151" s="168"/>
      <c r="CE151" s="168"/>
      <c r="CF151" s="168"/>
      <c r="CG151" s="168"/>
      <c r="CH151" s="168"/>
      <c r="CI151" s="168"/>
      <c r="CJ151" s="168"/>
      <c r="CK151" s="168"/>
      <c r="CL151" s="168"/>
      <c r="CM151" s="168"/>
      <c r="CN151" s="168"/>
      <c r="CO151" s="168"/>
      <c r="CP151" s="168"/>
      <c r="CQ151" s="168"/>
      <c r="CR151" s="168"/>
      <c r="CS151" s="168"/>
      <c r="CT151" s="168"/>
      <c r="CU151" s="116"/>
      <c r="CV151" s="116"/>
      <c r="CW151" s="116"/>
      <c r="CX151" s="116"/>
      <c r="CY151" s="116"/>
      <c r="CZ151" s="116"/>
      <c r="DA151" s="116"/>
      <c r="DB151" s="116"/>
      <c r="DC151" s="116"/>
      <c r="DD151" s="116"/>
      <c r="DE151" s="116"/>
      <c r="DF151" s="116"/>
      <c r="DG151" s="116"/>
      <c r="DH151" s="116"/>
      <c r="DI151" s="116"/>
      <c r="DJ151" s="116"/>
      <c r="DK151" s="116"/>
      <c r="DL151" s="168"/>
      <c r="DM151" s="168"/>
      <c r="DN151" s="168"/>
      <c r="DO151" s="168"/>
      <c r="DP151" s="168"/>
      <c r="DQ151" s="168"/>
      <c r="DR151" s="168"/>
      <c r="DS151" s="168"/>
      <c r="DT151" s="168"/>
      <c r="DU151" s="168"/>
      <c r="DV151" s="168"/>
      <c r="DW151" s="168"/>
      <c r="DX151" s="168"/>
      <c r="DY151" s="168"/>
      <c r="DZ151" s="168"/>
      <c r="EA151" s="168"/>
      <c r="EB151" s="168"/>
      <c r="EC151" s="168"/>
      <c r="ED151" s="168"/>
    </row>
    <row r="152" spans="3:134" s="1302" customFormat="1">
      <c r="C152" s="168"/>
      <c r="D152" s="168"/>
      <c r="E152" s="1300"/>
      <c r="F152" s="1300"/>
      <c r="G152" s="1300"/>
      <c r="H152" s="1300"/>
      <c r="I152" s="1300"/>
      <c r="J152" s="1300"/>
      <c r="K152" s="1301"/>
      <c r="L152" s="1301"/>
      <c r="M152" s="1301"/>
      <c r="N152" s="1301"/>
      <c r="O152" s="1301"/>
      <c r="P152" s="1301"/>
      <c r="Q152" s="1301"/>
      <c r="R152" s="1301"/>
      <c r="S152" s="168"/>
      <c r="T152" s="1510"/>
      <c r="U152" s="1510"/>
      <c r="V152" s="1510"/>
      <c r="W152" s="1510"/>
      <c r="X152" s="1510"/>
      <c r="Y152" s="1510"/>
      <c r="Z152" s="1510"/>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c r="BM152" s="168"/>
      <c r="BN152" s="168"/>
      <c r="BO152" s="168"/>
      <c r="BP152" s="168"/>
      <c r="BQ152" s="168"/>
      <c r="BR152" s="168"/>
      <c r="BS152" s="168"/>
      <c r="BT152" s="168"/>
      <c r="BU152" s="168"/>
      <c r="BV152" s="168"/>
      <c r="BW152" s="168"/>
      <c r="BX152" s="168"/>
      <c r="BY152" s="168"/>
      <c r="BZ152" s="168"/>
      <c r="CA152" s="168"/>
      <c r="CB152" s="168"/>
      <c r="CC152" s="168"/>
      <c r="CD152" s="168"/>
      <c r="CE152" s="168"/>
      <c r="CF152" s="168"/>
      <c r="CG152" s="168"/>
      <c r="CH152" s="168"/>
      <c r="CI152" s="168"/>
      <c r="CJ152" s="168"/>
      <c r="CK152" s="168"/>
      <c r="CL152" s="168"/>
      <c r="CM152" s="168"/>
      <c r="CN152" s="168"/>
      <c r="CO152" s="168"/>
      <c r="CP152" s="168"/>
      <c r="CQ152" s="168"/>
      <c r="CR152" s="168"/>
      <c r="CS152" s="168"/>
      <c r="CT152" s="168"/>
      <c r="CU152" s="116"/>
      <c r="CV152" s="116"/>
      <c r="CW152" s="116"/>
      <c r="CX152" s="116"/>
      <c r="CY152" s="116"/>
      <c r="CZ152" s="116"/>
      <c r="DA152" s="116"/>
      <c r="DB152" s="116"/>
      <c r="DC152" s="116"/>
      <c r="DD152" s="116"/>
      <c r="DE152" s="116"/>
      <c r="DF152" s="116"/>
      <c r="DG152" s="116"/>
      <c r="DH152" s="116"/>
      <c r="DI152" s="116"/>
      <c r="DJ152" s="116"/>
      <c r="DK152" s="116"/>
      <c r="DL152" s="168"/>
      <c r="DM152" s="168"/>
      <c r="DN152" s="168"/>
      <c r="DO152" s="168"/>
      <c r="DP152" s="168"/>
      <c r="DQ152" s="168"/>
      <c r="DR152" s="168"/>
      <c r="DS152" s="168"/>
      <c r="DT152" s="168"/>
      <c r="DU152" s="168"/>
      <c r="DV152" s="168"/>
      <c r="DW152" s="168"/>
      <c r="DX152" s="168"/>
      <c r="DY152" s="168"/>
      <c r="DZ152" s="168"/>
      <c r="EA152" s="168"/>
      <c r="EB152" s="168"/>
      <c r="EC152" s="168"/>
      <c r="ED152" s="168"/>
    </row>
    <row r="153" spans="3:134" s="1302" customFormat="1">
      <c r="C153" s="168"/>
      <c r="D153" s="168"/>
      <c r="E153" s="1300"/>
      <c r="F153" s="1300"/>
      <c r="G153" s="1300"/>
      <c r="H153" s="1300"/>
      <c r="I153" s="1300"/>
      <c r="J153" s="1300"/>
      <c r="K153" s="1301"/>
      <c r="L153" s="1301"/>
      <c r="M153" s="1301"/>
      <c r="N153" s="1301"/>
      <c r="O153" s="1301"/>
      <c r="P153" s="1301"/>
      <c r="Q153" s="1301"/>
      <c r="R153" s="1301"/>
      <c r="S153" s="168"/>
      <c r="T153" s="1510"/>
      <c r="U153" s="1510"/>
      <c r="V153" s="1510"/>
      <c r="W153" s="1510"/>
      <c r="X153" s="1510"/>
      <c r="Y153" s="1510"/>
      <c r="Z153" s="1510"/>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c r="AX153" s="168"/>
      <c r="AY153" s="168"/>
      <c r="AZ153" s="168"/>
      <c r="BA153" s="168"/>
      <c r="BB153" s="168"/>
      <c r="BC153" s="168"/>
      <c r="BD153" s="168"/>
      <c r="BE153" s="168"/>
      <c r="BF153" s="168"/>
      <c r="BG153" s="168"/>
      <c r="BH153" s="168"/>
      <c r="BI153" s="168"/>
      <c r="BJ153" s="168"/>
      <c r="BK153" s="168"/>
      <c r="BL153" s="168"/>
      <c r="BM153" s="168"/>
      <c r="BN153" s="168"/>
      <c r="BO153" s="168"/>
      <c r="BP153" s="168"/>
      <c r="BQ153" s="168"/>
      <c r="BR153" s="168"/>
      <c r="BS153" s="168"/>
      <c r="BT153" s="168"/>
      <c r="BU153" s="168"/>
      <c r="BV153" s="168"/>
      <c r="BW153" s="168"/>
      <c r="BX153" s="168"/>
      <c r="BY153" s="168"/>
      <c r="BZ153" s="168"/>
      <c r="CA153" s="168"/>
      <c r="CB153" s="168"/>
      <c r="CC153" s="168"/>
      <c r="CD153" s="168"/>
      <c r="CE153" s="168"/>
      <c r="CF153" s="168"/>
      <c r="CG153" s="168"/>
      <c r="CH153" s="168"/>
      <c r="CI153" s="168"/>
      <c r="CJ153" s="168"/>
      <c r="CK153" s="168"/>
      <c r="CL153" s="168"/>
      <c r="CM153" s="168"/>
      <c r="CN153" s="168"/>
      <c r="CO153" s="168"/>
      <c r="CP153" s="168"/>
      <c r="CQ153" s="168"/>
      <c r="CR153" s="168"/>
      <c r="CS153" s="168"/>
      <c r="CT153" s="168"/>
      <c r="CU153" s="116"/>
      <c r="CV153" s="116"/>
      <c r="CW153" s="116"/>
      <c r="CX153" s="116"/>
      <c r="CY153" s="116"/>
      <c r="CZ153" s="116"/>
      <c r="DA153" s="116"/>
      <c r="DB153" s="116"/>
      <c r="DC153" s="116"/>
      <c r="DD153" s="116"/>
      <c r="DE153" s="116"/>
      <c r="DF153" s="116"/>
      <c r="DG153" s="116"/>
      <c r="DH153" s="116"/>
      <c r="DI153" s="116"/>
      <c r="DJ153" s="116"/>
      <c r="DK153" s="116"/>
      <c r="DL153" s="168"/>
      <c r="DM153" s="168"/>
      <c r="DN153" s="168"/>
      <c r="DO153" s="168"/>
      <c r="DP153" s="168"/>
      <c r="DQ153" s="168"/>
      <c r="DR153" s="168"/>
      <c r="DS153" s="168"/>
      <c r="DT153" s="168"/>
      <c r="DU153" s="168"/>
      <c r="DV153" s="168"/>
      <c r="DW153" s="168"/>
      <c r="DX153" s="168"/>
      <c r="DY153" s="168"/>
      <c r="DZ153" s="168"/>
      <c r="EA153" s="168"/>
      <c r="EB153" s="168"/>
      <c r="EC153" s="168"/>
      <c r="ED153" s="168"/>
    </row>
    <row r="154" spans="3:134" s="1302" customFormat="1">
      <c r="C154" s="168"/>
      <c r="D154" s="168"/>
      <c r="E154" s="1300"/>
      <c r="F154" s="1300"/>
      <c r="G154" s="1300"/>
      <c r="H154" s="1300"/>
      <c r="I154" s="1300"/>
      <c r="J154" s="1300"/>
      <c r="K154" s="1301"/>
      <c r="L154" s="1301"/>
      <c r="M154" s="1301"/>
      <c r="N154" s="1301"/>
      <c r="O154" s="1301"/>
      <c r="P154" s="1301"/>
      <c r="Q154" s="1301"/>
      <c r="R154" s="1301"/>
      <c r="S154" s="168"/>
      <c r="T154" s="1510"/>
      <c r="U154" s="1510"/>
      <c r="V154" s="1510"/>
      <c r="W154" s="1510"/>
      <c r="X154" s="1510"/>
      <c r="Y154" s="1510"/>
      <c r="Z154" s="1510"/>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68"/>
      <c r="BF154" s="168"/>
      <c r="BG154" s="168"/>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16"/>
      <c r="CV154" s="116"/>
      <c r="CW154" s="116"/>
      <c r="CX154" s="116"/>
      <c r="CY154" s="116"/>
      <c r="CZ154" s="116"/>
      <c r="DA154" s="116"/>
      <c r="DB154" s="116"/>
      <c r="DC154" s="116"/>
      <c r="DD154" s="116"/>
      <c r="DE154" s="116"/>
      <c r="DF154" s="116"/>
      <c r="DG154" s="116"/>
      <c r="DH154" s="116"/>
      <c r="DI154" s="116"/>
      <c r="DJ154" s="116"/>
      <c r="DK154" s="116"/>
      <c r="DL154" s="168"/>
      <c r="DM154" s="168"/>
      <c r="DN154" s="168"/>
      <c r="DO154" s="168"/>
      <c r="DP154" s="168"/>
      <c r="DQ154" s="168"/>
      <c r="DR154" s="168"/>
      <c r="DS154" s="168"/>
      <c r="DT154" s="168"/>
      <c r="DU154" s="168"/>
      <c r="DV154" s="168"/>
      <c r="DW154" s="168"/>
      <c r="DX154" s="168"/>
      <c r="DY154" s="168"/>
      <c r="DZ154" s="168"/>
      <c r="EA154" s="168"/>
      <c r="EB154" s="168"/>
      <c r="EC154" s="168"/>
      <c r="ED154" s="168"/>
    </row>
    <row r="155" spans="3:134" s="1302" customFormat="1">
      <c r="C155" s="168"/>
      <c r="D155" s="168"/>
      <c r="E155" s="1300"/>
      <c r="F155" s="1300"/>
      <c r="G155" s="1300"/>
      <c r="H155" s="1300"/>
      <c r="I155" s="1300"/>
      <c r="J155" s="1300"/>
      <c r="K155" s="1301"/>
      <c r="L155" s="1301"/>
      <c r="M155" s="1301"/>
      <c r="N155" s="1301"/>
      <c r="O155" s="1301"/>
      <c r="P155" s="1301"/>
      <c r="Q155" s="1301"/>
      <c r="R155" s="1301"/>
      <c r="S155" s="168"/>
      <c r="T155" s="1510"/>
      <c r="U155" s="1510"/>
      <c r="V155" s="1510"/>
      <c r="W155" s="1510"/>
      <c r="X155" s="1510"/>
      <c r="Y155" s="1510"/>
      <c r="Z155" s="1510"/>
      <c r="AA155" s="168"/>
      <c r="AB155" s="168"/>
      <c r="AC155" s="168"/>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c r="AX155" s="168"/>
      <c r="AY155" s="168"/>
      <c r="AZ155" s="168"/>
      <c r="BA155" s="168"/>
      <c r="BB155" s="168"/>
      <c r="BC155" s="168"/>
      <c r="BD155" s="168"/>
      <c r="BE155" s="168"/>
      <c r="BF155" s="168"/>
      <c r="BG155" s="168"/>
      <c r="BH155" s="168"/>
      <c r="BI155" s="168"/>
      <c r="BJ155" s="168"/>
      <c r="BK155" s="168"/>
      <c r="BL155" s="168"/>
      <c r="BM155" s="168"/>
      <c r="BN155" s="168"/>
      <c r="BO155" s="168"/>
      <c r="BP155" s="168"/>
      <c r="BQ155" s="168"/>
      <c r="BR155" s="168"/>
      <c r="BS155" s="168"/>
      <c r="BT155" s="168"/>
      <c r="BU155" s="168"/>
      <c r="BV155" s="168"/>
      <c r="BW155" s="168"/>
      <c r="BX155" s="168"/>
      <c r="BY155" s="168"/>
      <c r="BZ155" s="168"/>
      <c r="CA155" s="168"/>
      <c r="CB155" s="168"/>
      <c r="CC155" s="168"/>
      <c r="CD155" s="168"/>
      <c r="CE155" s="168"/>
      <c r="CF155" s="168"/>
      <c r="CG155" s="168"/>
      <c r="CH155" s="168"/>
      <c r="CI155" s="168"/>
      <c r="CJ155" s="168"/>
      <c r="CK155" s="168"/>
      <c r="CL155" s="168"/>
      <c r="CM155" s="168"/>
      <c r="CN155" s="168"/>
      <c r="CO155" s="168"/>
      <c r="CP155" s="168"/>
      <c r="CQ155" s="168"/>
      <c r="CR155" s="168"/>
      <c r="CS155" s="168"/>
      <c r="CT155" s="168"/>
      <c r="CU155" s="116"/>
      <c r="CV155" s="116"/>
      <c r="CW155" s="116"/>
      <c r="CX155" s="116"/>
      <c r="CY155" s="116"/>
      <c r="CZ155" s="116"/>
      <c r="DA155" s="116"/>
      <c r="DB155" s="116"/>
      <c r="DC155" s="116"/>
      <c r="DD155" s="116"/>
      <c r="DE155" s="116"/>
      <c r="DF155" s="116"/>
      <c r="DG155" s="116"/>
      <c r="DH155" s="116"/>
      <c r="DI155" s="116"/>
      <c r="DJ155" s="116"/>
      <c r="DK155" s="116"/>
      <c r="DL155" s="168"/>
      <c r="DM155" s="168"/>
      <c r="DN155" s="168"/>
      <c r="DO155" s="168"/>
      <c r="DP155" s="168"/>
      <c r="DQ155" s="168"/>
      <c r="DR155" s="168"/>
      <c r="DS155" s="168"/>
      <c r="DT155" s="168"/>
      <c r="DU155" s="168"/>
      <c r="DV155" s="168"/>
      <c r="DW155" s="168"/>
      <c r="DX155" s="168"/>
      <c r="DY155" s="168"/>
      <c r="DZ155" s="168"/>
      <c r="EA155" s="168"/>
      <c r="EB155" s="168"/>
      <c r="EC155" s="168"/>
      <c r="ED155" s="168"/>
    </row>
    <row r="156" spans="3:134" s="1302" customFormat="1">
      <c r="C156" s="168"/>
      <c r="D156" s="168"/>
      <c r="E156" s="1300"/>
      <c r="F156" s="1300"/>
      <c r="G156" s="1300"/>
      <c r="H156" s="1300"/>
      <c r="I156" s="1300"/>
      <c r="J156" s="1300"/>
      <c r="K156" s="1301"/>
      <c r="L156" s="1301"/>
      <c r="M156" s="1301"/>
      <c r="N156" s="1301"/>
      <c r="O156" s="1301"/>
      <c r="P156" s="1301"/>
      <c r="Q156" s="1301"/>
      <c r="R156" s="1301"/>
      <c r="S156" s="168"/>
      <c r="T156" s="1510"/>
      <c r="U156" s="1510"/>
      <c r="V156" s="1510"/>
      <c r="W156" s="1510"/>
      <c r="X156" s="1510"/>
      <c r="Y156" s="1510"/>
      <c r="Z156" s="1510"/>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68"/>
      <c r="AV156" s="168"/>
      <c r="AW156" s="168"/>
      <c r="AX156" s="168"/>
      <c r="AY156" s="168"/>
      <c r="AZ156" s="168"/>
      <c r="BA156" s="168"/>
      <c r="BB156" s="168"/>
      <c r="BC156" s="168"/>
      <c r="BD156" s="168"/>
      <c r="BE156" s="168"/>
      <c r="BF156" s="168"/>
      <c r="BG156" s="168"/>
      <c r="BH156" s="168"/>
      <c r="BI156" s="168"/>
      <c r="BJ156" s="168"/>
      <c r="BK156" s="168"/>
      <c r="BL156" s="168"/>
      <c r="BM156" s="168"/>
      <c r="BN156" s="168"/>
      <c r="BO156" s="168"/>
      <c r="BP156" s="168"/>
      <c r="BQ156" s="168"/>
      <c r="BR156" s="168"/>
      <c r="BS156" s="168"/>
      <c r="BT156" s="168"/>
      <c r="BU156" s="168"/>
      <c r="BV156" s="168"/>
      <c r="BW156" s="168"/>
      <c r="BX156" s="168"/>
      <c r="BY156" s="168"/>
      <c r="BZ156" s="168"/>
      <c r="CA156" s="168"/>
      <c r="CB156" s="168"/>
      <c r="CC156" s="168"/>
      <c r="CD156" s="168"/>
      <c r="CE156" s="168"/>
      <c r="CF156" s="168"/>
      <c r="CG156" s="168"/>
      <c r="CH156" s="168"/>
      <c r="CI156" s="168"/>
      <c r="CJ156" s="168"/>
      <c r="CK156" s="168"/>
      <c r="CL156" s="168"/>
      <c r="CM156" s="168"/>
      <c r="CN156" s="168"/>
      <c r="CO156" s="168"/>
      <c r="CP156" s="168"/>
      <c r="CQ156" s="168"/>
      <c r="CR156" s="168"/>
      <c r="CS156" s="168"/>
      <c r="CT156" s="168"/>
      <c r="CU156" s="116"/>
      <c r="CV156" s="116"/>
      <c r="CW156" s="116"/>
      <c r="CX156" s="116"/>
      <c r="CY156" s="116"/>
      <c r="CZ156" s="116"/>
      <c r="DA156" s="116"/>
      <c r="DB156" s="116"/>
      <c r="DC156" s="116"/>
      <c r="DD156" s="116"/>
      <c r="DE156" s="116"/>
      <c r="DF156" s="116"/>
      <c r="DG156" s="116"/>
      <c r="DH156" s="116"/>
      <c r="DI156" s="116"/>
      <c r="DJ156" s="116"/>
      <c r="DK156" s="116"/>
      <c r="DL156" s="168"/>
      <c r="DM156" s="168"/>
      <c r="DN156" s="168"/>
      <c r="DO156" s="168"/>
      <c r="DP156" s="168"/>
      <c r="DQ156" s="168"/>
      <c r="DR156" s="168"/>
      <c r="DS156" s="168"/>
      <c r="DT156" s="168"/>
      <c r="DU156" s="168"/>
      <c r="DV156" s="168"/>
      <c r="DW156" s="168"/>
      <c r="DX156" s="168"/>
      <c r="DY156" s="168"/>
      <c r="DZ156" s="168"/>
      <c r="EA156" s="168"/>
      <c r="EB156" s="168"/>
      <c r="EC156" s="168"/>
      <c r="ED156" s="168"/>
    </row>
    <row r="157" spans="3:134" s="1302" customFormat="1">
      <c r="C157" s="168"/>
      <c r="D157" s="168"/>
      <c r="E157" s="1300"/>
      <c r="F157" s="1300"/>
      <c r="G157" s="1300"/>
      <c r="H157" s="1300"/>
      <c r="I157" s="1300"/>
      <c r="J157" s="1300"/>
      <c r="K157" s="1301"/>
      <c r="L157" s="1301"/>
      <c r="M157" s="1301"/>
      <c r="N157" s="1301"/>
      <c r="O157" s="1301"/>
      <c r="P157" s="1301"/>
      <c r="Q157" s="1301"/>
      <c r="R157" s="1301"/>
      <c r="S157" s="168"/>
      <c r="T157" s="1510"/>
      <c r="U157" s="1510"/>
      <c r="V157" s="1510"/>
      <c r="W157" s="1510"/>
      <c r="X157" s="1510"/>
      <c r="Y157" s="1510"/>
      <c r="Z157" s="1510"/>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68"/>
      <c r="AV157" s="168"/>
      <c r="AW157" s="168"/>
      <c r="AX157" s="168"/>
      <c r="AY157" s="168"/>
      <c r="AZ157" s="168"/>
      <c r="BA157" s="168"/>
      <c r="BB157" s="168"/>
      <c r="BC157" s="168"/>
      <c r="BD157" s="168"/>
      <c r="BE157" s="168"/>
      <c r="BF157" s="168"/>
      <c r="BG157" s="168"/>
      <c r="BH157" s="168"/>
      <c r="BI157" s="168"/>
      <c r="BJ157" s="168"/>
      <c r="BK157" s="168"/>
      <c r="BL157" s="168"/>
      <c r="BM157" s="168"/>
      <c r="BN157" s="168"/>
      <c r="BO157" s="168"/>
      <c r="BP157" s="168"/>
      <c r="BQ157" s="168"/>
      <c r="BR157" s="168"/>
      <c r="BS157" s="168"/>
      <c r="BT157" s="168"/>
      <c r="BU157" s="168"/>
      <c r="BV157" s="168"/>
      <c r="BW157" s="168"/>
      <c r="BX157" s="168"/>
      <c r="BY157" s="168"/>
      <c r="BZ157" s="168"/>
      <c r="CA157" s="168"/>
      <c r="CB157" s="168"/>
      <c r="CC157" s="168"/>
      <c r="CD157" s="168"/>
      <c r="CE157" s="168"/>
      <c r="CF157" s="168"/>
      <c r="CG157" s="168"/>
      <c r="CH157" s="168"/>
      <c r="CI157" s="168"/>
      <c r="CJ157" s="168"/>
      <c r="CK157" s="168"/>
      <c r="CL157" s="168"/>
      <c r="CM157" s="168"/>
      <c r="CN157" s="168"/>
      <c r="CO157" s="168"/>
      <c r="CP157" s="168"/>
      <c r="CQ157" s="168"/>
      <c r="CR157" s="168"/>
      <c r="CS157" s="168"/>
      <c r="CT157" s="168"/>
      <c r="CU157" s="116"/>
      <c r="CV157" s="116"/>
      <c r="CW157" s="116"/>
      <c r="CX157" s="116"/>
      <c r="CY157" s="116"/>
      <c r="CZ157" s="116"/>
      <c r="DA157" s="116"/>
      <c r="DB157" s="116"/>
      <c r="DC157" s="116"/>
      <c r="DD157" s="116"/>
      <c r="DE157" s="116"/>
      <c r="DF157" s="116"/>
      <c r="DG157" s="116"/>
      <c r="DH157" s="116"/>
      <c r="DI157" s="116"/>
      <c r="DJ157" s="116"/>
      <c r="DK157" s="116"/>
      <c r="DL157" s="168"/>
      <c r="DM157" s="168"/>
      <c r="DN157" s="168"/>
      <c r="DO157" s="168"/>
      <c r="DP157" s="168"/>
      <c r="DQ157" s="168"/>
      <c r="DR157" s="168"/>
      <c r="DS157" s="168"/>
      <c r="DT157" s="168"/>
      <c r="DU157" s="168"/>
      <c r="DV157" s="168"/>
      <c r="DW157" s="168"/>
      <c r="DX157" s="168"/>
      <c r="DY157" s="168"/>
      <c r="DZ157" s="168"/>
      <c r="EA157" s="168"/>
      <c r="EB157" s="168"/>
      <c r="EC157" s="168"/>
      <c r="ED157" s="168"/>
    </row>
    <row r="158" spans="3:134" s="1302" customFormat="1">
      <c r="C158" s="168"/>
      <c r="D158" s="168"/>
      <c r="E158" s="1300"/>
      <c r="F158" s="1300"/>
      <c r="G158" s="1300"/>
      <c r="H158" s="1300"/>
      <c r="I158" s="1300"/>
      <c r="J158" s="1300"/>
      <c r="K158" s="1301"/>
      <c r="L158" s="1301"/>
      <c r="M158" s="1301"/>
      <c r="N158" s="1301"/>
      <c r="O158" s="1301"/>
      <c r="P158" s="1301"/>
      <c r="Q158" s="1301"/>
      <c r="R158" s="1301"/>
      <c r="S158" s="168"/>
      <c r="T158" s="1510"/>
      <c r="U158" s="1510"/>
      <c r="V158" s="1510"/>
      <c r="W158" s="1510"/>
      <c r="X158" s="1510"/>
      <c r="Y158" s="1510"/>
      <c r="Z158" s="1510"/>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c r="BC158" s="168"/>
      <c r="BD158" s="168"/>
      <c r="BE158" s="168"/>
      <c r="BF158" s="168"/>
      <c r="BG158" s="168"/>
      <c r="BH158" s="168"/>
      <c r="BI158" s="168"/>
      <c r="BJ158" s="168"/>
      <c r="BK158" s="168"/>
      <c r="BL158" s="168"/>
      <c r="BM158" s="168"/>
      <c r="BN158" s="168"/>
      <c r="BO158" s="168"/>
      <c r="BP158" s="168"/>
      <c r="BQ158" s="168"/>
      <c r="BR158" s="168"/>
      <c r="BS158" s="168"/>
      <c r="BT158" s="168"/>
      <c r="BU158" s="168"/>
      <c r="BV158" s="168"/>
      <c r="BW158" s="168"/>
      <c r="BX158" s="168"/>
      <c r="BY158" s="168"/>
      <c r="BZ158" s="168"/>
      <c r="CA158" s="168"/>
      <c r="CB158" s="168"/>
      <c r="CC158" s="168"/>
      <c r="CD158" s="168"/>
      <c r="CE158" s="168"/>
      <c r="CF158" s="168"/>
      <c r="CG158" s="168"/>
      <c r="CH158" s="168"/>
      <c r="CI158" s="168"/>
      <c r="CJ158" s="168"/>
      <c r="CK158" s="168"/>
      <c r="CL158" s="168"/>
      <c r="CM158" s="168"/>
      <c r="CN158" s="168"/>
      <c r="CO158" s="168"/>
      <c r="CP158" s="168"/>
      <c r="CQ158" s="168"/>
      <c r="CR158" s="168"/>
      <c r="CS158" s="168"/>
      <c r="CT158" s="168"/>
      <c r="CU158" s="116"/>
      <c r="CV158" s="116"/>
      <c r="CW158" s="116"/>
      <c r="CX158" s="116"/>
      <c r="CY158" s="116"/>
      <c r="CZ158" s="116"/>
      <c r="DA158" s="116"/>
      <c r="DB158" s="116"/>
      <c r="DC158" s="116"/>
      <c r="DD158" s="116"/>
      <c r="DE158" s="116"/>
      <c r="DF158" s="116"/>
      <c r="DG158" s="116"/>
      <c r="DH158" s="116"/>
      <c r="DI158" s="116"/>
      <c r="DJ158" s="116"/>
      <c r="DK158" s="116"/>
      <c r="DL158" s="168"/>
      <c r="DM158" s="168"/>
      <c r="DN158" s="168"/>
      <c r="DO158" s="168"/>
      <c r="DP158" s="168"/>
      <c r="DQ158" s="168"/>
      <c r="DR158" s="168"/>
      <c r="DS158" s="168"/>
      <c r="DT158" s="168"/>
      <c r="DU158" s="168"/>
      <c r="DV158" s="168"/>
      <c r="DW158" s="168"/>
      <c r="DX158" s="168"/>
      <c r="DY158" s="168"/>
      <c r="DZ158" s="168"/>
      <c r="EA158" s="168"/>
      <c r="EB158" s="168"/>
      <c r="EC158" s="168"/>
      <c r="ED158" s="168"/>
    </row>
    <row r="159" spans="3:134" s="1302" customFormat="1">
      <c r="C159" s="168"/>
      <c r="D159" s="168"/>
      <c r="E159" s="1300"/>
      <c r="F159" s="1300"/>
      <c r="G159" s="1300"/>
      <c r="H159" s="1300"/>
      <c r="I159" s="1300"/>
      <c r="J159" s="1300"/>
      <c r="K159" s="1301"/>
      <c r="L159" s="1301"/>
      <c r="M159" s="1301"/>
      <c r="N159" s="1301"/>
      <c r="O159" s="1301"/>
      <c r="P159" s="1301"/>
      <c r="Q159" s="1301"/>
      <c r="R159" s="1301"/>
      <c r="S159" s="168"/>
      <c r="T159" s="1510"/>
      <c r="U159" s="1510"/>
      <c r="V159" s="1510"/>
      <c r="W159" s="1510"/>
      <c r="X159" s="1510"/>
      <c r="Y159" s="1510"/>
      <c r="Z159" s="1510"/>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168"/>
      <c r="BV159" s="168"/>
      <c r="BW159" s="168"/>
      <c r="BX159" s="168"/>
      <c r="BY159" s="168"/>
      <c r="BZ159" s="168"/>
      <c r="CA159" s="168"/>
      <c r="CB159" s="168"/>
      <c r="CC159" s="168"/>
      <c r="CD159" s="168"/>
      <c r="CE159" s="168"/>
      <c r="CF159" s="168"/>
      <c r="CG159" s="168"/>
      <c r="CH159" s="168"/>
      <c r="CI159" s="168"/>
      <c r="CJ159" s="168"/>
      <c r="CK159" s="168"/>
      <c r="CL159" s="168"/>
      <c r="CM159" s="168"/>
      <c r="CN159" s="168"/>
      <c r="CO159" s="168"/>
      <c r="CP159" s="168"/>
      <c r="CQ159" s="168"/>
      <c r="CR159" s="168"/>
      <c r="CS159" s="168"/>
      <c r="CT159" s="168"/>
      <c r="CU159" s="116"/>
      <c r="CV159" s="116"/>
      <c r="CW159" s="116"/>
      <c r="CX159" s="116"/>
      <c r="CY159" s="116"/>
      <c r="CZ159" s="116"/>
      <c r="DA159" s="116"/>
      <c r="DB159" s="116"/>
      <c r="DC159" s="116"/>
      <c r="DD159" s="116"/>
      <c r="DE159" s="116"/>
      <c r="DF159" s="116"/>
      <c r="DG159" s="116"/>
      <c r="DH159" s="116"/>
      <c r="DI159" s="116"/>
      <c r="DJ159" s="116"/>
      <c r="DK159" s="116"/>
      <c r="DL159" s="168"/>
      <c r="DM159" s="168"/>
      <c r="DN159" s="168"/>
      <c r="DO159" s="168"/>
      <c r="DP159" s="168"/>
      <c r="DQ159" s="168"/>
      <c r="DR159" s="168"/>
      <c r="DS159" s="168"/>
      <c r="DT159" s="168"/>
      <c r="DU159" s="168"/>
      <c r="DV159" s="168"/>
      <c r="DW159" s="168"/>
      <c r="DX159" s="168"/>
      <c r="DY159" s="168"/>
      <c r="DZ159" s="168"/>
      <c r="EA159" s="168"/>
      <c r="EB159" s="168"/>
      <c r="EC159" s="168"/>
      <c r="ED159" s="168"/>
    </row>
    <row r="160" spans="3:134" s="1302" customFormat="1">
      <c r="C160" s="168"/>
      <c r="D160" s="168"/>
      <c r="E160" s="1300"/>
      <c r="F160" s="1300"/>
      <c r="G160" s="1300"/>
      <c r="H160" s="1300"/>
      <c r="I160" s="1300"/>
      <c r="J160" s="1300"/>
      <c r="K160" s="1301"/>
      <c r="L160" s="1301"/>
      <c r="M160" s="1301"/>
      <c r="N160" s="1301"/>
      <c r="O160" s="1301"/>
      <c r="P160" s="1301"/>
      <c r="Q160" s="1301"/>
      <c r="R160" s="1301"/>
      <c r="S160" s="168"/>
      <c r="T160" s="1510"/>
      <c r="U160" s="1510"/>
      <c r="V160" s="1510"/>
      <c r="W160" s="1510"/>
      <c r="X160" s="1510"/>
      <c r="Y160" s="1510"/>
      <c r="Z160" s="1510"/>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B160" s="168"/>
      <c r="BC160" s="168"/>
      <c r="BD160" s="168"/>
      <c r="BE160" s="168"/>
      <c r="BF160" s="168"/>
      <c r="BG160" s="168"/>
      <c r="BH160" s="168"/>
      <c r="BI160" s="168"/>
      <c r="BJ160" s="168"/>
      <c r="BK160" s="168"/>
      <c r="BL160" s="168"/>
      <c r="BM160" s="168"/>
      <c r="BN160" s="168"/>
      <c r="BO160" s="168"/>
      <c r="BP160" s="168"/>
      <c r="BQ160" s="168"/>
      <c r="BR160" s="168"/>
      <c r="BS160" s="168"/>
      <c r="BT160" s="168"/>
      <c r="BU160" s="168"/>
      <c r="BV160" s="168"/>
      <c r="BW160" s="168"/>
      <c r="BX160" s="168"/>
      <c r="BY160" s="168"/>
      <c r="BZ160" s="168"/>
      <c r="CA160" s="168"/>
      <c r="CB160" s="168"/>
      <c r="CC160" s="168"/>
      <c r="CD160" s="168"/>
      <c r="CE160" s="168"/>
      <c r="CF160" s="168"/>
      <c r="CG160" s="168"/>
      <c r="CH160" s="168"/>
      <c r="CI160" s="168"/>
      <c r="CJ160" s="168"/>
      <c r="CK160" s="168"/>
      <c r="CL160" s="168"/>
      <c r="CM160" s="168"/>
      <c r="CN160" s="168"/>
      <c r="CO160" s="168"/>
      <c r="CP160" s="168"/>
      <c r="CQ160" s="168"/>
      <c r="CR160" s="168"/>
      <c r="CS160" s="168"/>
      <c r="CT160" s="168"/>
      <c r="CU160" s="116"/>
      <c r="CV160" s="116"/>
      <c r="CW160" s="116"/>
      <c r="CX160" s="116"/>
      <c r="CY160" s="116"/>
      <c r="CZ160" s="116"/>
      <c r="DA160" s="116"/>
      <c r="DB160" s="116"/>
      <c r="DC160" s="116"/>
      <c r="DD160" s="116"/>
      <c r="DE160" s="116"/>
      <c r="DF160" s="116"/>
      <c r="DG160" s="116"/>
      <c r="DH160" s="116"/>
      <c r="DI160" s="116"/>
      <c r="DJ160" s="116"/>
      <c r="DK160" s="116"/>
      <c r="DL160" s="168"/>
      <c r="DM160" s="168"/>
      <c r="DN160" s="168"/>
      <c r="DO160" s="168"/>
      <c r="DP160" s="168"/>
      <c r="DQ160" s="168"/>
      <c r="DR160" s="168"/>
      <c r="DS160" s="168"/>
      <c r="DT160" s="168"/>
      <c r="DU160" s="168"/>
      <c r="DV160" s="168"/>
      <c r="DW160" s="168"/>
      <c r="DX160" s="168"/>
      <c r="DY160" s="168"/>
      <c r="DZ160" s="168"/>
      <c r="EA160" s="168"/>
      <c r="EB160" s="168"/>
      <c r="EC160" s="168"/>
      <c r="ED160" s="168"/>
    </row>
    <row r="161" spans="3:134" s="1302" customFormat="1">
      <c r="C161" s="168"/>
      <c r="D161" s="168"/>
      <c r="E161" s="1300"/>
      <c r="F161" s="1300"/>
      <c r="G161" s="1300"/>
      <c r="H161" s="1300"/>
      <c r="I161" s="1300"/>
      <c r="J161" s="1300"/>
      <c r="K161" s="1301"/>
      <c r="L161" s="1301"/>
      <c r="M161" s="1301"/>
      <c r="N161" s="1301"/>
      <c r="O161" s="1301"/>
      <c r="P161" s="1301"/>
      <c r="Q161" s="1301"/>
      <c r="R161" s="1301"/>
      <c r="S161" s="168"/>
      <c r="T161" s="1510"/>
      <c r="U161" s="1510"/>
      <c r="V161" s="1510"/>
      <c r="W161" s="1510"/>
      <c r="X161" s="1510"/>
      <c r="Y161" s="1510"/>
      <c r="Z161" s="1510"/>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B161" s="168"/>
      <c r="BC161" s="168"/>
      <c r="BD161" s="168"/>
      <c r="BE161" s="168"/>
      <c r="BF161" s="168"/>
      <c r="BG161" s="168"/>
      <c r="BH161" s="168"/>
      <c r="BI161" s="168"/>
      <c r="BJ161" s="168"/>
      <c r="BK161" s="168"/>
      <c r="BL161" s="168"/>
      <c r="BM161" s="168"/>
      <c r="BN161" s="168"/>
      <c r="BO161" s="168"/>
      <c r="BP161" s="168"/>
      <c r="BQ161" s="168"/>
      <c r="BR161" s="168"/>
      <c r="BS161" s="168"/>
      <c r="BT161" s="168"/>
      <c r="BU161" s="168"/>
      <c r="BV161" s="168"/>
      <c r="BW161" s="168"/>
      <c r="BX161" s="168"/>
      <c r="BY161" s="168"/>
      <c r="BZ161" s="168"/>
      <c r="CA161" s="168"/>
      <c r="CB161" s="168"/>
      <c r="CC161" s="168"/>
      <c r="CD161" s="168"/>
      <c r="CE161" s="168"/>
      <c r="CF161" s="168"/>
      <c r="CG161" s="168"/>
      <c r="CH161" s="168"/>
      <c r="CI161" s="168"/>
      <c r="CJ161" s="168"/>
      <c r="CK161" s="168"/>
      <c r="CL161" s="168"/>
      <c r="CM161" s="168"/>
      <c r="CN161" s="168"/>
      <c r="CO161" s="168"/>
      <c r="CP161" s="168"/>
      <c r="CQ161" s="168"/>
      <c r="CR161" s="168"/>
      <c r="CS161" s="168"/>
      <c r="CT161" s="168"/>
      <c r="CU161" s="116"/>
      <c r="CV161" s="116"/>
      <c r="CW161" s="116"/>
      <c r="CX161" s="116"/>
      <c r="CY161" s="116"/>
      <c r="CZ161" s="116"/>
      <c r="DA161" s="116"/>
      <c r="DB161" s="116"/>
      <c r="DC161" s="116"/>
      <c r="DD161" s="116"/>
      <c r="DE161" s="116"/>
      <c r="DF161" s="116"/>
      <c r="DG161" s="116"/>
      <c r="DH161" s="116"/>
      <c r="DI161" s="116"/>
      <c r="DJ161" s="116"/>
      <c r="DK161" s="116"/>
      <c r="DL161" s="168"/>
      <c r="DM161" s="168"/>
      <c r="DN161" s="168"/>
      <c r="DO161" s="168"/>
      <c r="DP161" s="168"/>
      <c r="DQ161" s="168"/>
      <c r="DR161" s="168"/>
      <c r="DS161" s="168"/>
      <c r="DT161" s="168"/>
      <c r="DU161" s="168"/>
      <c r="DV161" s="168"/>
      <c r="DW161" s="168"/>
      <c r="DX161" s="168"/>
      <c r="DY161" s="168"/>
      <c r="DZ161" s="168"/>
      <c r="EA161" s="168"/>
      <c r="EB161" s="168"/>
      <c r="EC161" s="168"/>
      <c r="ED161" s="168"/>
    </row>
    <row r="162" spans="3:134" s="1302" customFormat="1">
      <c r="C162" s="168"/>
      <c r="D162" s="168"/>
      <c r="E162" s="1300"/>
      <c r="F162" s="1300"/>
      <c r="G162" s="1300"/>
      <c r="H162" s="1300"/>
      <c r="I162" s="1300"/>
      <c r="J162" s="1300"/>
      <c r="K162" s="1301"/>
      <c r="L162" s="1301"/>
      <c r="M162" s="1301"/>
      <c r="N162" s="1301"/>
      <c r="O162" s="1301"/>
      <c r="P162" s="1301"/>
      <c r="Q162" s="1301"/>
      <c r="R162" s="1301"/>
      <c r="S162" s="168"/>
      <c r="T162" s="1510"/>
      <c r="U162" s="1510"/>
      <c r="V162" s="1510"/>
      <c r="W162" s="1510"/>
      <c r="X162" s="1510"/>
      <c r="Y162" s="1510"/>
      <c r="Z162" s="1510"/>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B162" s="168"/>
      <c r="BC162" s="168"/>
      <c r="BD162" s="168"/>
      <c r="BE162" s="168"/>
      <c r="BF162" s="168"/>
      <c r="BG162" s="168"/>
      <c r="BH162" s="168"/>
      <c r="BI162" s="168"/>
      <c r="BJ162" s="168"/>
      <c r="BK162" s="168"/>
      <c r="BL162" s="168"/>
      <c r="BM162" s="168"/>
      <c r="BN162" s="168"/>
      <c r="BO162" s="168"/>
      <c r="BP162" s="168"/>
      <c r="BQ162" s="168"/>
      <c r="BR162" s="168"/>
      <c r="BS162" s="168"/>
      <c r="BT162" s="168"/>
      <c r="BU162" s="168"/>
      <c r="BV162" s="168"/>
      <c r="BW162" s="168"/>
      <c r="BX162" s="168"/>
      <c r="BY162" s="168"/>
      <c r="BZ162" s="168"/>
      <c r="CA162" s="168"/>
      <c r="CB162" s="168"/>
      <c r="CC162" s="168"/>
      <c r="CD162" s="168"/>
      <c r="CE162" s="168"/>
      <c r="CF162" s="168"/>
      <c r="CG162" s="168"/>
      <c r="CH162" s="168"/>
      <c r="CI162" s="168"/>
      <c r="CJ162" s="168"/>
      <c r="CK162" s="168"/>
      <c r="CL162" s="168"/>
      <c r="CM162" s="168"/>
      <c r="CN162" s="168"/>
      <c r="CO162" s="168"/>
      <c r="CP162" s="168"/>
      <c r="CQ162" s="168"/>
      <c r="CR162" s="168"/>
      <c r="CS162" s="168"/>
      <c r="CT162" s="168"/>
      <c r="CU162" s="116"/>
      <c r="CV162" s="116"/>
      <c r="CW162" s="116"/>
      <c r="CX162" s="116"/>
      <c r="CY162" s="116"/>
      <c r="CZ162" s="116"/>
      <c r="DA162" s="116"/>
      <c r="DB162" s="116"/>
      <c r="DC162" s="116"/>
      <c r="DD162" s="116"/>
      <c r="DE162" s="116"/>
      <c r="DF162" s="116"/>
      <c r="DG162" s="116"/>
      <c r="DH162" s="116"/>
      <c r="DI162" s="116"/>
      <c r="DJ162" s="116"/>
      <c r="DK162" s="116"/>
      <c r="DL162" s="168"/>
      <c r="DM162" s="168"/>
      <c r="DN162" s="168"/>
      <c r="DO162" s="168"/>
      <c r="DP162" s="168"/>
      <c r="DQ162" s="168"/>
      <c r="DR162" s="168"/>
      <c r="DS162" s="168"/>
      <c r="DT162" s="168"/>
      <c r="DU162" s="168"/>
      <c r="DV162" s="168"/>
      <c r="DW162" s="168"/>
      <c r="DX162" s="168"/>
      <c r="DY162" s="168"/>
      <c r="DZ162" s="168"/>
      <c r="EA162" s="168"/>
      <c r="EB162" s="168"/>
      <c r="EC162" s="168"/>
      <c r="ED162" s="168"/>
    </row>
    <row r="163" spans="3:134" s="1302" customFormat="1">
      <c r="C163" s="168"/>
      <c r="D163" s="168"/>
      <c r="E163" s="1300"/>
      <c r="F163" s="1300"/>
      <c r="G163" s="1300"/>
      <c r="H163" s="1300"/>
      <c r="I163" s="1300"/>
      <c r="J163" s="1300"/>
      <c r="K163" s="1301"/>
      <c r="L163" s="1301"/>
      <c r="M163" s="1301"/>
      <c r="N163" s="1301"/>
      <c r="O163" s="1301"/>
      <c r="P163" s="1301"/>
      <c r="Q163" s="1301"/>
      <c r="R163" s="1301"/>
      <c r="S163" s="168"/>
      <c r="T163" s="1510"/>
      <c r="U163" s="1510"/>
      <c r="V163" s="1510"/>
      <c r="W163" s="1510"/>
      <c r="X163" s="1510"/>
      <c r="Y163" s="1510"/>
      <c r="Z163" s="1510"/>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c r="AX163" s="168"/>
      <c r="AY163" s="168"/>
      <c r="AZ163" s="168"/>
      <c r="BA163" s="168"/>
      <c r="BB163" s="168"/>
      <c r="BC163" s="168"/>
      <c r="BD163" s="168"/>
      <c r="BE163" s="168"/>
      <c r="BF163" s="168"/>
      <c r="BG163" s="168"/>
      <c r="BH163" s="168"/>
      <c r="BI163" s="168"/>
      <c r="BJ163" s="168"/>
      <c r="BK163" s="168"/>
      <c r="BL163" s="168"/>
      <c r="BM163" s="168"/>
      <c r="BN163" s="168"/>
      <c r="BO163" s="168"/>
      <c r="BP163" s="168"/>
      <c r="BQ163" s="168"/>
      <c r="BR163" s="168"/>
      <c r="BS163" s="168"/>
      <c r="BT163" s="168"/>
      <c r="BU163" s="168"/>
      <c r="BV163" s="168"/>
      <c r="BW163" s="168"/>
      <c r="BX163" s="168"/>
      <c r="BY163" s="168"/>
      <c r="BZ163" s="168"/>
      <c r="CA163" s="168"/>
      <c r="CB163" s="168"/>
      <c r="CC163" s="168"/>
      <c r="CD163" s="168"/>
      <c r="CE163" s="168"/>
      <c r="CF163" s="168"/>
      <c r="CG163" s="168"/>
      <c r="CH163" s="168"/>
      <c r="CI163" s="168"/>
      <c r="CJ163" s="168"/>
      <c r="CK163" s="168"/>
      <c r="CL163" s="168"/>
      <c r="CM163" s="168"/>
      <c r="CN163" s="168"/>
      <c r="CO163" s="168"/>
      <c r="CP163" s="168"/>
      <c r="CQ163" s="168"/>
      <c r="CR163" s="168"/>
      <c r="CS163" s="168"/>
      <c r="CT163" s="168"/>
      <c r="CU163" s="116"/>
      <c r="CV163" s="116"/>
      <c r="CW163" s="116"/>
      <c r="CX163" s="116"/>
      <c r="CY163" s="116"/>
      <c r="CZ163" s="116"/>
      <c r="DA163" s="116"/>
      <c r="DB163" s="116"/>
      <c r="DC163" s="116"/>
      <c r="DD163" s="116"/>
      <c r="DE163" s="116"/>
      <c r="DF163" s="116"/>
      <c r="DG163" s="116"/>
      <c r="DH163" s="116"/>
      <c r="DI163" s="116"/>
      <c r="DJ163" s="116"/>
      <c r="DK163" s="116"/>
      <c r="DL163" s="168"/>
      <c r="DM163" s="168"/>
      <c r="DN163" s="168"/>
      <c r="DO163" s="168"/>
      <c r="DP163" s="168"/>
      <c r="DQ163" s="168"/>
      <c r="DR163" s="168"/>
      <c r="DS163" s="168"/>
      <c r="DT163" s="168"/>
      <c r="DU163" s="168"/>
      <c r="DV163" s="168"/>
      <c r="DW163" s="168"/>
      <c r="DX163" s="168"/>
      <c r="DY163" s="168"/>
      <c r="DZ163" s="168"/>
      <c r="EA163" s="168"/>
      <c r="EB163" s="168"/>
      <c r="EC163" s="168"/>
      <c r="ED163" s="168"/>
    </row>
    <row r="164" spans="3:134" s="1302" customFormat="1">
      <c r="C164" s="168"/>
      <c r="D164" s="168"/>
      <c r="E164" s="1300"/>
      <c r="F164" s="1300"/>
      <c r="G164" s="1300"/>
      <c r="H164" s="1300"/>
      <c r="I164" s="1300"/>
      <c r="J164" s="1300"/>
      <c r="K164" s="1301"/>
      <c r="L164" s="1301"/>
      <c r="M164" s="1301"/>
      <c r="N164" s="1301"/>
      <c r="O164" s="1301"/>
      <c r="P164" s="1301"/>
      <c r="Q164" s="1301"/>
      <c r="R164" s="1301"/>
      <c r="S164" s="168"/>
      <c r="T164" s="1510"/>
      <c r="U164" s="1510"/>
      <c r="V164" s="1510"/>
      <c r="W164" s="1510"/>
      <c r="X164" s="1510"/>
      <c r="Y164" s="1510"/>
      <c r="Z164" s="1510"/>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c r="BC164" s="168"/>
      <c r="BD164" s="168"/>
      <c r="BE164" s="168"/>
      <c r="BF164" s="168"/>
      <c r="BG164" s="168"/>
      <c r="BH164" s="168"/>
      <c r="BI164" s="168"/>
      <c r="BJ164" s="168"/>
      <c r="BK164" s="168"/>
      <c r="BL164" s="168"/>
      <c r="BM164" s="168"/>
      <c r="BN164" s="168"/>
      <c r="BO164" s="168"/>
      <c r="BP164" s="168"/>
      <c r="BQ164" s="168"/>
      <c r="BR164" s="168"/>
      <c r="BS164" s="168"/>
      <c r="BT164" s="168"/>
      <c r="BU164" s="168"/>
      <c r="BV164" s="168"/>
      <c r="BW164" s="168"/>
      <c r="BX164" s="168"/>
      <c r="BY164" s="168"/>
      <c r="BZ164" s="168"/>
      <c r="CA164" s="168"/>
      <c r="CB164" s="168"/>
      <c r="CC164" s="168"/>
      <c r="CD164" s="168"/>
      <c r="CE164" s="168"/>
      <c r="CF164" s="168"/>
      <c r="CG164" s="168"/>
      <c r="CH164" s="168"/>
      <c r="CI164" s="168"/>
      <c r="CJ164" s="168"/>
      <c r="CK164" s="168"/>
      <c r="CL164" s="168"/>
      <c r="CM164" s="168"/>
      <c r="CN164" s="168"/>
      <c r="CO164" s="168"/>
      <c r="CP164" s="168"/>
      <c r="CQ164" s="168"/>
      <c r="CR164" s="168"/>
      <c r="CS164" s="168"/>
      <c r="CT164" s="168"/>
      <c r="CU164" s="116"/>
      <c r="CV164" s="116"/>
      <c r="CW164" s="116"/>
      <c r="CX164" s="116"/>
      <c r="CY164" s="116"/>
      <c r="CZ164" s="116"/>
      <c r="DA164" s="116"/>
      <c r="DB164" s="116"/>
      <c r="DC164" s="116"/>
      <c r="DD164" s="116"/>
      <c r="DE164" s="116"/>
      <c r="DF164" s="116"/>
      <c r="DG164" s="116"/>
      <c r="DH164" s="116"/>
      <c r="DI164" s="116"/>
      <c r="DJ164" s="116"/>
      <c r="DK164" s="116"/>
      <c r="DL164" s="168"/>
      <c r="DM164" s="168"/>
      <c r="DN164" s="168"/>
      <c r="DO164" s="168"/>
      <c r="DP164" s="168"/>
      <c r="DQ164" s="168"/>
      <c r="DR164" s="168"/>
      <c r="DS164" s="168"/>
      <c r="DT164" s="168"/>
      <c r="DU164" s="168"/>
      <c r="DV164" s="168"/>
      <c r="DW164" s="168"/>
      <c r="DX164" s="168"/>
      <c r="DY164" s="168"/>
      <c r="DZ164" s="168"/>
      <c r="EA164" s="168"/>
      <c r="EB164" s="168"/>
      <c r="EC164" s="168"/>
      <c r="ED164" s="168"/>
    </row>
    <row r="165" spans="3:134" s="1302" customFormat="1">
      <c r="C165" s="168"/>
      <c r="D165" s="168"/>
      <c r="E165" s="1300"/>
      <c r="F165" s="1300"/>
      <c r="G165" s="1300"/>
      <c r="H165" s="1300"/>
      <c r="I165" s="1300"/>
      <c r="J165" s="1300"/>
      <c r="K165" s="1301"/>
      <c r="L165" s="1301"/>
      <c r="M165" s="1301"/>
      <c r="N165" s="1301"/>
      <c r="O165" s="1301"/>
      <c r="P165" s="1301"/>
      <c r="Q165" s="1301"/>
      <c r="R165" s="1301"/>
      <c r="S165" s="168"/>
      <c r="T165" s="1510"/>
      <c r="U165" s="1510"/>
      <c r="V165" s="1510"/>
      <c r="W165" s="1510"/>
      <c r="X165" s="1510"/>
      <c r="Y165" s="1510"/>
      <c r="Z165" s="1510"/>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16"/>
      <c r="CV165" s="116"/>
      <c r="CW165" s="116"/>
      <c r="CX165" s="116"/>
      <c r="CY165" s="116"/>
      <c r="CZ165" s="116"/>
      <c r="DA165" s="116"/>
      <c r="DB165" s="116"/>
      <c r="DC165" s="116"/>
      <c r="DD165" s="116"/>
      <c r="DE165" s="116"/>
      <c r="DF165" s="116"/>
      <c r="DG165" s="116"/>
      <c r="DH165" s="116"/>
      <c r="DI165" s="116"/>
      <c r="DJ165" s="116"/>
      <c r="DK165" s="116"/>
      <c r="DL165" s="168"/>
      <c r="DM165" s="168"/>
      <c r="DN165" s="168"/>
      <c r="DO165" s="168"/>
      <c r="DP165" s="168"/>
      <c r="DQ165" s="168"/>
      <c r="DR165" s="168"/>
      <c r="DS165" s="168"/>
      <c r="DT165" s="168"/>
      <c r="DU165" s="168"/>
      <c r="DV165" s="168"/>
      <c r="DW165" s="168"/>
      <c r="DX165" s="168"/>
      <c r="DY165" s="168"/>
      <c r="DZ165" s="168"/>
      <c r="EA165" s="168"/>
      <c r="EB165" s="168"/>
      <c r="EC165" s="168"/>
      <c r="ED165" s="168"/>
    </row>
    <row r="166" spans="3:134" s="1302" customFormat="1">
      <c r="C166" s="168"/>
      <c r="D166" s="168"/>
      <c r="E166" s="1300"/>
      <c r="F166" s="1300"/>
      <c r="G166" s="1300"/>
      <c r="H166" s="1300"/>
      <c r="I166" s="1300"/>
      <c r="J166" s="1300"/>
      <c r="K166" s="1301"/>
      <c r="L166" s="1301"/>
      <c r="M166" s="1301"/>
      <c r="N166" s="1301"/>
      <c r="O166" s="1301"/>
      <c r="P166" s="1301"/>
      <c r="Q166" s="1301"/>
      <c r="R166" s="1301"/>
      <c r="S166" s="168"/>
      <c r="T166" s="1510"/>
      <c r="U166" s="1510"/>
      <c r="V166" s="1510"/>
      <c r="W166" s="1510"/>
      <c r="X166" s="1510"/>
      <c r="Y166" s="1510"/>
      <c r="Z166" s="1510"/>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c r="AX166" s="168"/>
      <c r="AY166" s="168"/>
      <c r="AZ166" s="168"/>
      <c r="BA166" s="168"/>
      <c r="BB166" s="168"/>
      <c r="BC166" s="168"/>
      <c r="BD166" s="168"/>
      <c r="BE166" s="168"/>
      <c r="BF166" s="168"/>
      <c r="BG166" s="168"/>
      <c r="BH166" s="168"/>
      <c r="BI166" s="168"/>
      <c r="BJ166" s="168"/>
      <c r="BK166" s="168"/>
      <c r="BL166" s="168"/>
      <c r="BM166" s="168"/>
      <c r="BN166" s="168"/>
      <c r="BO166" s="168"/>
      <c r="BP166" s="168"/>
      <c r="BQ166" s="168"/>
      <c r="BR166" s="168"/>
      <c r="BS166" s="168"/>
      <c r="BT166" s="168"/>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16"/>
      <c r="CV166" s="116"/>
      <c r="CW166" s="116"/>
      <c r="CX166" s="116"/>
      <c r="CY166" s="116"/>
      <c r="CZ166" s="116"/>
      <c r="DA166" s="116"/>
      <c r="DB166" s="116"/>
      <c r="DC166" s="116"/>
      <c r="DD166" s="116"/>
      <c r="DE166" s="116"/>
      <c r="DF166" s="116"/>
      <c r="DG166" s="116"/>
      <c r="DH166" s="116"/>
      <c r="DI166" s="116"/>
      <c r="DJ166" s="116"/>
      <c r="DK166" s="116"/>
      <c r="DL166" s="168"/>
      <c r="DM166" s="168"/>
      <c r="DN166" s="168"/>
      <c r="DO166" s="168"/>
      <c r="DP166" s="168"/>
      <c r="DQ166" s="168"/>
      <c r="DR166" s="168"/>
      <c r="DS166" s="168"/>
      <c r="DT166" s="168"/>
      <c r="DU166" s="168"/>
      <c r="DV166" s="168"/>
      <c r="DW166" s="168"/>
      <c r="DX166" s="168"/>
      <c r="DY166" s="168"/>
      <c r="DZ166" s="168"/>
      <c r="EA166" s="168"/>
      <c r="EB166" s="168"/>
      <c r="EC166" s="168"/>
      <c r="ED166" s="168"/>
    </row>
    <row r="167" spans="3:134" s="1302" customFormat="1">
      <c r="C167" s="168"/>
      <c r="D167" s="168"/>
      <c r="E167" s="1300"/>
      <c r="F167" s="1300"/>
      <c r="G167" s="1300"/>
      <c r="H167" s="1300"/>
      <c r="I167" s="1300"/>
      <c r="J167" s="1300"/>
      <c r="K167" s="1301"/>
      <c r="L167" s="1301"/>
      <c r="M167" s="1301"/>
      <c r="N167" s="1301"/>
      <c r="O167" s="1301"/>
      <c r="P167" s="1301"/>
      <c r="Q167" s="1301"/>
      <c r="R167" s="1301"/>
      <c r="S167" s="168"/>
      <c r="T167" s="1510"/>
      <c r="U167" s="1510"/>
      <c r="V167" s="1510"/>
      <c r="W167" s="1510"/>
      <c r="X167" s="1510"/>
      <c r="Y167" s="1510"/>
      <c r="Z167" s="1510"/>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c r="AX167" s="168"/>
      <c r="AY167" s="168"/>
      <c r="AZ167" s="168"/>
      <c r="BA167" s="168"/>
      <c r="BB167" s="168"/>
      <c r="BC167" s="168"/>
      <c r="BD167" s="168"/>
      <c r="BE167" s="168"/>
      <c r="BF167" s="168"/>
      <c r="BG167" s="168"/>
      <c r="BH167" s="168"/>
      <c r="BI167" s="168"/>
      <c r="BJ167" s="168"/>
      <c r="BK167" s="168"/>
      <c r="BL167" s="168"/>
      <c r="BM167" s="168"/>
      <c r="BN167" s="168"/>
      <c r="BO167" s="168"/>
      <c r="BP167" s="168"/>
      <c r="BQ167" s="168"/>
      <c r="BR167" s="168"/>
      <c r="BS167" s="168"/>
      <c r="BT167" s="168"/>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16"/>
      <c r="CV167" s="116"/>
      <c r="CW167" s="116"/>
      <c r="CX167" s="116"/>
      <c r="CY167" s="116"/>
      <c r="CZ167" s="116"/>
      <c r="DA167" s="116"/>
      <c r="DB167" s="116"/>
      <c r="DC167" s="116"/>
      <c r="DD167" s="116"/>
      <c r="DE167" s="116"/>
      <c r="DF167" s="116"/>
      <c r="DG167" s="116"/>
      <c r="DH167" s="116"/>
      <c r="DI167" s="116"/>
      <c r="DJ167" s="116"/>
      <c r="DK167" s="116"/>
      <c r="DL167" s="168"/>
      <c r="DM167" s="168"/>
      <c r="DN167" s="168"/>
      <c r="DO167" s="168"/>
      <c r="DP167" s="168"/>
      <c r="DQ167" s="168"/>
      <c r="DR167" s="168"/>
      <c r="DS167" s="168"/>
      <c r="DT167" s="168"/>
      <c r="DU167" s="168"/>
      <c r="DV167" s="168"/>
      <c r="DW167" s="168"/>
      <c r="DX167" s="168"/>
      <c r="DY167" s="168"/>
      <c r="DZ167" s="168"/>
      <c r="EA167" s="168"/>
      <c r="EB167" s="168"/>
      <c r="EC167" s="168"/>
      <c r="ED167" s="168"/>
    </row>
    <row r="168" spans="3:134" s="1302" customFormat="1">
      <c r="C168" s="168"/>
      <c r="D168" s="168"/>
      <c r="E168" s="1300"/>
      <c r="F168" s="1300"/>
      <c r="G168" s="1300"/>
      <c r="H168" s="1300"/>
      <c r="I168" s="1300"/>
      <c r="J168" s="1300"/>
      <c r="K168" s="1301"/>
      <c r="L168" s="1301"/>
      <c r="M168" s="1301"/>
      <c r="N168" s="1301"/>
      <c r="O168" s="1301"/>
      <c r="P168" s="1301"/>
      <c r="Q168" s="1301"/>
      <c r="R168" s="1301"/>
      <c r="S168" s="168"/>
      <c r="T168" s="1510"/>
      <c r="U168" s="1510"/>
      <c r="V168" s="1510"/>
      <c r="W168" s="1510"/>
      <c r="X168" s="1510"/>
      <c r="Y168" s="1510"/>
      <c r="Z168" s="1510"/>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c r="BT168" s="168"/>
      <c r="BU168" s="168"/>
      <c r="BV168" s="168"/>
      <c r="BW168" s="168"/>
      <c r="BX168" s="168"/>
      <c r="BY168" s="168"/>
      <c r="BZ168" s="168"/>
      <c r="CA168" s="168"/>
      <c r="CB168" s="168"/>
      <c r="CC168" s="168"/>
      <c r="CD168" s="168"/>
      <c r="CE168" s="168"/>
      <c r="CF168" s="168"/>
      <c r="CG168" s="168"/>
      <c r="CH168" s="168"/>
      <c r="CI168" s="168"/>
      <c r="CJ168" s="168"/>
      <c r="CK168" s="168"/>
      <c r="CL168" s="168"/>
      <c r="CM168" s="168"/>
      <c r="CN168" s="168"/>
      <c r="CO168" s="168"/>
      <c r="CP168" s="168"/>
      <c r="CQ168" s="168"/>
      <c r="CR168" s="168"/>
      <c r="CS168" s="168"/>
      <c r="CT168" s="168"/>
      <c r="CU168" s="116"/>
      <c r="CV168" s="116"/>
      <c r="CW168" s="116"/>
      <c r="CX168" s="116"/>
      <c r="CY168" s="116"/>
      <c r="CZ168" s="116"/>
      <c r="DA168" s="116"/>
      <c r="DB168" s="116"/>
      <c r="DC168" s="116"/>
      <c r="DD168" s="116"/>
      <c r="DE168" s="116"/>
      <c r="DF168" s="116"/>
      <c r="DG168" s="116"/>
      <c r="DH168" s="116"/>
      <c r="DI168" s="116"/>
      <c r="DJ168" s="116"/>
      <c r="DK168" s="116"/>
      <c r="DL168" s="168"/>
      <c r="DM168" s="168"/>
      <c r="DN168" s="168"/>
      <c r="DO168" s="168"/>
      <c r="DP168" s="168"/>
      <c r="DQ168" s="168"/>
      <c r="DR168" s="168"/>
      <c r="DS168" s="168"/>
      <c r="DT168" s="168"/>
      <c r="DU168" s="168"/>
      <c r="DV168" s="168"/>
      <c r="DW168" s="168"/>
      <c r="DX168" s="168"/>
      <c r="DY168" s="168"/>
      <c r="DZ168" s="168"/>
      <c r="EA168" s="168"/>
      <c r="EB168" s="168"/>
      <c r="EC168" s="168"/>
      <c r="ED168" s="168"/>
    </row>
    <row r="169" spans="3:134" s="1302" customFormat="1">
      <c r="C169" s="168"/>
      <c r="D169" s="168"/>
      <c r="E169" s="1300"/>
      <c r="F169" s="1300"/>
      <c r="G169" s="1300"/>
      <c r="H169" s="1300"/>
      <c r="I169" s="1300"/>
      <c r="J169" s="1300"/>
      <c r="K169" s="1301"/>
      <c r="L169" s="1301"/>
      <c r="M169" s="1301"/>
      <c r="N169" s="1301"/>
      <c r="O169" s="1301"/>
      <c r="P169" s="1301"/>
      <c r="Q169" s="1301"/>
      <c r="R169" s="1301"/>
      <c r="S169" s="168"/>
      <c r="T169" s="1510"/>
      <c r="U169" s="1510"/>
      <c r="V169" s="1510"/>
      <c r="W169" s="1510"/>
      <c r="X169" s="1510"/>
      <c r="Y169" s="1510"/>
      <c r="Z169" s="1510"/>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68"/>
      <c r="AV169" s="168"/>
      <c r="AW169" s="168"/>
      <c r="AX169" s="168"/>
      <c r="AY169" s="168"/>
      <c r="AZ169" s="168"/>
      <c r="BA169" s="168"/>
      <c r="BB169" s="168"/>
      <c r="BC169" s="168"/>
      <c r="BD169" s="168"/>
      <c r="BE169" s="168"/>
      <c r="BF169" s="168"/>
      <c r="BG169" s="168"/>
      <c r="BH169" s="168"/>
      <c r="BI169" s="168"/>
      <c r="BJ169" s="168"/>
      <c r="BK169" s="168"/>
      <c r="BL169" s="168"/>
      <c r="BM169" s="168"/>
      <c r="BN169" s="168"/>
      <c r="BO169" s="168"/>
      <c r="BP169" s="168"/>
      <c r="BQ169" s="168"/>
      <c r="BR169" s="168"/>
      <c r="BS169" s="168"/>
      <c r="BT169" s="168"/>
      <c r="BU169" s="168"/>
      <c r="BV169" s="168"/>
      <c r="BW169" s="168"/>
      <c r="BX169" s="168"/>
      <c r="BY169" s="168"/>
      <c r="BZ169" s="168"/>
      <c r="CA169" s="168"/>
      <c r="CB169" s="168"/>
      <c r="CC169" s="168"/>
      <c r="CD169" s="168"/>
      <c r="CE169" s="168"/>
      <c r="CF169" s="168"/>
      <c r="CG169" s="168"/>
      <c r="CH169" s="168"/>
      <c r="CI169" s="168"/>
      <c r="CJ169" s="168"/>
      <c r="CK169" s="168"/>
      <c r="CL169" s="168"/>
      <c r="CM169" s="168"/>
      <c r="CN169" s="168"/>
      <c r="CO169" s="168"/>
      <c r="CP169" s="168"/>
      <c r="CQ169" s="168"/>
      <c r="CR169" s="168"/>
      <c r="CS169" s="168"/>
      <c r="CT169" s="168"/>
      <c r="CU169" s="116"/>
      <c r="CV169" s="116"/>
      <c r="CW169" s="116"/>
      <c r="CX169" s="116"/>
      <c r="CY169" s="116"/>
      <c r="CZ169" s="116"/>
      <c r="DA169" s="116"/>
      <c r="DB169" s="116"/>
      <c r="DC169" s="116"/>
      <c r="DD169" s="116"/>
      <c r="DE169" s="116"/>
      <c r="DF169" s="116"/>
      <c r="DG169" s="116"/>
      <c r="DH169" s="116"/>
      <c r="DI169" s="116"/>
      <c r="DJ169" s="116"/>
      <c r="DK169" s="116"/>
      <c r="DL169" s="168"/>
      <c r="DM169" s="168"/>
      <c r="DN169" s="168"/>
      <c r="DO169" s="168"/>
      <c r="DP169" s="168"/>
      <c r="DQ169" s="168"/>
      <c r="DR169" s="168"/>
      <c r="DS169" s="168"/>
      <c r="DT169" s="168"/>
      <c r="DU169" s="168"/>
      <c r="DV169" s="168"/>
      <c r="DW169" s="168"/>
      <c r="DX169" s="168"/>
      <c r="DY169" s="168"/>
      <c r="DZ169" s="168"/>
      <c r="EA169" s="168"/>
      <c r="EB169" s="168"/>
      <c r="EC169" s="168"/>
      <c r="ED169" s="168"/>
    </row>
    <row r="170" spans="3:134" s="167" customFormat="1">
      <c r="C170" s="37"/>
      <c r="D170" s="37"/>
      <c r="E170" s="173"/>
      <c r="F170" s="173"/>
      <c r="G170" s="173"/>
      <c r="H170" s="173"/>
      <c r="I170" s="173"/>
      <c r="J170" s="173"/>
      <c r="K170" s="49"/>
      <c r="L170" s="49"/>
      <c r="M170" s="49"/>
      <c r="N170" s="49"/>
      <c r="O170" s="49"/>
      <c r="P170" s="49"/>
      <c r="Q170" s="49"/>
      <c r="R170" s="49"/>
      <c r="S170" s="37"/>
      <c r="T170" s="1510"/>
      <c r="U170" s="50"/>
      <c r="V170" s="50"/>
      <c r="W170" s="50"/>
      <c r="X170" s="50"/>
      <c r="Y170" s="50"/>
      <c r="Z170" s="50"/>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0"/>
      <c r="CV170" s="30"/>
      <c r="CW170" s="30"/>
      <c r="CX170" s="30"/>
      <c r="CY170" s="30"/>
      <c r="CZ170" s="30"/>
      <c r="DA170" s="30"/>
      <c r="DB170" s="30"/>
      <c r="DC170" s="30"/>
      <c r="DD170" s="30"/>
      <c r="DE170" s="30"/>
      <c r="DF170" s="30"/>
      <c r="DG170" s="30"/>
      <c r="DH170" s="30"/>
      <c r="DI170" s="30"/>
      <c r="DJ170" s="30"/>
      <c r="DK170" s="30"/>
      <c r="DL170" s="45"/>
      <c r="DM170" s="45"/>
      <c r="DN170" s="45"/>
      <c r="DO170" s="45"/>
      <c r="DP170" s="45"/>
      <c r="DQ170" s="45"/>
      <c r="DR170" s="45"/>
      <c r="DS170" s="45"/>
      <c r="DT170" s="45"/>
      <c r="DU170" s="45"/>
      <c r="DV170" s="45"/>
      <c r="DW170" s="45"/>
      <c r="DX170" s="45"/>
      <c r="DY170" s="45"/>
      <c r="DZ170" s="45"/>
      <c r="EA170" s="37"/>
      <c r="EB170" s="37"/>
      <c r="EC170" s="37"/>
      <c r="ED170" s="37"/>
    </row>
    <row r="171" spans="3:134" s="167" customFormat="1">
      <c r="C171" s="37"/>
      <c r="D171" s="37"/>
      <c r="E171" s="173"/>
      <c r="F171" s="173"/>
      <c r="G171" s="173"/>
      <c r="H171" s="173"/>
      <c r="I171" s="173"/>
      <c r="J171" s="173"/>
      <c r="K171" s="49"/>
      <c r="L171" s="49"/>
      <c r="M171" s="49"/>
      <c r="N171" s="49"/>
      <c r="O171" s="49"/>
      <c r="P171" s="49"/>
      <c r="Q171" s="49"/>
      <c r="R171" s="49"/>
      <c r="S171" s="37"/>
      <c r="T171" s="1510"/>
      <c r="U171" s="50"/>
      <c r="V171" s="50"/>
      <c r="W171" s="50"/>
      <c r="X171" s="50"/>
      <c r="Y171" s="50"/>
      <c r="Z171" s="50"/>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0"/>
      <c r="CV171" s="30"/>
      <c r="CW171" s="30"/>
      <c r="CX171" s="30"/>
      <c r="CY171" s="30"/>
      <c r="CZ171" s="30"/>
      <c r="DA171" s="30"/>
      <c r="DB171" s="30"/>
      <c r="DC171" s="30"/>
      <c r="DD171" s="30"/>
      <c r="DE171" s="30"/>
      <c r="DF171" s="30"/>
      <c r="DG171" s="30"/>
      <c r="DH171" s="30"/>
      <c r="DI171" s="30"/>
      <c r="DJ171" s="30"/>
      <c r="DK171" s="30"/>
      <c r="DL171" s="45"/>
      <c r="DM171" s="45"/>
      <c r="DN171" s="45"/>
      <c r="DO171" s="45"/>
      <c r="DP171" s="45"/>
      <c r="DQ171" s="45"/>
      <c r="DR171" s="45"/>
      <c r="DS171" s="45"/>
      <c r="DT171" s="45"/>
      <c r="DU171" s="45"/>
      <c r="DV171" s="45"/>
      <c r="DW171" s="45"/>
      <c r="DX171" s="45"/>
      <c r="DY171" s="45"/>
      <c r="DZ171" s="45"/>
      <c r="EA171" s="37"/>
      <c r="EB171" s="37"/>
      <c r="EC171" s="37"/>
      <c r="ED171" s="37"/>
    </row>
    <row r="172" spans="3:134" s="167" customFormat="1">
      <c r="C172" s="37"/>
      <c r="D172" s="37"/>
      <c r="E172" s="173"/>
      <c r="F172" s="173"/>
      <c r="G172" s="173"/>
      <c r="H172" s="173"/>
      <c r="I172" s="173"/>
      <c r="J172" s="173"/>
      <c r="K172" s="49"/>
      <c r="L172" s="49"/>
      <c r="M172" s="49"/>
      <c r="N172" s="49"/>
      <c r="O172" s="49"/>
      <c r="P172" s="49"/>
      <c r="Q172" s="49"/>
      <c r="R172" s="49"/>
      <c r="S172" s="37"/>
      <c r="T172" s="1510"/>
      <c r="U172" s="50"/>
      <c r="V172" s="50"/>
      <c r="W172" s="50"/>
      <c r="X172" s="50"/>
      <c r="Y172" s="50"/>
      <c r="Z172" s="50"/>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c r="BU172" s="37"/>
      <c r="BV172" s="37"/>
      <c r="BW172" s="37"/>
      <c r="BX172" s="37"/>
      <c r="BY172" s="37"/>
      <c r="BZ172" s="37"/>
      <c r="CA172" s="37"/>
      <c r="CB172" s="37"/>
      <c r="CC172" s="37"/>
      <c r="CD172" s="37"/>
      <c r="CE172" s="37"/>
      <c r="CF172" s="37"/>
      <c r="CG172" s="37"/>
      <c r="CH172" s="37"/>
      <c r="CI172" s="37"/>
      <c r="CJ172" s="37"/>
      <c r="CK172" s="37"/>
      <c r="CL172" s="37"/>
      <c r="CM172" s="37"/>
      <c r="CN172" s="37"/>
      <c r="CO172" s="37"/>
      <c r="CP172" s="37"/>
      <c r="CQ172" s="37"/>
      <c r="CR172" s="37"/>
      <c r="CS172" s="37"/>
      <c r="CT172" s="37"/>
      <c r="CU172" s="30"/>
      <c r="CV172" s="30"/>
      <c r="CW172" s="30"/>
      <c r="CX172" s="30"/>
      <c r="CY172" s="30"/>
      <c r="CZ172" s="30"/>
      <c r="DA172" s="30"/>
      <c r="DB172" s="30"/>
      <c r="DC172" s="30"/>
      <c r="DD172" s="30"/>
      <c r="DE172" s="30"/>
      <c r="DF172" s="30"/>
      <c r="DG172" s="30"/>
      <c r="DH172" s="30"/>
      <c r="DI172" s="30"/>
      <c r="DJ172" s="30"/>
      <c r="DK172" s="30"/>
      <c r="DL172" s="45"/>
      <c r="DM172" s="45"/>
      <c r="DN172" s="45"/>
      <c r="DO172" s="45"/>
      <c r="DP172" s="45"/>
      <c r="DQ172" s="45"/>
      <c r="DR172" s="45"/>
      <c r="DS172" s="45"/>
      <c r="DT172" s="45"/>
      <c r="DU172" s="45"/>
      <c r="DV172" s="45"/>
      <c r="DW172" s="45"/>
      <c r="DX172" s="45"/>
      <c r="DY172" s="45"/>
      <c r="DZ172" s="45"/>
      <c r="EA172" s="37"/>
      <c r="EB172" s="37"/>
      <c r="EC172" s="37"/>
      <c r="ED172" s="37"/>
    </row>
    <row r="173" spans="3:134" s="167" customFormat="1">
      <c r="C173" s="37"/>
      <c r="D173" s="37"/>
      <c r="E173" s="173"/>
      <c r="F173" s="173"/>
      <c r="G173" s="173"/>
      <c r="H173" s="173"/>
      <c r="I173" s="173"/>
      <c r="J173" s="173"/>
      <c r="K173" s="49"/>
      <c r="L173" s="49"/>
      <c r="M173" s="49"/>
      <c r="N173" s="49"/>
      <c r="O173" s="49"/>
      <c r="P173" s="49"/>
      <c r="Q173" s="49"/>
      <c r="R173" s="49"/>
      <c r="S173" s="37"/>
      <c r="T173" s="1510"/>
      <c r="U173" s="50"/>
      <c r="V173" s="50"/>
      <c r="W173" s="50"/>
      <c r="X173" s="50"/>
      <c r="Y173" s="50"/>
      <c r="Z173" s="50"/>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0"/>
      <c r="CV173" s="30"/>
      <c r="CW173" s="30"/>
      <c r="CX173" s="30"/>
      <c r="CY173" s="30"/>
      <c r="CZ173" s="30"/>
      <c r="DA173" s="30"/>
      <c r="DB173" s="30"/>
      <c r="DC173" s="30"/>
      <c r="DD173" s="30"/>
      <c r="DE173" s="30"/>
      <c r="DF173" s="30"/>
      <c r="DG173" s="30"/>
      <c r="DH173" s="30"/>
      <c r="DI173" s="30"/>
      <c r="DJ173" s="30"/>
      <c r="DK173" s="30"/>
      <c r="DL173" s="45"/>
      <c r="DM173" s="45"/>
      <c r="DN173" s="45"/>
      <c r="DO173" s="45"/>
      <c r="DP173" s="45"/>
      <c r="DQ173" s="45"/>
      <c r="DR173" s="45"/>
      <c r="DS173" s="45"/>
      <c r="DT173" s="45"/>
      <c r="DU173" s="45"/>
      <c r="DV173" s="45"/>
      <c r="DW173" s="45"/>
      <c r="DX173" s="45"/>
      <c r="DY173" s="45"/>
      <c r="DZ173" s="45"/>
      <c r="EA173" s="37"/>
      <c r="EB173" s="37"/>
      <c r="EC173" s="37"/>
      <c r="ED173" s="37"/>
    </row>
    <row r="174" spans="3:134" s="167" customFormat="1">
      <c r="C174" s="37"/>
      <c r="D174" s="37"/>
      <c r="E174" s="173"/>
      <c r="F174" s="173"/>
      <c r="G174" s="173"/>
      <c r="H174" s="173"/>
      <c r="I174" s="173"/>
      <c r="J174" s="173"/>
      <c r="K174" s="49"/>
      <c r="L174" s="49"/>
      <c r="M174" s="49"/>
      <c r="N174" s="49"/>
      <c r="O174" s="49"/>
      <c r="P174" s="49"/>
      <c r="Q174" s="49"/>
      <c r="R174" s="49"/>
      <c r="S174" s="37"/>
      <c r="T174" s="1510"/>
      <c r="U174" s="50"/>
      <c r="V174" s="50"/>
      <c r="W174" s="50"/>
      <c r="X174" s="50"/>
      <c r="Y174" s="50"/>
      <c r="Z174" s="50"/>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0"/>
      <c r="CV174" s="30"/>
      <c r="CW174" s="30"/>
      <c r="CX174" s="30"/>
      <c r="CY174" s="30"/>
      <c r="CZ174" s="30"/>
      <c r="DA174" s="30"/>
      <c r="DB174" s="30"/>
      <c r="DC174" s="30"/>
      <c r="DD174" s="30"/>
      <c r="DE174" s="30"/>
      <c r="DF174" s="30"/>
      <c r="DG174" s="30"/>
      <c r="DH174" s="30"/>
      <c r="DI174" s="30"/>
      <c r="DJ174" s="30"/>
      <c r="DK174" s="30"/>
      <c r="DL174" s="45"/>
      <c r="DM174" s="45"/>
      <c r="DN174" s="45"/>
      <c r="DO174" s="45"/>
      <c r="DP174" s="45"/>
      <c r="DQ174" s="45"/>
      <c r="DR174" s="45"/>
      <c r="DS174" s="45"/>
      <c r="DT174" s="45"/>
      <c r="DU174" s="45"/>
      <c r="DV174" s="45"/>
      <c r="DW174" s="45"/>
      <c r="DX174" s="45"/>
      <c r="DY174" s="45"/>
      <c r="DZ174" s="45"/>
      <c r="EA174" s="37"/>
      <c r="EB174" s="37"/>
      <c r="EC174" s="37"/>
      <c r="ED174" s="37"/>
    </row>
    <row r="175" spans="3:134" s="167" customFormat="1">
      <c r="C175" s="37"/>
      <c r="D175" s="37"/>
      <c r="E175" s="173"/>
      <c r="F175" s="173"/>
      <c r="G175" s="173"/>
      <c r="H175" s="173"/>
      <c r="I175" s="173"/>
      <c r="J175" s="173"/>
      <c r="K175" s="49"/>
      <c r="L175" s="49"/>
      <c r="M175" s="49"/>
      <c r="N175" s="49"/>
      <c r="O175" s="49"/>
      <c r="P175" s="49"/>
      <c r="Q175" s="49"/>
      <c r="R175" s="49"/>
      <c r="S175" s="37"/>
      <c r="T175" s="1510"/>
      <c r="U175" s="50"/>
      <c r="V175" s="50"/>
      <c r="W175" s="50"/>
      <c r="X175" s="50"/>
      <c r="Y175" s="50"/>
      <c r="Z175" s="50"/>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c r="AZ175" s="37"/>
      <c r="BA175" s="37"/>
      <c r="BB175" s="37"/>
      <c r="BC175" s="37"/>
      <c r="BD175" s="37"/>
      <c r="BE175" s="37"/>
      <c r="BF175" s="37"/>
      <c r="BG175" s="37"/>
      <c r="BH175" s="37"/>
      <c r="BI175" s="37"/>
      <c r="BJ175" s="37"/>
      <c r="BK175" s="37"/>
      <c r="BL175" s="37"/>
      <c r="BM175" s="37"/>
      <c r="BN175" s="37"/>
      <c r="BO175" s="37"/>
      <c r="BP175" s="37"/>
      <c r="BQ175" s="37"/>
      <c r="BR175" s="37"/>
      <c r="BS175" s="37"/>
      <c r="BT175" s="37"/>
      <c r="BU175" s="37"/>
      <c r="BV175" s="37"/>
      <c r="BW175" s="37"/>
      <c r="BX175" s="37"/>
      <c r="BY175" s="37"/>
      <c r="BZ175" s="37"/>
      <c r="CA175" s="37"/>
      <c r="CB175" s="37"/>
      <c r="CC175" s="37"/>
      <c r="CD175" s="37"/>
      <c r="CE175" s="37"/>
      <c r="CF175" s="37"/>
      <c r="CG175" s="37"/>
      <c r="CH175" s="37"/>
      <c r="CI175" s="37"/>
      <c r="CJ175" s="37"/>
      <c r="CK175" s="37"/>
      <c r="CL175" s="37"/>
      <c r="CM175" s="37"/>
      <c r="CN175" s="37"/>
      <c r="CO175" s="37"/>
      <c r="CP175" s="37"/>
      <c r="CQ175" s="37"/>
      <c r="CR175" s="37"/>
      <c r="CS175" s="37"/>
      <c r="CT175" s="37"/>
      <c r="CU175" s="30"/>
      <c r="CV175" s="30"/>
      <c r="CW175" s="30"/>
      <c r="CX175" s="30"/>
      <c r="CY175" s="30"/>
      <c r="CZ175" s="30"/>
      <c r="DA175" s="30"/>
      <c r="DB175" s="30"/>
      <c r="DC175" s="30"/>
      <c r="DD175" s="30"/>
      <c r="DE175" s="30"/>
      <c r="DF175" s="30"/>
      <c r="DG175" s="30"/>
      <c r="DH175" s="30"/>
      <c r="DI175" s="30"/>
      <c r="DJ175" s="30"/>
      <c r="DK175" s="30"/>
      <c r="DL175" s="45"/>
      <c r="DM175" s="45"/>
      <c r="DN175" s="45"/>
      <c r="DO175" s="45"/>
      <c r="DP175" s="45"/>
      <c r="DQ175" s="45"/>
      <c r="DR175" s="45"/>
      <c r="DS175" s="45"/>
      <c r="DT175" s="45"/>
      <c r="DU175" s="45"/>
      <c r="DV175" s="45"/>
      <c r="DW175" s="45"/>
      <c r="DX175" s="45"/>
      <c r="DY175" s="45"/>
      <c r="DZ175" s="45"/>
      <c r="EA175" s="37"/>
      <c r="EB175" s="37"/>
      <c r="EC175" s="37"/>
      <c r="ED175" s="37"/>
    </row>
    <row r="176" spans="3:134" s="167" customFormat="1">
      <c r="C176" s="37"/>
      <c r="D176" s="37"/>
      <c r="E176" s="173"/>
      <c r="F176" s="173"/>
      <c r="G176" s="173"/>
      <c r="H176" s="173"/>
      <c r="I176" s="173"/>
      <c r="J176" s="173"/>
      <c r="K176" s="49"/>
      <c r="L176" s="49"/>
      <c r="M176" s="49"/>
      <c r="N176" s="49"/>
      <c r="O176" s="49"/>
      <c r="P176" s="49"/>
      <c r="Q176" s="49"/>
      <c r="R176" s="49"/>
      <c r="S176" s="37"/>
      <c r="T176" s="1510"/>
      <c r="U176" s="50"/>
      <c r="V176" s="50"/>
      <c r="W176" s="50"/>
      <c r="X176" s="50"/>
      <c r="Y176" s="50"/>
      <c r="Z176" s="50"/>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c r="BB176" s="37"/>
      <c r="BC176" s="37"/>
      <c r="BD176" s="37"/>
      <c r="BE176" s="37"/>
      <c r="BF176" s="37"/>
      <c r="BG176" s="37"/>
      <c r="BH176" s="37"/>
      <c r="BI176" s="37"/>
      <c r="BJ176" s="37"/>
      <c r="BK176" s="37"/>
      <c r="BL176" s="37"/>
      <c r="BM176" s="37"/>
      <c r="BN176" s="37"/>
      <c r="BO176" s="37"/>
      <c r="BP176" s="37"/>
      <c r="BQ176" s="37"/>
      <c r="BR176" s="37"/>
      <c r="BS176" s="37"/>
      <c r="BT176" s="37"/>
      <c r="BU176" s="37"/>
      <c r="BV176" s="37"/>
      <c r="BW176" s="37"/>
      <c r="BX176" s="37"/>
      <c r="BY176" s="37"/>
      <c r="BZ176" s="37"/>
      <c r="CA176" s="37"/>
      <c r="CB176" s="37"/>
      <c r="CC176" s="37"/>
      <c r="CD176" s="37"/>
      <c r="CE176" s="37"/>
      <c r="CF176" s="37"/>
      <c r="CG176" s="37"/>
      <c r="CH176" s="37"/>
      <c r="CI176" s="37"/>
      <c r="CJ176" s="37"/>
      <c r="CK176" s="37"/>
      <c r="CL176" s="37"/>
      <c r="CM176" s="37"/>
      <c r="CN176" s="37"/>
      <c r="CO176" s="37"/>
      <c r="CP176" s="37"/>
      <c r="CQ176" s="37"/>
      <c r="CR176" s="37"/>
      <c r="CS176" s="37"/>
      <c r="CT176" s="37"/>
      <c r="CU176" s="30"/>
      <c r="CV176" s="30"/>
      <c r="CW176" s="30"/>
      <c r="CX176" s="30"/>
      <c r="CY176" s="30"/>
      <c r="CZ176" s="30"/>
      <c r="DA176" s="30"/>
      <c r="DB176" s="30"/>
      <c r="DC176" s="30"/>
      <c r="DD176" s="30"/>
      <c r="DE176" s="30"/>
      <c r="DF176" s="30"/>
      <c r="DG176" s="30"/>
      <c r="DH176" s="30"/>
      <c r="DI176" s="30"/>
      <c r="DJ176" s="30"/>
      <c r="DK176" s="30"/>
      <c r="DL176" s="45"/>
      <c r="DM176" s="45"/>
      <c r="DN176" s="45"/>
      <c r="DO176" s="45"/>
      <c r="DP176" s="45"/>
      <c r="DQ176" s="45"/>
      <c r="DR176" s="45"/>
      <c r="DS176" s="45"/>
      <c r="DT176" s="45"/>
      <c r="DU176" s="45"/>
      <c r="DV176" s="45"/>
      <c r="DW176" s="45"/>
      <c r="DX176" s="45"/>
      <c r="DY176" s="45"/>
      <c r="DZ176" s="45"/>
      <c r="EA176" s="37"/>
      <c r="EB176" s="37"/>
      <c r="EC176" s="37"/>
      <c r="ED176" s="37"/>
    </row>
    <row r="177" spans="3:134" s="167" customFormat="1">
      <c r="C177" s="37"/>
      <c r="D177" s="37"/>
      <c r="E177" s="173"/>
      <c r="F177" s="173"/>
      <c r="G177" s="173"/>
      <c r="H177" s="173"/>
      <c r="I177" s="173"/>
      <c r="J177" s="173"/>
      <c r="K177" s="49"/>
      <c r="L177" s="49"/>
      <c r="M177" s="49"/>
      <c r="N177" s="49"/>
      <c r="O177" s="49"/>
      <c r="P177" s="49"/>
      <c r="Q177" s="49"/>
      <c r="R177" s="49"/>
      <c r="S177" s="37"/>
      <c r="T177" s="1510"/>
      <c r="U177" s="50"/>
      <c r="V177" s="50"/>
      <c r="W177" s="50"/>
      <c r="X177" s="50"/>
      <c r="Y177" s="50"/>
      <c r="Z177" s="50"/>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c r="CP177" s="37"/>
      <c r="CQ177" s="37"/>
      <c r="CR177" s="37"/>
      <c r="CS177" s="37"/>
      <c r="CT177" s="37"/>
      <c r="CU177" s="30"/>
      <c r="CV177" s="30"/>
      <c r="CW177" s="30"/>
      <c r="CX177" s="30"/>
      <c r="CY177" s="30"/>
      <c r="CZ177" s="30"/>
      <c r="DA177" s="30"/>
      <c r="DB177" s="30"/>
      <c r="DC177" s="30"/>
      <c r="DD177" s="30"/>
      <c r="DE177" s="30"/>
      <c r="DF177" s="30"/>
      <c r="DG177" s="30"/>
      <c r="DH177" s="30"/>
      <c r="DI177" s="30"/>
      <c r="DJ177" s="30"/>
      <c r="DK177" s="30"/>
      <c r="DL177" s="45"/>
      <c r="DM177" s="45"/>
      <c r="DN177" s="45"/>
      <c r="DO177" s="45"/>
      <c r="DP177" s="45"/>
      <c r="DQ177" s="45"/>
      <c r="DR177" s="45"/>
      <c r="DS177" s="45"/>
      <c r="DT177" s="45"/>
      <c r="DU177" s="45"/>
      <c r="DV177" s="45"/>
      <c r="DW177" s="45"/>
      <c r="DX177" s="45"/>
      <c r="DY177" s="45"/>
      <c r="DZ177" s="45"/>
      <c r="EA177" s="37"/>
      <c r="EB177" s="37"/>
      <c r="EC177" s="37"/>
      <c r="ED177" s="37"/>
    </row>
    <row r="178" spans="3:134" s="167" customFormat="1">
      <c r="C178" s="37"/>
      <c r="D178" s="37"/>
      <c r="E178" s="173"/>
      <c r="F178" s="173"/>
      <c r="G178" s="173"/>
      <c r="H178" s="173"/>
      <c r="I178" s="173"/>
      <c r="J178" s="173"/>
      <c r="K178" s="49"/>
      <c r="L178" s="49"/>
      <c r="M178" s="49"/>
      <c r="N178" s="49"/>
      <c r="O178" s="49"/>
      <c r="P178" s="49"/>
      <c r="Q178" s="49"/>
      <c r="R178" s="49"/>
      <c r="S178" s="37"/>
      <c r="T178" s="1510"/>
      <c r="U178" s="50"/>
      <c r="V178" s="50"/>
      <c r="W178" s="50"/>
      <c r="X178" s="50"/>
      <c r="Y178" s="50"/>
      <c r="Z178" s="50"/>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7"/>
      <c r="BP178" s="37"/>
      <c r="BQ178" s="37"/>
      <c r="BR178" s="37"/>
      <c r="BS178" s="37"/>
      <c r="BT178" s="37"/>
      <c r="BU178" s="37"/>
      <c r="BV178" s="37"/>
      <c r="BW178" s="37"/>
      <c r="BX178" s="37"/>
      <c r="BY178" s="37"/>
      <c r="BZ178" s="37"/>
      <c r="CA178" s="37"/>
      <c r="CB178" s="37"/>
      <c r="CC178" s="37"/>
      <c r="CD178" s="37"/>
      <c r="CE178" s="37"/>
      <c r="CF178" s="37"/>
      <c r="CG178" s="37"/>
      <c r="CH178" s="37"/>
      <c r="CI178" s="37"/>
      <c r="CJ178" s="37"/>
      <c r="CK178" s="37"/>
      <c r="CL178" s="37"/>
      <c r="CM178" s="37"/>
      <c r="CN178" s="37"/>
      <c r="CO178" s="37"/>
      <c r="CP178" s="37"/>
      <c r="CQ178" s="37"/>
      <c r="CR178" s="37"/>
      <c r="CS178" s="37"/>
      <c r="CT178" s="37"/>
      <c r="CU178" s="30"/>
      <c r="CV178" s="30"/>
      <c r="CW178" s="30"/>
      <c r="CX178" s="30"/>
      <c r="CY178" s="30"/>
      <c r="CZ178" s="30"/>
      <c r="DA178" s="30"/>
      <c r="DB178" s="30"/>
      <c r="DC178" s="30"/>
      <c r="DD178" s="30"/>
      <c r="DE178" s="30"/>
      <c r="DF178" s="30"/>
      <c r="DG178" s="30"/>
      <c r="DH178" s="30"/>
      <c r="DI178" s="30"/>
      <c r="DJ178" s="30"/>
      <c r="DK178" s="30"/>
      <c r="DL178" s="45"/>
      <c r="DM178" s="45"/>
      <c r="DN178" s="45"/>
      <c r="DO178" s="45"/>
      <c r="DP178" s="45"/>
      <c r="DQ178" s="45"/>
      <c r="DR178" s="45"/>
      <c r="DS178" s="45"/>
      <c r="DT178" s="45"/>
      <c r="DU178" s="45"/>
      <c r="DV178" s="45"/>
      <c r="DW178" s="45"/>
      <c r="DX178" s="45"/>
      <c r="DY178" s="45"/>
      <c r="DZ178" s="45"/>
      <c r="EA178" s="37"/>
      <c r="EB178" s="37"/>
      <c r="EC178" s="37"/>
      <c r="ED178" s="37"/>
    </row>
    <row r="179" spans="3:134" s="167" customFormat="1">
      <c r="C179" s="37"/>
      <c r="D179" s="37"/>
      <c r="E179" s="173"/>
      <c r="F179" s="173"/>
      <c r="G179" s="173"/>
      <c r="H179" s="173"/>
      <c r="I179" s="173"/>
      <c r="J179" s="173"/>
      <c r="K179" s="49"/>
      <c r="L179" s="49"/>
      <c r="M179" s="49"/>
      <c r="N179" s="49"/>
      <c r="O179" s="49"/>
      <c r="P179" s="49"/>
      <c r="Q179" s="49"/>
      <c r="R179" s="49"/>
      <c r="S179" s="37"/>
      <c r="T179" s="1510"/>
      <c r="U179" s="50"/>
      <c r="V179" s="50"/>
      <c r="W179" s="50"/>
      <c r="X179" s="50"/>
      <c r="Y179" s="50"/>
      <c r="Z179" s="50"/>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O179" s="37"/>
      <c r="BP179" s="37"/>
      <c r="BQ179" s="37"/>
      <c r="BR179" s="37"/>
      <c r="BS179" s="37"/>
      <c r="BT179" s="37"/>
      <c r="BU179" s="37"/>
      <c r="BV179" s="37"/>
      <c r="BW179" s="37"/>
      <c r="BX179" s="37"/>
      <c r="BY179" s="37"/>
      <c r="BZ179" s="37"/>
      <c r="CA179" s="37"/>
      <c r="CB179" s="37"/>
      <c r="CC179" s="37"/>
      <c r="CD179" s="37"/>
      <c r="CE179" s="37"/>
      <c r="CF179" s="37"/>
      <c r="CG179" s="37"/>
      <c r="CH179" s="37"/>
      <c r="CI179" s="37"/>
      <c r="CJ179" s="37"/>
      <c r="CK179" s="37"/>
      <c r="CL179" s="37"/>
      <c r="CM179" s="37"/>
      <c r="CN179" s="37"/>
      <c r="CO179" s="37"/>
      <c r="CP179" s="37"/>
      <c r="CQ179" s="37"/>
      <c r="CR179" s="37"/>
      <c r="CS179" s="37"/>
      <c r="CT179" s="37"/>
      <c r="CU179" s="30"/>
      <c r="CV179" s="30"/>
      <c r="CW179" s="30"/>
      <c r="CX179" s="30"/>
      <c r="CY179" s="30"/>
      <c r="CZ179" s="30"/>
      <c r="DA179" s="30"/>
      <c r="DB179" s="30"/>
      <c r="DC179" s="30"/>
      <c r="DD179" s="30"/>
      <c r="DE179" s="30"/>
      <c r="DF179" s="30"/>
      <c r="DG179" s="30"/>
      <c r="DH179" s="30"/>
      <c r="DI179" s="30"/>
      <c r="DJ179" s="30"/>
      <c r="DK179" s="30"/>
      <c r="DL179" s="45"/>
      <c r="DM179" s="45"/>
      <c r="DN179" s="45"/>
      <c r="DO179" s="45"/>
      <c r="DP179" s="45"/>
      <c r="DQ179" s="45"/>
      <c r="DR179" s="45"/>
      <c r="DS179" s="45"/>
      <c r="DT179" s="45"/>
      <c r="DU179" s="45"/>
      <c r="DV179" s="45"/>
      <c r="DW179" s="45"/>
      <c r="DX179" s="45"/>
      <c r="DY179" s="45"/>
      <c r="DZ179" s="45"/>
      <c r="EA179" s="37"/>
      <c r="EB179" s="37"/>
      <c r="EC179" s="37"/>
      <c r="ED179" s="37"/>
    </row>
    <row r="180" spans="3:134" s="167" customFormat="1">
      <c r="C180" s="37"/>
      <c r="D180" s="37"/>
      <c r="E180" s="173"/>
      <c r="F180" s="173"/>
      <c r="G180" s="173"/>
      <c r="H180" s="173"/>
      <c r="I180" s="173"/>
      <c r="J180" s="173"/>
      <c r="K180" s="49"/>
      <c r="L180" s="49"/>
      <c r="M180" s="49"/>
      <c r="N180" s="49"/>
      <c r="O180" s="49"/>
      <c r="P180" s="49"/>
      <c r="Q180" s="49"/>
      <c r="R180" s="49"/>
      <c r="S180" s="37"/>
      <c r="T180" s="1510"/>
      <c r="U180" s="50"/>
      <c r="V180" s="50"/>
      <c r="W180" s="50"/>
      <c r="X180" s="50"/>
      <c r="Y180" s="50"/>
      <c r="Z180" s="50"/>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c r="BB180" s="37"/>
      <c r="BC180" s="37"/>
      <c r="BD180" s="37"/>
      <c r="BE180" s="37"/>
      <c r="BF180" s="37"/>
      <c r="BG180" s="37"/>
      <c r="BH180" s="37"/>
      <c r="BI180" s="37"/>
      <c r="BJ180" s="37"/>
      <c r="BK180" s="37"/>
      <c r="BL180" s="37"/>
      <c r="BM180" s="37"/>
      <c r="BN180" s="37"/>
      <c r="BO180" s="37"/>
      <c r="BP180" s="37"/>
      <c r="BQ180" s="37"/>
      <c r="BR180" s="37"/>
      <c r="BS180" s="37"/>
      <c r="BT180" s="37"/>
      <c r="BU180" s="37"/>
      <c r="BV180" s="37"/>
      <c r="BW180" s="37"/>
      <c r="BX180" s="37"/>
      <c r="BY180" s="37"/>
      <c r="BZ180" s="37"/>
      <c r="CA180" s="37"/>
      <c r="CB180" s="37"/>
      <c r="CC180" s="37"/>
      <c r="CD180" s="37"/>
      <c r="CE180" s="37"/>
      <c r="CF180" s="37"/>
      <c r="CG180" s="37"/>
      <c r="CH180" s="37"/>
      <c r="CI180" s="37"/>
      <c r="CJ180" s="37"/>
      <c r="CK180" s="37"/>
      <c r="CL180" s="37"/>
      <c r="CM180" s="37"/>
      <c r="CN180" s="37"/>
      <c r="CO180" s="37"/>
      <c r="CP180" s="37"/>
      <c r="CQ180" s="37"/>
      <c r="CR180" s="37"/>
      <c r="CS180" s="37"/>
      <c r="CT180" s="37"/>
      <c r="CU180" s="30"/>
      <c r="CV180" s="30"/>
      <c r="CW180" s="30"/>
      <c r="CX180" s="30"/>
      <c r="CY180" s="30"/>
      <c r="CZ180" s="30"/>
      <c r="DA180" s="30"/>
      <c r="DB180" s="30"/>
      <c r="DC180" s="30"/>
      <c r="DD180" s="30"/>
      <c r="DE180" s="30"/>
      <c r="DF180" s="30"/>
      <c r="DG180" s="30"/>
      <c r="DH180" s="30"/>
      <c r="DI180" s="30"/>
      <c r="DJ180" s="30"/>
      <c r="DK180" s="30"/>
      <c r="DL180" s="45"/>
      <c r="DM180" s="45"/>
      <c r="DN180" s="45"/>
      <c r="DO180" s="45"/>
      <c r="DP180" s="45"/>
      <c r="DQ180" s="45"/>
      <c r="DR180" s="45"/>
      <c r="DS180" s="45"/>
      <c r="DT180" s="45"/>
      <c r="DU180" s="45"/>
      <c r="DV180" s="45"/>
      <c r="DW180" s="45"/>
      <c r="DX180" s="45"/>
      <c r="DY180" s="45"/>
      <c r="DZ180" s="45"/>
      <c r="EA180" s="37"/>
      <c r="EB180" s="37"/>
      <c r="EC180" s="37"/>
      <c r="ED180" s="37"/>
    </row>
    <row r="181" spans="3:134" s="167" customFormat="1">
      <c r="C181" s="37"/>
      <c r="D181" s="37"/>
      <c r="E181" s="173"/>
      <c r="F181" s="173"/>
      <c r="G181" s="173"/>
      <c r="H181" s="173"/>
      <c r="I181" s="173"/>
      <c r="J181" s="173"/>
      <c r="K181" s="49"/>
      <c r="L181" s="49"/>
      <c r="M181" s="49"/>
      <c r="N181" s="49"/>
      <c r="O181" s="49"/>
      <c r="P181" s="49"/>
      <c r="Q181" s="49"/>
      <c r="R181" s="49"/>
      <c r="S181" s="37"/>
      <c r="T181" s="1510"/>
      <c r="U181" s="50"/>
      <c r="V181" s="50"/>
      <c r="W181" s="50"/>
      <c r="X181" s="50"/>
      <c r="Y181" s="50"/>
      <c r="Z181" s="50"/>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c r="CL181" s="37"/>
      <c r="CM181" s="37"/>
      <c r="CN181" s="37"/>
      <c r="CO181" s="37"/>
      <c r="CP181" s="37"/>
      <c r="CQ181" s="37"/>
      <c r="CR181" s="37"/>
      <c r="CS181" s="37"/>
      <c r="CT181" s="37"/>
      <c r="CU181" s="30"/>
      <c r="CV181" s="30"/>
      <c r="CW181" s="30"/>
      <c r="CX181" s="30"/>
      <c r="CY181" s="30"/>
      <c r="CZ181" s="30"/>
      <c r="DA181" s="30"/>
      <c r="DB181" s="30"/>
      <c r="DC181" s="30"/>
      <c r="DD181" s="30"/>
      <c r="DE181" s="30"/>
      <c r="DF181" s="30"/>
      <c r="DG181" s="30"/>
      <c r="DH181" s="30"/>
      <c r="DI181" s="30"/>
      <c r="DJ181" s="30"/>
      <c r="DK181" s="30"/>
      <c r="DL181" s="45"/>
      <c r="DM181" s="45"/>
      <c r="DN181" s="45"/>
      <c r="DO181" s="45"/>
      <c r="DP181" s="45"/>
      <c r="DQ181" s="45"/>
      <c r="DR181" s="45"/>
      <c r="DS181" s="45"/>
      <c r="DT181" s="45"/>
      <c r="DU181" s="45"/>
      <c r="DV181" s="45"/>
      <c r="DW181" s="45"/>
      <c r="DX181" s="45"/>
      <c r="DY181" s="45"/>
      <c r="DZ181" s="45"/>
      <c r="EA181" s="37"/>
      <c r="EB181" s="37"/>
      <c r="EC181" s="37"/>
      <c r="ED181" s="37"/>
    </row>
    <row r="182" spans="3:134" s="167" customFormat="1">
      <c r="C182" s="37"/>
      <c r="D182" s="37"/>
      <c r="E182" s="173"/>
      <c r="F182" s="173"/>
      <c r="G182" s="173"/>
      <c r="H182" s="173"/>
      <c r="I182" s="173"/>
      <c r="J182" s="173"/>
      <c r="K182" s="49"/>
      <c r="L182" s="49"/>
      <c r="M182" s="49"/>
      <c r="N182" s="49"/>
      <c r="O182" s="49"/>
      <c r="P182" s="49"/>
      <c r="Q182" s="49"/>
      <c r="R182" s="49"/>
      <c r="S182" s="37"/>
      <c r="T182" s="1510"/>
      <c r="U182" s="50"/>
      <c r="V182" s="50"/>
      <c r="W182" s="50"/>
      <c r="X182" s="50"/>
      <c r="Y182" s="50"/>
      <c r="Z182" s="50"/>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0"/>
      <c r="CV182" s="30"/>
      <c r="CW182" s="30"/>
      <c r="CX182" s="30"/>
      <c r="CY182" s="30"/>
      <c r="CZ182" s="30"/>
      <c r="DA182" s="30"/>
      <c r="DB182" s="30"/>
      <c r="DC182" s="30"/>
      <c r="DD182" s="30"/>
      <c r="DE182" s="30"/>
      <c r="DF182" s="30"/>
      <c r="DG182" s="30"/>
      <c r="DH182" s="30"/>
      <c r="DI182" s="30"/>
      <c r="DJ182" s="30"/>
      <c r="DK182" s="30"/>
      <c r="DL182" s="45"/>
      <c r="DM182" s="45"/>
      <c r="DN182" s="45"/>
      <c r="DO182" s="45"/>
      <c r="DP182" s="45"/>
      <c r="DQ182" s="45"/>
      <c r="DR182" s="45"/>
      <c r="DS182" s="45"/>
      <c r="DT182" s="45"/>
      <c r="DU182" s="45"/>
      <c r="DV182" s="45"/>
      <c r="DW182" s="45"/>
      <c r="DX182" s="45"/>
      <c r="DY182" s="45"/>
      <c r="DZ182" s="45"/>
      <c r="EA182" s="37"/>
      <c r="EB182" s="37"/>
      <c r="EC182" s="37"/>
      <c r="ED182" s="37"/>
    </row>
    <row r="183" spans="3:134" s="167" customFormat="1">
      <c r="C183" s="37"/>
      <c r="D183" s="37"/>
      <c r="E183" s="173"/>
      <c r="F183" s="173"/>
      <c r="G183" s="173"/>
      <c r="H183" s="173"/>
      <c r="I183" s="173"/>
      <c r="J183" s="173"/>
      <c r="K183" s="49"/>
      <c r="L183" s="49"/>
      <c r="M183" s="49"/>
      <c r="N183" s="49"/>
      <c r="O183" s="49"/>
      <c r="P183" s="49"/>
      <c r="Q183" s="49"/>
      <c r="R183" s="49"/>
      <c r="S183" s="37"/>
      <c r="T183" s="1510"/>
      <c r="U183" s="50"/>
      <c r="V183" s="50"/>
      <c r="W183" s="50"/>
      <c r="X183" s="50"/>
      <c r="Y183" s="50"/>
      <c r="Z183" s="50"/>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c r="CL183" s="37"/>
      <c r="CM183" s="37"/>
      <c r="CN183" s="37"/>
      <c r="CO183" s="37"/>
      <c r="CP183" s="37"/>
      <c r="CQ183" s="37"/>
      <c r="CR183" s="37"/>
      <c r="CS183" s="37"/>
      <c r="CT183" s="37"/>
      <c r="CU183" s="30"/>
      <c r="CV183" s="30"/>
      <c r="CW183" s="30"/>
      <c r="CX183" s="30"/>
      <c r="CY183" s="30"/>
      <c r="CZ183" s="30"/>
      <c r="DA183" s="30"/>
      <c r="DB183" s="30"/>
      <c r="DC183" s="30"/>
      <c r="DD183" s="30"/>
      <c r="DE183" s="30"/>
      <c r="DF183" s="30"/>
      <c r="DG183" s="30"/>
      <c r="DH183" s="30"/>
      <c r="DI183" s="30"/>
      <c r="DJ183" s="30"/>
      <c r="DK183" s="30"/>
      <c r="DL183" s="45"/>
      <c r="DM183" s="45"/>
      <c r="DN183" s="45"/>
      <c r="DO183" s="45"/>
      <c r="DP183" s="45"/>
      <c r="DQ183" s="45"/>
      <c r="DR183" s="45"/>
      <c r="DS183" s="45"/>
      <c r="DT183" s="45"/>
      <c r="DU183" s="45"/>
      <c r="DV183" s="45"/>
      <c r="DW183" s="45"/>
      <c r="DX183" s="45"/>
      <c r="DY183" s="45"/>
      <c r="DZ183" s="45"/>
      <c r="EA183" s="37"/>
      <c r="EB183" s="37"/>
      <c r="EC183" s="37"/>
      <c r="ED183" s="37"/>
    </row>
    <row r="184" spans="3:134" s="167" customFormat="1">
      <c r="C184" s="37"/>
      <c r="D184" s="37"/>
      <c r="E184" s="173"/>
      <c r="F184" s="173"/>
      <c r="G184" s="173"/>
      <c r="H184" s="173"/>
      <c r="I184" s="173"/>
      <c r="J184" s="173"/>
      <c r="K184" s="49"/>
      <c r="L184" s="49"/>
      <c r="M184" s="49"/>
      <c r="N184" s="49"/>
      <c r="O184" s="49"/>
      <c r="P184" s="49"/>
      <c r="Q184" s="49"/>
      <c r="R184" s="49"/>
      <c r="S184" s="37"/>
      <c r="T184" s="1510"/>
      <c r="U184" s="50"/>
      <c r="V184" s="50"/>
      <c r="W184" s="50"/>
      <c r="X184" s="50"/>
      <c r="Y184" s="50"/>
      <c r="Z184" s="50"/>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0"/>
      <c r="CV184" s="30"/>
      <c r="CW184" s="30"/>
      <c r="CX184" s="30"/>
      <c r="CY184" s="30"/>
      <c r="CZ184" s="30"/>
      <c r="DA184" s="30"/>
      <c r="DB184" s="30"/>
      <c r="DC184" s="30"/>
      <c r="DD184" s="30"/>
      <c r="DE184" s="30"/>
      <c r="DF184" s="30"/>
      <c r="DG184" s="30"/>
      <c r="DH184" s="30"/>
      <c r="DI184" s="30"/>
      <c r="DJ184" s="30"/>
      <c r="DK184" s="30"/>
      <c r="DL184" s="45"/>
      <c r="DM184" s="45"/>
      <c r="DN184" s="45"/>
      <c r="DO184" s="45"/>
      <c r="DP184" s="45"/>
      <c r="DQ184" s="45"/>
      <c r="DR184" s="45"/>
      <c r="DS184" s="45"/>
      <c r="DT184" s="45"/>
      <c r="DU184" s="45"/>
      <c r="DV184" s="45"/>
      <c r="DW184" s="45"/>
      <c r="DX184" s="45"/>
      <c r="DY184" s="45"/>
      <c r="DZ184" s="45"/>
      <c r="EA184" s="37"/>
      <c r="EB184" s="37"/>
      <c r="EC184" s="37"/>
      <c r="ED184" s="37"/>
    </row>
    <row r="185" spans="3:134" s="167" customFormat="1">
      <c r="C185" s="37"/>
      <c r="D185" s="37"/>
      <c r="E185" s="173"/>
      <c r="F185" s="173"/>
      <c r="G185" s="173"/>
      <c r="H185" s="173"/>
      <c r="I185" s="173"/>
      <c r="J185" s="173"/>
      <c r="K185" s="49"/>
      <c r="L185" s="49"/>
      <c r="M185" s="49"/>
      <c r="N185" s="49"/>
      <c r="O185" s="49"/>
      <c r="P185" s="49"/>
      <c r="Q185" s="49"/>
      <c r="R185" s="49"/>
      <c r="S185" s="37"/>
      <c r="T185" s="1510"/>
      <c r="U185" s="50"/>
      <c r="V185" s="50"/>
      <c r="W185" s="50"/>
      <c r="X185" s="50"/>
      <c r="Y185" s="50"/>
      <c r="Z185" s="50"/>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c r="CP185" s="37"/>
      <c r="CQ185" s="37"/>
      <c r="CR185" s="37"/>
      <c r="CS185" s="37"/>
      <c r="CT185" s="37"/>
      <c r="CU185" s="30"/>
      <c r="CV185" s="30"/>
      <c r="CW185" s="30"/>
      <c r="CX185" s="30"/>
      <c r="CY185" s="30"/>
      <c r="CZ185" s="30"/>
      <c r="DA185" s="30"/>
      <c r="DB185" s="30"/>
      <c r="DC185" s="30"/>
      <c r="DD185" s="30"/>
      <c r="DE185" s="30"/>
      <c r="DF185" s="30"/>
      <c r="DG185" s="30"/>
      <c r="DH185" s="30"/>
      <c r="DI185" s="30"/>
      <c r="DJ185" s="30"/>
      <c r="DK185" s="30"/>
      <c r="DL185" s="45"/>
      <c r="DM185" s="45"/>
      <c r="DN185" s="45"/>
      <c r="DO185" s="45"/>
      <c r="DP185" s="45"/>
      <c r="DQ185" s="45"/>
      <c r="DR185" s="45"/>
      <c r="DS185" s="45"/>
      <c r="DT185" s="45"/>
      <c r="DU185" s="45"/>
      <c r="DV185" s="45"/>
      <c r="DW185" s="45"/>
      <c r="DX185" s="45"/>
      <c r="DY185" s="45"/>
      <c r="DZ185" s="45"/>
      <c r="EA185" s="37"/>
      <c r="EB185" s="37"/>
      <c r="EC185" s="37"/>
      <c r="ED185" s="37"/>
    </row>
    <row r="186" spans="3:134" s="167" customFormat="1">
      <c r="C186" s="37"/>
      <c r="D186" s="37"/>
      <c r="E186" s="173"/>
      <c r="F186" s="173"/>
      <c r="G186" s="173"/>
      <c r="H186" s="173"/>
      <c r="I186" s="173"/>
      <c r="J186" s="173"/>
      <c r="K186" s="49"/>
      <c r="L186" s="49"/>
      <c r="M186" s="49"/>
      <c r="N186" s="49"/>
      <c r="O186" s="49"/>
      <c r="P186" s="49"/>
      <c r="Q186" s="49"/>
      <c r="R186" s="49"/>
      <c r="S186" s="37"/>
      <c r="T186" s="1510"/>
      <c r="U186" s="50"/>
      <c r="V186" s="50"/>
      <c r="W186" s="50"/>
      <c r="X186" s="50"/>
      <c r="Y186" s="50"/>
      <c r="Z186" s="50"/>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c r="CP186" s="37"/>
      <c r="CQ186" s="37"/>
      <c r="CR186" s="37"/>
      <c r="CS186" s="37"/>
      <c r="CT186" s="37"/>
      <c r="CU186" s="30"/>
      <c r="CV186" s="30"/>
      <c r="CW186" s="30"/>
      <c r="CX186" s="30"/>
      <c r="CY186" s="30"/>
      <c r="CZ186" s="30"/>
      <c r="DA186" s="30"/>
      <c r="DB186" s="30"/>
      <c r="DC186" s="30"/>
      <c r="DD186" s="30"/>
      <c r="DE186" s="30"/>
      <c r="DF186" s="30"/>
      <c r="DG186" s="30"/>
      <c r="DH186" s="30"/>
      <c r="DI186" s="30"/>
      <c r="DJ186" s="30"/>
      <c r="DK186" s="30"/>
      <c r="DL186" s="45"/>
      <c r="DM186" s="45"/>
      <c r="DN186" s="45"/>
      <c r="DO186" s="45"/>
      <c r="DP186" s="45"/>
      <c r="DQ186" s="45"/>
      <c r="DR186" s="45"/>
      <c r="DS186" s="45"/>
      <c r="DT186" s="45"/>
      <c r="DU186" s="45"/>
      <c r="DV186" s="45"/>
      <c r="DW186" s="45"/>
      <c r="DX186" s="45"/>
      <c r="DY186" s="45"/>
      <c r="DZ186" s="45"/>
      <c r="EA186" s="37"/>
      <c r="EB186" s="37"/>
      <c r="EC186" s="37"/>
      <c r="ED186" s="37"/>
    </row>
    <row r="187" spans="3:134" s="167" customFormat="1">
      <c r="C187" s="37"/>
      <c r="D187" s="37"/>
      <c r="E187" s="173"/>
      <c r="F187" s="173"/>
      <c r="G187" s="173"/>
      <c r="H187" s="173"/>
      <c r="I187" s="173"/>
      <c r="J187" s="173"/>
      <c r="K187" s="49"/>
      <c r="L187" s="49"/>
      <c r="M187" s="49"/>
      <c r="N187" s="49"/>
      <c r="O187" s="49"/>
      <c r="P187" s="49"/>
      <c r="Q187" s="49"/>
      <c r="R187" s="49"/>
      <c r="S187" s="37"/>
      <c r="T187" s="1510"/>
      <c r="U187" s="50"/>
      <c r="V187" s="50"/>
      <c r="W187" s="50"/>
      <c r="X187" s="50"/>
      <c r="Y187" s="50"/>
      <c r="Z187" s="50"/>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c r="BB187" s="37"/>
      <c r="BC187" s="37"/>
      <c r="BD187" s="37"/>
      <c r="BE187" s="37"/>
      <c r="BF187" s="37"/>
      <c r="BG187" s="37"/>
      <c r="BH187" s="37"/>
      <c r="BI187" s="37"/>
      <c r="BJ187" s="37"/>
      <c r="BK187" s="37"/>
      <c r="BL187" s="37"/>
      <c r="BM187" s="37"/>
      <c r="BN187" s="37"/>
      <c r="BO187" s="37"/>
      <c r="BP187" s="37"/>
      <c r="BQ187" s="37"/>
      <c r="BR187" s="37"/>
      <c r="BS187" s="37"/>
      <c r="BT187" s="37"/>
      <c r="BU187" s="37"/>
      <c r="BV187" s="37"/>
      <c r="BW187" s="37"/>
      <c r="BX187" s="37"/>
      <c r="BY187" s="37"/>
      <c r="BZ187" s="37"/>
      <c r="CA187" s="37"/>
      <c r="CB187" s="37"/>
      <c r="CC187" s="37"/>
      <c r="CD187" s="37"/>
      <c r="CE187" s="37"/>
      <c r="CF187" s="37"/>
      <c r="CG187" s="37"/>
      <c r="CH187" s="37"/>
      <c r="CI187" s="37"/>
      <c r="CJ187" s="37"/>
      <c r="CK187" s="37"/>
      <c r="CL187" s="37"/>
      <c r="CM187" s="37"/>
      <c r="CN187" s="37"/>
      <c r="CO187" s="37"/>
      <c r="CP187" s="37"/>
      <c r="CQ187" s="37"/>
      <c r="CR187" s="37"/>
      <c r="CS187" s="37"/>
      <c r="CT187" s="37"/>
      <c r="CU187" s="30"/>
      <c r="CV187" s="30"/>
      <c r="CW187" s="30"/>
      <c r="CX187" s="30"/>
      <c r="CY187" s="30"/>
      <c r="CZ187" s="30"/>
      <c r="DA187" s="30"/>
      <c r="DB187" s="30"/>
      <c r="DC187" s="30"/>
      <c r="DD187" s="30"/>
      <c r="DE187" s="30"/>
      <c r="DF187" s="30"/>
      <c r="DG187" s="30"/>
      <c r="DH187" s="30"/>
      <c r="DI187" s="30"/>
      <c r="DJ187" s="30"/>
      <c r="DK187" s="30"/>
      <c r="DL187" s="45"/>
      <c r="DM187" s="45"/>
      <c r="DN187" s="45"/>
      <c r="DO187" s="45"/>
      <c r="DP187" s="45"/>
      <c r="DQ187" s="45"/>
      <c r="DR187" s="45"/>
      <c r="DS187" s="45"/>
      <c r="DT187" s="45"/>
      <c r="DU187" s="45"/>
      <c r="DV187" s="45"/>
      <c r="DW187" s="45"/>
      <c r="DX187" s="45"/>
      <c r="DY187" s="45"/>
      <c r="DZ187" s="45"/>
      <c r="EA187" s="37"/>
      <c r="EB187" s="37"/>
      <c r="EC187" s="37"/>
      <c r="ED187" s="37"/>
    </row>
    <row r="188" spans="3:134" s="167" customFormat="1">
      <c r="C188" s="37"/>
      <c r="D188" s="37"/>
      <c r="E188" s="173"/>
      <c r="F188" s="173"/>
      <c r="G188" s="173"/>
      <c r="H188" s="173"/>
      <c r="I188" s="173"/>
      <c r="J188" s="173"/>
      <c r="K188" s="49"/>
      <c r="L188" s="49"/>
      <c r="M188" s="49"/>
      <c r="N188" s="49"/>
      <c r="O188" s="49"/>
      <c r="P188" s="49"/>
      <c r="Q188" s="49"/>
      <c r="R188" s="49"/>
      <c r="S188" s="37"/>
      <c r="T188" s="1510"/>
      <c r="U188" s="50"/>
      <c r="V188" s="50"/>
      <c r="W188" s="50"/>
      <c r="X188" s="50"/>
      <c r="Y188" s="50"/>
      <c r="Z188" s="50"/>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CG188" s="37"/>
      <c r="CH188" s="37"/>
      <c r="CI188" s="37"/>
      <c r="CJ188" s="37"/>
      <c r="CK188" s="37"/>
      <c r="CL188" s="37"/>
      <c r="CM188" s="37"/>
      <c r="CN188" s="37"/>
      <c r="CO188" s="37"/>
      <c r="CP188" s="37"/>
      <c r="CQ188" s="37"/>
      <c r="CR188" s="37"/>
      <c r="CS188" s="37"/>
      <c r="CT188" s="37"/>
      <c r="CU188" s="30"/>
      <c r="CV188" s="30"/>
      <c r="CW188" s="30"/>
      <c r="CX188" s="30"/>
      <c r="CY188" s="30"/>
      <c r="CZ188" s="30"/>
      <c r="DA188" s="30"/>
      <c r="DB188" s="30"/>
      <c r="DC188" s="30"/>
      <c r="DD188" s="30"/>
      <c r="DE188" s="30"/>
      <c r="DF188" s="30"/>
      <c r="DG188" s="30"/>
      <c r="DH188" s="30"/>
      <c r="DI188" s="30"/>
      <c r="DJ188" s="30"/>
      <c r="DK188" s="30"/>
      <c r="DL188" s="45"/>
      <c r="DM188" s="45"/>
      <c r="DN188" s="45"/>
      <c r="DO188" s="45"/>
      <c r="DP188" s="45"/>
      <c r="DQ188" s="45"/>
      <c r="DR188" s="45"/>
      <c r="DS188" s="45"/>
      <c r="DT188" s="45"/>
      <c r="DU188" s="45"/>
      <c r="DV188" s="45"/>
      <c r="DW188" s="45"/>
      <c r="DX188" s="45"/>
      <c r="DY188" s="45"/>
      <c r="DZ188" s="45"/>
      <c r="EA188" s="37"/>
      <c r="EB188" s="37"/>
      <c r="EC188" s="37"/>
      <c r="ED188" s="37"/>
    </row>
    <row r="189" spans="3:134" s="167" customFormat="1">
      <c r="C189" s="37"/>
      <c r="D189" s="37"/>
      <c r="E189" s="173"/>
      <c r="F189" s="173"/>
      <c r="G189" s="173"/>
      <c r="H189" s="173"/>
      <c r="I189" s="173"/>
      <c r="J189" s="173"/>
      <c r="K189" s="49"/>
      <c r="L189" s="49"/>
      <c r="M189" s="49"/>
      <c r="N189" s="49"/>
      <c r="O189" s="49"/>
      <c r="P189" s="49"/>
      <c r="Q189" s="49"/>
      <c r="R189" s="49"/>
      <c r="S189" s="37"/>
      <c r="T189" s="1510"/>
      <c r="U189" s="50"/>
      <c r="V189" s="50"/>
      <c r="W189" s="50"/>
      <c r="X189" s="50"/>
      <c r="Y189" s="50"/>
      <c r="Z189" s="50"/>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CG189" s="37"/>
      <c r="CH189" s="37"/>
      <c r="CI189" s="37"/>
      <c r="CJ189" s="37"/>
      <c r="CK189" s="37"/>
      <c r="CL189" s="37"/>
      <c r="CM189" s="37"/>
      <c r="CN189" s="37"/>
      <c r="CO189" s="37"/>
      <c r="CP189" s="37"/>
      <c r="CQ189" s="37"/>
      <c r="CR189" s="37"/>
      <c r="CS189" s="37"/>
      <c r="CT189" s="37"/>
      <c r="CU189" s="30"/>
      <c r="CV189" s="30"/>
      <c r="CW189" s="30"/>
      <c r="CX189" s="30"/>
      <c r="CY189" s="30"/>
      <c r="CZ189" s="30"/>
      <c r="DA189" s="30"/>
      <c r="DB189" s="30"/>
      <c r="DC189" s="30"/>
      <c r="DD189" s="30"/>
      <c r="DE189" s="30"/>
      <c r="DF189" s="30"/>
      <c r="DG189" s="30"/>
      <c r="DH189" s="30"/>
      <c r="DI189" s="30"/>
      <c r="DJ189" s="30"/>
      <c r="DK189" s="30"/>
      <c r="DL189" s="45"/>
      <c r="DM189" s="45"/>
      <c r="DN189" s="45"/>
      <c r="DO189" s="45"/>
      <c r="DP189" s="45"/>
      <c r="DQ189" s="45"/>
      <c r="DR189" s="45"/>
      <c r="DS189" s="45"/>
      <c r="DT189" s="45"/>
      <c r="DU189" s="45"/>
      <c r="DV189" s="45"/>
      <c r="DW189" s="45"/>
      <c r="DX189" s="45"/>
      <c r="DY189" s="45"/>
      <c r="DZ189" s="45"/>
      <c r="EA189" s="37"/>
      <c r="EB189" s="37"/>
      <c r="EC189" s="37"/>
      <c r="ED189" s="37"/>
    </row>
    <row r="190" spans="3:134" s="167" customFormat="1">
      <c r="C190" s="37"/>
      <c r="D190" s="37"/>
      <c r="E190" s="173"/>
      <c r="F190" s="173"/>
      <c r="G190" s="173"/>
      <c r="H190" s="173"/>
      <c r="I190" s="173"/>
      <c r="J190" s="173"/>
      <c r="K190" s="49"/>
      <c r="L190" s="49"/>
      <c r="M190" s="49"/>
      <c r="N190" s="49"/>
      <c r="O190" s="49"/>
      <c r="P190" s="49"/>
      <c r="Q190" s="49"/>
      <c r="R190" s="49"/>
      <c r="S190" s="37"/>
      <c r="T190" s="1510"/>
      <c r="U190" s="50"/>
      <c r="V190" s="50"/>
      <c r="W190" s="50"/>
      <c r="X190" s="50"/>
      <c r="Y190" s="50"/>
      <c r="Z190" s="50"/>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7"/>
      <c r="CI190" s="37"/>
      <c r="CJ190" s="37"/>
      <c r="CK190" s="37"/>
      <c r="CL190" s="37"/>
      <c r="CM190" s="37"/>
      <c r="CN190" s="37"/>
      <c r="CO190" s="37"/>
      <c r="CP190" s="37"/>
      <c r="CQ190" s="37"/>
      <c r="CR190" s="37"/>
      <c r="CS190" s="37"/>
      <c r="CT190" s="37"/>
      <c r="CU190" s="30"/>
      <c r="CV190" s="30"/>
      <c r="CW190" s="30"/>
      <c r="CX190" s="30"/>
      <c r="CY190" s="30"/>
      <c r="CZ190" s="30"/>
      <c r="DA190" s="30"/>
      <c r="DB190" s="30"/>
      <c r="DC190" s="30"/>
      <c r="DD190" s="30"/>
      <c r="DE190" s="30"/>
      <c r="DF190" s="30"/>
      <c r="DG190" s="30"/>
      <c r="DH190" s="30"/>
      <c r="DI190" s="30"/>
      <c r="DJ190" s="30"/>
      <c r="DK190" s="30"/>
      <c r="DL190" s="45"/>
      <c r="DM190" s="45"/>
      <c r="DN190" s="45"/>
      <c r="DO190" s="45"/>
      <c r="DP190" s="45"/>
      <c r="DQ190" s="45"/>
      <c r="DR190" s="45"/>
      <c r="DS190" s="45"/>
      <c r="DT190" s="45"/>
      <c r="DU190" s="45"/>
      <c r="DV190" s="45"/>
      <c r="DW190" s="45"/>
      <c r="DX190" s="45"/>
      <c r="DY190" s="45"/>
      <c r="DZ190" s="45"/>
      <c r="EA190" s="37"/>
      <c r="EB190" s="37"/>
      <c r="EC190" s="37"/>
      <c r="ED190" s="37"/>
    </row>
    <row r="191" spans="3:134" s="167" customFormat="1">
      <c r="C191" s="37"/>
      <c r="D191" s="37"/>
      <c r="E191" s="173"/>
      <c r="F191" s="173"/>
      <c r="G191" s="173"/>
      <c r="H191" s="173"/>
      <c r="I191" s="173"/>
      <c r="J191" s="173"/>
      <c r="K191" s="49"/>
      <c r="L191" s="49"/>
      <c r="M191" s="49"/>
      <c r="N191" s="49"/>
      <c r="O191" s="49"/>
      <c r="P191" s="49"/>
      <c r="Q191" s="49"/>
      <c r="R191" s="49"/>
      <c r="S191" s="37"/>
      <c r="T191" s="1510"/>
      <c r="U191" s="50"/>
      <c r="V191" s="50"/>
      <c r="W191" s="50"/>
      <c r="X191" s="50"/>
      <c r="Y191" s="50"/>
      <c r="Z191" s="50"/>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7"/>
      <c r="CI191" s="37"/>
      <c r="CJ191" s="37"/>
      <c r="CK191" s="37"/>
      <c r="CL191" s="37"/>
      <c r="CM191" s="37"/>
      <c r="CN191" s="37"/>
      <c r="CO191" s="37"/>
      <c r="CP191" s="37"/>
      <c r="CQ191" s="37"/>
      <c r="CR191" s="37"/>
      <c r="CS191" s="37"/>
      <c r="CT191" s="37"/>
      <c r="CU191" s="30"/>
      <c r="CV191" s="30"/>
      <c r="CW191" s="30"/>
      <c r="CX191" s="30"/>
      <c r="CY191" s="30"/>
      <c r="CZ191" s="30"/>
      <c r="DA191" s="30"/>
      <c r="DB191" s="30"/>
      <c r="DC191" s="30"/>
      <c r="DD191" s="30"/>
      <c r="DE191" s="30"/>
      <c r="DF191" s="30"/>
      <c r="DG191" s="30"/>
      <c r="DH191" s="30"/>
      <c r="DI191" s="30"/>
      <c r="DJ191" s="30"/>
      <c r="DK191" s="30"/>
      <c r="DL191" s="45"/>
      <c r="DM191" s="45"/>
      <c r="DN191" s="45"/>
      <c r="DO191" s="45"/>
      <c r="DP191" s="45"/>
      <c r="DQ191" s="45"/>
      <c r="DR191" s="45"/>
      <c r="DS191" s="45"/>
      <c r="DT191" s="45"/>
      <c r="DU191" s="45"/>
      <c r="DV191" s="45"/>
      <c r="DW191" s="45"/>
      <c r="DX191" s="45"/>
      <c r="DY191" s="45"/>
      <c r="DZ191" s="45"/>
      <c r="EA191" s="37"/>
      <c r="EB191" s="37"/>
      <c r="EC191" s="37"/>
      <c r="ED191" s="37"/>
    </row>
    <row r="192" spans="3:134" s="167" customFormat="1" ht="16.2" customHeight="1">
      <c r="C192" s="37"/>
      <c r="D192" s="37"/>
      <c r="E192" s="173"/>
      <c r="F192" s="173"/>
      <c r="G192" s="173"/>
      <c r="H192" s="173"/>
      <c r="I192" s="173"/>
      <c r="J192" s="173"/>
      <c r="K192" s="49"/>
      <c r="L192" s="49"/>
      <c r="M192" s="49"/>
      <c r="N192" s="49"/>
      <c r="O192" s="49"/>
      <c r="P192" s="49"/>
      <c r="Q192" s="49"/>
      <c r="R192" s="49"/>
      <c r="S192" s="37"/>
      <c r="T192" s="1510"/>
      <c r="U192" s="50"/>
      <c r="V192" s="50"/>
      <c r="W192" s="50"/>
      <c r="X192" s="50"/>
      <c r="Y192" s="50"/>
      <c r="Z192" s="50"/>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c r="BB192" s="37"/>
      <c r="BC192" s="37"/>
      <c r="BD192" s="37"/>
      <c r="BE192" s="37"/>
      <c r="BF192" s="37"/>
      <c r="BG192" s="37"/>
      <c r="BH192" s="37"/>
      <c r="BI192" s="37"/>
      <c r="BJ192" s="37"/>
      <c r="BK192" s="37"/>
      <c r="BL192" s="37"/>
      <c r="BM192" s="37"/>
      <c r="BN192" s="37"/>
      <c r="BO192" s="37"/>
      <c r="BP192" s="37"/>
      <c r="BQ192" s="37"/>
      <c r="BR192" s="37"/>
      <c r="BS192" s="37"/>
      <c r="BT192" s="37"/>
      <c r="BU192" s="37"/>
      <c r="BV192" s="37"/>
      <c r="BW192" s="37"/>
      <c r="BX192" s="37"/>
      <c r="BY192" s="37"/>
      <c r="BZ192" s="37"/>
      <c r="CA192" s="37"/>
      <c r="CB192" s="37"/>
      <c r="CC192" s="37"/>
      <c r="CD192" s="37"/>
      <c r="CE192" s="37"/>
      <c r="CF192" s="37"/>
      <c r="CG192" s="37"/>
      <c r="CH192" s="37"/>
      <c r="CI192" s="37"/>
      <c r="CJ192" s="37"/>
      <c r="CK192" s="37"/>
      <c r="CL192" s="37"/>
      <c r="CM192" s="37"/>
      <c r="CN192" s="37"/>
      <c r="CO192" s="37"/>
      <c r="CP192" s="37"/>
      <c r="CQ192" s="37"/>
      <c r="CR192" s="37"/>
      <c r="CS192" s="37"/>
      <c r="CT192" s="37"/>
      <c r="CU192" s="30"/>
      <c r="CV192" s="30"/>
      <c r="CW192" s="30"/>
      <c r="CX192" s="30"/>
      <c r="CY192" s="30"/>
      <c r="CZ192" s="30"/>
      <c r="DA192" s="30"/>
      <c r="DB192" s="30"/>
      <c r="DC192" s="30"/>
      <c r="DD192" s="30"/>
      <c r="DE192" s="30"/>
      <c r="DF192" s="30"/>
      <c r="DG192" s="30"/>
      <c r="DH192" s="30"/>
      <c r="DI192" s="30"/>
      <c r="DJ192" s="30"/>
      <c r="DK192" s="30"/>
      <c r="DL192" s="45"/>
      <c r="DM192" s="45"/>
      <c r="DN192" s="45"/>
      <c r="DO192" s="45"/>
      <c r="DP192" s="45"/>
      <c r="DQ192" s="45"/>
      <c r="DR192" s="45"/>
      <c r="DS192" s="45"/>
      <c r="DT192" s="45"/>
      <c r="DU192" s="45"/>
      <c r="DV192" s="45"/>
      <c r="DW192" s="45"/>
      <c r="DX192" s="45"/>
      <c r="DY192" s="45"/>
      <c r="DZ192" s="45"/>
      <c r="EA192" s="37"/>
      <c r="EB192" s="37"/>
      <c r="EC192" s="37"/>
      <c r="ED192" s="37"/>
    </row>
    <row r="193" spans="3:134" s="167" customFormat="1" ht="14.4" customHeight="1">
      <c r="C193" s="37"/>
      <c r="D193" s="37"/>
      <c r="E193" s="173"/>
      <c r="F193" s="173"/>
      <c r="G193" s="173"/>
      <c r="H193" s="173"/>
      <c r="I193" s="173"/>
      <c r="J193" s="173"/>
      <c r="K193" s="49"/>
      <c r="L193" s="49"/>
      <c r="M193" s="49"/>
      <c r="N193" s="49"/>
      <c r="O193" s="49"/>
      <c r="P193" s="49"/>
      <c r="Q193" s="49"/>
      <c r="R193" s="49"/>
      <c r="S193" s="37"/>
      <c r="T193" s="1510"/>
      <c r="U193" s="50"/>
      <c r="V193" s="50"/>
      <c r="W193" s="50"/>
      <c r="X193" s="50"/>
      <c r="Y193" s="50"/>
      <c r="Z193" s="50"/>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37"/>
      <c r="BR193" s="37"/>
      <c r="BS193" s="37"/>
      <c r="BT193" s="37"/>
      <c r="BU193" s="37"/>
      <c r="BV193" s="37"/>
      <c r="BW193" s="37"/>
      <c r="BX193" s="37"/>
      <c r="BY193" s="37"/>
      <c r="BZ193" s="37"/>
      <c r="CA193" s="37"/>
      <c r="CB193" s="37"/>
      <c r="CC193" s="37"/>
      <c r="CD193" s="37"/>
      <c r="CE193" s="37"/>
      <c r="CF193" s="37"/>
      <c r="CG193" s="37"/>
      <c r="CH193" s="37"/>
      <c r="CI193" s="37"/>
      <c r="CJ193" s="37"/>
      <c r="CK193" s="37"/>
      <c r="CL193" s="37"/>
      <c r="CM193" s="37"/>
      <c r="CN193" s="37"/>
      <c r="CO193" s="37"/>
      <c r="CP193" s="37"/>
      <c r="CQ193" s="37"/>
      <c r="CR193" s="37"/>
      <c r="CS193" s="37"/>
      <c r="CT193" s="37"/>
      <c r="CU193" s="30"/>
      <c r="CV193" s="30"/>
      <c r="CW193" s="30"/>
      <c r="CX193" s="30"/>
      <c r="CY193" s="30"/>
      <c r="CZ193" s="30"/>
      <c r="DA193" s="30"/>
      <c r="DB193" s="30"/>
      <c r="DC193" s="30"/>
      <c r="DD193" s="30"/>
      <c r="DE193" s="30"/>
      <c r="DF193" s="30"/>
      <c r="DG193" s="30"/>
      <c r="DH193" s="30"/>
      <c r="DI193" s="30"/>
      <c r="DJ193" s="30"/>
      <c r="DK193" s="30"/>
      <c r="DL193" s="45"/>
      <c r="DM193" s="45"/>
      <c r="DN193" s="45"/>
      <c r="DO193" s="45"/>
      <c r="DP193" s="45"/>
      <c r="DQ193" s="45"/>
      <c r="DR193" s="45"/>
      <c r="DS193" s="45"/>
      <c r="DT193" s="45"/>
      <c r="DU193" s="45"/>
      <c r="DV193" s="45"/>
      <c r="DW193" s="45"/>
      <c r="DX193" s="45"/>
      <c r="DY193" s="45"/>
      <c r="DZ193" s="45"/>
      <c r="EA193" s="37"/>
      <c r="EB193" s="37"/>
      <c r="EC193" s="37"/>
      <c r="ED193" s="37"/>
    </row>
    <row r="194" spans="3:134" s="165" customFormat="1" ht="15.6" customHeight="1">
      <c r="C194" s="45"/>
      <c r="D194" s="142">
        <f ca="1">Basisdaten!C15</f>
        <v>2026</v>
      </c>
      <c r="E194" s="175" t="str">
        <f t="shared" ref="E194:P194" si="28">E6</f>
        <v>Jan.</v>
      </c>
      <c r="F194" s="175" t="str">
        <f t="shared" si="28"/>
        <v>Feb</v>
      </c>
      <c r="G194" s="175" t="str">
        <f t="shared" si="28"/>
        <v>Mrz</v>
      </c>
      <c r="H194" s="175" t="str">
        <f t="shared" si="28"/>
        <v>Apr</v>
      </c>
      <c r="I194" s="175" t="str">
        <f t="shared" si="28"/>
        <v>Mai</v>
      </c>
      <c r="J194" s="175" t="str">
        <f t="shared" si="28"/>
        <v>Jun</v>
      </c>
      <c r="K194" s="175" t="str">
        <f t="shared" si="28"/>
        <v>Jul</v>
      </c>
      <c r="L194" s="175" t="str">
        <f t="shared" si="28"/>
        <v>Aug</v>
      </c>
      <c r="M194" s="175" t="str">
        <f t="shared" si="28"/>
        <v>Sep</v>
      </c>
      <c r="N194" s="175" t="str">
        <f t="shared" si="28"/>
        <v>Okt</v>
      </c>
      <c r="O194" s="175" t="str">
        <f t="shared" si="28"/>
        <v>Nov</v>
      </c>
      <c r="P194" s="175" t="str">
        <f t="shared" si="28"/>
        <v>Dez</v>
      </c>
      <c r="Q194" s="175"/>
      <c r="R194" s="172"/>
      <c r="S194" s="45"/>
      <c r="T194" s="1510"/>
      <c r="U194" s="85"/>
      <c r="V194" s="85"/>
      <c r="W194" s="85"/>
      <c r="X194" s="85"/>
      <c r="Y194" s="85"/>
      <c r="Z194" s="85"/>
      <c r="AA194" s="45"/>
      <c r="AB194" s="45"/>
      <c r="AC194" s="45"/>
      <c r="AD194" s="45"/>
      <c r="AE194" s="45"/>
      <c r="AF194" s="45"/>
      <c r="AG194" s="45"/>
      <c r="AH194" s="45"/>
      <c r="AI194" s="45"/>
      <c r="AJ194" s="45"/>
      <c r="AK194" s="45"/>
      <c r="AL194" s="45"/>
      <c r="AM194" s="45"/>
      <c r="AN194" s="45"/>
      <c r="AO194" s="45"/>
      <c r="AP194" s="45"/>
      <c r="AQ194" s="45"/>
      <c r="AR194" s="45"/>
      <c r="AS194" s="45"/>
      <c r="AT194" s="45"/>
      <c r="AU194" s="45"/>
      <c r="AV194" s="45"/>
      <c r="AW194" s="45"/>
      <c r="AX194" s="45"/>
      <c r="AY194" s="45"/>
      <c r="AZ194" s="45"/>
      <c r="BA194" s="45"/>
      <c r="BB194" s="45"/>
      <c r="BC194" s="45"/>
      <c r="BD194" s="45"/>
      <c r="BE194" s="45"/>
      <c r="BF194" s="45"/>
      <c r="BG194" s="45"/>
      <c r="BH194" s="45"/>
      <c r="BI194" s="45"/>
      <c r="BJ194" s="45"/>
      <c r="BK194" s="45"/>
      <c r="BL194" s="45"/>
      <c r="BM194" s="45"/>
      <c r="BN194" s="45"/>
      <c r="BO194" s="45"/>
      <c r="BP194" s="45"/>
      <c r="BQ194" s="45"/>
      <c r="BR194" s="45"/>
      <c r="BS194" s="45"/>
      <c r="BT194" s="45"/>
      <c r="BU194" s="45"/>
      <c r="BV194" s="45"/>
      <c r="BW194" s="45"/>
      <c r="BX194" s="45"/>
      <c r="BY194" s="45"/>
      <c r="BZ194" s="45"/>
      <c r="CA194" s="45"/>
      <c r="CB194" s="45"/>
      <c r="CC194" s="45"/>
      <c r="CD194" s="45"/>
      <c r="CE194" s="45"/>
      <c r="CF194" s="45"/>
      <c r="CG194" s="45"/>
      <c r="CH194" s="45"/>
      <c r="CI194" s="45"/>
      <c r="CJ194" s="45"/>
      <c r="CK194" s="45"/>
      <c r="CL194" s="45"/>
      <c r="CM194" s="45"/>
      <c r="CN194" s="45"/>
      <c r="CO194" s="45"/>
      <c r="CP194" s="45"/>
      <c r="CQ194" s="45"/>
      <c r="CR194" s="45"/>
      <c r="CS194" s="45"/>
      <c r="CT194" s="45"/>
      <c r="CU194" s="55"/>
      <c r="CV194" s="55"/>
      <c r="CW194" s="55"/>
      <c r="CX194" s="55"/>
      <c r="CY194" s="55"/>
      <c r="CZ194" s="55"/>
      <c r="DA194" s="55"/>
      <c r="DB194" s="55"/>
      <c r="DC194" s="55"/>
      <c r="DD194" s="55"/>
      <c r="DE194" s="55"/>
      <c r="DF194" s="55"/>
      <c r="DG194" s="55"/>
      <c r="DH194" s="55"/>
      <c r="DI194" s="55"/>
      <c r="DJ194" s="55"/>
      <c r="DK194" s="55"/>
      <c r="DL194" s="45"/>
      <c r="DM194" s="45"/>
      <c r="DN194" s="45"/>
      <c r="DO194" s="45"/>
      <c r="DP194" s="45"/>
      <c r="DQ194" s="45"/>
      <c r="DR194" s="45"/>
      <c r="DS194" s="45"/>
      <c r="DT194" s="45"/>
      <c r="DU194" s="45"/>
      <c r="DV194" s="45"/>
      <c r="DW194" s="45"/>
      <c r="DX194" s="45"/>
      <c r="DY194" s="45"/>
      <c r="DZ194" s="45"/>
      <c r="EA194" s="45"/>
      <c r="EB194" s="45"/>
      <c r="EC194" s="45"/>
      <c r="ED194" s="45"/>
    </row>
    <row r="195" spans="3:134" s="165" customFormat="1">
      <c r="C195" s="45"/>
      <c r="D195" s="1561" t="s">
        <v>125</v>
      </c>
      <c r="E195" s="175" t="str">
        <f t="shared" ref="E195:P195" si="29">IF(E34&gt;0,E34,"")</f>
        <v/>
      </c>
      <c r="F195" s="175" t="str">
        <f t="shared" si="29"/>
        <v/>
      </c>
      <c r="G195" s="175" t="str">
        <f t="shared" si="29"/>
        <v/>
      </c>
      <c r="H195" s="175" t="str">
        <f t="shared" si="29"/>
        <v/>
      </c>
      <c r="I195" s="175" t="str">
        <f t="shared" si="29"/>
        <v/>
      </c>
      <c r="J195" s="175" t="str">
        <f t="shared" si="29"/>
        <v/>
      </c>
      <c r="K195" s="175" t="str">
        <f t="shared" si="29"/>
        <v/>
      </c>
      <c r="L195" s="175" t="str">
        <f t="shared" si="29"/>
        <v/>
      </c>
      <c r="M195" s="175" t="str">
        <f t="shared" si="29"/>
        <v/>
      </c>
      <c r="N195" s="175" t="str">
        <f t="shared" si="29"/>
        <v/>
      </c>
      <c r="O195" s="175" t="str">
        <f t="shared" si="29"/>
        <v/>
      </c>
      <c r="P195" s="175" t="str">
        <f t="shared" si="29"/>
        <v/>
      </c>
      <c r="Q195" s="175"/>
      <c r="R195" s="172"/>
      <c r="S195" s="45"/>
      <c r="T195" s="1510"/>
      <c r="U195" s="85"/>
      <c r="V195" s="85"/>
      <c r="W195" s="85"/>
      <c r="X195" s="85"/>
      <c r="Y195" s="85"/>
      <c r="Z195" s="85"/>
      <c r="AA195" s="45"/>
      <c r="AB195" s="45"/>
      <c r="AC195" s="45"/>
      <c r="AD195" s="45"/>
      <c r="AE195" s="45"/>
      <c r="AF195" s="45"/>
      <c r="AG195" s="45"/>
      <c r="AH195" s="45"/>
      <c r="AI195" s="45"/>
      <c r="AJ195" s="45"/>
      <c r="AK195" s="45"/>
      <c r="AL195" s="45"/>
      <c r="AM195" s="45"/>
      <c r="AN195" s="45"/>
      <c r="AO195" s="45"/>
      <c r="AP195" s="45"/>
      <c r="AQ195" s="45"/>
      <c r="AR195" s="45"/>
      <c r="AS195" s="45"/>
      <c r="AT195" s="45"/>
      <c r="AU195" s="45"/>
      <c r="AV195" s="45"/>
      <c r="AW195" s="45"/>
      <c r="AX195" s="45"/>
      <c r="AY195" s="45"/>
      <c r="AZ195" s="45"/>
      <c r="BA195" s="45"/>
      <c r="BB195" s="45"/>
      <c r="BC195" s="45"/>
      <c r="BD195" s="45"/>
      <c r="BE195" s="45"/>
      <c r="BF195" s="45"/>
      <c r="BG195" s="45"/>
      <c r="BH195" s="45"/>
      <c r="BI195" s="45"/>
      <c r="BJ195" s="45"/>
      <c r="BK195" s="45"/>
      <c r="BL195" s="45"/>
      <c r="BM195" s="45"/>
      <c r="BN195" s="45"/>
      <c r="BO195" s="45"/>
      <c r="BP195" s="45"/>
      <c r="BQ195" s="45"/>
      <c r="BR195" s="45"/>
      <c r="BS195" s="45"/>
      <c r="BT195" s="45"/>
      <c r="BU195" s="45"/>
      <c r="BV195" s="45"/>
      <c r="BW195" s="45"/>
      <c r="BX195" s="45"/>
      <c r="BY195" s="45"/>
      <c r="BZ195" s="45"/>
      <c r="CA195" s="45"/>
      <c r="CB195" s="45"/>
      <c r="CC195" s="45"/>
      <c r="CD195" s="45"/>
      <c r="CE195" s="45"/>
      <c r="CF195" s="45"/>
      <c r="CG195" s="45"/>
      <c r="CH195" s="45"/>
      <c r="CI195" s="45"/>
      <c r="CJ195" s="45"/>
      <c r="CK195" s="45"/>
      <c r="CL195" s="45"/>
      <c r="CM195" s="45"/>
      <c r="CN195" s="45"/>
      <c r="CO195" s="45"/>
      <c r="CP195" s="45"/>
      <c r="CQ195" s="45"/>
      <c r="CR195" s="45"/>
      <c r="CS195" s="45"/>
      <c r="CT195" s="45"/>
      <c r="CU195" s="55"/>
      <c r="CV195" s="55"/>
      <c r="CW195" s="55"/>
      <c r="CX195" s="55"/>
      <c r="CY195" s="55"/>
      <c r="CZ195" s="55"/>
      <c r="DA195" s="55"/>
      <c r="DB195" s="55"/>
      <c r="DC195" s="55"/>
      <c r="DD195" s="55"/>
      <c r="DE195" s="55"/>
      <c r="DF195" s="55"/>
      <c r="DG195" s="55"/>
      <c r="DH195" s="55"/>
      <c r="DI195" s="55"/>
      <c r="DJ195" s="55"/>
      <c r="DK195" s="55"/>
      <c r="DL195" s="45"/>
      <c r="DM195" s="45"/>
      <c r="DN195" s="45"/>
      <c r="DO195" s="45"/>
      <c r="DP195" s="45"/>
      <c r="DQ195" s="45"/>
      <c r="DR195" s="45"/>
      <c r="DS195" s="45"/>
      <c r="DT195" s="45"/>
      <c r="DU195" s="45"/>
      <c r="DV195" s="45"/>
      <c r="DW195" s="45"/>
      <c r="DX195" s="45"/>
      <c r="DY195" s="45"/>
      <c r="DZ195" s="45"/>
      <c r="EA195" s="45"/>
      <c r="EB195" s="45"/>
      <c r="EC195" s="45"/>
      <c r="ED195" s="45"/>
    </row>
    <row r="196" spans="3:134" s="165" customFormat="1">
      <c r="C196" s="45"/>
      <c r="D196" s="1561" t="s">
        <v>124</v>
      </c>
      <c r="E196" s="1562">
        <f t="shared" ref="E196:P196" si="30">IF(E34&lt;=0,E34,"")</f>
        <v>0</v>
      </c>
      <c r="F196" s="1562">
        <f t="shared" si="30"/>
        <v>0</v>
      </c>
      <c r="G196" s="1562">
        <f t="shared" si="30"/>
        <v>0</v>
      </c>
      <c r="H196" s="175">
        <f t="shared" si="30"/>
        <v>0</v>
      </c>
      <c r="I196" s="175">
        <f t="shared" si="30"/>
        <v>0</v>
      </c>
      <c r="J196" s="1562">
        <f t="shared" si="30"/>
        <v>0</v>
      </c>
      <c r="K196" s="1562">
        <f t="shared" si="30"/>
        <v>0</v>
      </c>
      <c r="L196" s="1562">
        <f t="shared" si="30"/>
        <v>0</v>
      </c>
      <c r="M196" s="1562">
        <f t="shared" si="30"/>
        <v>0</v>
      </c>
      <c r="N196" s="1562">
        <f t="shared" si="30"/>
        <v>0</v>
      </c>
      <c r="O196" s="1562">
        <f t="shared" si="30"/>
        <v>0</v>
      </c>
      <c r="P196" s="1562">
        <f t="shared" si="30"/>
        <v>0</v>
      </c>
      <c r="Q196" s="175"/>
      <c r="R196" s="172"/>
      <c r="S196" s="45"/>
      <c r="T196" s="1510"/>
      <c r="U196" s="85"/>
      <c r="V196" s="85"/>
      <c r="W196" s="85"/>
      <c r="X196" s="85"/>
      <c r="Y196" s="85"/>
      <c r="Z196" s="85"/>
      <c r="AA196" s="45"/>
      <c r="AB196" s="45"/>
      <c r="AC196" s="45"/>
      <c r="AD196" s="45"/>
      <c r="AE196" s="45"/>
      <c r="AF196" s="45"/>
      <c r="AG196" s="45"/>
      <c r="AH196" s="45"/>
      <c r="AI196" s="45"/>
      <c r="AJ196" s="45"/>
      <c r="AK196" s="45"/>
      <c r="AL196" s="45"/>
      <c r="AM196" s="45"/>
      <c r="AN196" s="45"/>
      <c r="AO196" s="45"/>
      <c r="AP196" s="45"/>
      <c r="AQ196" s="45"/>
      <c r="AR196" s="45"/>
      <c r="AS196" s="45"/>
      <c r="AT196" s="45"/>
      <c r="AU196" s="45"/>
      <c r="AV196" s="45"/>
      <c r="AW196" s="45"/>
      <c r="AX196" s="45"/>
      <c r="AY196" s="45"/>
      <c r="AZ196" s="45"/>
      <c r="BA196" s="45"/>
      <c r="BB196" s="45"/>
      <c r="BC196" s="45"/>
      <c r="BD196" s="45"/>
      <c r="BE196" s="45"/>
      <c r="BF196" s="45"/>
      <c r="BG196" s="45"/>
      <c r="BH196" s="45"/>
      <c r="BI196" s="45"/>
      <c r="BJ196" s="45"/>
      <c r="BK196" s="45"/>
      <c r="BL196" s="45"/>
      <c r="BM196" s="45"/>
      <c r="BN196" s="45"/>
      <c r="BO196" s="45"/>
      <c r="BP196" s="45"/>
      <c r="BQ196" s="45"/>
      <c r="BR196" s="45"/>
      <c r="BS196" s="45"/>
      <c r="BT196" s="45"/>
      <c r="BU196" s="45"/>
      <c r="BV196" s="45"/>
      <c r="BW196" s="45"/>
      <c r="BX196" s="45"/>
      <c r="BY196" s="45"/>
      <c r="BZ196" s="45"/>
      <c r="CA196" s="45"/>
      <c r="CB196" s="45"/>
      <c r="CC196" s="45"/>
      <c r="CD196" s="45"/>
      <c r="CE196" s="45"/>
      <c r="CF196" s="45"/>
      <c r="CG196" s="45"/>
      <c r="CH196" s="45"/>
      <c r="CI196" s="45"/>
      <c r="CJ196" s="45"/>
      <c r="CK196" s="45"/>
      <c r="CL196" s="45"/>
      <c r="CM196" s="45"/>
      <c r="CN196" s="45"/>
      <c r="CO196" s="45"/>
      <c r="CP196" s="45"/>
      <c r="CQ196" s="45"/>
      <c r="CR196" s="45"/>
      <c r="CS196" s="45"/>
      <c r="CT196" s="45"/>
      <c r="CU196" s="55"/>
      <c r="CV196" s="55"/>
      <c r="CW196" s="55"/>
      <c r="CX196" s="55"/>
      <c r="CY196" s="55"/>
      <c r="CZ196" s="55"/>
      <c r="DA196" s="55"/>
      <c r="DB196" s="55"/>
      <c r="DC196" s="55"/>
      <c r="DD196" s="55"/>
      <c r="DE196" s="55"/>
      <c r="DF196" s="55"/>
      <c r="DG196" s="55"/>
      <c r="DH196" s="55"/>
      <c r="DI196" s="55"/>
      <c r="DJ196" s="55"/>
      <c r="DK196" s="55"/>
      <c r="DL196" s="45"/>
      <c r="DM196" s="45"/>
      <c r="DN196" s="45"/>
      <c r="DO196" s="45"/>
      <c r="DP196" s="45"/>
      <c r="DQ196" s="45"/>
      <c r="DR196" s="45"/>
      <c r="DS196" s="45"/>
      <c r="DT196" s="45"/>
      <c r="DU196" s="45"/>
      <c r="DV196" s="45"/>
      <c r="DW196" s="45"/>
      <c r="DX196" s="45"/>
      <c r="DY196" s="45"/>
      <c r="DZ196" s="45"/>
      <c r="EA196" s="45"/>
      <c r="EB196" s="45"/>
      <c r="EC196" s="45"/>
      <c r="ED196" s="45"/>
    </row>
    <row r="197" spans="3:134" s="165" customFormat="1">
      <c r="C197" s="45"/>
      <c r="D197" s="142"/>
      <c r="E197" s="1562"/>
      <c r="F197" s="1562"/>
      <c r="G197" s="1562"/>
      <c r="H197" s="1562"/>
      <c r="I197" s="1562"/>
      <c r="J197" s="1562"/>
      <c r="K197" s="175"/>
      <c r="L197" s="175"/>
      <c r="M197" s="175"/>
      <c r="N197" s="175"/>
      <c r="O197" s="175"/>
      <c r="P197" s="175"/>
      <c r="Q197" s="175"/>
      <c r="R197" s="172"/>
      <c r="S197" s="45"/>
      <c r="T197" s="1510"/>
      <c r="U197" s="85"/>
      <c r="V197" s="85"/>
      <c r="W197" s="85"/>
      <c r="X197" s="85"/>
      <c r="Y197" s="85"/>
      <c r="Z197" s="85"/>
      <c r="AA197" s="45"/>
      <c r="AB197" s="45"/>
      <c r="AC197" s="45"/>
      <c r="AD197" s="45"/>
      <c r="AE197" s="45"/>
      <c r="AF197" s="45"/>
      <c r="AG197" s="45"/>
      <c r="AH197" s="45"/>
      <c r="AI197" s="45"/>
      <c r="AJ197" s="45"/>
      <c r="AK197" s="45"/>
      <c r="AL197" s="45"/>
      <c r="AM197" s="45"/>
      <c r="AN197" s="45"/>
      <c r="AO197" s="45"/>
      <c r="AP197" s="45"/>
      <c r="AQ197" s="45"/>
      <c r="AR197" s="45"/>
      <c r="AS197" s="45"/>
      <c r="AT197" s="45"/>
      <c r="AU197" s="45"/>
      <c r="AV197" s="45"/>
      <c r="AW197" s="45"/>
      <c r="AX197" s="45"/>
      <c r="AY197" s="45"/>
      <c r="AZ197" s="45"/>
      <c r="BA197" s="45"/>
      <c r="BB197" s="45"/>
      <c r="BC197" s="45"/>
      <c r="BD197" s="45"/>
      <c r="BE197" s="45"/>
      <c r="BF197" s="45"/>
      <c r="BG197" s="45"/>
      <c r="BH197" s="45"/>
      <c r="BI197" s="45"/>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5"/>
      <c r="CF197" s="45"/>
      <c r="CG197" s="45"/>
      <c r="CH197" s="45"/>
      <c r="CI197" s="45"/>
      <c r="CJ197" s="45"/>
      <c r="CK197" s="45"/>
      <c r="CL197" s="45"/>
      <c r="CM197" s="45"/>
      <c r="CN197" s="45"/>
      <c r="CO197" s="45"/>
      <c r="CP197" s="45"/>
      <c r="CQ197" s="45"/>
      <c r="CR197" s="45"/>
      <c r="CS197" s="45"/>
      <c r="CT197" s="45"/>
      <c r="CU197" s="55"/>
      <c r="CV197" s="55"/>
      <c r="CW197" s="55"/>
      <c r="CX197" s="55"/>
      <c r="CY197" s="55"/>
      <c r="CZ197" s="55"/>
      <c r="DA197" s="55"/>
      <c r="DB197" s="55"/>
      <c r="DC197" s="55"/>
      <c r="DD197" s="55"/>
      <c r="DE197" s="55"/>
      <c r="DF197" s="55"/>
      <c r="DG197" s="55"/>
      <c r="DH197" s="55"/>
      <c r="DI197" s="55"/>
      <c r="DJ197" s="55"/>
      <c r="DK197" s="55"/>
      <c r="DL197" s="45"/>
      <c r="DM197" s="45"/>
      <c r="DN197" s="45"/>
      <c r="DO197" s="45"/>
      <c r="DP197" s="45"/>
      <c r="DQ197" s="45"/>
      <c r="DR197" s="45"/>
      <c r="DS197" s="45"/>
      <c r="DT197" s="45"/>
      <c r="DU197" s="45"/>
      <c r="DV197" s="45"/>
      <c r="DW197" s="45"/>
      <c r="DX197" s="45"/>
      <c r="DY197" s="45"/>
      <c r="DZ197" s="45"/>
      <c r="EA197" s="45"/>
      <c r="EB197" s="45"/>
      <c r="EC197" s="45"/>
      <c r="ED197" s="45"/>
    </row>
    <row r="198" spans="3:134" s="165" customFormat="1">
      <c r="C198" s="45"/>
      <c r="D198" s="142">
        <f ca="1">D194+1</f>
        <v>2027</v>
      </c>
      <c r="E198" s="175" t="str">
        <f t="shared" ref="E198:P198" si="31">E6</f>
        <v>Jan.</v>
      </c>
      <c r="F198" s="175" t="str">
        <f t="shared" si="31"/>
        <v>Feb</v>
      </c>
      <c r="G198" s="175" t="str">
        <f t="shared" si="31"/>
        <v>Mrz</v>
      </c>
      <c r="H198" s="175" t="str">
        <f t="shared" si="31"/>
        <v>Apr</v>
      </c>
      <c r="I198" s="175" t="str">
        <f t="shared" si="31"/>
        <v>Mai</v>
      </c>
      <c r="J198" s="175" t="str">
        <f t="shared" si="31"/>
        <v>Jun</v>
      </c>
      <c r="K198" s="175" t="str">
        <f t="shared" si="31"/>
        <v>Jul</v>
      </c>
      <c r="L198" s="175" t="str">
        <f t="shared" si="31"/>
        <v>Aug</v>
      </c>
      <c r="M198" s="175" t="str">
        <f t="shared" si="31"/>
        <v>Sep</v>
      </c>
      <c r="N198" s="175" t="str">
        <f t="shared" si="31"/>
        <v>Okt</v>
      </c>
      <c r="O198" s="175" t="str">
        <f t="shared" si="31"/>
        <v>Nov</v>
      </c>
      <c r="P198" s="175" t="str">
        <f t="shared" si="31"/>
        <v>Dez</v>
      </c>
      <c r="Q198" s="175"/>
      <c r="R198" s="172"/>
      <c r="S198" s="45"/>
      <c r="T198" s="1510"/>
      <c r="U198" s="85"/>
      <c r="V198" s="85"/>
      <c r="W198" s="85"/>
      <c r="X198" s="85"/>
      <c r="Y198" s="85"/>
      <c r="Z198" s="85"/>
      <c r="AA198" s="45"/>
      <c r="AB198" s="45"/>
      <c r="AC198" s="45"/>
      <c r="AD198" s="45"/>
      <c r="AE198" s="45"/>
      <c r="AF198" s="45"/>
      <c r="AG198" s="45"/>
      <c r="AH198" s="45"/>
      <c r="AI198" s="45"/>
      <c r="AJ198" s="45"/>
      <c r="AK198" s="45"/>
      <c r="AL198" s="45"/>
      <c r="AM198" s="45"/>
      <c r="AN198" s="45"/>
      <c r="AO198" s="45"/>
      <c r="AP198" s="45"/>
      <c r="AQ198" s="45"/>
      <c r="AR198" s="45"/>
      <c r="AS198" s="45"/>
      <c r="AT198" s="45"/>
      <c r="AU198" s="45"/>
      <c r="AV198" s="45"/>
      <c r="AW198" s="45"/>
      <c r="AX198" s="45"/>
      <c r="AY198" s="45"/>
      <c r="AZ198" s="45"/>
      <c r="BA198" s="45"/>
      <c r="BB198" s="45"/>
      <c r="BC198" s="45"/>
      <c r="BD198" s="45"/>
      <c r="BE198" s="45"/>
      <c r="BF198" s="45"/>
      <c r="BG198" s="45"/>
      <c r="BH198" s="45"/>
      <c r="BI198" s="45"/>
      <c r="BJ198" s="45"/>
      <c r="BK198" s="45"/>
      <c r="BL198" s="45"/>
      <c r="BM198" s="45"/>
      <c r="BN198" s="45"/>
      <c r="BO198" s="45"/>
      <c r="BP198" s="45"/>
      <c r="BQ198" s="45"/>
      <c r="BR198" s="45"/>
      <c r="BS198" s="45"/>
      <c r="BT198" s="45"/>
      <c r="BU198" s="45"/>
      <c r="BV198" s="45"/>
      <c r="BW198" s="45"/>
      <c r="BX198" s="45"/>
      <c r="BY198" s="45"/>
      <c r="BZ198" s="45"/>
      <c r="CA198" s="45"/>
      <c r="CB198" s="45"/>
      <c r="CC198" s="45"/>
      <c r="CD198" s="45"/>
      <c r="CE198" s="45"/>
      <c r="CF198" s="45"/>
      <c r="CG198" s="45"/>
      <c r="CH198" s="45"/>
      <c r="CI198" s="45"/>
      <c r="CJ198" s="45"/>
      <c r="CK198" s="45"/>
      <c r="CL198" s="45"/>
      <c r="CM198" s="45"/>
      <c r="CN198" s="45"/>
      <c r="CO198" s="45"/>
      <c r="CP198" s="45"/>
      <c r="CQ198" s="45"/>
      <c r="CR198" s="45"/>
      <c r="CS198" s="45"/>
      <c r="CT198" s="45"/>
      <c r="CU198" s="55"/>
      <c r="CV198" s="55"/>
      <c r="CW198" s="55"/>
      <c r="CX198" s="55"/>
      <c r="CY198" s="55"/>
      <c r="CZ198" s="55"/>
      <c r="DA198" s="55"/>
      <c r="DB198" s="55"/>
      <c r="DC198" s="55"/>
      <c r="DD198" s="55"/>
      <c r="DE198" s="55"/>
      <c r="DF198" s="55"/>
      <c r="DG198" s="55"/>
      <c r="DH198" s="55"/>
      <c r="DI198" s="55"/>
      <c r="DJ198" s="55"/>
      <c r="DK198" s="55"/>
      <c r="DL198" s="45"/>
      <c r="DM198" s="45"/>
      <c r="DN198" s="45"/>
      <c r="DO198" s="45"/>
      <c r="DP198" s="45"/>
      <c r="DQ198" s="45"/>
      <c r="DR198" s="45"/>
      <c r="DS198" s="45"/>
      <c r="DT198" s="45"/>
      <c r="DU198" s="45"/>
      <c r="DV198" s="45"/>
      <c r="DW198" s="45"/>
      <c r="DX198" s="45"/>
      <c r="DY198" s="45"/>
      <c r="DZ198" s="45"/>
      <c r="EA198" s="45"/>
      <c r="EB198" s="45"/>
      <c r="EC198" s="45"/>
      <c r="ED198" s="45"/>
    </row>
    <row r="199" spans="3:134" s="165" customFormat="1">
      <c r="C199" s="45"/>
      <c r="D199" s="1561" t="s">
        <v>125</v>
      </c>
      <c r="E199" s="175" t="str">
        <f t="shared" ref="E199:P199" si="32">IF(E66&gt;0,E66,"")</f>
        <v/>
      </c>
      <c r="F199" s="175" t="str">
        <f t="shared" si="32"/>
        <v/>
      </c>
      <c r="G199" s="175" t="str">
        <f t="shared" si="32"/>
        <v/>
      </c>
      <c r="H199" s="175" t="str">
        <f t="shared" si="32"/>
        <v/>
      </c>
      <c r="I199" s="175" t="str">
        <f t="shared" si="32"/>
        <v/>
      </c>
      <c r="J199" s="175" t="str">
        <f t="shared" si="32"/>
        <v/>
      </c>
      <c r="K199" s="175" t="str">
        <f t="shared" si="32"/>
        <v/>
      </c>
      <c r="L199" s="175" t="str">
        <f t="shared" si="32"/>
        <v/>
      </c>
      <c r="M199" s="175" t="str">
        <f t="shared" si="32"/>
        <v/>
      </c>
      <c r="N199" s="175" t="str">
        <f t="shared" si="32"/>
        <v/>
      </c>
      <c r="O199" s="175" t="str">
        <f t="shared" si="32"/>
        <v/>
      </c>
      <c r="P199" s="175" t="str">
        <f t="shared" si="32"/>
        <v/>
      </c>
      <c r="Q199" s="175"/>
      <c r="R199" s="172"/>
      <c r="S199" s="45"/>
      <c r="T199" s="1510"/>
      <c r="U199" s="85"/>
      <c r="V199" s="85"/>
      <c r="W199" s="85"/>
      <c r="X199" s="85"/>
      <c r="Y199" s="85"/>
      <c r="Z199" s="85"/>
      <c r="AA199" s="45"/>
      <c r="AB199" s="45"/>
      <c r="AC199" s="45"/>
      <c r="AD199" s="45"/>
      <c r="AE199" s="45"/>
      <c r="AF199" s="45"/>
      <c r="AG199" s="45"/>
      <c r="AH199" s="45"/>
      <c r="AI199" s="45"/>
      <c r="AJ199" s="45"/>
      <c r="AK199" s="45"/>
      <c r="AL199" s="45"/>
      <c r="AM199" s="45"/>
      <c r="AN199" s="45"/>
      <c r="AO199" s="45"/>
      <c r="AP199" s="45"/>
      <c r="AQ199" s="45"/>
      <c r="AR199" s="45"/>
      <c r="AS199" s="45"/>
      <c r="AT199" s="45"/>
      <c r="AU199" s="45"/>
      <c r="AV199" s="45"/>
      <c r="AW199" s="45"/>
      <c r="AX199" s="45"/>
      <c r="AY199" s="45"/>
      <c r="AZ199" s="45"/>
      <c r="BA199" s="45"/>
      <c r="BB199" s="45"/>
      <c r="BC199" s="45"/>
      <c r="BD199" s="45"/>
      <c r="BE199" s="45"/>
      <c r="BF199" s="45"/>
      <c r="BG199" s="45"/>
      <c r="BH199" s="45"/>
      <c r="BI199" s="45"/>
      <c r="BJ199" s="45"/>
      <c r="BK199" s="45"/>
      <c r="BL199" s="45"/>
      <c r="BM199" s="45"/>
      <c r="BN199" s="45"/>
      <c r="BO199" s="45"/>
      <c r="BP199" s="45"/>
      <c r="BQ199" s="45"/>
      <c r="BR199" s="45"/>
      <c r="BS199" s="45"/>
      <c r="BT199" s="45"/>
      <c r="BU199" s="45"/>
      <c r="BV199" s="45"/>
      <c r="BW199" s="45"/>
      <c r="BX199" s="45"/>
      <c r="BY199" s="45"/>
      <c r="BZ199" s="45"/>
      <c r="CA199" s="45"/>
      <c r="CB199" s="45"/>
      <c r="CC199" s="45"/>
      <c r="CD199" s="45"/>
      <c r="CE199" s="45"/>
      <c r="CF199" s="45"/>
      <c r="CG199" s="45"/>
      <c r="CH199" s="45"/>
      <c r="CI199" s="45"/>
      <c r="CJ199" s="45"/>
      <c r="CK199" s="45"/>
      <c r="CL199" s="45"/>
      <c r="CM199" s="45"/>
      <c r="CN199" s="45"/>
      <c r="CO199" s="45"/>
      <c r="CP199" s="45"/>
      <c r="CQ199" s="45"/>
      <c r="CR199" s="45"/>
      <c r="CS199" s="45"/>
      <c r="CT199" s="45"/>
      <c r="CU199" s="55"/>
      <c r="CV199" s="55"/>
      <c r="CW199" s="55"/>
      <c r="CX199" s="55"/>
      <c r="CY199" s="55"/>
      <c r="CZ199" s="55"/>
      <c r="DA199" s="55"/>
      <c r="DB199" s="55"/>
      <c r="DC199" s="55"/>
      <c r="DD199" s="55"/>
      <c r="DE199" s="55"/>
      <c r="DF199" s="55"/>
      <c r="DG199" s="55"/>
      <c r="DH199" s="55"/>
      <c r="DI199" s="55"/>
      <c r="DJ199" s="55"/>
      <c r="DK199" s="55"/>
      <c r="DL199" s="45"/>
      <c r="DM199" s="45"/>
      <c r="DN199" s="45"/>
      <c r="DO199" s="45"/>
      <c r="DP199" s="45"/>
      <c r="DQ199" s="45"/>
      <c r="DR199" s="45"/>
      <c r="DS199" s="45"/>
      <c r="DT199" s="45"/>
      <c r="DU199" s="45"/>
      <c r="DV199" s="45"/>
      <c r="DW199" s="45"/>
      <c r="DX199" s="45"/>
      <c r="DY199" s="45"/>
      <c r="DZ199" s="45"/>
      <c r="EA199" s="45"/>
      <c r="EB199" s="45"/>
      <c r="EC199" s="45"/>
      <c r="ED199" s="45"/>
    </row>
    <row r="200" spans="3:134" s="165" customFormat="1">
      <c r="C200" s="45"/>
      <c r="D200" s="1561" t="s">
        <v>124</v>
      </c>
      <c r="E200" s="175">
        <f>IF(E66&lt;=0,E66,"")</f>
        <v>0</v>
      </c>
      <c r="F200" s="175">
        <f t="shared" ref="F200:P200" si="33">IF(F66&lt;=0,F66,"")</f>
        <v>0</v>
      </c>
      <c r="G200" s="175">
        <f t="shared" si="33"/>
        <v>0</v>
      </c>
      <c r="H200" s="175">
        <f t="shared" si="33"/>
        <v>0</v>
      </c>
      <c r="I200" s="175">
        <f t="shared" si="33"/>
        <v>0</v>
      </c>
      <c r="J200" s="175">
        <f t="shared" si="33"/>
        <v>0</v>
      </c>
      <c r="K200" s="175">
        <f t="shared" si="33"/>
        <v>0</v>
      </c>
      <c r="L200" s="175">
        <f t="shared" si="33"/>
        <v>0</v>
      </c>
      <c r="M200" s="175">
        <f t="shared" si="33"/>
        <v>0</v>
      </c>
      <c r="N200" s="175">
        <f t="shared" si="33"/>
        <v>0</v>
      </c>
      <c r="O200" s="175">
        <f t="shared" si="33"/>
        <v>0</v>
      </c>
      <c r="P200" s="175">
        <f t="shared" si="33"/>
        <v>0</v>
      </c>
      <c r="Q200" s="175"/>
      <c r="R200" s="172"/>
      <c r="S200" s="45"/>
      <c r="T200" s="1510"/>
      <c r="U200" s="85"/>
      <c r="V200" s="85"/>
      <c r="W200" s="85"/>
      <c r="X200" s="85"/>
      <c r="Y200" s="85"/>
      <c r="Z200" s="85"/>
      <c r="AA200" s="45"/>
      <c r="AB200" s="45"/>
      <c r="AC200" s="45"/>
      <c r="AD200" s="45"/>
      <c r="AE200" s="45"/>
      <c r="AF200" s="45"/>
      <c r="AG200" s="45"/>
      <c r="AH200" s="45"/>
      <c r="AI200" s="45"/>
      <c r="AJ200" s="45"/>
      <c r="AK200" s="45"/>
      <c r="AL200" s="45"/>
      <c r="AM200" s="45"/>
      <c r="AN200" s="45"/>
      <c r="AO200" s="45"/>
      <c r="AP200" s="45"/>
      <c r="AQ200" s="45"/>
      <c r="AR200" s="45"/>
      <c r="AS200" s="45"/>
      <c r="AT200" s="45"/>
      <c r="AU200" s="45"/>
      <c r="AV200" s="45"/>
      <c r="AW200" s="45"/>
      <c r="AX200" s="45"/>
      <c r="AY200" s="45"/>
      <c r="AZ200" s="45"/>
      <c r="BA200" s="45"/>
      <c r="BB200" s="45"/>
      <c r="BC200" s="45"/>
      <c r="BD200" s="45"/>
      <c r="BE200" s="45"/>
      <c r="BF200" s="45"/>
      <c r="BG200" s="45"/>
      <c r="BH200" s="45"/>
      <c r="BI200" s="45"/>
      <c r="BJ200" s="45"/>
      <c r="BK200" s="45"/>
      <c r="BL200" s="45"/>
      <c r="BM200" s="45"/>
      <c r="BN200" s="45"/>
      <c r="BO200" s="45"/>
      <c r="BP200" s="45"/>
      <c r="BQ200" s="45"/>
      <c r="BR200" s="45"/>
      <c r="BS200" s="45"/>
      <c r="BT200" s="45"/>
      <c r="BU200" s="45"/>
      <c r="BV200" s="45"/>
      <c r="BW200" s="45"/>
      <c r="BX200" s="45"/>
      <c r="BY200" s="45"/>
      <c r="BZ200" s="45"/>
      <c r="CA200" s="45"/>
      <c r="CB200" s="45"/>
      <c r="CC200" s="45"/>
      <c r="CD200" s="45"/>
      <c r="CE200" s="45"/>
      <c r="CF200" s="45"/>
      <c r="CG200" s="45"/>
      <c r="CH200" s="45"/>
      <c r="CI200" s="45"/>
      <c r="CJ200" s="45"/>
      <c r="CK200" s="45"/>
      <c r="CL200" s="45"/>
      <c r="CM200" s="45"/>
      <c r="CN200" s="45"/>
      <c r="CO200" s="45"/>
      <c r="CP200" s="45"/>
      <c r="CQ200" s="45"/>
      <c r="CR200" s="45"/>
      <c r="CS200" s="45"/>
      <c r="CT200" s="45"/>
      <c r="CU200" s="55"/>
      <c r="CV200" s="55"/>
      <c r="CW200" s="55"/>
      <c r="CX200" s="55"/>
      <c r="CY200" s="55"/>
      <c r="CZ200" s="55"/>
      <c r="DA200" s="55"/>
      <c r="DB200" s="55"/>
      <c r="DC200" s="55"/>
      <c r="DD200" s="55"/>
      <c r="DE200" s="55"/>
      <c r="DF200" s="55"/>
      <c r="DG200" s="55"/>
      <c r="DH200" s="55"/>
      <c r="DI200" s="55"/>
      <c r="DJ200" s="55"/>
      <c r="DK200" s="55"/>
      <c r="DL200" s="45"/>
      <c r="DM200" s="45"/>
      <c r="DN200" s="45"/>
      <c r="DO200" s="45"/>
      <c r="DP200" s="45"/>
      <c r="DQ200" s="45"/>
      <c r="DR200" s="45"/>
      <c r="DS200" s="45"/>
      <c r="DT200" s="45"/>
      <c r="DU200" s="45"/>
      <c r="DV200" s="45"/>
      <c r="DW200" s="45"/>
      <c r="DX200" s="45"/>
      <c r="DY200" s="45"/>
      <c r="DZ200" s="45"/>
      <c r="EA200" s="45"/>
      <c r="EB200" s="45"/>
      <c r="EC200" s="45"/>
      <c r="ED200" s="45"/>
    </row>
    <row r="201" spans="3:134" s="165" customFormat="1">
      <c r="C201" s="45"/>
      <c r="D201" s="142"/>
      <c r="E201" s="1562"/>
      <c r="F201" s="1562"/>
      <c r="G201" s="1562"/>
      <c r="H201" s="1562"/>
      <c r="I201" s="1562"/>
      <c r="J201" s="1562"/>
      <c r="K201" s="175"/>
      <c r="L201" s="175"/>
      <c r="M201" s="175"/>
      <c r="N201" s="175"/>
      <c r="O201" s="175"/>
      <c r="P201" s="175"/>
      <c r="Q201" s="175"/>
      <c r="R201" s="172"/>
      <c r="S201" s="45"/>
      <c r="T201" s="1510"/>
      <c r="U201" s="85"/>
      <c r="V201" s="85"/>
      <c r="W201" s="85"/>
      <c r="X201" s="85"/>
      <c r="Y201" s="85"/>
      <c r="Z201" s="8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c r="BH201" s="45"/>
      <c r="BI201" s="45"/>
      <c r="BJ201" s="45"/>
      <c r="BK201" s="45"/>
      <c r="BL201" s="45"/>
      <c r="BM201" s="45"/>
      <c r="BN201" s="45"/>
      <c r="BO201" s="45"/>
      <c r="BP201" s="45"/>
      <c r="BQ201" s="45"/>
      <c r="BR201" s="45"/>
      <c r="BS201" s="45"/>
      <c r="BT201" s="45"/>
      <c r="BU201" s="45"/>
      <c r="BV201" s="45"/>
      <c r="BW201" s="45"/>
      <c r="BX201" s="45"/>
      <c r="BY201" s="45"/>
      <c r="BZ201" s="45"/>
      <c r="CA201" s="45"/>
      <c r="CB201" s="45"/>
      <c r="CC201" s="45"/>
      <c r="CD201" s="45"/>
      <c r="CE201" s="45"/>
      <c r="CF201" s="45"/>
      <c r="CG201" s="45"/>
      <c r="CH201" s="45"/>
      <c r="CI201" s="45"/>
      <c r="CJ201" s="45"/>
      <c r="CK201" s="45"/>
      <c r="CL201" s="45"/>
      <c r="CM201" s="45"/>
      <c r="CN201" s="45"/>
      <c r="CO201" s="45"/>
      <c r="CP201" s="45"/>
      <c r="CQ201" s="45"/>
      <c r="CR201" s="45"/>
      <c r="CS201" s="45"/>
      <c r="CT201" s="45"/>
      <c r="CU201" s="55"/>
      <c r="CV201" s="55"/>
      <c r="CW201" s="55"/>
      <c r="CX201" s="55"/>
      <c r="CY201" s="55"/>
      <c r="CZ201" s="55"/>
      <c r="DA201" s="55"/>
      <c r="DB201" s="55"/>
      <c r="DC201" s="55"/>
      <c r="DD201" s="55"/>
      <c r="DE201" s="55"/>
      <c r="DF201" s="55"/>
      <c r="DG201" s="55"/>
      <c r="DH201" s="55"/>
      <c r="DI201" s="55"/>
      <c r="DJ201" s="55"/>
      <c r="DK201" s="55"/>
      <c r="DL201" s="45"/>
      <c r="DM201" s="45"/>
      <c r="DN201" s="45"/>
      <c r="DO201" s="45"/>
      <c r="DP201" s="45"/>
      <c r="DQ201" s="45"/>
      <c r="DR201" s="45"/>
      <c r="DS201" s="45"/>
      <c r="DT201" s="45"/>
      <c r="DU201" s="45"/>
      <c r="DV201" s="45"/>
      <c r="DW201" s="45"/>
      <c r="DX201" s="45"/>
      <c r="DY201" s="45"/>
      <c r="DZ201" s="45"/>
      <c r="EA201" s="45"/>
      <c r="EB201" s="45"/>
      <c r="EC201" s="45"/>
      <c r="ED201" s="45"/>
    </row>
    <row r="202" spans="3:134" s="165" customFormat="1">
      <c r="C202" s="45"/>
      <c r="D202" s="142"/>
      <c r="E202" s="1562"/>
      <c r="F202" s="1562"/>
      <c r="G202" s="1562"/>
      <c r="H202" s="1562"/>
      <c r="I202" s="1562"/>
      <c r="J202" s="1562"/>
      <c r="K202" s="175"/>
      <c r="L202" s="175"/>
      <c r="M202" s="175"/>
      <c r="N202" s="175"/>
      <c r="O202" s="175"/>
      <c r="P202" s="175"/>
      <c r="Q202" s="175"/>
      <c r="R202" s="172"/>
      <c r="S202" s="45"/>
      <c r="T202" s="1510"/>
      <c r="U202" s="85"/>
      <c r="V202" s="85"/>
      <c r="W202" s="85"/>
      <c r="X202" s="85"/>
      <c r="Y202" s="85"/>
      <c r="Z202" s="85"/>
      <c r="AA202" s="45"/>
      <c r="AB202" s="45"/>
      <c r="AC202" s="45"/>
      <c r="AD202" s="45"/>
      <c r="AE202" s="45"/>
      <c r="AF202" s="45"/>
      <c r="AG202" s="45"/>
      <c r="AH202" s="45"/>
      <c r="AI202" s="45"/>
      <c r="AJ202" s="45"/>
      <c r="AK202" s="45"/>
      <c r="AL202" s="45"/>
      <c r="AM202" s="45"/>
      <c r="AN202" s="45"/>
      <c r="AO202" s="45"/>
      <c r="AP202" s="45"/>
      <c r="AQ202" s="45"/>
      <c r="AR202" s="45"/>
      <c r="AS202" s="45"/>
      <c r="AT202" s="45"/>
      <c r="AU202" s="45"/>
      <c r="AV202" s="45"/>
      <c r="AW202" s="45"/>
      <c r="AX202" s="45"/>
      <c r="AY202" s="45"/>
      <c r="AZ202" s="45"/>
      <c r="BA202" s="45"/>
      <c r="BB202" s="45"/>
      <c r="BC202" s="45"/>
      <c r="BD202" s="45"/>
      <c r="BE202" s="45"/>
      <c r="BF202" s="45"/>
      <c r="BG202" s="45"/>
      <c r="BH202" s="45"/>
      <c r="BI202" s="45"/>
      <c r="BJ202" s="45"/>
      <c r="BK202" s="45"/>
      <c r="BL202" s="45"/>
      <c r="BM202" s="45"/>
      <c r="BN202" s="45"/>
      <c r="BO202" s="45"/>
      <c r="BP202" s="45"/>
      <c r="BQ202" s="45"/>
      <c r="BR202" s="45"/>
      <c r="BS202" s="45"/>
      <c r="BT202" s="45"/>
      <c r="BU202" s="45"/>
      <c r="BV202" s="45"/>
      <c r="BW202" s="45"/>
      <c r="BX202" s="45"/>
      <c r="BY202" s="45"/>
      <c r="BZ202" s="45"/>
      <c r="CA202" s="45"/>
      <c r="CB202" s="45"/>
      <c r="CC202" s="45"/>
      <c r="CD202" s="45"/>
      <c r="CE202" s="45"/>
      <c r="CF202" s="45"/>
      <c r="CG202" s="45"/>
      <c r="CH202" s="45"/>
      <c r="CI202" s="45"/>
      <c r="CJ202" s="45"/>
      <c r="CK202" s="45"/>
      <c r="CL202" s="45"/>
      <c r="CM202" s="45"/>
      <c r="CN202" s="45"/>
      <c r="CO202" s="45"/>
      <c r="CP202" s="45"/>
      <c r="CQ202" s="45"/>
      <c r="CR202" s="45"/>
      <c r="CS202" s="45"/>
      <c r="CT202" s="45"/>
      <c r="CU202" s="55"/>
      <c r="CV202" s="55"/>
      <c r="CW202" s="55"/>
      <c r="CX202" s="55"/>
      <c r="CY202" s="55"/>
      <c r="CZ202" s="55"/>
      <c r="DA202" s="55"/>
      <c r="DB202" s="55"/>
      <c r="DC202" s="55"/>
      <c r="DD202" s="55"/>
      <c r="DE202" s="55"/>
      <c r="DF202" s="55"/>
      <c r="DG202" s="55"/>
      <c r="DH202" s="55"/>
      <c r="DI202" s="55"/>
      <c r="DJ202" s="55"/>
      <c r="DK202" s="55"/>
      <c r="DL202" s="45"/>
      <c r="DM202" s="45"/>
      <c r="DN202" s="45"/>
      <c r="DO202" s="45"/>
      <c r="DP202" s="45"/>
      <c r="DQ202" s="45"/>
      <c r="DR202" s="45"/>
      <c r="DS202" s="45"/>
      <c r="DT202" s="45"/>
      <c r="DU202" s="45"/>
      <c r="DV202" s="45"/>
      <c r="DW202" s="45"/>
      <c r="DX202" s="45"/>
      <c r="DY202" s="45"/>
      <c r="DZ202" s="45"/>
      <c r="EA202" s="45"/>
      <c r="EB202" s="45"/>
      <c r="EC202" s="45"/>
      <c r="ED202" s="45"/>
    </row>
    <row r="203" spans="3:134" s="165" customFormat="1">
      <c r="C203" s="45"/>
      <c r="D203" s="1563"/>
      <c r="E203" s="1562">
        <f ca="1">Basisdaten!$C$15</f>
        <v>2026</v>
      </c>
      <c r="F203" s="1562">
        <f ca="1">E203+1</f>
        <v>2027</v>
      </c>
      <c r="G203" s="1562">
        <f ca="1">F203+1</f>
        <v>2028</v>
      </c>
      <c r="H203" s="1562">
        <f ca="1">G203+1</f>
        <v>2029</v>
      </c>
      <c r="I203" s="1562">
        <f ca="1">H203+1</f>
        <v>2030</v>
      </c>
      <c r="J203" s="1562"/>
      <c r="K203" s="175"/>
      <c r="L203" s="175"/>
      <c r="M203" s="175"/>
      <c r="N203" s="175"/>
      <c r="O203" s="175"/>
      <c r="P203" s="175"/>
      <c r="Q203" s="175"/>
      <c r="R203" s="172"/>
      <c r="S203" s="45"/>
      <c r="T203" s="1510"/>
      <c r="U203" s="85"/>
      <c r="V203" s="85"/>
      <c r="W203" s="85"/>
      <c r="X203" s="85"/>
      <c r="Y203" s="85"/>
      <c r="Z203" s="85"/>
      <c r="AA203" s="45"/>
      <c r="AB203" s="45"/>
      <c r="AC203" s="45"/>
      <c r="AD203" s="45"/>
      <c r="AE203" s="45"/>
      <c r="AF203" s="45"/>
      <c r="AG203" s="45"/>
      <c r="AH203" s="45"/>
      <c r="AI203" s="45"/>
      <c r="AJ203" s="45"/>
      <c r="AK203" s="45"/>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45"/>
      <c r="CF203" s="45"/>
      <c r="CG203" s="45"/>
      <c r="CH203" s="45"/>
      <c r="CI203" s="45"/>
      <c r="CJ203" s="45"/>
      <c r="CK203" s="45"/>
      <c r="CL203" s="45"/>
      <c r="CM203" s="45"/>
      <c r="CN203" s="45"/>
      <c r="CO203" s="45"/>
      <c r="CP203" s="45"/>
      <c r="CQ203" s="45"/>
      <c r="CR203" s="45"/>
      <c r="CS203" s="45"/>
      <c r="CT203" s="45"/>
      <c r="CU203" s="55"/>
      <c r="CV203" s="55"/>
      <c r="CW203" s="55"/>
      <c r="CX203" s="55"/>
      <c r="CY203" s="55"/>
      <c r="CZ203" s="55"/>
      <c r="DA203" s="55"/>
      <c r="DB203" s="55"/>
      <c r="DC203" s="55"/>
      <c r="DD203" s="55"/>
      <c r="DE203" s="55"/>
      <c r="DF203" s="55"/>
      <c r="DG203" s="55"/>
      <c r="DH203" s="55"/>
      <c r="DI203" s="55"/>
      <c r="DJ203" s="55"/>
      <c r="DK203" s="55"/>
      <c r="DL203" s="45"/>
      <c r="DM203" s="45"/>
      <c r="DN203" s="45"/>
      <c r="DO203" s="45"/>
      <c r="DP203" s="45"/>
      <c r="DQ203" s="45"/>
      <c r="DR203" s="45"/>
      <c r="DS203" s="45"/>
      <c r="DT203" s="45"/>
      <c r="DU203" s="45"/>
      <c r="DV203" s="45"/>
      <c r="DW203" s="45"/>
      <c r="DX203" s="45"/>
      <c r="DY203" s="45"/>
      <c r="DZ203" s="45"/>
      <c r="EA203" s="45"/>
      <c r="EB203" s="45"/>
      <c r="EC203" s="45"/>
      <c r="ED203" s="45"/>
    </row>
    <row r="204" spans="3:134" s="45" customFormat="1">
      <c r="D204" s="1561" t="s">
        <v>125</v>
      </c>
      <c r="E204" s="175" t="str">
        <f>IF(E99&gt;0,E99,"")</f>
        <v/>
      </c>
      <c r="F204" s="175" t="str">
        <f>IF(F99&gt;0,F99,"")</f>
        <v/>
      </c>
      <c r="G204" s="175" t="str">
        <f ca="1">IF(G99&gt;0,G99,"")</f>
        <v/>
      </c>
      <c r="H204" s="175" t="str">
        <f ca="1">IF(H99&gt;0,H99,"")</f>
        <v/>
      </c>
      <c r="I204" s="175" t="str">
        <f ca="1">IF(I99&gt;0,I99,"")</f>
        <v/>
      </c>
      <c r="J204" s="175"/>
      <c r="K204" s="175"/>
      <c r="L204" s="175"/>
      <c r="M204" s="175"/>
      <c r="N204" s="175"/>
      <c r="O204" s="175"/>
      <c r="P204" s="175"/>
      <c r="Q204" s="175"/>
      <c r="R204" s="172"/>
      <c r="T204" s="1510"/>
      <c r="U204" s="85"/>
      <c r="V204" s="85"/>
      <c r="W204" s="85"/>
      <c r="X204" s="85"/>
      <c r="Y204" s="85"/>
      <c r="Z204" s="85"/>
      <c r="CU204" s="55"/>
      <c r="CV204" s="55"/>
      <c r="CW204" s="55"/>
      <c r="CX204" s="55"/>
      <c r="CY204" s="55"/>
      <c r="CZ204" s="55"/>
      <c r="DA204" s="55"/>
      <c r="DB204" s="55"/>
      <c r="DC204" s="55"/>
      <c r="DD204" s="55"/>
      <c r="DE204" s="55"/>
      <c r="DF204" s="55"/>
      <c r="DG204" s="55"/>
      <c r="DH204" s="55"/>
      <c r="DI204" s="55"/>
      <c r="DJ204" s="55"/>
      <c r="DK204" s="55"/>
    </row>
    <row r="205" spans="3:134" s="45" customFormat="1">
      <c r="D205" s="1561" t="s">
        <v>124</v>
      </c>
      <c r="E205" s="175">
        <f>IF(E99&lt;=0,E99,"")</f>
        <v>0</v>
      </c>
      <c r="F205" s="175">
        <f>IF(F99&lt;=0,F99,"")</f>
        <v>0</v>
      </c>
      <c r="G205" s="175">
        <f ca="1">IF(G99&lt;=0,G99,"")</f>
        <v>0</v>
      </c>
      <c r="H205" s="175">
        <f ca="1">IF(H99&lt;=0,H99,"")</f>
        <v>0</v>
      </c>
      <c r="I205" s="175">
        <f ca="1">IF(I99&lt;=0,I99,"")</f>
        <v>0</v>
      </c>
      <c r="J205" s="175"/>
      <c r="K205" s="175"/>
      <c r="L205" s="175"/>
      <c r="M205" s="175"/>
      <c r="N205" s="175"/>
      <c r="O205" s="175"/>
      <c r="P205" s="175"/>
      <c r="Q205" s="175"/>
      <c r="R205" s="172"/>
      <c r="T205" s="1510"/>
      <c r="U205" s="85"/>
      <c r="V205" s="85"/>
      <c r="W205" s="85"/>
      <c r="X205" s="85"/>
      <c r="Y205" s="85"/>
      <c r="Z205" s="85"/>
      <c r="CU205" s="55"/>
      <c r="CV205" s="55"/>
      <c r="CW205" s="55"/>
      <c r="CX205" s="55"/>
      <c r="CY205" s="55"/>
      <c r="CZ205" s="55"/>
      <c r="DA205" s="55"/>
      <c r="DB205" s="55"/>
      <c r="DC205" s="55"/>
      <c r="DD205" s="55"/>
      <c r="DE205" s="55"/>
      <c r="DF205" s="55"/>
      <c r="DG205" s="55"/>
      <c r="DH205" s="55"/>
      <c r="DI205" s="55"/>
      <c r="DJ205" s="55"/>
      <c r="DK205" s="55"/>
    </row>
    <row r="206" spans="3:134" s="37" customFormat="1">
      <c r="E206" s="49"/>
      <c r="F206" s="49"/>
      <c r="G206" s="49"/>
      <c r="H206" s="49"/>
      <c r="I206" s="49"/>
      <c r="J206" s="49"/>
      <c r="K206" s="49"/>
      <c r="L206" s="49"/>
      <c r="M206" s="49"/>
      <c r="N206" s="49"/>
      <c r="O206" s="49"/>
      <c r="P206" s="49"/>
      <c r="Q206" s="49"/>
      <c r="R206" s="49"/>
      <c r="T206" s="1510"/>
      <c r="U206" s="50"/>
      <c r="V206" s="50"/>
      <c r="W206" s="50"/>
      <c r="X206" s="50"/>
      <c r="Y206" s="50"/>
      <c r="Z206" s="50"/>
      <c r="CU206" s="30"/>
      <c r="CV206" s="30"/>
      <c r="CW206" s="30"/>
      <c r="CX206" s="30"/>
      <c r="CY206" s="30"/>
      <c r="CZ206" s="30"/>
      <c r="DA206" s="30"/>
      <c r="DB206" s="30"/>
      <c r="DC206" s="30"/>
      <c r="DD206" s="30"/>
      <c r="DE206" s="30"/>
      <c r="DF206" s="30"/>
      <c r="DG206" s="30"/>
      <c r="DH206" s="30"/>
      <c r="DI206" s="30"/>
      <c r="DJ206" s="30"/>
      <c r="DK206" s="30"/>
      <c r="DL206" s="45"/>
      <c r="DM206" s="45"/>
      <c r="DN206" s="45"/>
      <c r="DO206" s="45"/>
      <c r="DP206" s="45"/>
      <c r="DQ206" s="45"/>
      <c r="DR206" s="45"/>
      <c r="DS206" s="45"/>
      <c r="DT206" s="45"/>
      <c r="DU206" s="45"/>
      <c r="DV206" s="45"/>
      <c r="DW206" s="45"/>
      <c r="DX206" s="45"/>
      <c r="DY206" s="45"/>
      <c r="DZ206" s="45"/>
    </row>
    <row r="207" spans="3:134" s="37" customFormat="1">
      <c r="E207" s="49"/>
      <c r="F207" s="49"/>
      <c r="G207" s="49"/>
      <c r="H207" s="49"/>
      <c r="I207" s="49"/>
      <c r="J207" s="49"/>
      <c r="K207" s="49"/>
      <c r="L207" s="49"/>
      <c r="M207" s="49"/>
      <c r="N207" s="49"/>
      <c r="O207" s="49"/>
      <c r="P207" s="49"/>
      <c r="Q207" s="49"/>
      <c r="R207" s="49"/>
      <c r="T207" s="1510"/>
      <c r="U207" s="50"/>
      <c r="V207" s="50"/>
      <c r="W207" s="50"/>
      <c r="X207" s="50"/>
      <c r="Y207" s="50"/>
      <c r="Z207" s="50"/>
      <c r="CU207" s="30"/>
      <c r="CV207" s="30"/>
      <c r="CW207" s="30"/>
      <c r="CX207" s="30"/>
      <c r="CY207" s="30"/>
      <c r="CZ207" s="30"/>
      <c r="DA207" s="30"/>
      <c r="DB207" s="30"/>
      <c r="DC207" s="30"/>
      <c r="DD207" s="30"/>
      <c r="DE207" s="30"/>
      <c r="DF207" s="30"/>
      <c r="DG207" s="30"/>
      <c r="DH207" s="30"/>
      <c r="DI207" s="30"/>
      <c r="DJ207" s="30"/>
      <c r="DK207" s="30"/>
      <c r="DL207" s="45"/>
      <c r="DM207" s="45"/>
      <c r="DN207" s="45"/>
      <c r="DO207" s="45"/>
      <c r="DP207" s="45"/>
      <c r="DQ207" s="45"/>
      <c r="DR207" s="45"/>
      <c r="DS207" s="45"/>
      <c r="DT207" s="45"/>
      <c r="DU207" s="45"/>
      <c r="DV207" s="45"/>
      <c r="DW207" s="45"/>
      <c r="DX207" s="45"/>
      <c r="DY207" s="45"/>
      <c r="DZ207" s="45"/>
    </row>
    <row r="208" spans="3:134" s="37" customFormat="1">
      <c r="E208" s="49"/>
      <c r="F208" s="49"/>
      <c r="G208" s="49"/>
      <c r="H208" s="49"/>
      <c r="I208" s="49"/>
      <c r="J208" s="49"/>
      <c r="K208" s="49"/>
      <c r="L208" s="49"/>
      <c r="M208" s="49"/>
      <c r="N208" s="49"/>
      <c r="O208" s="49"/>
      <c r="P208" s="49"/>
      <c r="Q208" s="49"/>
      <c r="R208" s="49"/>
      <c r="T208" s="1510"/>
      <c r="U208" s="50"/>
      <c r="V208" s="50"/>
      <c r="W208" s="50"/>
      <c r="X208" s="50"/>
      <c r="Y208" s="50"/>
      <c r="Z208" s="50"/>
      <c r="CU208" s="30"/>
      <c r="CV208" s="30"/>
      <c r="CW208" s="30"/>
      <c r="CX208" s="30"/>
      <c r="CY208" s="30"/>
      <c r="CZ208" s="30"/>
      <c r="DA208" s="30"/>
      <c r="DB208" s="30"/>
      <c r="DC208" s="30"/>
      <c r="DD208" s="30"/>
      <c r="DE208" s="30"/>
      <c r="DF208" s="30"/>
      <c r="DG208" s="30"/>
      <c r="DH208" s="30"/>
      <c r="DI208" s="30"/>
      <c r="DJ208" s="30"/>
      <c r="DK208" s="30"/>
      <c r="DL208" s="45"/>
      <c r="DM208" s="45"/>
      <c r="DN208" s="45"/>
      <c r="DO208" s="45"/>
      <c r="DP208" s="45"/>
      <c r="DQ208" s="45"/>
      <c r="DR208" s="45"/>
      <c r="DS208" s="45"/>
      <c r="DT208" s="45"/>
      <c r="DU208" s="45"/>
      <c r="DV208" s="45"/>
      <c r="DW208" s="45"/>
      <c r="DX208" s="45"/>
      <c r="DY208" s="45"/>
      <c r="DZ208" s="45"/>
    </row>
    <row r="209" spans="5:130" s="37" customFormat="1">
      <c r="E209" s="49"/>
      <c r="F209" s="49"/>
      <c r="G209" s="49"/>
      <c r="H209" s="49"/>
      <c r="I209" s="49"/>
      <c r="J209" s="49"/>
      <c r="K209" s="49"/>
      <c r="L209" s="49"/>
      <c r="M209" s="49"/>
      <c r="N209" s="49"/>
      <c r="O209" s="49"/>
      <c r="P209" s="49"/>
      <c r="Q209" s="49"/>
      <c r="R209" s="49"/>
      <c r="T209" s="1510"/>
      <c r="U209" s="50"/>
      <c r="V209" s="50"/>
      <c r="W209" s="50"/>
      <c r="X209" s="50"/>
      <c r="Y209" s="50"/>
      <c r="Z209" s="50"/>
      <c r="CU209" s="30"/>
      <c r="CV209" s="30"/>
      <c r="CW209" s="30"/>
      <c r="CX209" s="30"/>
      <c r="CY209" s="30"/>
      <c r="CZ209" s="30"/>
      <c r="DA209" s="30"/>
      <c r="DB209" s="30"/>
      <c r="DC209" s="30"/>
      <c r="DD209" s="30"/>
      <c r="DE209" s="30"/>
      <c r="DF209" s="30"/>
      <c r="DG209" s="30"/>
      <c r="DH209" s="30"/>
      <c r="DI209" s="30"/>
      <c r="DJ209" s="30"/>
      <c r="DK209" s="30"/>
      <c r="DL209" s="45"/>
      <c r="DM209" s="45"/>
      <c r="DN209" s="45"/>
      <c r="DO209" s="45"/>
      <c r="DP209" s="45"/>
      <c r="DQ209" s="45"/>
      <c r="DR209" s="45"/>
      <c r="DS209" s="45"/>
      <c r="DT209" s="45"/>
      <c r="DU209" s="45"/>
      <c r="DV209" s="45"/>
      <c r="DW209" s="45"/>
      <c r="DX209" s="45"/>
      <c r="DY209" s="45"/>
      <c r="DZ209" s="45"/>
    </row>
    <row r="210" spans="5:130" s="37" customFormat="1">
      <c r="E210" s="49"/>
      <c r="F210" s="49"/>
      <c r="G210" s="49"/>
      <c r="H210" s="49"/>
      <c r="I210" s="49"/>
      <c r="J210" s="49"/>
      <c r="K210" s="49"/>
      <c r="L210" s="49"/>
      <c r="M210" s="49"/>
      <c r="N210" s="49"/>
      <c r="O210" s="49"/>
      <c r="P210" s="49"/>
      <c r="Q210" s="49"/>
      <c r="R210" s="49"/>
      <c r="T210" s="1510"/>
      <c r="U210" s="50"/>
      <c r="V210" s="50"/>
      <c r="W210" s="50"/>
      <c r="X210" s="50"/>
      <c r="Y210" s="50"/>
      <c r="Z210" s="50"/>
      <c r="CU210" s="30"/>
      <c r="CV210" s="30"/>
      <c r="CW210" s="30"/>
      <c r="CX210" s="30"/>
      <c r="CY210" s="30"/>
      <c r="CZ210" s="30"/>
      <c r="DA210" s="30"/>
      <c r="DB210" s="30"/>
      <c r="DC210" s="30"/>
      <c r="DD210" s="30"/>
      <c r="DE210" s="30"/>
      <c r="DF210" s="30"/>
      <c r="DG210" s="30"/>
      <c r="DH210" s="30"/>
      <c r="DI210" s="30"/>
      <c r="DJ210" s="30"/>
      <c r="DK210" s="30"/>
      <c r="DL210" s="45"/>
      <c r="DM210" s="45"/>
      <c r="DN210" s="45"/>
      <c r="DO210" s="45"/>
      <c r="DP210" s="45"/>
      <c r="DQ210" s="45"/>
      <c r="DR210" s="45"/>
      <c r="DS210" s="45"/>
      <c r="DT210" s="45"/>
      <c r="DU210" s="45"/>
      <c r="DV210" s="45"/>
      <c r="DW210" s="45"/>
      <c r="DX210" s="45"/>
      <c r="DY210" s="45"/>
      <c r="DZ210" s="45"/>
    </row>
    <row r="211" spans="5:130" s="37" customFormat="1">
      <c r="E211" s="49"/>
      <c r="F211" s="49"/>
      <c r="G211" s="49"/>
      <c r="H211" s="49"/>
      <c r="I211" s="49"/>
      <c r="J211" s="49"/>
      <c r="K211" s="49"/>
      <c r="L211" s="49"/>
      <c r="M211" s="49"/>
      <c r="N211" s="49"/>
      <c r="O211" s="49"/>
      <c r="P211" s="49"/>
      <c r="Q211" s="49"/>
      <c r="R211" s="49"/>
      <c r="T211" s="1510"/>
      <c r="U211" s="50"/>
      <c r="V211" s="50"/>
      <c r="W211" s="50"/>
      <c r="X211" s="50"/>
      <c r="Y211" s="50"/>
      <c r="Z211" s="50"/>
      <c r="CU211" s="30"/>
      <c r="CV211" s="30"/>
      <c r="CW211" s="30"/>
      <c r="CX211" s="30"/>
      <c r="CY211" s="30"/>
      <c r="CZ211" s="30"/>
      <c r="DA211" s="30"/>
      <c r="DB211" s="30"/>
      <c r="DC211" s="30"/>
      <c r="DD211" s="30"/>
      <c r="DE211" s="30"/>
      <c r="DF211" s="30"/>
      <c r="DG211" s="30"/>
      <c r="DH211" s="30"/>
      <c r="DI211" s="30"/>
      <c r="DJ211" s="30"/>
      <c r="DK211" s="30"/>
      <c r="DL211" s="45"/>
      <c r="DM211" s="45"/>
      <c r="DN211" s="45"/>
      <c r="DO211" s="45"/>
      <c r="DP211" s="45"/>
      <c r="DQ211" s="45"/>
      <c r="DR211" s="45"/>
      <c r="DS211" s="45"/>
      <c r="DT211" s="45"/>
      <c r="DU211" s="45"/>
      <c r="DV211" s="45"/>
      <c r="DW211" s="45"/>
      <c r="DX211" s="45"/>
      <c r="DY211" s="45"/>
      <c r="DZ211" s="45"/>
    </row>
    <row r="212" spans="5:130" s="37" customFormat="1">
      <c r="E212" s="49"/>
      <c r="F212" s="49"/>
      <c r="G212" s="49"/>
      <c r="H212" s="49"/>
      <c r="I212" s="49"/>
      <c r="J212" s="49"/>
      <c r="K212" s="49"/>
      <c r="L212" s="49"/>
      <c r="M212" s="49"/>
      <c r="N212" s="49"/>
      <c r="O212" s="49"/>
      <c r="P212" s="49"/>
      <c r="Q212" s="49"/>
      <c r="R212" s="49"/>
      <c r="T212" s="1510"/>
      <c r="U212" s="50"/>
      <c r="V212" s="50"/>
      <c r="W212" s="50"/>
      <c r="X212" s="50"/>
      <c r="Y212" s="50"/>
      <c r="Z212" s="50"/>
      <c r="CU212" s="30"/>
      <c r="CV212" s="30"/>
      <c r="CW212" s="30"/>
      <c r="CX212" s="30"/>
      <c r="CY212" s="30"/>
      <c r="CZ212" s="30"/>
      <c r="DA212" s="30"/>
      <c r="DB212" s="30"/>
      <c r="DC212" s="30"/>
      <c r="DD212" s="30"/>
      <c r="DE212" s="30"/>
      <c r="DF212" s="30"/>
      <c r="DG212" s="30"/>
      <c r="DH212" s="30"/>
      <c r="DI212" s="30"/>
      <c r="DJ212" s="30"/>
      <c r="DK212" s="30"/>
      <c r="DL212" s="45"/>
      <c r="DM212" s="45"/>
      <c r="DN212" s="45"/>
      <c r="DO212" s="45"/>
      <c r="DP212" s="45"/>
      <c r="DQ212" s="45"/>
      <c r="DR212" s="45"/>
      <c r="DS212" s="45"/>
      <c r="DT212" s="45"/>
      <c r="DU212" s="45"/>
      <c r="DV212" s="45"/>
      <c r="DW212" s="45"/>
      <c r="DX212" s="45"/>
      <c r="DY212" s="45"/>
      <c r="DZ212" s="45"/>
    </row>
    <row r="213" spans="5:130" s="37" customFormat="1">
      <c r="E213" s="49"/>
      <c r="F213" s="49"/>
      <c r="G213" s="49"/>
      <c r="H213" s="49"/>
      <c r="I213" s="49"/>
      <c r="J213" s="49"/>
      <c r="K213" s="49"/>
      <c r="L213" s="49"/>
      <c r="M213" s="49"/>
      <c r="N213" s="49"/>
      <c r="O213" s="49"/>
      <c r="P213" s="49"/>
      <c r="Q213" s="49"/>
      <c r="R213" s="49"/>
      <c r="T213" s="1510"/>
      <c r="U213" s="50"/>
      <c r="V213" s="50"/>
      <c r="W213" s="50"/>
      <c r="X213" s="50"/>
      <c r="Y213" s="50"/>
      <c r="Z213" s="50"/>
      <c r="CU213" s="30"/>
      <c r="CV213" s="30"/>
      <c r="CW213" s="30"/>
      <c r="CX213" s="30"/>
      <c r="CY213" s="30"/>
      <c r="CZ213" s="30"/>
      <c r="DA213" s="30"/>
      <c r="DB213" s="30"/>
      <c r="DC213" s="30"/>
      <c r="DD213" s="30"/>
      <c r="DE213" s="30"/>
      <c r="DF213" s="30"/>
      <c r="DG213" s="30"/>
      <c r="DH213" s="30"/>
      <c r="DI213" s="30"/>
      <c r="DJ213" s="30"/>
      <c r="DK213" s="30"/>
      <c r="DL213" s="45"/>
      <c r="DM213" s="45"/>
      <c r="DN213" s="45"/>
      <c r="DO213" s="45"/>
      <c r="DP213" s="45"/>
      <c r="DQ213" s="45"/>
      <c r="DR213" s="45"/>
      <c r="DS213" s="45"/>
      <c r="DT213" s="45"/>
      <c r="DU213" s="45"/>
      <c r="DV213" s="45"/>
      <c r="DW213" s="45"/>
      <c r="DX213" s="45"/>
      <c r="DY213" s="45"/>
      <c r="DZ213" s="45"/>
    </row>
    <row r="214" spans="5:130" s="37" customFormat="1">
      <c r="E214" s="49"/>
      <c r="F214" s="49"/>
      <c r="G214" s="49"/>
      <c r="H214" s="49"/>
      <c r="I214" s="49"/>
      <c r="J214" s="49"/>
      <c r="K214" s="49"/>
      <c r="L214" s="49"/>
      <c r="M214" s="49"/>
      <c r="N214" s="49"/>
      <c r="O214" s="49"/>
      <c r="P214" s="49"/>
      <c r="Q214" s="49"/>
      <c r="R214" s="49"/>
      <c r="T214" s="1510"/>
      <c r="U214" s="50"/>
      <c r="V214" s="50"/>
      <c r="W214" s="50"/>
      <c r="X214" s="50"/>
      <c r="Y214" s="50"/>
      <c r="Z214" s="50"/>
      <c r="CU214" s="30"/>
      <c r="CV214" s="30"/>
      <c r="CW214" s="30"/>
      <c r="CX214" s="30"/>
      <c r="CY214" s="30"/>
      <c r="CZ214" s="30"/>
      <c r="DA214" s="30"/>
      <c r="DB214" s="30"/>
      <c r="DC214" s="30"/>
      <c r="DD214" s="30"/>
      <c r="DE214" s="30"/>
      <c r="DF214" s="30"/>
      <c r="DG214" s="30"/>
      <c r="DH214" s="30"/>
      <c r="DI214" s="30"/>
      <c r="DJ214" s="30"/>
      <c r="DK214" s="30"/>
      <c r="DL214" s="45"/>
      <c r="DM214" s="45"/>
      <c r="DN214" s="45"/>
      <c r="DO214" s="45"/>
      <c r="DP214" s="45"/>
      <c r="DQ214" s="45"/>
      <c r="DR214" s="45"/>
      <c r="DS214" s="45"/>
      <c r="DT214" s="45"/>
      <c r="DU214" s="45"/>
      <c r="DV214" s="45"/>
      <c r="DW214" s="45"/>
      <c r="DX214" s="45"/>
      <c r="DY214" s="45"/>
      <c r="DZ214" s="45"/>
    </row>
    <row r="215" spans="5:130" s="37" customFormat="1">
      <c r="E215" s="49"/>
      <c r="F215" s="49"/>
      <c r="G215" s="49"/>
      <c r="H215" s="49"/>
      <c r="I215" s="49"/>
      <c r="J215" s="49"/>
      <c r="K215" s="49"/>
      <c r="L215" s="49"/>
      <c r="M215" s="49"/>
      <c r="N215" s="49"/>
      <c r="O215" s="49"/>
      <c r="P215" s="49"/>
      <c r="Q215" s="49"/>
      <c r="R215" s="49"/>
      <c r="T215" s="1510"/>
      <c r="U215" s="50"/>
      <c r="V215" s="50"/>
      <c r="W215" s="50"/>
      <c r="X215" s="50"/>
      <c r="Y215" s="50"/>
      <c r="Z215" s="50"/>
      <c r="CU215" s="30"/>
      <c r="CV215" s="30"/>
      <c r="CW215" s="30"/>
      <c r="CX215" s="30"/>
      <c r="CY215" s="30"/>
      <c r="CZ215" s="30"/>
      <c r="DA215" s="30"/>
      <c r="DB215" s="30"/>
      <c r="DC215" s="30"/>
      <c r="DD215" s="30"/>
      <c r="DE215" s="30"/>
      <c r="DF215" s="30"/>
      <c r="DG215" s="30"/>
      <c r="DH215" s="30"/>
      <c r="DI215" s="30"/>
      <c r="DJ215" s="30"/>
      <c r="DK215" s="30"/>
      <c r="DL215" s="45"/>
      <c r="DM215" s="45"/>
      <c r="DN215" s="45"/>
      <c r="DO215" s="45"/>
      <c r="DP215" s="45"/>
      <c r="DQ215" s="45"/>
      <c r="DR215" s="45"/>
      <c r="DS215" s="45"/>
      <c r="DT215" s="45"/>
      <c r="DU215" s="45"/>
      <c r="DV215" s="45"/>
      <c r="DW215" s="45"/>
      <c r="DX215" s="45"/>
      <c r="DY215" s="45"/>
      <c r="DZ215" s="45"/>
    </row>
    <row r="216" spans="5:130" s="37" customFormat="1">
      <c r="E216" s="49"/>
      <c r="F216" s="49"/>
      <c r="G216" s="49"/>
      <c r="H216" s="49"/>
      <c r="I216" s="49"/>
      <c r="J216" s="49"/>
      <c r="K216" s="49"/>
      <c r="L216" s="49"/>
      <c r="M216" s="49"/>
      <c r="N216" s="49"/>
      <c r="O216" s="49"/>
      <c r="P216" s="49"/>
      <c r="Q216" s="49"/>
      <c r="R216" s="49"/>
      <c r="T216" s="1510"/>
      <c r="U216" s="50"/>
      <c r="V216" s="50"/>
      <c r="W216" s="50"/>
      <c r="X216" s="50"/>
      <c r="Y216" s="50"/>
      <c r="Z216" s="50"/>
      <c r="CU216" s="30"/>
      <c r="CV216" s="30"/>
      <c r="CW216" s="30"/>
      <c r="CX216" s="30"/>
      <c r="CY216" s="30"/>
      <c r="CZ216" s="30"/>
      <c r="DA216" s="30"/>
      <c r="DB216" s="30"/>
      <c r="DC216" s="30"/>
      <c r="DD216" s="30"/>
      <c r="DE216" s="30"/>
      <c r="DF216" s="30"/>
      <c r="DG216" s="30"/>
      <c r="DH216" s="30"/>
      <c r="DI216" s="30"/>
      <c r="DJ216" s="30"/>
      <c r="DK216" s="30"/>
      <c r="DL216" s="45"/>
      <c r="DM216" s="45"/>
      <c r="DN216" s="45"/>
      <c r="DO216" s="45"/>
      <c r="DP216" s="45"/>
      <c r="DQ216" s="45"/>
      <c r="DR216" s="45"/>
      <c r="DS216" s="45"/>
      <c r="DT216" s="45"/>
      <c r="DU216" s="45"/>
      <c r="DV216" s="45"/>
      <c r="DW216" s="45"/>
      <c r="DX216" s="45"/>
      <c r="DY216" s="45"/>
      <c r="DZ216" s="45"/>
    </row>
    <row r="217" spans="5:130" s="37" customFormat="1">
      <c r="E217" s="49"/>
      <c r="F217" s="49"/>
      <c r="G217" s="49"/>
      <c r="H217" s="49"/>
      <c r="I217" s="49"/>
      <c r="J217" s="49"/>
      <c r="K217" s="49"/>
      <c r="L217" s="49"/>
      <c r="M217" s="49"/>
      <c r="N217" s="49"/>
      <c r="O217" s="49"/>
      <c r="P217" s="49"/>
      <c r="Q217" s="49"/>
      <c r="R217" s="49"/>
      <c r="T217" s="1510"/>
      <c r="U217" s="50"/>
      <c r="V217" s="50"/>
      <c r="W217" s="50"/>
      <c r="X217" s="50"/>
      <c r="Y217" s="50"/>
      <c r="Z217" s="50"/>
      <c r="CU217" s="30"/>
      <c r="CV217" s="30"/>
      <c r="CW217" s="30"/>
      <c r="CX217" s="30"/>
      <c r="CY217" s="30"/>
      <c r="CZ217" s="30"/>
      <c r="DA217" s="30"/>
      <c r="DB217" s="30"/>
      <c r="DC217" s="30"/>
      <c r="DD217" s="30"/>
      <c r="DE217" s="30"/>
      <c r="DF217" s="30"/>
      <c r="DG217" s="30"/>
      <c r="DH217" s="30"/>
      <c r="DI217" s="30"/>
      <c r="DJ217" s="30"/>
      <c r="DK217" s="30"/>
      <c r="DL217" s="45"/>
      <c r="DM217" s="45"/>
      <c r="DN217" s="45"/>
      <c r="DO217" s="45"/>
      <c r="DP217" s="45"/>
      <c r="DQ217" s="45"/>
      <c r="DR217" s="45"/>
      <c r="DS217" s="45"/>
      <c r="DT217" s="45"/>
      <c r="DU217" s="45"/>
      <c r="DV217" s="45"/>
      <c r="DW217" s="45"/>
      <c r="DX217" s="45"/>
      <c r="DY217" s="45"/>
      <c r="DZ217" s="45"/>
    </row>
    <row r="218" spans="5:130" s="37" customFormat="1">
      <c r="E218" s="49"/>
      <c r="F218" s="49"/>
      <c r="G218" s="49"/>
      <c r="H218" s="49"/>
      <c r="I218" s="49"/>
      <c r="J218" s="49"/>
      <c r="K218" s="49"/>
      <c r="L218" s="49"/>
      <c r="M218" s="49"/>
      <c r="N218" s="49"/>
      <c r="O218" s="49"/>
      <c r="P218" s="49"/>
      <c r="Q218" s="49"/>
      <c r="R218" s="49"/>
      <c r="T218" s="1510"/>
      <c r="U218" s="50"/>
      <c r="V218" s="50"/>
      <c r="W218" s="50"/>
      <c r="X218" s="50"/>
      <c r="Y218" s="50"/>
      <c r="Z218" s="50"/>
      <c r="CU218" s="30"/>
      <c r="CV218" s="30"/>
      <c r="CW218" s="30"/>
      <c r="CX218" s="30"/>
      <c r="CY218" s="30"/>
      <c r="CZ218" s="30"/>
      <c r="DA218" s="30"/>
      <c r="DB218" s="30"/>
      <c r="DC218" s="30"/>
      <c r="DD218" s="30"/>
      <c r="DE218" s="30"/>
      <c r="DF218" s="30"/>
      <c r="DG218" s="30"/>
      <c r="DH218" s="30"/>
      <c r="DI218" s="30"/>
      <c r="DJ218" s="30"/>
      <c r="DK218" s="30"/>
      <c r="DL218" s="45"/>
      <c r="DM218" s="45"/>
      <c r="DN218" s="45"/>
      <c r="DO218" s="45"/>
      <c r="DP218" s="45"/>
      <c r="DQ218" s="45"/>
      <c r="DR218" s="45"/>
      <c r="DS218" s="45"/>
      <c r="DT218" s="45"/>
      <c r="DU218" s="45"/>
      <c r="DV218" s="45"/>
      <c r="DW218" s="45"/>
      <c r="DX218" s="45"/>
      <c r="DY218" s="45"/>
      <c r="DZ218" s="45"/>
    </row>
    <row r="219" spans="5:130" s="37" customFormat="1">
      <c r="E219" s="49"/>
      <c r="F219" s="49"/>
      <c r="G219" s="49"/>
      <c r="H219" s="49"/>
      <c r="I219" s="49"/>
      <c r="J219" s="49"/>
      <c r="K219" s="49"/>
      <c r="L219" s="49"/>
      <c r="M219" s="49"/>
      <c r="N219" s="49"/>
      <c r="O219" s="49"/>
      <c r="P219" s="49"/>
      <c r="Q219" s="49"/>
      <c r="R219" s="49"/>
      <c r="T219" s="1510"/>
      <c r="U219" s="50"/>
      <c r="V219" s="50"/>
      <c r="W219" s="50"/>
      <c r="X219" s="50"/>
      <c r="Y219" s="50"/>
      <c r="Z219" s="50"/>
      <c r="CU219" s="30"/>
      <c r="CV219" s="30"/>
      <c r="CW219" s="30"/>
      <c r="CX219" s="30"/>
      <c r="CY219" s="30"/>
      <c r="CZ219" s="30"/>
      <c r="DA219" s="30"/>
      <c r="DB219" s="30"/>
      <c r="DC219" s="30"/>
      <c r="DD219" s="30"/>
      <c r="DE219" s="30"/>
      <c r="DF219" s="30"/>
      <c r="DG219" s="30"/>
      <c r="DH219" s="30"/>
      <c r="DI219" s="30"/>
      <c r="DJ219" s="30"/>
      <c r="DK219" s="30"/>
      <c r="DL219" s="45"/>
      <c r="DM219" s="45"/>
      <c r="DN219" s="45"/>
      <c r="DO219" s="45"/>
      <c r="DP219" s="45"/>
      <c r="DQ219" s="45"/>
      <c r="DR219" s="45"/>
      <c r="DS219" s="45"/>
      <c r="DT219" s="45"/>
      <c r="DU219" s="45"/>
      <c r="DV219" s="45"/>
      <c r="DW219" s="45"/>
      <c r="DX219" s="45"/>
      <c r="DY219" s="45"/>
      <c r="DZ219" s="45"/>
    </row>
    <row r="220" spans="5:130" s="37" customFormat="1">
      <c r="E220" s="49"/>
      <c r="F220" s="49"/>
      <c r="G220" s="49"/>
      <c r="H220" s="49"/>
      <c r="I220" s="49"/>
      <c r="J220" s="49"/>
      <c r="K220" s="49"/>
      <c r="L220" s="49"/>
      <c r="M220" s="49"/>
      <c r="N220" s="49"/>
      <c r="O220" s="49"/>
      <c r="P220" s="49"/>
      <c r="Q220" s="49"/>
      <c r="R220" s="49"/>
      <c r="T220" s="1510"/>
      <c r="U220" s="50"/>
      <c r="V220" s="50"/>
      <c r="W220" s="50"/>
      <c r="X220" s="50"/>
      <c r="Y220" s="50"/>
      <c r="Z220" s="50"/>
      <c r="CU220" s="30"/>
      <c r="CV220" s="30"/>
      <c r="CW220" s="30"/>
      <c r="CX220" s="30"/>
      <c r="CY220" s="30"/>
      <c r="CZ220" s="30"/>
      <c r="DA220" s="30"/>
      <c r="DB220" s="30"/>
      <c r="DC220" s="30"/>
      <c r="DD220" s="30"/>
      <c r="DE220" s="30"/>
      <c r="DF220" s="30"/>
      <c r="DG220" s="30"/>
      <c r="DH220" s="30"/>
      <c r="DI220" s="30"/>
      <c r="DJ220" s="30"/>
      <c r="DK220" s="30"/>
      <c r="DL220" s="45"/>
      <c r="DM220" s="45"/>
      <c r="DN220" s="45"/>
      <c r="DO220" s="45"/>
      <c r="DP220" s="45"/>
      <c r="DQ220" s="45"/>
      <c r="DR220" s="45"/>
      <c r="DS220" s="45"/>
      <c r="DT220" s="45"/>
      <c r="DU220" s="45"/>
      <c r="DV220" s="45"/>
      <c r="DW220" s="45"/>
      <c r="DX220" s="45"/>
      <c r="DY220" s="45"/>
      <c r="DZ220" s="45"/>
    </row>
    <row r="221" spans="5:130" s="37" customFormat="1">
      <c r="E221" s="49"/>
      <c r="F221" s="49"/>
      <c r="G221" s="49"/>
      <c r="H221" s="49"/>
      <c r="I221" s="49"/>
      <c r="J221" s="49"/>
      <c r="K221" s="49"/>
      <c r="L221" s="49"/>
      <c r="M221" s="49"/>
      <c r="N221" s="49"/>
      <c r="O221" s="49"/>
      <c r="P221" s="49"/>
      <c r="Q221" s="49"/>
      <c r="R221" s="49"/>
      <c r="T221" s="1510"/>
      <c r="U221" s="50"/>
      <c r="V221" s="50"/>
      <c r="W221" s="50"/>
      <c r="X221" s="50"/>
      <c r="Y221" s="50"/>
      <c r="Z221" s="50"/>
      <c r="CU221" s="30"/>
      <c r="CV221" s="30"/>
      <c r="CW221" s="30"/>
      <c r="CX221" s="30"/>
      <c r="CY221" s="30"/>
      <c r="CZ221" s="30"/>
      <c r="DA221" s="30"/>
      <c r="DB221" s="30"/>
      <c r="DC221" s="30"/>
      <c r="DD221" s="30"/>
      <c r="DE221" s="30"/>
      <c r="DF221" s="30"/>
      <c r="DG221" s="30"/>
      <c r="DH221" s="30"/>
      <c r="DI221" s="30"/>
      <c r="DJ221" s="30"/>
      <c r="DK221" s="30"/>
      <c r="DL221" s="45"/>
      <c r="DM221" s="45"/>
      <c r="DN221" s="45"/>
      <c r="DO221" s="45"/>
      <c r="DP221" s="45"/>
      <c r="DQ221" s="45"/>
      <c r="DR221" s="45"/>
      <c r="DS221" s="45"/>
      <c r="DT221" s="45"/>
      <c r="DU221" s="45"/>
      <c r="DV221" s="45"/>
      <c r="DW221" s="45"/>
      <c r="DX221" s="45"/>
      <c r="DY221" s="45"/>
      <c r="DZ221" s="45"/>
    </row>
    <row r="222" spans="5:130" s="37" customFormat="1">
      <c r="E222" s="49"/>
      <c r="F222" s="49"/>
      <c r="G222" s="49"/>
      <c r="H222" s="49"/>
      <c r="I222" s="49"/>
      <c r="J222" s="49"/>
      <c r="K222" s="49"/>
      <c r="L222" s="49"/>
      <c r="M222" s="49"/>
      <c r="N222" s="49"/>
      <c r="O222" s="49"/>
      <c r="P222" s="49"/>
      <c r="Q222" s="49"/>
      <c r="R222" s="49"/>
      <c r="T222" s="1510"/>
      <c r="U222" s="50"/>
      <c r="V222" s="50"/>
      <c r="W222" s="50"/>
      <c r="X222" s="50"/>
      <c r="Y222" s="50"/>
      <c r="Z222" s="50"/>
      <c r="CU222" s="30"/>
      <c r="CV222" s="30"/>
      <c r="CW222" s="30"/>
      <c r="CX222" s="30"/>
      <c r="CY222" s="30"/>
      <c r="CZ222" s="30"/>
      <c r="DA222" s="30"/>
      <c r="DB222" s="30"/>
      <c r="DC222" s="30"/>
      <c r="DD222" s="30"/>
      <c r="DE222" s="30"/>
      <c r="DF222" s="30"/>
      <c r="DG222" s="30"/>
      <c r="DH222" s="30"/>
      <c r="DI222" s="30"/>
      <c r="DJ222" s="30"/>
      <c r="DK222" s="30"/>
      <c r="DL222" s="45"/>
      <c r="DM222" s="45"/>
      <c r="DN222" s="45"/>
      <c r="DO222" s="45"/>
      <c r="DP222" s="45"/>
      <c r="DQ222" s="45"/>
      <c r="DR222" s="45"/>
      <c r="DS222" s="45"/>
      <c r="DT222" s="45"/>
      <c r="DU222" s="45"/>
      <c r="DV222" s="45"/>
      <c r="DW222" s="45"/>
      <c r="DX222" s="45"/>
      <c r="DY222" s="45"/>
      <c r="DZ222" s="45"/>
    </row>
    <row r="223" spans="5:130" s="37" customFormat="1">
      <c r="E223" s="49"/>
      <c r="F223" s="49"/>
      <c r="G223" s="49"/>
      <c r="H223" s="49"/>
      <c r="I223" s="49"/>
      <c r="J223" s="49"/>
      <c r="K223" s="49"/>
      <c r="L223" s="49"/>
      <c r="M223" s="49"/>
      <c r="N223" s="49"/>
      <c r="O223" s="49"/>
      <c r="P223" s="49"/>
      <c r="Q223" s="49"/>
      <c r="R223" s="49"/>
      <c r="T223" s="1510"/>
      <c r="U223" s="50"/>
      <c r="V223" s="50"/>
      <c r="W223" s="50"/>
      <c r="X223" s="50"/>
      <c r="Y223" s="50"/>
      <c r="Z223" s="50"/>
      <c r="CU223" s="30"/>
      <c r="CV223" s="30"/>
      <c r="CW223" s="30"/>
      <c r="CX223" s="30"/>
      <c r="CY223" s="30"/>
      <c r="CZ223" s="30"/>
      <c r="DA223" s="30"/>
      <c r="DB223" s="30"/>
      <c r="DC223" s="30"/>
      <c r="DD223" s="30"/>
      <c r="DE223" s="30"/>
      <c r="DF223" s="30"/>
      <c r="DG223" s="30"/>
      <c r="DH223" s="30"/>
      <c r="DI223" s="30"/>
      <c r="DJ223" s="30"/>
      <c r="DK223" s="30"/>
      <c r="DL223" s="45"/>
      <c r="DM223" s="45"/>
      <c r="DN223" s="45"/>
      <c r="DO223" s="45"/>
      <c r="DP223" s="45"/>
      <c r="DQ223" s="45"/>
      <c r="DR223" s="45"/>
      <c r="DS223" s="45"/>
      <c r="DT223" s="45"/>
      <c r="DU223" s="45"/>
      <c r="DV223" s="45"/>
      <c r="DW223" s="45"/>
      <c r="DX223" s="45"/>
      <c r="DY223" s="45"/>
      <c r="DZ223" s="45"/>
    </row>
    <row r="224" spans="5:130" s="37" customFormat="1">
      <c r="E224" s="49"/>
      <c r="F224" s="49"/>
      <c r="G224" s="49"/>
      <c r="H224" s="49"/>
      <c r="I224" s="49"/>
      <c r="J224" s="49"/>
      <c r="K224" s="49"/>
      <c r="L224" s="49"/>
      <c r="M224" s="49"/>
      <c r="N224" s="49"/>
      <c r="O224" s="49"/>
      <c r="P224" s="49"/>
      <c r="Q224" s="49"/>
      <c r="R224" s="49"/>
      <c r="T224" s="1510"/>
      <c r="U224" s="50"/>
      <c r="V224" s="50"/>
      <c r="W224" s="50"/>
      <c r="X224" s="50"/>
      <c r="Y224" s="50"/>
      <c r="Z224" s="50"/>
      <c r="CU224" s="30"/>
      <c r="CV224" s="30"/>
      <c r="CW224" s="30"/>
      <c r="CX224" s="30"/>
      <c r="CY224" s="30"/>
      <c r="CZ224" s="30"/>
      <c r="DA224" s="30"/>
      <c r="DB224" s="30"/>
      <c r="DC224" s="30"/>
      <c r="DD224" s="30"/>
      <c r="DE224" s="30"/>
      <c r="DF224" s="30"/>
      <c r="DG224" s="30"/>
      <c r="DH224" s="30"/>
      <c r="DI224" s="30"/>
      <c r="DJ224" s="30"/>
      <c r="DK224" s="30"/>
      <c r="DL224" s="45"/>
      <c r="DM224" s="45"/>
      <c r="DN224" s="45"/>
      <c r="DO224" s="45"/>
      <c r="DP224" s="45"/>
      <c r="DQ224" s="45"/>
      <c r="DR224" s="45"/>
      <c r="DS224" s="45"/>
      <c r="DT224" s="45"/>
      <c r="DU224" s="45"/>
      <c r="DV224" s="45"/>
      <c r="DW224" s="45"/>
      <c r="DX224" s="45"/>
      <c r="DY224" s="45"/>
      <c r="DZ224" s="45"/>
    </row>
    <row r="225" spans="5:130" s="37" customFormat="1">
      <c r="E225" s="49"/>
      <c r="F225" s="49"/>
      <c r="G225" s="49"/>
      <c r="H225" s="49"/>
      <c r="I225" s="49"/>
      <c r="J225" s="49"/>
      <c r="K225" s="49"/>
      <c r="L225" s="49"/>
      <c r="M225" s="49"/>
      <c r="N225" s="49"/>
      <c r="O225" s="49"/>
      <c r="P225" s="49"/>
      <c r="Q225" s="49"/>
      <c r="R225" s="49"/>
      <c r="T225" s="1510"/>
      <c r="U225" s="50"/>
      <c r="V225" s="50"/>
      <c r="W225" s="50"/>
      <c r="X225" s="50"/>
      <c r="Y225" s="50"/>
      <c r="Z225" s="50"/>
      <c r="CU225" s="30"/>
      <c r="CV225" s="30"/>
      <c r="CW225" s="30"/>
      <c r="CX225" s="30"/>
      <c r="CY225" s="30"/>
      <c r="CZ225" s="30"/>
      <c r="DA225" s="30"/>
      <c r="DB225" s="30"/>
      <c r="DC225" s="30"/>
      <c r="DD225" s="30"/>
      <c r="DE225" s="30"/>
      <c r="DF225" s="30"/>
      <c r="DG225" s="30"/>
      <c r="DH225" s="30"/>
      <c r="DI225" s="30"/>
      <c r="DJ225" s="30"/>
      <c r="DK225" s="30"/>
      <c r="DL225" s="45"/>
      <c r="DM225" s="45"/>
      <c r="DN225" s="45"/>
      <c r="DO225" s="45"/>
      <c r="DP225" s="45"/>
      <c r="DQ225" s="45"/>
      <c r="DR225" s="45"/>
      <c r="DS225" s="45"/>
      <c r="DT225" s="45"/>
      <c r="DU225" s="45"/>
      <c r="DV225" s="45"/>
      <c r="DW225" s="45"/>
      <c r="DX225" s="45"/>
      <c r="DY225" s="45"/>
      <c r="DZ225" s="45"/>
    </row>
    <row r="226" spans="5:130" s="37" customFormat="1">
      <c r="E226" s="49"/>
      <c r="F226" s="49"/>
      <c r="G226" s="49"/>
      <c r="H226" s="49"/>
      <c r="I226" s="49"/>
      <c r="J226" s="49"/>
      <c r="K226" s="49"/>
      <c r="L226" s="49"/>
      <c r="M226" s="49"/>
      <c r="N226" s="49"/>
      <c r="O226" s="49"/>
      <c r="P226" s="49"/>
      <c r="Q226" s="49"/>
      <c r="R226" s="49"/>
      <c r="T226" s="1510"/>
      <c r="U226" s="50"/>
      <c r="V226" s="50"/>
      <c r="W226" s="50"/>
      <c r="X226" s="50"/>
      <c r="Y226" s="50"/>
      <c r="Z226" s="50"/>
      <c r="CU226" s="30"/>
      <c r="CV226" s="30"/>
      <c r="CW226" s="30"/>
      <c r="CX226" s="30"/>
      <c r="CY226" s="30"/>
      <c r="CZ226" s="30"/>
      <c r="DA226" s="30"/>
      <c r="DB226" s="30"/>
      <c r="DC226" s="30"/>
      <c r="DD226" s="30"/>
      <c r="DE226" s="30"/>
      <c r="DF226" s="30"/>
      <c r="DG226" s="30"/>
      <c r="DH226" s="30"/>
      <c r="DI226" s="30"/>
      <c r="DJ226" s="30"/>
      <c r="DK226" s="30"/>
      <c r="DL226" s="45"/>
      <c r="DM226" s="45"/>
      <c r="DN226" s="45"/>
      <c r="DO226" s="45"/>
      <c r="DP226" s="45"/>
      <c r="DQ226" s="45"/>
      <c r="DR226" s="45"/>
      <c r="DS226" s="45"/>
      <c r="DT226" s="45"/>
      <c r="DU226" s="45"/>
      <c r="DV226" s="45"/>
      <c r="DW226" s="45"/>
      <c r="DX226" s="45"/>
      <c r="DY226" s="45"/>
      <c r="DZ226" s="45"/>
    </row>
    <row r="227" spans="5:130" s="37" customFormat="1">
      <c r="E227" s="49"/>
      <c r="F227" s="49"/>
      <c r="G227" s="49"/>
      <c r="H227" s="49"/>
      <c r="I227" s="49"/>
      <c r="J227" s="49"/>
      <c r="K227" s="49"/>
      <c r="L227" s="49"/>
      <c r="M227" s="49"/>
      <c r="N227" s="49"/>
      <c r="O227" s="49"/>
      <c r="P227" s="49"/>
      <c r="Q227" s="49"/>
      <c r="R227" s="49"/>
      <c r="T227" s="1510"/>
      <c r="U227" s="50"/>
      <c r="V227" s="50"/>
      <c r="W227" s="50"/>
      <c r="X227" s="50"/>
      <c r="Y227" s="50"/>
      <c r="Z227" s="50"/>
      <c r="CU227" s="30"/>
      <c r="CV227" s="30"/>
      <c r="CW227" s="30"/>
      <c r="CX227" s="30"/>
      <c r="CY227" s="30"/>
      <c r="CZ227" s="30"/>
      <c r="DA227" s="30"/>
      <c r="DB227" s="30"/>
      <c r="DC227" s="30"/>
      <c r="DD227" s="30"/>
      <c r="DE227" s="30"/>
      <c r="DF227" s="30"/>
      <c r="DG227" s="30"/>
      <c r="DH227" s="30"/>
      <c r="DI227" s="30"/>
      <c r="DJ227" s="30"/>
      <c r="DK227" s="30"/>
      <c r="DL227" s="45"/>
      <c r="DM227" s="45"/>
      <c r="DN227" s="45"/>
      <c r="DO227" s="45"/>
      <c r="DP227" s="45"/>
      <c r="DQ227" s="45"/>
      <c r="DR227" s="45"/>
      <c r="DS227" s="45"/>
      <c r="DT227" s="45"/>
      <c r="DU227" s="45"/>
      <c r="DV227" s="45"/>
      <c r="DW227" s="45"/>
      <c r="DX227" s="45"/>
      <c r="DY227" s="45"/>
      <c r="DZ227" s="45"/>
    </row>
    <row r="228" spans="5:130" s="37" customFormat="1">
      <c r="E228" s="49"/>
      <c r="F228" s="49"/>
      <c r="G228" s="49"/>
      <c r="H228" s="49"/>
      <c r="I228" s="49"/>
      <c r="J228" s="49"/>
      <c r="K228" s="49"/>
      <c r="L228" s="49"/>
      <c r="M228" s="49"/>
      <c r="N228" s="49"/>
      <c r="O228" s="49"/>
      <c r="P228" s="49"/>
      <c r="Q228" s="49"/>
      <c r="R228" s="49"/>
      <c r="T228" s="1510"/>
      <c r="U228" s="50"/>
      <c r="V228" s="50"/>
      <c r="W228" s="50"/>
      <c r="X228" s="50"/>
      <c r="Y228" s="50"/>
      <c r="Z228" s="50"/>
      <c r="CU228" s="30"/>
      <c r="CV228" s="30"/>
      <c r="CW228" s="30"/>
      <c r="CX228" s="30"/>
      <c r="CY228" s="30"/>
      <c r="CZ228" s="30"/>
      <c r="DA228" s="30"/>
      <c r="DB228" s="30"/>
      <c r="DC228" s="30"/>
      <c r="DD228" s="30"/>
      <c r="DE228" s="30"/>
      <c r="DF228" s="30"/>
      <c r="DG228" s="30"/>
      <c r="DH228" s="30"/>
      <c r="DI228" s="30"/>
      <c r="DJ228" s="30"/>
      <c r="DK228" s="30"/>
      <c r="DL228" s="45"/>
      <c r="DM228" s="45"/>
      <c r="DN228" s="45"/>
      <c r="DO228" s="45"/>
      <c r="DP228" s="45"/>
      <c r="DQ228" s="45"/>
      <c r="DR228" s="45"/>
      <c r="DS228" s="45"/>
      <c r="DT228" s="45"/>
      <c r="DU228" s="45"/>
      <c r="DV228" s="45"/>
      <c r="DW228" s="45"/>
      <c r="DX228" s="45"/>
      <c r="DY228" s="45"/>
      <c r="DZ228" s="45"/>
    </row>
    <row r="229" spans="5:130" s="37" customFormat="1">
      <c r="E229" s="49"/>
      <c r="F229" s="49"/>
      <c r="G229" s="49"/>
      <c r="H229" s="49"/>
      <c r="I229" s="49"/>
      <c r="J229" s="49"/>
      <c r="K229" s="49"/>
      <c r="L229" s="49"/>
      <c r="M229" s="49"/>
      <c r="N229" s="49"/>
      <c r="O229" s="49"/>
      <c r="P229" s="49"/>
      <c r="Q229" s="49"/>
      <c r="R229" s="49"/>
      <c r="T229" s="1510"/>
      <c r="U229" s="50"/>
      <c r="V229" s="50"/>
      <c r="W229" s="50"/>
      <c r="X229" s="50"/>
      <c r="Y229" s="50"/>
      <c r="Z229" s="50"/>
      <c r="CU229" s="30"/>
      <c r="CV229" s="30"/>
      <c r="CW229" s="30"/>
      <c r="CX229" s="30"/>
      <c r="CY229" s="30"/>
      <c r="CZ229" s="30"/>
      <c r="DA229" s="30"/>
      <c r="DB229" s="30"/>
      <c r="DC229" s="30"/>
      <c r="DD229" s="30"/>
      <c r="DE229" s="30"/>
      <c r="DF229" s="30"/>
      <c r="DG229" s="30"/>
      <c r="DH229" s="30"/>
      <c r="DI229" s="30"/>
      <c r="DJ229" s="30"/>
      <c r="DK229" s="30"/>
      <c r="DL229" s="45"/>
      <c r="DM229" s="45"/>
      <c r="DN229" s="45"/>
      <c r="DO229" s="45"/>
      <c r="DP229" s="45"/>
      <c r="DQ229" s="45"/>
      <c r="DR229" s="45"/>
      <c r="DS229" s="45"/>
      <c r="DT229" s="45"/>
      <c r="DU229" s="45"/>
      <c r="DV229" s="45"/>
      <c r="DW229" s="45"/>
      <c r="DX229" s="45"/>
      <c r="DY229" s="45"/>
      <c r="DZ229" s="45"/>
    </row>
    <row r="230" spans="5:130" s="37" customFormat="1">
      <c r="E230" s="49"/>
      <c r="F230" s="49"/>
      <c r="G230" s="49"/>
      <c r="H230" s="49"/>
      <c r="I230" s="49"/>
      <c r="J230" s="49"/>
      <c r="K230" s="49"/>
      <c r="L230" s="49"/>
      <c r="M230" s="49"/>
      <c r="N230" s="49"/>
      <c r="O230" s="49"/>
      <c r="P230" s="49"/>
      <c r="Q230" s="49"/>
      <c r="R230" s="49"/>
      <c r="T230" s="1510"/>
      <c r="U230" s="50"/>
      <c r="V230" s="50"/>
      <c r="W230" s="50"/>
      <c r="X230" s="50"/>
      <c r="Y230" s="50"/>
      <c r="Z230" s="50"/>
      <c r="CU230" s="30"/>
      <c r="CV230" s="30"/>
      <c r="CW230" s="30"/>
      <c r="CX230" s="30"/>
      <c r="CY230" s="30"/>
      <c r="CZ230" s="30"/>
      <c r="DA230" s="30"/>
      <c r="DB230" s="30"/>
      <c r="DC230" s="30"/>
      <c r="DD230" s="30"/>
      <c r="DE230" s="30"/>
      <c r="DF230" s="30"/>
      <c r="DG230" s="30"/>
      <c r="DH230" s="30"/>
      <c r="DI230" s="30"/>
      <c r="DJ230" s="30"/>
      <c r="DK230" s="30"/>
      <c r="DL230" s="45"/>
      <c r="DM230" s="45"/>
      <c r="DN230" s="45"/>
      <c r="DO230" s="45"/>
      <c r="DP230" s="45"/>
      <c r="DQ230" s="45"/>
      <c r="DR230" s="45"/>
      <c r="DS230" s="45"/>
      <c r="DT230" s="45"/>
      <c r="DU230" s="45"/>
      <c r="DV230" s="45"/>
      <c r="DW230" s="45"/>
      <c r="DX230" s="45"/>
      <c r="DY230" s="45"/>
      <c r="DZ230" s="45"/>
    </row>
    <row r="231" spans="5:130" s="37" customFormat="1">
      <c r="E231" s="49"/>
      <c r="F231" s="49"/>
      <c r="G231" s="49"/>
      <c r="H231" s="49"/>
      <c r="I231" s="49"/>
      <c r="J231" s="49"/>
      <c r="K231" s="49"/>
      <c r="L231" s="49"/>
      <c r="M231" s="49"/>
      <c r="N231" s="49"/>
      <c r="O231" s="49"/>
      <c r="P231" s="49"/>
      <c r="Q231" s="49"/>
      <c r="R231" s="49"/>
      <c r="T231" s="1510"/>
      <c r="U231" s="50"/>
      <c r="V231" s="50"/>
      <c r="W231" s="50"/>
      <c r="X231" s="50"/>
      <c r="Y231" s="50"/>
      <c r="Z231" s="50"/>
      <c r="CU231" s="30"/>
      <c r="CV231" s="30"/>
      <c r="CW231" s="30"/>
      <c r="CX231" s="30"/>
      <c r="CY231" s="30"/>
      <c r="CZ231" s="30"/>
      <c r="DA231" s="30"/>
      <c r="DB231" s="30"/>
      <c r="DC231" s="30"/>
      <c r="DD231" s="30"/>
      <c r="DE231" s="30"/>
      <c r="DF231" s="30"/>
      <c r="DG231" s="30"/>
      <c r="DH231" s="30"/>
      <c r="DI231" s="30"/>
      <c r="DJ231" s="30"/>
      <c r="DK231" s="30"/>
      <c r="DL231" s="45"/>
      <c r="DM231" s="45"/>
      <c r="DN231" s="45"/>
      <c r="DO231" s="45"/>
      <c r="DP231" s="45"/>
      <c r="DQ231" s="45"/>
      <c r="DR231" s="45"/>
      <c r="DS231" s="45"/>
      <c r="DT231" s="45"/>
      <c r="DU231" s="45"/>
      <c r="DV231" s="45"/>
      <c r="DW231" s="45"/>
      <c r="DX231" s="45"/>
      <c r="DY231" s="45"/>
      <c r="DZ231" s="45"/>
    </row>
    <row r="232" spans="5:130" s="37" customFormat="1">
      <c r="E232" s="49"/>
      <c r="F232" s="49"/>
      <c r="G232" s="49"/>
      <c r="H232" s="49"/>
      <c r="I232" s="49"/>
      <c r="J232" s="49"/>
      <c r="K232" s="49"/>
      <c r="L232" s="49"/>
      <c r="M232" s="49"/>
      <c r="N232" s="49"/>
      <c r="O232" s="49"/>
      <c r="P232" s="49"/>
      <c r="Q232" s="49"/>
      <c r="R232" s="49"/>
      <c r="T232" s="1510"/>
      <c r="U232" s="50"/>
      <c r="V232" s="50"/>
      <c r="W232" s="50"/>
      <c r="X232" s="50"/>
      <c r="Y232" s="50"/>
      <c r="Z232" s="50"/>
      <c r="CU232" s="30"/>
      <c r="CV232" s="30"/>
      <c r="CW232" s="30"/>
      <c r="CX232" s="30"/>
      <c r="CY232" s="30"/>
      <c r="CZ232" s="30"/>
      <c r="DA232" s="30"/>
      <c r="DB232" s="30"/>
      <c r="DC232" s="30"/>
      <c r="DD232" s="30"/>
      <c r="DE232" s="30"/>
      <c r="DF232" s="30"/>
      <c r="DG232" s="30"/>
      <c r="DH232" s="30"/>
      <c r="DI232" s="30"/>
      <c r="DJ232" s="30"/>
      <c r="DK232" s="30"/>
      <c r="DL232" s="45"/>
      <c r="DM232" s="45"/>
      <c r="DN232" s="45"/>
      <c r="DO232" s="45"/>
      <c r="DP232" s="45"/>
      <c r="DQ232" s="45"/>
      <c r="DR232" s="45"/>
      <c r="DS232" s="45"/>
      <c r="DT232" s="45"/>
      <c r="DU232" s="45"/>
      <c r="DV232" s="45"/>
      <c r="DW232" s="45"/>
      <c r="DX232" s="45"/>
      <c r="DY232" s="45"/>
      <c r="DZ232" s="45"/>
    </row>
    <row r="233" spans="5:130" s="37" customFormat="1">
      <c r="E233" s="49"/>
      <c r="F233" s="49"/>
      <c r="G233" s="49"/>
      <c r="H233" s="49"/>
      <c r="I233" s="49"/>
      <c r="J233" s="49"/>
      <c r="K233" s="49"/>
      <c r="L233" s="49"/>
      <c r="M233" s="49"/>
      <c r="N233" s="49"/>
      <c r="O233" s="49"/>
      <c r="P233" s="49"/>
      <c r="Q233" s="49"/>
      <c r="R233" s="49"/>
      <c r="T233" s="1510"/>
      <c r="U233" s="50"/>
      <c r="V233" s="50"/>
      <c r="W233" s="50"/>
      <c r="X233" s="50"/>
      <c r="Y233" s="50"/>
      <c r="Z233" s="50"/>
      <c r="CU233" s="30"/>
      <c r="CV233" s="30"/>
      <c r="CW233" s="30"/>
      <c r="CX233" s="30"/>
      <c r="CY233" s="30"/>
      <c r="CZ233" s="30"/>
      <c r="DA233" s="30"/>
      <c r="DB233" s="30"/>
      <c r="DC233" s="30"/>
      <c r="DD233" s="30"/>
      <c r="DE233" s="30"/>
      <c r="DF233" s="30"/>
      <c r="DG233" s="30"/>
      <c r="DH233" s="30"/>
      <c r="DI233" s="30"/>
      <c r="DJ233" s="30"/>
      <c r="DK233" s="30"/>
      <c r="DL233" s="45"/>
      <c r="DM233" s="45"/>
      <c r="DN233" s="45"/>
      <c r="DO233" s="45"/>
      <c r="DP233" s="45"/>
      <c r="DQ233" s="45"/>
      <c r="DR233" s="45"/>
      <c r="DS233" s="45"/>
      <c r="DT233" s="45"/>
      <c r="DU233" s="45"/>
      <c r="DV233" s="45"/>
      <c r="DW233" s="45"/>
      <c r="DX233" s="45"/>
      <c r="DY233" s="45"/>
      <c r="DZ233" s="45"/>
    </row>
    <row r="234" spans="5:130" s="37" customFormat="1">
      <c r="E234" s="49"/>
      <c r="F234" s="49"/>
      <c r="G234" s="49"/>
      <c r="H234" s="49"/>
      <c r="I234" s="49"/>
      <c r="J234" s="49"/>
      <c r="K234" s="49"/>
      <c r="L234" s="49"/>
      <c r="M234" s="49"/>
      <c r="N234" s="49"/>
      <c r="O234" s="49"/>
      <c r="P234" s="49"/>
      <c r="Q234" s="49"/>
      <c r="R234" s="49"/>
      <c r="T234" s="1510"/>
      <c r="U234" s="50"/>
      <c r="V234" s="50"/>
      <c r="W234" s="50"/>
      <c r="X234" s="50"/>
      <c r="Y234" s="50"/>
      <c r="Z234" s="50"/>
      <c r="CU234" s="30"/>
      <c r="CV234" s="30"/>
      <c r="CW234" s="30"/>
      <c r="CX234" s="30"/>
      <c r="CY234" s="30"/>
      <c r="CZ234" s="30"/>
      <c r="DA234" s="30"/>
      <c r="DB234" s="30"/>
      <c r="DC234" s="30"/>
      <c r="DD234" s="30"/>
      <c r="DE234" s="30"/>
      <c r="DF234" s="30"/>
      <c r="DG234" s="30"/>
      <c r="DH234" s="30"/>
      <c r="DI234" s="30"/>
      <c r="DJ234" s="30"/>
      <c r="DK234" s="30"/>
      <c r="DL234" s="45"/>
      <c r="DM234" s="45"/>
      <c r="DN234" s="45"/>
      <c r="DO234" s="45"/>
      <c r="DP234" s="45"/>
      <c r="DQ234" s="45"/>
      <c r="DR234" s="45"/>
      <c r="DS234" s="45"/>
      <c r="DT234" s="45"/>
      <c r="DU234" s="45"/>
      <c r="DV234" s="45"/>
      <c r="DW234" s="45"/>
      <c r="DX234" s="45"/>
      <c r="DY234" s="45"/>
      <c r="DZ234" s="45"/>
    </row>
    <row r="235" spans="5:130" s="37" customFormat="1">
      <c r="E235" s="49"/>
      <c r="F235" s="49"/>
      <c r="G235" s="49"/>
      <c r="H235" s="49"/>
      <c r="I235" s="49"/>
      <c r="J235" s="49"/>
      <c r="K235" s="49"/>
      <c r="L235" s="49"/>
      <c r="M235" s="49"/>
      <c r="N235" s="49"/>
      <c r="O235" s="49"/>
      <c r="P235" s="49"/>
      <c r="Q235" s="49"/>
      <c r="R235" s="49"/>
      <c r="T235" s="1510"/>
      <c r="U235" s="50"/>
      <c r="V235" s="50"/>
      <c r="W235" s="50"/>
      <c r="X235" s="50"/>
      <c r="Y235" s="50"/>
      <c r="Z235" s="50"/>
      <c r="CU235" s="30"/>
      <c r="CV235" s="30"/>
      <c r="CW235" s="30"/>
      <c r="CX235" s="30"/>
      <c r="CY235" s="30"/>
      <c r="CZ235" s="30"/>
      <c r="DA235" s="30"/>
      <c r="DB235" s="30"/>
      <c r="DC235" s="30"/>
      <c r="DD235" s="30"/>
      <c r="DE235" s="30"/>
      <c r="DF235" s="30"/>
      <c r="DG235" s="30"/>
      <c r="DH235" s="30"/>
      <c r="DI235" s="30"/>
      <c r="DJ235" s="30"/>
      <c r="DK235" s="30"/>
      <c r="DL235" s="45"/>
      <c r="DM235" s="45"/>
      <c r="DN235" s="45"/>
      <c r="DO235" s="45"/>
      <c r="DP235" s="45"/>
      <c r="DQ235" s="45"/>
      <c r="DR235" s="45"/>
      <c r="DS235" s="45"/>
      <c r="DT235" s="45"/>
      <c r="DU235" s="45"/>
      <c r="DV235" s="45"/>
      <c r="DW235" s="45"/>
      <c r="DX235" s="45"/>
      <c r="DY235" s="45"/>
      <c r="DZ235" s="45"/>
    </row>
    <row r="236" spans="5:130" s="37" customFormat="1">
      <c r="E236" s="49"/>
      <c r="F236" s="49"/>
      <c r="G236" s="49"/>
      <c r="H236" s="49"/>
      <c r="I236" s="49"/>
      <c r="J236" s="49"/>
      <c r="K236" s="49"/>
      <c r="L236" s="49"/>
      <c r="M236" s="49"/>
      <c r="N236" s="49"/>
      <c r="O236" s="49"/>
      <c r="P236" s="49"/>
      <c r="Q236" s="49"/>
      <c r="R236" s="49"/>
      <c r="T236" s="1510"/>
      <c r="U236" s="50"/>
      <c r="V236" s="50"/>
      <c r="W236" s="50"/>
      <c r="X236" s="50"/>
      <c r="Y236" s="50"/>
      <c r="Z236" s="50"/>
      <c r="CU236" s="30"/>
      <c r="CV236" s="30"/>
      <c r="CW236" s="30"/>
      <c r="CX236" s="30"/>
      <c r="CY236" s="30"/>
      <c r="CZ236" s="30"/>
      <c r="DA236" s="30"/>
      <c r="DB236" s="30"/>
      <c r="DC236" s="30"/>
      <c r="DD236" s="30"/>
      <c r="DE236" s="30"/>
      <c r="DF236" s="30"/>
      <c r="DG236" s="30"/>
      <c r="DH236" s="30"/>
      <c r="DI236" s="30"/>
      <c r="DJ236" s="30"/>
      <c r="DK236" s="30"/>
      <c r="DL236" s="45"/>
      <c r="DM236" s="45"/>
      <c r="DN236" s="45"/>
      <c r="DO236" s="45"/>
      <c r="DP236" s="45"/>
      <c r="DQ236" s="45"/>
      <c r="DR236" s="45"/>
      <c r="DS236" s="45"/>
      <c r="DT236" s="45"/>
      <c r="DU236" s="45"/>
      <c r="DV236" s="45"/>
      <c r="DW236" s="45"/>
      <c r="DX236" s="45"/>
      <c r="DY236" s="45"/>
      <c r="DZ236" s="45"/>
    </row>
    <row r="237" spans="5:130" s="37" customFormat="1">
      <c r="E237" s="49"/>
      <c r="F237" s="49"/>
      <c r="G237" s="49"/>
      <c r="H237" s="49"/>
      <c r="I237" s="49"/>
      <c r="J237" s="49"/>
      <c r="K237" s="49"/>
      <c r="L237" s="49"/>
      <c r="M237" s="49"/>
      <c r="N237" s="49"/>
      <c r="O237" s="49"/>
      <c r="P237" s="49"/>
      <c r="Q237" s="49"/>
      <c r="R237" s="49"/>
      <c r="T237" s="1510"/>
      <c r="U237" s="50"/>
      <c r="V237" s="50"/>
      <c r="W237" s="50"/>
      <c r="X237" s="50"/>
      <c r="Y237" s="50"/>
      <c r="Z237" s="50"/>
      <c r="CU237" s="30"/>
      <c r="CV237" s="30"/>
      <c r="CW237" s="30"/>
      <c r="CX237" s="30"/>
      <c r="CY237" s="30"/>
      <c r="CZ237" s="30"/>
      <c r="DA237" s="30"/>
      <c r="DB237" s="30"/>
      <c r="DC237" s="30"/>
      <c r="DD237" s="30"/>
      <c r="DE237" s="30"/>
      <c r="DF237" s="30"/>
      <c r="DG237" s="30"/>
      <c r="DH237" s="30"/>
      <c r="DI237" s="30"/>
      <c r="DJ237" s="30"/>
      <c r="DK237" s="30"/>
      <c r="DL237" s="45"/>
      <c r="DM237" s="45"/>
      <c r="DN237" s="45"/>
      <c r="DO237" s="45"/>
      <c r="DP237" s="45"/>
      <c r="DQ237" s="45"/>
      <c r="DR237" s="45"/>
      <c r="DS237" s="45"/>
      <c r="DT237" s="45"/>
      <c r="DU237" s="45"/>
      <c r="DV237" s="45"/>
      <c r="DW237" s="45"/>
      <c r="DX237" s="45"/>
      <c r="DY237" s="45"/>
      <c r="DZ237" s="45"/>
    </row>
    <row r="238" spans="5:130" s="37" customFormat="1">
      <c r="E238" s="49"/>
      <c r="F238" s="49"/>
      <c r="G238" s="49"/>
      <c r="H238" s="49"/>
      <c r="I238" s="49"/>
      <c r="J238" s="49"/>
      <c r="K238" s="49"/>
      <c r="L238" s="49"/>
      <c r="M238" s="49"/>
      <c r="N238" s="49"/>
      <c r="O238" s="49"/>
      <c r="P238" s="49"/>
      <c r="Q238" s="49"/>
      <c r="R238" s="49"/>
      <c r="T238" s="1510"/>
      <c r="U238" s="50"/>
      <c r="V238" s="50"/>
      <c r="W238" s="50"/>
      <c r="X238" s="50"/>
      <c r="Y238" s="50"/>
      <c r="Z238" s="50"/>
      <c r="CU238" s="30"/>
      <c r="CV238" s="30"/>
      <c r="CW238" s="30"/>
      <c r="CX238" s="30"/>
      <c r="CY238" s="30"/>
      <c r="CZ238" s="30"/>
      <c r="DA238" s="30"/>
      <c r="DB238" s="30"/>
      <c r="DC238" s="30"/>
      <c r="DD238" s="30"/>
      <c r="DE238" s="30"/>
      <c r="DF238" s="30"/>
      <c r="DG238" s="30"/>
      <c r="DH238" s="30"/>
      <c r="DI238" s="30"/>
      <c r="DJ238" s="30"/>
      <c r="DK238" s="30"/>
      <c r="DL238" s="45"/>
      <c r="DM238" s="45"/>
      <c r="DN238" s="45"/>
      <c r="DO238" s="45"/>
      <c r="DP238" s="45"/>
      <c r="DQ238" s="45"/>
      <c r="DR238" s="45"/>
      <c r="DS238" s="45"/>
      <c r="DT238" s="45"/>
      <c r="DU238" s="45"/>
      <c r="DV238" s="45"/>
      <c r="DW238" s="45"/>
      <c r="DX238" s="45"/>
      <c r="DY238" s="45"/>
      <c r="DZ238" s="45"/>
    </row>
    <row r="239" spans="5:130" s="37" customFormat="1">
      <c r="E239" s="49"/>
      <c r="F239" s="49"/>
      <c r="G239" s="49"/>
      <c r="H239" s="49"/>
      <c r="I239" s="49"/>
      <c r="J239" s="49"/>
      <c r="K239" s="49"/>
      <c r="L239" s="49"/>
      <c r="M239" s="49"/>
      <c r="N239" s="49"/>
      <c r="O239" s="49"/>
      <c r="P239" s="49"/>
      <c r="Q239" s="49"/>
      <c r="R239" s="49"/>
      <c r="T239" s="1510"/>
      <c r="U239" s="50"/>
      <c r="V239" s="50"/>
      <c r="W239" s="50"/>
      <c r="X239" s="50"/>
      <c r="Y239" s="50"/>
      <c r="Z239" s="50"/>
      <c r="CU239" s="30"/>
      <c r="CV239" s="30"/>
      <c r="CW239" s="30"/>
      <c r="CX239" s="30"/>
      <c r="CY239" s="30"/>
      <c r="CZ239" s="30"/>
      <c r="DA239" s="30"/>
      <c r="DB239" s="30"/>
      <c r="DC239" s="30"/>
      <c r="DD239" s="30"/>
      <c r="DE239" s="30"/>
      <c r="DF239" s="30"/>
      <c r="DG239" s="30"/>
      <c r="DH239" s="30"/>
      <c r="DI239" s="30"/>
      <c r="DJ239" s="30"/>
      <c r="DK239" s="30"/>
      <c r="DL239" s="45"/>
      <c r="DM239" s="45"/>
      <c r="DN239" s="45"/>
      <c r="DO239" s="45"/>
      <c r="DP239" s="45"/>
      <c r="DQ239" s="45"/>
      <c r="DR239" s="45"/>
      <c r="DS239" s="45"/>
      <c r="DT239" s="45"/>
      <c r="DU239" s="45"/>
      <c r="DV239" s="45"/>
      <c r="DW239" s="45"/>
      <c r="DX239" s="45"/>
      <c r="DY239" s="45"/>
      <c r="DZ239" s="45"/>
    </row>
    <row r="240" spans="5:130" s="37" customFormat="1">
      <c r="E240" s="49"/>
      <c r="F240" s="49"/>
      <c r="G240" s="49"/>
      <c r="H240" s="49"/>
      <c r="I240" s="49"/>
      <c r="J240" s="49"/>
      <c r="K240" s="49"/>
      <c r="L240" s="49"/>
      <c r="M240" s="49"/>
      <c r="N240" s="49"/>
      <c r="O240" s="49"/>
      <c r="P240" s="49"/>
      <c r="Q240" s="49"/>
      <c r="R240" s="49"/>
      <c r="T240" s="1510"/>
      <c r="U240" s="50"/>
      <c r="V240" s="50"/>
      <c r="W240" s="50"/>
      <c r="X240" s="50"/>
      <c r="Y240" s="50"/>
      <c r="Z240" s="50"/>
      <c r="CU240" s="30"/>
      <c r="CV240" s="30"/>
      <c r="CW240" s="30"/>
      <c r="CX240" s="30"/>
      <c r="CY240" s="30"/>
      <c r="CZ240" s="30"/>
      <c r="DA240" s="30"/>
      <c r="DB240" s="30"/>
      <c r="DC240" s="30"/>
      <c r="DD240" s="30"/>
      <c r="DE240" s="30"/>
      <c r="DF240" s="30"/>
      <c r="DG240" s="30"/>
      <c r="DH240" s="30"/>
      <c r="DI240" s="30"/>
      <c r="DJ240" s="30"/>
      <c r="DK240" s="30"/>
      <c r="DL240" s="45"/>
      <c r="DM240" s="45"/>
      <c r="DN240" s="45"/>
      <c r="DO240" s="45"/>
      <c r="DP240" s="45"/>
      <c r="DQ240" s="45"/>
      <c r="DR240" s="45"/>
      <c r="DS240" s="45"/>
      <c r="DT240" s="45"/>
      <c r="DU240" s="45"/>
      <c r="DV240" s="45"/>
      <c r="DW240" s="45"/>
      <c r="DX240" s="45"/>
      <c r="DY240" s="45"/>
      <c r="DZ240" s="45"/>
    </row>
    <row r="241" spans="5:130" s="37" customFormat="1">
      <c r="E241" s="49"/>
      <c r="F241" s="49"/>
      <c r="G241" s="49"/>
      <c r="H241" s="49"/>
      <c r="I241" s="49"/>
      <c r="J241" s="49"/>
      <c r="K241" s="49"/>
      <c r="L241" s="49"/>
      <c r="M241" s="49"/>
      <c r="N241" s="49"/>
      <c r="O241" s="49"/>
      <c r="P241" s="49"/>
      <c r="Q241" s="49"/>
      <c r="R241" s="49"/>
      <c r="T241" s="1510"/>
      <c r="U241" s="50"/>
      <c r="V241" s="50"/>
      <c r="W241" s="50"/>
      <c r="X241" s="50"/>
      <c r="Y241" s="50"/>
      <c r="Z241" s="50"/>
      <c r="CU241" s="30"/>
      <c r="CV241" s="30"/>
      <c r="CW241" s="30"/>
      <c r="CX241" s="30"/>
      <c r="CY241" s="30"/>
      <c r="CZ241" s="30"/>
      <c r="DA241" s="30"/>
      <c r="DB241" s="30"/>
      <c r="DC241" s="30"/>
      <c r="DD241" s="30"/>
      <c r="DE241" s="30"/>
      <c r="DF241" s="30"/>
      <c r="DG241" s="30"/>
      <c r="DH241" s="30"/>
      <c r="DI241" s="30"/>
      <c r="DJ241" s="30"/>
      <c r="DK241" s="30"/>
      <c r="DL241" s="45"/>
      <c r="DM241" s="45"/>
      <c r="DN241" s="45"/>
      <c r="DO241" s="45"/>
      <c r="DP241" s="45"/>
      <c r="DQ241" s="45"/>
      <c r="DR241" s="45"/>
      <c r="DS241" s="45"/>
      <c r="DT241" s="45"/>
      <c r="DU241" s="45"/>
      <c r="DV241" s="45"/>
      <c r="DW241" s="45"/>
      <c r="DX241" s="45"/>
      <c r="DY241" s="45"/>
      <c r="DZ241" s="45"/>
    </row>
    <row r="242" spans="5:130" s="37" customFormat="1">
      <c r="E242" s="49"/>
      <c r="F242" s="49"/>
      <c r="G242" s="49"/>
      <c r="H242" s="49"/>
      <c r="I242" s="49"/>
      <c r="J242" s="49"/>
      <c r="K242" s="49"/>
      <c r="L242" s="49"/>
      <c r="M242" s="49"/>
      <c r="N242" s="49"/>
      <c r="O242" s="49"/>
      <c r="P242" s="49"/>
      <c r="Q242" s="49"/>
      <c r="R242" s="49"/>
      <c r="T242" s="1510"/>
      <c r="U242" s="50"/>
      <c r="V242" s="50"/>
      <c r="W242" s="50"/>
      <c r="X242" s="50"/>
      <c r="Y242" s="50"/>
      <c r="Z242" s="50"/>
      <c r="CU242" s="30"/>
      <c r="CV242" s="30"/>
      <c r="CW242" s="30"/>
      <c r="CX242" s="30"/>
      <c r="CY242" s="30"/>
      <c r="CZ242" s="30"/>
      <c r="DA242" s="30"/>
      <c r="DB242" s="30"/>
      <c r="DC242" s="30"/>
      <c r="DD242" s="30"/>
      <c r="DE242" s="30"/>
      <c r="DF242" s="30"/>
      <c r="DG242" s="30"/>
      <c r="DH242" s="30"/>
      <c r="DI242" s="30"/>
      <c r="DJ242" s="30"/>
      <c r="DK242" s="30"/>
      <c r="DL242" s="45"/>
      <c r="DM242" s="45"/>
      <c r="DN242" s="45"/>
      <c r="DO242" s="45"/>
      <c r="DP242" s="45"/>
      <c r="DQ242" s="45"/>
      <c r="DR242" s="45"/>
      <c r="DS242" s="45"/>
      <c r="DT242" s="45"/>
      <c r="DU242" s="45"/>
      <c r="DV242" s="45"/>
      <c r="DW242" s="45"/>
      <c r="DX242" s="45"/>
      <c r="DY242" s="45"/>
      <c r="DZ242" s="45"/>
    </row>
    <row r="243" spans="5:130" s="37" customFormat="1">
      <c r="E243" s="49"/>
      <c r="F243" s="49"/>
      <c r="G243" s="49"/>
      <c r="H243" s="49"/>
      <c r="I243" s="49"/>
      <c r="J243" s="49"/>
      <c r="K243" s="49"/>
      <c r="L243" s="49"/>
      <c r="M243" s="49"/>
      <c r="N243" s="49"/>
      <c r="O243" s="49"/>
      <c r="P243" s="49"/>
      <c r="Q243" s="49"/>
      <c r="R243" s="49"/>
      <c r="T243" s="1510"/>
      <c r="U243" s="50"/>
      <c r="V243" s="50"/>
      <c r="W243" s="50"/>
      <c r="X243" s="50"/>
      <c r="Y243" s="50"/>
      <c r="Z243" s="50"/>
      <c r="CU243" s="30"/>
      <c r="CV243" s="30"/>
      <c r="CW243" s="30"/>
      <c r="CX243" s="30"/>
      <c r="CY243" s="30"/>
      <c r="CZ243" s="30"/>
      <c r="DA243" s="30"/>
      <c r="DB243" s="30"/>
      <c r="DC243" s="30"/>
      <c r="DD243" s="30"/>
      <c r="DE243" s="30"/>
      <c r="DF243" s="30"/>
      <c r="DG243" s="30"/>
      <c r="DH243" s="30"/>
      <c r="DI243" s="30"/>
      <c r="DJ243" s="30"/>
      <c r="DK243" s="30"/>
      <c r="DL243" s="45"/>
      <c r="DM243" s="45"/>
      <c r="DN243" s="45"/>
      <c r="DO243" s="45"/>
      <c r="DP243" s="45"/>
      <c r="DQ243" s="45"/>
      <c r="DR243" s="45"/>
      <c r="DS243" s="45"/>
      <c r="DT243" s="45"/>
      <c r="DU243" s="45"/>
      <c r="DV243" s="45"/>
      <c r="DW243" s="45"/>
      <c r="DX243" s="45"/>
      <c r="DY243" s="45"/>
      <c r="DZ243" s="45"/>
    </row>
    <row r="244" spans="5:130" s="37" customFormat="1">
      <c r="E244" s="49"/>
      <c r="F244" s="49"/>
      <c r="G244" s="49"/>
      <c r="H244" s="49"/>
      <c r="I244" s="49"/>
      <c r="J244" s="49"/>
      <c r="K244" s="49"/>
      <c r="L244" s="49"/>
      <c r="M244" s="49"/>
      <c r="N244" s="49"/>
      <c r="O244" s="49"/>
      <c r="P244" s="49"/>
      <c r="Q244" s="49"/>
      <c r="R244" s="49"/>
      <c r="T244" s="1510"/>
      <c r="U244" s="50"/>
      <c r="V244" s="50"/>
      <c r="W244" s="50"/>
      <c r="X244" s="50"/>
      <c r="Y244" s="50"/>
      <c r="Z244" s="50"/>
      <c r="CU244" s="30"/>
      <c r="CV244" s="30"/>
      <c r="CW244" s="30"/>
      <c r="CX244" s="30"/>
      <c r="CY244" s="30"/>
      <c r="CZ244" s="30"/>
      <c r="DA244" s="30"/>
      <c r="DB244" s="30"/>
      <c r="DC244" s="30"/>
      <c r="DD244" s="30"/>
      <c r="DE244" s="30"/>
      <c r="DF244" s="30"/>
      <c r="DG244" s="30"/>
      <c r="DH244" s="30"/>
      <c r="DI244" s="30"/>
      <c r="DJ244" s="30"/>
      <c r="DK244" s="30"/>
      <c r="DL244" s="45"/>
      <c r="DM244" s="45"/>
      <c r="DN244" s="45"/>
      <c r="DO244" s="45"/>
      <c r="DP244" s="45"/>
      <c r="DQ244" s="45"/>
      <c r="DR244" s="45"/>
      <c r="DS244" s="45"/>
      <c r="DT244" s="45"/>
      <c r="DU244" s="45"/>
      <c r="DV244" s="45"/>
      <c r="DW244" s="45"/>
      <c r="DX244" s="45"/>
      <c r="DY244" s="45"/>
      <c r="DZ244" s="45"/>
    </row>
    <row r="245" spans="5:130" s="37" customFormat="1">
      <c r="E245" s="49"/>
      <c r="F245" s="49"/>
      <c r="G245" s="49"/>
      <c r="H245" s="49"/>
      <c r="I245" s="49"/>
      <c r="J245" s="49"/>
      <c r="K245" s="49"/>
      <c r="L245" s="49"/>
      <c r="M245" s="49"/>
      <c r="N245" s="49"/>
      <c r="O245" s="49"/>
      <c r="P245" s="49"/>
      <c r="Q245" s="49"/>
      <c r="R245" s="49"/>
      <c r="T245" s="1510"/>
      <c r="U245" s="50"/>
      <c r="V245" s="50"/>
      <c r="W245" s="50"/>
      <c r="X245" s="50"/>
      <c r="Y245" s="50"/>
      <c r="Z245" s="50"/>
      <c r="CU245" s="30"/>
      <c r="CV245" s="30"/>
      <c r="CW245" s="30"/>
      <c r="CX245" s="30"/>
      <c r="CY245" s="30"/>
      <c r="CZ245" s="30"/>
      <c r="DA245" s="30"/>
      <c r="DB245" s="30"/>
      <c r="DC245" s="30"/>
      <c r="DD245" s="30"/>
      <c r="DE245" s="30"/>
      <c r="DF245" s="30"/>
      <c r="DG245" s="30"/>
      <c r="DH245" s="30"/>
      <c r="DI245" s="30"/>
      <c r="DJ245" s="30"/>
      <c r="DK245" s="30"/>
      <c r="DL245" s="45"/>
      <c r="DM245" s="45"/>
      <c r="DN245" s="45"/>
      <c r="DO245" s="45"/>
      <c r="DP245" s="45"/>
      <c r="DQ245" s="45"/>
      <c r="DR245" s="45"/>
      <c r="DS245" s="45"/>
      <c r="DT245" s="45"/>
      <c r="DU245" s="45"/>
      <c r="DV245" s="45"/>
      <c r="DW245" s="45"/>
      <c r="DX245" s="45"/>
      <c r="DY245" s="45"/>
      <c r="DZ245" s="45"/>
    </row>
    <row r="246" spans="5:130" s="37" customFormat="1">
      <c r="E246" s="49"/>
      <c r="F246" s="49"/>
      <c r="G246" s="49"/>
      <c r="H246" s="49"/>
      <c r="I246" s="49"/>
      <c r="J246" s="49"/>
      <c r="K246" s="49"/>
      <c r="L246" s="49"/>
      <c r="M246" s="49"/>
      <c r="N246" s="49"/>
      <c r="O246" s="49"/>
      <c r="P246" s="49"/>
      <c r="Q246" s="49"/>
      <c r="R246" s="49"/>
      <c r="T246" s="1510"/>
      <c r="U246" s="50"/>
      <c r="V246" s="50"/>
      <c r="W246" s="50"/>
      <c r="X246" s="50"/>
      <c r="Y246" s="50"/>
      <c r="Z246" s="50"/>
      <c r="CU246" s="30"/>
      <c r="CV246" s="30"/>
      <c r="CW246" s="30"/>
      <c r="CX246" s="30"/>
      <c r="CY246" s="30"/>
      <c r="CZ246" s="30"/>
      <c r="DA246" s="30"/>
      <c r="DB246" s="30"/>
      <c r="DC246" s="30"/>
      <c r="DD246" s="30"/>
      <c r="DE246" s="30"/>
      <c r="DF246" s="30"/>
      <c r="DG246" s="30"/>
      <c r="DH246" s="30"/>
      <c r="DI246" s="30"/>
      <c r="DJ246" s="30"/>
      <c r="DK246" s="30"/>
      <c r="DL246" s="45"/>
      <c r="DM246" s="45"/>
      <c r="DN246" s="45"/>
      <c r="DO246" s="45"/>
      <c r="DP246" s="45"/>
      <c r="DQ246" s="45"/>
      <c r="DR246" s="45"/>
      <c r="DS246" s="45"/>
      <c r="DT246" s="45"/>
      <c r="DU246" s="45"/>
      <c r="DV246" s="45"/>
      <c r="DW246" s="45"/>
      <c r="DX246" s="45"/>
      <c r="DY246" s="45"/>
      <c r="DZ246" s="45"/>
    </row>
    <row r="247" spans="5:130" s="37" customFormat="1">
      <c r="E247" s="49"/>
      <c r="F247" s="49"/>
      <c r="G247" s="49"/>
      <c r="H247" s="49"/>
      <c r="I247" s="49"/>
      <c r="J247" s="49"/>
      <c r="K247" s="49"/>
      <c r="L247" s="49"/>
      <c r="M247" s="49"/>
      <c r="N247" s="49"/>
      <c r="O247" s="49"/>
      <c r="P247" s="49"/>
      <c r="Q247" s="49"/>
      <c r="R247" s="49"/>
      <c r="T247" s="1510"/>
      <c r="U247" s="50"/>
      <c r="V247" s="50"/>
      <c r="W247" s="50"/>
      <c r="X247" s="50"/>
      <c r="Y247" s="50"/>
      <c r="Z247" s="50"/>
      <c r="CU247" s="30"/>
      <c r="CV247" s="30"/>
      <c r="CW247" s="30"/>
      <c r="CX247" s="30"/>
      <c r="CY247" s="30"/>
      <c r="CZ247" s="30"/>
      <c r="DA247" s="30"/>
      <c r="DB247" s="30"/>
      <c r="DC247" s="30"/>
      <c r="DD247" s="30"/>
      <c r="DE247" s="30"/>
      <c r="DF247" s="30"/>
      <c r="DG247" s="30"/>
      <c r="DH247" s="30"/>
      <c r="DI247" s="30"/>
      <c r="DJ247" s="30"/>
      <c r="DK247" s="30"/>
      <c r="DL247" s="45"/>
      <c r="DM247" s="45"/>
      <c r="DN247" s="45"/>
      <c r="DO247" s="45"/>
      <c r="DP247" s="45"/>
      <c r="DQ247" s="45"/>
      <c r="DR247" s="45"/>
      <c r="DS247" s="45"/>
      <c r="DT247" s="45"/>
      <c r="DU247" s="45"/>
      <c r="DV247" s="45"/>
      <c r="DW247" s="45"/>
      <c r="DX247" s="45"/>
      <c r="DY247" s="45"/>
      <c r="DZ247" s="45"/>
    </row>
    <row r="248" spans="5:130" s="37" customFormat="1">
      <c r="E248" s="49"/>
      <c r="F248" s="49"/>
      <c r="G248" s="49"/>
      <c r="H248" s="49"/>
      <c r="I248" s="49"/>
      <c r="J248" s="49"/>
      <c r="K248" s="49"/>
      <c r="L248" s="49"/>
      <c r="M248" s="49"/>
      <c r="N248" s="49"/>
      <c r="O248" s="49"/>
      <c r="P248" s="49"/>
      <c r="Q248" s="49"/>
      <c r="R248" s="49"/>
      <c r="T248" s="1510"/>
      <c r="U248" s="50"/>
      <c r="V248" s="50"/>
      <c r="W248" s="50"/>
      <c r="X248" s="50"/>
      <c r="Y248" s="50"/>
      <c r="Z248" s="50"/>
      <c r="CU248" s="30"/>
      <c r="CV248" s="30"/>
      <c r="CW248" s="30"/>
      <c r="CX248" s="30"/>
      <c r="CY248" s="30"/>
      <c r="CZ248" s="30"/>
      <c r="DA248" s="30"/>
      <c r="DB248" s="30"/>
      <c r="DC248" s="30"/>
      <c r="DD248" s="30"/>
      <c r="DE248" s="30"/>
      <c r="DF248" s="30"/>
      <c r="DG248" s="30"/>
      <c r="DH248" s="30"/>
      <c r="DI248" s="30"/>
      <c r="DJ248" s="30"/>
      <c r="DK248" s="30"/>
      <c r="DL248" s="45"/>
      <c r="DM248" s="45"/>
      <c r="DN248" s="45"/>
      <c r="DO248" s="45"/>
      <c r="DP248" s="45"/>
      <c r="DQ248" s="45"/>
      <c r="DR248" s="45"/>
      <c r="DS248" s="45"/>
      <c r="DT248" s="45"/>
      <c r="DU248" s="45"/>
      <c r="DV248" s="45"/>
      <c r="DW248" s="45"/>
      <c r="DX248" s="45"/>
      <c r="DY248" s="45"/>
      <c r="DZ248" s="45"/>
    </row>
    <row r="249" spans="5:130" s="37" customFormat="1">
      <c r="E249" s="49"/>
      <c r="F249" s="49"/>
      <c r="G249" s="49"/>
      <c r="H249" s="49"/>
      <c r="I249" s="49"/>
      <c r="J249" s="49"/>
      <c r="K249" s="49"/>
      <c r="L249" s="49"/>
      <c r="M249" s="49"/>
      <c r="N249" s="49"/>
      <c r="O249" s="49"/>
      <c r="P249" s="49"/>
      <c r="Q249" s="49"/>
      <c r="R249" s="49"/>
      <c r="T249" s="1510"/>
      <c r="U249" s="50"/>
      <c r="V249" s="50"/>
      <c r="W249" s="50"/>
      <c r="X249" s="50"/>
      <c r="Y249" s="50"/>
      <c r="Z249" s="50"/>
      <c r="CU249" s="30"/>
      <c r="CV249" s="30"/>
      <c r="CW249" s="30"/>
      <c r="CX249" s="30"/>
      <c r="CY249" s="30"/>
      <c r="CZ249" s="30"/>
      <c r="DA249" s="30"/>
      <c r="DB249" s="30"/>
      <c r="DC249" s="30"/>
      <c r="DD249" s="30"/>
      <c r="DE249" s="30"/>
      <c r="DF249" s="30"/>
      <c r="DG249" s="30"/>
      <c r="DH249" s="30"/>
      <c r="DI249" s="30"/>
      <c r="DJ249" s="30"/>
      <c r="DK249" s="30"/>
      <c r="DL249" s="45"/>
      <c r="DM249" s="45"/>
      <c r="DN249" s="45"/>
      <c r="DO249" s="45"/>
      <c r="DP249" s="45"/>
      <c r="DQ249" s="45"/>
      <c r="DR249" s="45"/>
      <c r="DS249" s="45"/>
      <c r="DT249" s="45"/>
      <c r="DU249" s="45"/>
      <c r="DV249" s="45"/>
      <c r="DW249" s="45"/>
      <c r="DX249" s="45"/>
      <c r="DY249" s="45"/>
      <c r="DZ249" s="45"/>
    </row>
    <row r="250" spans="5:130" s="37" customFormat="1">
      <c r="E250" s="49"/>
      <c r="F250" s="49"/>
      <c r="G250" s="49"/>
      <c r="H250" s="49"/>
      <c r="I250" s="49"/>
      <c r="J250" s="49"/>
      <c r="K250" s="49"/>
      <c r="L250" s="49"/>
      <c r="M250" s="49"/>
      <c r="N250" s="49"/>
      <c r="O250" s="49"/>
      <c r="P250" s="49"/>
      <c r="Q250" s="49"/>
      <c r="R250" s="49"/>
      <c r="T250" s="1510"/>
      <c r="U250" s="50"/>
      <c r="V250" s="50"/>
      <c r="W250" s="50"/>
      <c r="X250" s="50"/>
      <c r="Y250" s="50"/>
      <c r="Z250" s="50"/>
      <c r="CU250" s="30"/>
      <c r="CV250" s="30"/>
      <c r="CW250" s="30"/>
      <c r="CX250" s="30"/>
      <c r="CY250" s="30"/>
      <c r="CZ250" s="30"/>
      <c r="DA250" s="30"/>
      <c r="DB250" s="30"/>
      <c r="DC250" s="30"/>
      <c r="DD250" s="30"/>
      <c r="DE250" s="30"/>
      <c r="DF250" s="30"/>
      <c r="DG250" s="30"/>
      <c r="DH250" s="30"/>
      <c r="DI250" s="30"/>
      <c r="DJ250" s="30"/>
      <c r="DK250" s="30"/>
      <c r="DL250" s="45"/>
      <c r="DM250" s="45"/>
      <c r="DN250" s="45"/>
      <c r="DO250" s="45"/>
      <c r="DP250" s="45"/>
      <c r="DQ250" s="45"/>
      <c r="DR250" s="45"/>
      <c r="DS250" s="45"/>
      <c r="DT250" s="45"/>
      <c r="DU250" s="45"/>
      <c r="DV250" s="45"/>
      <c r="DW250" s="45"/>
      <c r="DX250" s="45"/>
      <c r="DY250" s="45"/>
      <c r="DZ250" s="45"/>
    </row>
    <row r="251" spans="5:130" s="37" customFormat="1">
      <c r="E251" s="49"/>
      <c r="F251" s="49"/>
      <c r="G251" s="49"/>
      <c r="H251" s="49"/>
      <c r="I251" s="49"/>
      <c r="J251" s="49"/>
      <c r="K251" s="49"/>
      <c r="L251" s="49"/>
      <c r="M251" s="49"/>
      <c r="N251" s="49"/>
      <c r="O251" s="49"/>
      <c r="P251" s="49"/>
      <c r="Q251" s="49"/>
      <c r="R251" s="49"/>
      <c r="T251" s="1510"/>
      <c r="U251" s="50"/>
      <c r="V251" s="50"/>
      <c r="W251" s="50"/>
      <c r="X251" s="50"/>
      <c r="Y251" s="50"/>
      <c r="Z251" s="50"/>
      <c r="CU251" s="30"/>
      <c r="CV251" s="30"/>
      <c r="CW251" s="30"/>
      <c r="CX251" s="30"/>
      <c r="CY251" s="30"/>
      <c r="CZ251" s="30"/>
      <c r="DA251" s="30"/>
      <c r="DB251" s="30"/>
      <c r="DC251" s="30"/>
      <c r="DD251" s="30"/>
      <c r="DE251" s="30"/>
      <c r="DF251" s="30"/>
      <c r="DG251" s="30"/>
      <c r="DH251" s="30"/>
      <c r="DI251" s="30"/>
      <c r="DJ251" s="30"/>
      <c r="DK251" s="30"/>
      <c r="DL251" s="45"/>
      <c r="DM251" s="45"/>
      <c r="DN251" s="45"/>
      <c r="DO251" s="45"/>
      <c r="DP251" s="45"/>
      <c r="DQ251" s="45"/>
      <c r="DR251" s="45"/>
      <c r="DS251" s="45"/>
      <c r="DT251" s="45"/>
      <c r="DU251" s="45"/>
      <c r="DV251" s="45"/>
      <c r="DW251" s="45"/>
      <c r="DX251" s="45"/>
      <c r="DY251" s="45"/>
      <c r="DZ251" s="45"/>
    </row>
    <row r="252" spans="5:130" s="37" customFormat="1">
      <c r="E252" s="49"/>
      <c r="F252" s="49"/>
      <c r="G252" s="49"/>
      <c r="H252" s="49"/>
      <c r="I252" s="49"/>
      <c r="J252" s="49"/>
      <c r="K252" s="49"/>
      <c r="L252" s="49"/>
      <c r="M252" s="49"/>
      <c r="N252" s="49"/>
      <c r="O252" s="49"/>
      <c r="P252" s="49"/>
      <c r="Q252" s="49"/>
      <c r="R252" s="49"/>
      <c r="T252" s="1510"/>
      <c r="U252" s="50"/>
      <c r="V252" s="50"/>
      <c r="W252" s="50"/>
      <c r="X252" s="50"/>
      <c r="Y252" s="50"/>
      <c r="Z252" s="50"/>
      <c r="CU252" s="30"/>
      <c r="CV252" s="30"/>
      <c r="CW252" s="30"/>
      <c r="CX252" s="30"/>
      <c r="CY252" s="30"/>
      <c r="CZ252" s="30"/>
      <c r="DA252" s="30"/>
      <c r="DB252" s="30"/>
      <c r="DC252" s="30"/>
      <c r="DD252" s="30"/>
      <c r="DE252" s="30"/>
      <c r="DF252" s="30"/>
      <c r="DG252" s="30"/>
      <c r="DH252" s="30"/>
      <c r="DI252" s="30"/>
      <c r="DJ252" s="30"/>
      <c r="DK252" s="30"/>
      <c r="DL252" s="45"/>
      <c r="DM252" s="45"/>
      <c r="DN252" s="45"/>
      <c r="DO252" s="45"/>
      <c r="DP252" s="45"/>
      <c r="DQ252" s="45"/>
      <c r="DR252" s="45"/>
      <c r="DS252" s="45"/>
      <c r="DT252" s="45"/>
      <c r="DU252" s="45"/>
      <c r="DV252" s="45"/>
      <c r="DW252" s="45"/>
      <c r="DX252" s="45"/>
      <c r="DY252" s="45"/>
      <c r="DZ252" s="45"/>
    </row>
    <row r="253" spans="5:130" s="37" customFormat="1">
      <c r="E253" s="49"/>
      <c r="F253" s="49"/>
      <c r="G253" s="49"/>
      <c r="H253" s="49"/>
      <c r="I253" s="49"/>
      <c r="J253" s="49"/>
      <c r="K253" s="49"/>
      <c r="L253" s="49"/>
      <c r="M253" s="49"/>
      <c r="N253" s="49"/>
      <c r="O253" s="49"/>
      <c r="P253" s="49"/>
      <c r="Q253" s="49"/>
      <c r="R253" s="49"/>
      <c r="T253" s="1510"/>
      <c r="U253" s="50"/>
      <c r="V253" s="50"/>
      <c r="W253" s="50"/>
      <c r="X253" s="50"/>
      <c r="Y253" s="50"/>
      <c r="Z253" s="50"/>
      <c r="CU253" s="30"/>
      <c r="CV253" s="30"/>
      <c r="CW253" s="30"/>
      <c r="CX253" s="30"/>
      <c r="CY253" s="30"/>
      <c r="CZ253" s="30"/>
      <c r="DA253" s="30"/>
      <c r="DB253" s="30"/>
      <c r="DC253" s="30"/>
      <c r="DD253" s="30"/>
      <c r="DE253" s="30"/>
      <c r="DF253" s="30"/>
      <c r="DG253" s="30"/>
      <c r="DH253" s="30"/>
      <c r="DI253" s="30"/>
      <c r="DJ253" s="30"/>
      <c r="DK253" s="30"/>
      <c r="DL253" s="45"/>
      <c r="DM253" s="45"/>
      <c r="DN253" s="45"/>
      <c r="DO253" s="45"/>
      <c r="DP253" s="45"/>
      <c r="DQ253" s="45"/>
      <c r="DR253" s="45"/>
      <c r="DS253" s="45"/>
      <c r="DT253" s="45"/>
      <c r="DU253" s="45"/>
      <c r="DV253" s="45"/>
      <c r="DW253" s="45"/>
      <c r="DX253" s="45"/>
      <c r="DY253" s="45"/>
      <c r="DZ253" s="45"/>
    </row>
    <row r="254" spans="5:130" s="37" customFormat="1">
      <c r="E254" s="49"/>
      <c r="F254" s="49"/>
      <c r="G254" s="49"/>
      <c r="H254" s="49"/>
      <c r="I254" s="49"/>
      <c r="J254" s="49"/>
      <c r="K254" s="49"/>
      <c r="L254" s="49"/>
      <c r="M254" s="49"/>
      <c r="N254" s="49"/>
      <c r="O254" s="49"/>
      <c r="P254" s="49"/>
      <c r="Q254" s="49"/>
      <c r="R254" s="49"/>
      <c r="T254" s="1510"/>
      <c r="U254" s="50"/>
      <c r="V254" s="50"/>
      <c r="W254" s="50"/>
      <c r="X254" s="50"/>
      <c r="Y254" s="50"/>
      <c r="Z254" s="50"/>
      <c r="CU254" s="30"/>
      <c r="CV254" s="30"/>
      <c r="CW254" s="30"/>
      <c r="CX254" s="30"/>
      <c r="CY254" s="30"/>
      <c r="CZ254" s="30"/>
      <c r="DA254" s="30"/>
      <c r="DB254" s="30"/>
      <c r="DC254" s="30"/>
      <c r="DD254" s="30"/>
      <c r="DE254" s="30"/>
      <c r="DF254" s="30"/>
      <c r="DG254" s="30"/>
      <c r="DH254" s="30"/>
      <c r="DI254" s="30"/>
      <c r="DJ254" s="30"/>
      <c r="DK254" s="30"/>
      <c r="DL254" s="45"/>
      <c r="DM254" s="45"/>
      <c r="DN254" s="45"/>
      <c r="DO254" s="45"/>
      <c r="DP254" s="45"/>
      <c r="DQ254" s="45"/>
      <c r="DR254" s="45"/>
      <c r="DS254" s="45"/>
      <c r="DT254" s="45"/>
      <c r="DU254" s="45"/>
      <c r="DV254" s="45"/>
      <c r="DW254" s="45"/>
      <c r="DX254" s="45"/>
      <c r="DY254" s="45"/>
      <c r="DZ254" s="45"/>
    </row>
    <row r="255" spans="5:130" s="37" customFormat="1">
      <c r="E255" s="49"/>
      <c r="F255" s="49"/>
      <c r="G255" s="49"/>
      <c r="H255" s="49"/>
      <c r="I255" s="49"/>
      <c r="J255" s="49"/>
      <c r="K255" s="49"/>
      <c r="L255" s="49"/>
      <c r="M255" s="49"/>
      <c r="N255" s="49"/>
      <c r="O255" s="49"/>
      <c r="P255" s="49"/>
      <c r="Q255" s="49"/>
      <c r="R255" s="49"/>
      <c r="T255" s="1510"/>
      <c r="U255" s="50"/>
      <c r="V255" s="50"/>
      <c r="W255" s="50"/>
      <c r="X255" s="50"/>
      <c r="Y255" s="50"/>
      <c r="Z255" s="50"/>
      <c r="CU255" s="30"/>
      <c r="CV255" s="30"/>
      <c r="CW255" s="30"/>
      <c r="CX255" s="30"/>
      <c r="CY255" s="30"/>
      <c r="CZ255" s="30"/>
      <c r="DA255" s="30"/>
      <c r="DB255" s="30"/>
      <c r="DC255" s="30"/>
      <c r="DD255" s="30"/>
      <c r="DE255" s="30"/>
      <c r="DF255" s="30"/>
      <c r="DG255" s="30"/>
      <c r="DH255" s="30"/>
      <c r="DI255" s="30"/>
      <c r="DJ255" s="30"/>
      <c r="DK255" s="30"/>
      <c r="DL255" s="45"/>
      <c r="DM255" s="45"/>
      <c r="DN255" s="45"/>
      <c r="DO255" s="45"/>
      <c r="DP255" s="45"/>
      <c r="DQ255" s="45"/>
      <c r="DR255" s="45"/>
      <c r="DS255" s="45"/>
      <c r="DT255" s="45"/>
      <c r="DU255" s="45"/>
      <c r="DV255" s="45"/>
      <c r="DW255" s="45"/>
      <c r="DX255" s="45"/>
      <c r="DY255" s="45"/>
      <c r="DZ255" s="45"/>
    </row>
    <row r="256" spans="5:130" s="37" customFormat="1">
      <c r="E256" s="49"/>
      <c r="F256" s="49"/>
      <c r="G256" s="49"/>
      <c r="H256" s="49"/>
      <c r="I256" s="49"/>
      <c r="J256" s="49"/>
      <c r="K256" s="49"/>
      <c r="L256" s="49"/>
      <c r="M256" s="49"/>
      <c r="N256" s="49"/>
      <c r="O256" s="49"/>
      <c r="P256" s="49"/>
      <c r="Q256" s="49"/>
      <c r="R256" s="49"/>
      <c r="T256" s="1510"/>
      <c r="U256" s="50"/>
      <c r="V256" s="50"/>
      <c r="W256" s="50"/>
      <c r="X256" s="50"/>
      <c r="Y256" s="50"/>
      <c r="Z256" s="50"/>
      <c r="CU256" s="30"/>
      <c r="CV256" s="30"/>
      <c r="CW256" s="30"/>
      <c r="CX256" s="30"/>
      <c r="CY256" s="30"/>
      <c r="CZ256" s="30"/>
      <c r="DA256" s="30"/>
      <c r="DB256" s="30"/>
      <c r="DC256" s="30"/>
      <c r="DD256" s="30"/>
      <c r="DE256" s="30"/>
      <c r="DF256" s="30"/>
      <c r="DG256" s="30"/>
      <c r="DH256" s="30"/>
      <c r="DI256" s="30"/>
      <c r="DJ256" s="30"/>
      <c r="DK256" s="30"/>
      <c r="DL256" s="45"/>
      <c r="DM256" s="45"/>
      <c r="DN256" s="45"/>
      <c r="DO256" s="45"/>
      <c r="DP256" s="45"/>
      <c r="DQ256" s="45"/>
      <c r="DR256" s="45"/>
      <c r="DS256" s="45"/>
      <c r="DT256" s="45"/>
      <c r="DU256" s="45"/>
      <c r="DV256" s="45"/>
      <c r="DW256" s="45"/>
      <c r="DX256" s="45"/>
      <c r="DY256" s="45"/>
      <c r="DZ256" s="45"/>
    </row>
    <row r="257" spans="5:130" s="37" customFormat="1">
      <c r="E257" s="49"/>
      <c r="F257" s="49"/>
      <c r="G257" s="49"/>
      <c r="H257" s="49"/>
      <c r="I257" s="49"/>
      <c r="J257" s="49"/>
      <c r="K257" s="49"/>
      <c r="L257" s="49"/>
      <c r="M257" s="49"/>
      <c r="N257" s="49"/>
      <c r="O257" s="49"/>
      <c r="P257" s="49"/>
      <c r="Q257" s="49"/>
      <c r="R257" s="49"/>
      <c r="T257" s="1510"/>
      <c r="U257" s="50"/>
      <c r="V257" s="50"/>
      <c r="W257" s="50"/>
      <c r="X257" s="50"/>
      <c r="Y257" s="50"/>
      <c r="Z257" s="50"/>
      <c r="CU257" s="30"/>
      <c r="CV257" s="30"/>
      <c r="CW257" s="30"/>
      <c r="CX257" s="30"/>
      <c r="CY257" s="30"/>
      <c r="CZ257" s="30"/>
      <c r="DA257" s="30"/>
      <c r="DB257" s="30"/>
      <c r="DC257" s="30"/>
      <c r="DD257" s="30"/>
      <c r="DE257" s="30"/>
      <c r="DF257" s="30"/>
      <c r="DG257" s="30"/>
      <c r="DH257" s="30"/>
      <c r="DI257" s="30"/>
      <c r="DJ257" s="30"/>
      <c r="DK257" s="30"/>
      <c r="DL257" s="45"/>
      <c r="DM257" s="45"/>
      <c r="DN257" s="45"/>
      <c r="DO257" s="45"/>
      <c r="DP257" s="45"/>
      <c r="DQ257" s="45"/>
      <c r="DR257" s="45"/>
      <c r="DS257" s="45"/>
      <c r="DT257" s="45"/>
      <c r="DU257" s="45"/>
      <c r="DV257" s="45"/>
      <c r="DW257" s="45"/>
      <c r="DX257" s="45"/>
      <c r="DY257" s="45"/>
      <c r="DZ257" s="45"/>
    </row>
    <row r="258" spans="5:130" s="37" customFormat="1">
      <c r="E258" s="49"/>
      <c r="F258" s="49"/>
      <c r="G258" s="49"/>
      <c r="H258" s="49"/>
      <c r="I258" s="49"/>
      <c r="J258" s="49"/>
      <c r="K258" s="49"/>
      <c r="L258" s="49"/>
      <c r="M258" s="49"/>
      <c r="N258" s="49"/>
      <c r="O258" s="49"/>
      <c r="P258" s="49"/>
      <c r="Q258" s="49"/>
      <c r="R258" s="49"/>
      <c r="S258" s="50"/>
      <c r="T258" s="1510"/>
      <c r="U258" s="50"/>
      <c r="V258" s="50"/>
      <c r="W258" s="50"/>
      <c r="X258" s="50"/>
      <c r="Y258" s="50"/>
      <c r="Z258" s="50"/>
      <c r="CU258" s="30"/>
      <c r="CV258" s="30"/>
      <c r="CW258" s="30"/>
      <c r="CX258" s="30"/>
      <c r="CY258" s="30"/>
      <c r="CZ258" s="30"/>
      <c r="DA258" s="30"/>
      <c r="DB258" s="30"/>
      <c r="DC258" s="30"/>
      <c r="DD258" s="30"/>
      <c r="DE258" s="30"/>
      <c r="DF258" s="30"/>
      <c r="DG258" s="30"/>
      <c r="DH258" s="30"/>
      <c r="DI258" s="30"/>
      <c r="DJ258" s="30"/>
      <c r="DK258" s="30"/>
      <c r="DL258" s="45"/>
      <c r="DM258" s="45"/>
      <c r="DN258" s="45"/>
      <c r="DO258" s="45"/>
      <c r="DP258" s="45"/>
      <c r="DQ258" s="45"/>
      <c r="DR258" s="45"/>
      <c r="DS258" s="45"/>
      <c r="DT258" s="45"/>
      <c r="DU258" s="45"/>
      <c r="DV258" s="45"/>
      <c r="DW258" s="45"/>
      <c r="DX258" s="45"/>
      <c r="DY258" s="45"/>
      <c r="DZ258" s="45"/>
    </row>
    <row r="259" spans="5:130" s="37" customFormat="1">
      <c r="E259" s="49"/>
      <c r="F259" s="49"/>
      <c r="G259" s="49"/>
      <c r="H259" s="49"/>
      <c r="I259" s="49"/>
      <c r="J259" s="49"/>
      <c r="K259" s="49"/>
      <c r="L259" s="49"/>
      <c r="M259" s="49"/>
      <c r="N259" s="49"/>
      <c r="O259" s="49"/>
      <c r="P259" s="49"/>
      <c r="Q259" s="49"/>
      <c r="R259" s="49"/>
      <c r="S259" s="50"/>
      <c r="T259" s="1510"/>
      <c r="U259" s="50"/>
      <c r="V259" s="50"/>
      <c r="W259" s="50"/>
      <c r="X259" s="50"/>
      <c r="Y259" s="50"/>
      <c r="Z259" s="50"/>
      <c r="CU259" s="30"/>
      <c r="CV259" s="30"/>
      <c r="CW259" s="30"/>
      <c r="CX259" s="30"/>
      <c r="CY259" s="30"/>
      <c r="CZ259" s="30"/>
      <c r="DA259" s="30"/>
      <c r="DB259" s="30"/>
      <c r="DC259" s="30"/>
      <c r="DD259" s="30"/>
      <c r="DE259" s="30"/>
      <c r="DF259" s="30"/>
      <c r="DG259" s="30"/>
      <c r="DH259" s="30"/>
      <c r="DI259" s="30"/>
      <c r="DJ259" s="30"/>
      <c r="DK259" s="30"/>
      <c r="DL259" s="45"/>
      <c r="DM259" s="45"/>
      <c r="DN259" s="45"/>
      <c r="DO259" s="45"/>
      <c r="DP259" s="45"/>
      <c r="DQ259" s="45"/>
      <c r="DR259" s="45"/>
      <c r="DS259" s="45"/>
      <c r="DT259" s="45"/>
      <c r="DU259" s="45"/>
      <c r="DV259" s="45"/>
      <c r="DW259" s="45"/>
      <c r="DX259" s="45"/>
      <c r="DY259" s="45"/>
      <c r="DZ259" s="45"/>
    </row>
    <row r="260" spans="5:130" s="37" customFormat="1">
      <c r="E260" s="49"/>
      <c r="F260" s="49"/>
      <c r="G260" s="49"/>
      <c r="H260" s="49"/>
      <c r="I260" s="49"/>
      <c r="J260" s="49"/>
      <c r="K260" s="49"/>
      <c r="L260" s="49"/>
      <c r="M260" s="49"/>
      <c r="N260" s="49"/>
      <c r="O260" s="49"/>
      <c r="P260" s="49"/>
      <c r="Q260" s="49"/>
      <c r="R260" s="49"/>
      <c r="S260" s="50"/>
      <c r="T260" s="1510"/>
      <c r="U260" s="50"/>
      <c r="V260" s="50"/>
      <c r="W260" s="50"/>
      <c r="X260" s="50"/>
      <c r="Y260" s="50"/>
      <c r="Z260" s="50"/>
      <c r="CU260" s="30"/>
      <c r="CV260" s="30"/>
      <c r="CW260" s="30"/>
      <c r="CX260" s="30"/>
      <c r="CY260" s="30"/>
      <c r="CZ260" s="30"/>
      <c r="DA260" s="30"/>
      <c r="DB260" s="30"/>
      <c r="DC260" s="30"/>
      <c r="DD260" s="30"/>
      <c r="DE260" s="30"/>
      <c r="DF260" s="30"/>
      <c r="DG260" s="30"/>
      <c r="DH260" s="30"/>
      <c r="DI260" s="30"/>
      <c r="DJ260" s="30"/>
      <c r="DK260" s="30"/>
      <c r="DL260" s="45"/>
      <c r="DM260" s="45"/>
      <c r="DN260" s="45"/>
      <c r="DO260" s="45"/>
      <c r="DP260" s="45"/>
      <c r="DQ260" s="45"/>
      <c r="DR260" s="45"/>
      <c r="DS260" s="45"/>
      <c r="DT260" s="45"/>
      <c r="DU260" s="45"/>
      <c r="DV260" s="45"/>
      <c r="DW260" s="45"/>
      <c r="DX260" s="45"/>
      <c r="DY260" s="45"/>
      <c r="DZ260" s="45"/>
    </row>
    <row r="261" spans="5:130" s="37" customFormat="1">
      <c r="E261" s="49"/>
      <c r="F261" s="49"/>
      <c r="G261" s="49"/>
      <c r="H261" s="49"/>
      <c r="I261" s="49"/>
      <c r="J261" s="49"/>
      <c r="K261" s="49"/>
      <c r="L261" s="49"/>
      <c r="M261" s="49"/>
      <c r="N261" s="49"/>
      <c r="O261" s="49"/>
      <c r="P261" s="49"/>
      <c r="Q261" s="49"/>
      <c r="R261" s="49"/>
      <c r="S261" s="50"/>
      <c r="T261" s="1510"/>
      <c r="U261" s="50"/>
      <c r="V261" s="50"/>
      <c r="W261" s="50"/>
      <c r="X261" s="50"/>
      <c r="Y261" s="50"/>
      <c r="Z261" s="50"/>
      <c r="CU261" s="30"/>
      <c r="CV261" s="30"/>
      <c r="CW261" s="30"/>
      <c r="CX261" s="30"/>
      <c r="CY261" s="30"/>
      <c r="CZ261" s="30"/>
      <c r="DA261" s="30"/>
      <c r="DB261" s="30"/>
      <c r="DC261" s="30"/>
      <c r="DD261" s="30"/>
      <c r="DE261" s="30"/>
      <c r="DF261" s="30"/>
      <c r="DG261" s="30"/>
      <c r="DH261" s="30"/>
      <c r="DI261" s="30"/>
      <c r="DJ261" s="30"/>
      <c r="DK261" s="30"/>
      <c r="DL261" s="45"/>
      <c r="DM261" s="45"/>
      <c r="DN261" s="45"/>
      <c r="DO261" s="45"/>
      <c r="DP261" s="45"/>
      <c r="DQ261" s="45"/>
      <c r="DR261" s="45"/>
      <c r="DS261" s="45"/>
      <c r="DT261" s="45"/>
      <c r="DU261" s="45"/>
      <c r="DV261" s="45"/>
      <c r="DW261" s="45"/>
      <c r="DX261" s="45"/>
      <c r="DY261" s="45"/>
      <c r="DZ261" s="45"/>
    </row>
    <row r="262" spans="5:130" s="37" customFormat="1">
      <c r="E262" s="49"/>
      <c r="F262" s="49"/>
      <c r="G262" s="49"/>
      <c r="H262" s="49"/>
      <c r="I262" s="49"/>
      <c r="J262" s="49"/>
      <c r="K262" s="49"/>
      <c r="L262" s="49"/>
      <c r="M262" s="49"/>
      <c r="N262" s="49"/>
      <c r="O262" s="49"/>
      <c r="P262" s="49"/>
      <c r="Q262" s="49"/>
      <c r="R262" s="49"/>
      <c r="S262" s="50"/>
      <c r="T262" s="1510"/>
      <c r="U262" s="50"/>
      <c r="V262" s="50"/>
      <c r="W262" s="50"/>
      <c r="X262" s="50"/>
      <c r="Y262" s="50"/>
      <c r="Z262" s="50"/>
      <c r="CU262" s="30"/>
      <c r="CV262" s="30"/>
      <c r="CW262" s="30"/>
      <c r="CX262" s="30"/>
      <c r="CY262" s="30"/>
      <c r="CZ262" s="30"/>
      <c r="DA262" s="30"/>
      <c r="DB262" s="30"/>
      <c r="DC262" s="30"/>
      <c r="DD262" s="30"/>
      <c r="DE262" s="30"/>
      <c r="DF262" s="30"/>
      <c r="DG262" s="30"/>
      <c r="DH262" s="30"/>
      <c r="DI262" s="30"/>
      <c r="DJ262" s="30"/>
      <c r="DK262" s="30"/>
      <c r="DL262" s="45"/>
      <c r="DM262" s="45"/>
      <c r="DN262" s="45"/>
      <c r="DO262" s="45"/>
      <c r="DP262" s="45"/>
      <c r="DQ262" s="45"/>
      <c r="DR262" s="45"/>
      <c r="DS262" s="45"/>
      <c r="DT262" s="45"/>
      <c r="DU262" s="45"/>
      <c r="DV262" s="45"/>
      <c r="DW262" s="45"/>
      <c r="DX262" s="45"/>
      <c r="DY262" s="45"/>
      <c r="DZ262" s="45"/>
    </row>
    <row r="263" spans="5:130" s="37" customFormat="1">
      <c r="E263" s="49"/>
      <c r="F263" s="49"/>
      <c r="G263" s="49"/>
      <c r="H263" s="49"/>
      <c r="I263" s="49"/>
      <c r="J263" s="49"/>
      <c r="K263" s="49"/>
      <c r="L263" s="49"/>
      <c r="M263" s="49"/>
      <c r="N263" s="49"/>
      <c r="O263" s="49"/>
      <c r="P263" s="49"/>
      <c r="Q263" s="49"/>
      <c r="R263" s="49"/>
      <c r="S263" s="50"/>
      <c r="T263" s="1510"/>
      <c r="U263" s="50"/>
      <c r="V263" s="50"/>
      <c r="W263" s="50"/>
      <c r="X263" s="50"/>
      <c r="Y263" s="50"/>
      <c r="Z263" s="50"/>
      <c r="CU263" s="30"/>
      <c r="CV263" s="30"/>
      <c r="CW263" s="30"/>
      <c r="CX263" s="30"/>
      <c r="CY263" s="30"/>
      <c r="CZ263" s="30"/>
      <c r="DA263" s="30"/>
      <c r="DB263" s="30"/>
      <c r="DC263" s="30"/>
      <c r="DD263" s="30"/>
      <c r="DE263" s="30"/>
      <c r="DF263" s="30"/>
      <c r="DG263" s="30"/>
      <c r="DH263" s="30"/>
      <c r="DI263" s="30"/>
      <c r="DJ263" s="30"/>
      <c r="DK263" s="30"/>
      <c r="DL263" s="45"/>
      <c r="DM263" s="45"/>
      <c r="DN263" s="45"/>
      <c r="DO263" s="45"/>
      <c r="DP263" s="45"/>
      <c r="DQ263" s="45"/>
      <c r="DR263" s="45"/>
      <c r="DS263" s="45"/>
      <c r="DT263" s="45"/>
      <c r="DU263" s="45"/>
      <c r="DV263" s="45"/>
      <c r="DW263" s="45"/>
      <c r="DX263" s="45"/>
      <c r="DY263" s="45"/>
      <c r="DZ263" s="45"/>
    </row>
    <row r="264" spans="5:130" s="37" customFormat="1">
      <c r="E264" s="49"/>
      <c r="F264" s="49"/>
      <c r="G264" s="49"/>
      <c r="H264" s="49"/>
      <c r="I264" s="49"/>
      <c r="J264" s="49"/>
      <c r="K264" s="49"/>
      <c r="L264" s="49"/>
      <c r="M264" s="49"/>
      <c r="N264" s="49"/>
      <c r="O264" s="49"/>
      <c r="P264" s="49"/>
      <c r="Q264" s="49"/>
      <c r="R264" s="49"/>
      <c r="S264" s="50"/>
      <c r="T264" s="1510"/>
      <c r="U264" s="50"/>
      <c r="V264" s="50"/>
      <c r="W264" s="50"/>
      <c r="X264" s="50"/>
      <c r="Y264" s="50"/>
      <c r="Z264" s="50"/>
      <c r="CU264" s="30"/>
      <c r="CV264" s="30"/>
      <c r="CW264" s="30"/>
      <c r="CX264" s="30"/>
      <c r="CY264" s="30"/>
      <c r="CZ264" s="30"/>
      <c r="DA264" s="30"/>
      <c r="DB264" s="30"/>
      <c r="DC264" s="30"/>
      <c r="DD264" s="30"/>
      <c r="DE264" s="30"/>
      <c r="DF264" s="30"/>
      <c r="DG264" s="30"/>
      <c r="DH264" s="30"/>
      <c r="DI264" s="30"/>
      <c r="DJ264" s="30"/>
      <c r="DK264" s="30"/>
      <c r="DL264" s="45"/>
      <c r="DM264" s="45"/>
      <c r="DN264" s="45"/>
      <c r="DO264" s="45"/>
      <c r="DP264" s="45"/>
      <c r="DQ264" s="45"/>
      <c r="DR264" s="45"/>
      <c r="DS264" s="45"/>
      <c r="DT264" s="45"/>
      <c r="DU264" s="45"/>
      <c r="DV264" s="45"/>
      <c r="DW264" s="45"/>
      <c r="DX264" s="45"/>
      <c r="DY264" s="45"/>
      <c r="DZ264" s="45"/>
    </row>
    <row r="265" spans="5:130" s="37" customFormat="1">
      <c r="E265" s="49"/>
      <c r="F265" s="49"/>
      <c r="G265" s="49"/>
      <c r="H265" s="49"/>
      <c r="I265" s="49"/>
      <c r="J265" s="49"/>
      <c r="K265" s="49"/>
      <c r="L265" s="49"/>
      <c r="M265" s="49"/>
      <c r="N265" s="49"/>
      <c r="O265" s="49"/>
      <c r="P265" s="49"/>
      <c r="Q265" s="49"/>
      <c r="R265" s="49"/>
      <c r="S265" s="50"/>
      <c r="T265" s="1510"/>
      <c r="U265" s="50"/>
      <c r="V265" s="50"/>
      <c r="W265" s="50"/>
      <c r="X265" s="50"/>
      <c r="Y265" s="50"/>
      <c r="Z265" s="50"/>
      <c r="CU265" s="30"/>
      <c r="CV265" s="30"/>
      <c r="CW265" s="30"/>
      <c r="CX265" s="30"/>
      <c r="CY265" s="30"/>
      <c r="CZ265" s="30"/>
      <c r="DA265" s="30"/>
      <c r="DB265" s="30"/>
      <c r="DC265" s="30"/>
      <c r="DD265" s="30"/>
      <c r="DE265" s="30"/>
      <c r="DF265" s="30"/>
      <c r="DG265" s="30"/>
      <c r="DH265" s="30"/>
      <c r="DI265" s="30"/>
      <c r="DJ265" s="30"/>
      <c r="DK265" s="30"/>
      <c r="DL265" s="45"/>
      <c r="DM265" s="45"/>
      <c r="DN265" s="45"/>
      <c r="DO265" s="45"/>
      <c r="DP265" s="45"/>
      <c r="DQ265" s="45"/>
      <c r="DR265" s="45"/>
      <c r="DS265" s="45"/>
      <c r="DT265" s="45"/>
      <c r="DU265" s="45"/>
      <c r="DV265" s="45"/>
      <c r="DW265" s="45"/>
      <c r="DX265" s="45"/>
      <c r="DY265" s="45"/>
      <c r="DZ265" s="45"/>
    </row>
    <row r="266" spans="5:130" s="37" customFormat="1">
      <c r="E266" s="49"/>
      <c r="F266" s="49"/>
      <c r="G266" s="49"/>
      <c r="H266" s="49"/>
      <c r="I266" s="49"/>
      <c r="J266" s="49"/>
      <c r="K266" s="49"/>
      <c r="L266" s="49"/>
      <c r="M266" s="49"/>
      <c r="N266" s="49"/>
      <c r="O266" s="49"/>
      <c r="P266" s="49"/>
      <c r="Q266" s="49"/>
      <c r="R266" s="49"/>
      <c r="S266" s="50"/>
      <c r="T266" s="1510"/>
      <c r="U266" s="50"/>
      <c r="V266" s="50"/>
      <c r="W266" s="50"/>
      <c r="X266" s="50"/>
      <c r="Y266" s="50"/>
      <c r="Z266" s="50"/>
      <c r="CU266" s="30"/>
      <c r="CV266" s="30"/>
      <c r="CW266" s="30"/>
      <c r="CX266" s="30"/>
      <c r="CY266" s="30"/>
      <c r="CZ266" s="30"/>
      <c r="DA266" s="30"/>
      <c r="DB266" s="30"/>
      <c r="DC266" s="30"/>
      <c r="DD266" s="30"/>
      <c r="DE266" s="30"/>
      <c r="DF266" s="30"/>
      <c r="DG266" s="30"/>
      <c r="DH266" s="30"/>
      <c r="DI266" s="30"/>
      <c r="DJ266" s="30"/>
      <c r="DK266" s="30"/>
      <c r="DL266" s="45"/>
      <c r="DM266" s="45"/>
      <c r="DN266" s="45"/>
      <c r="DO266" s="45"/>
      <c r="DP266" s="45"/>
      <c r="DQ266" s="45"/>
      <c r="DR266" s="45"/>
      <c r="DS266" s="45"/>
      <c r="DT266" s="45"/>
      <c r="DU266" s="45"/>
      <c r="DV266" s="45"/>
      <c r="DW266" s="45"/>
      <c r="DX266" s="45"/>
      <c r="DY266" s="45"/>
      <c r="DZ266" s="45"/>
    </row>
    <row r="267" spans="5:130" s="37" customFormat="1">
      <c r="E267" s="49"/>
      <c r="F267" s="49"/>
      <c r="G267" s="49"/>
      <c r="H267" s="49"/>
      <c r="I267" s="49"/>
      <c r="J267" s="49"/>
      <c r="K267" s="49"/>
      <c r="L267" s="49"/>
      <c r="M267" s="49"/>
      <c r="N267" s="49"/>
      <c r="O267" s="49"/>
      <c r="P267" s="49"/>
      <c r="Q267" s="49"/>
      <c r="R267" s="49"/>
      <c r="S267" s="50"/>
      <c r="T267" s="1510"/>
      <c r="U267" s="50"/>
      <c r="V267" s="50"/>
      <c r="W267" s="50"/>
      <c r="X267" s="50"/>
      <c r="Y267" s="50"/>
      <c r="Z267" s="50"/>
      <c r="CU267" s="30"/>
      <c r="CV267" s="30"/>
      <c r="CW267" s="30"/>
      <c r="CX267" s="30"/>
      <c r="CY267" s="30"/>
      <c r="CZ267" s="30"/>
      <c r="DA267" s="30"/>
      <c r="DB267" s="30"/>
      <c r="DC267" s="30"/>
      <c r="DD267" s="30"/>
      <c r="DE267" s="30"/>
      <c r="DF267" s="30"/>
      <c r="DG267" s="30"/>
      <c r="DH267" s="30"/>
      <c r="DI267" s="30"/>
      <c r="DJ267" s="30"/>
      <c r="DK267" s="30"/>
      <c r="DL267" s="45"/>
      <c r="DM267" s="45"/>
      <c r="DN267" s="45"/>
      <c r="DO267" s="45"/>
      <c r="DP267" s="45"/>
      <c r="DQ267" s="45"/>
      <c r="DR267" s="45"/>
      <c r="DS267" s="45"/>
      <c r="DT267" s="45"/>
      <c r="DU267" s="45"/>
      <c r="DV267" s="45"/>
      <c r="DW267" s="45"/>
      <c r="DX267" s="45"/>
      <c r="DY267" s="45"/>
      <c r="DZ267" s="45"/>
    </row>
    <row r="268" spans="5:130" s="37" customFormat="1">
      <c r="E268" s="49"/>
      <c r="F268" s="49"/>
      <c r="G268" s="49"/>
      <c r="H268" s="49"/>
      <c r="I268" s="49"/>
      <c r="J268" s="49"/>
      <c r="K268" s="49"/>
      <c r="L268" s="49"/>
      <c r="M268" s="49"/>
      <c r="N268" s="49"/>
      <c r="O268" s="49"/>
      <c r="P268" s="49"/>
      <c r="Q268" s="49"/>
      <c r="R268" s="49"/>
      <c r="S268" s="50"/>
      <c r="T268" s="1510"/>
      <c r="U268" s="50"/>
      <c r="V268" s="50"/>
      <c r="W268" s="50"/>
      <c r="X268" s="50"/>
      <c r="Y268" s="50"/>
      <c r="Z268" s="50"/>
      <c r="CU268" s="30"/>
      <c r="CV268" s="30"/>
      <c r="CW268" s="30"/>
      <c r="CX268" s="30"/>
      <c r="CY268" s="30"/>
      <c r="CZ268" s="30"/>
      <c r="DA268" s="30"/>
      <c r="DB268" s="30"/>
      <c r="DC268" s="30"/>
      <c r="DD268" s="30"/>
      <c r="DE268" s="30"/>
      <c r="DF268" s="30"/>
      <c r="DG268" s="30"/>
      <c r="DH268" s="30"/>
      <c r="DI268" s="30"/>
      <c r="DJ268" s="30"/>
      <c r="DK268" s="30"/>
      <c r="DL268" s="45"/>
      <c r="DM268" s="45"/>
      <c r="DN268" s="45"/>
      <c r="DO268" s="45"/>
      <c r="DP268" s="45"/>
      <c r="DQ268" s="45"/>
      <c r="DR268" s="45"/>
      <c r="DS268" s="45"/>
      <c r="DT268" s="45"/>
      <c r="DU268" s="45"/>
      <c r="DV268" s="45"/>
      <c r="DW268" s="45"/>
      <c r="DX268" s="45"/>
      <c r="DY268" s="45"/>
      <c r="DZ268" s="45"/>
    </row>
    <row r="269" spans="5:130" s="37" customFormat="1">
      <c r="E269" s="49"/>
      <c r="F269" s="49"/>
      <c r="G269" s="49"/>
      <c r="H269" s="49"/>
      <c r="I269" s="49"/>
      <c r="J269" s="49"/>
      <c r="K269" s="49"/>
      <c r="L269" s="49"/>
      <c r="M269" s="49"/>
      <c r="N269" s="49"/>
      <c r="O269" s="49"/>
      <c r="P269" s="49"/>
      <c r="Q269" s="49"/>
      <c r="R269" s="49"/>
      <c r="S269" s="50"/>
      <c r="T269" s="1510"/>
      <c r="U269" s="50"/>
      <c r="V269" s="50"/>
      <c r="W269" s="50"/>
      <c r="X269" s="50"/>
      <c r="Y269" s="50"/>
      <c r="Z269" s="50"/>
      <c r="CU269" s="30"/>
      <c r="CV269" s="30"/>
      <c r="CW269" s="30"/>
      <c r="CX269" s="30"/>
      <c r="CY269" s="30"/>
      <c r="CZ269" s="30"/>
      <c r="DA269" s="30"/>
      <c r="DB269" s="30"/>
      <c r="DC269" s="30"/>
      <c r="DD269" s="30"/>
      <c r="DE269" s="30"/>
      <c r="DF269" s="30"/>
      <c r="DG269" s="30"/>
      <c r="DH269" s="30"/>
      <c r="DI269" s="30"/>
      <c r="DJ269" s="30"/>
      <c r="DK269" s="30"/>
      <c r="DL269" s="45"/>
      <c r="DM269" s="45"/>
      <c r="DN269" s="45"/>
      <c r="DO269" s="45"/>
      <c r="DP269" s="45"/>
      <c r="DQ269" s="45"/>
      <c r="DR269" s="45"/>
      <c r="DS269" s="45"/>
      <c r="DT269" s="45"/>
      <c r="DU269" s="45"/>
      <c r="DV269" s="45"/>
      <c r="DW269" s="45"/>
      <c r="DX269" s="45"/>
      <c r="DY269" s="45"/>
      <c r="DZ269" s="45"/>
    </row>
    <row r="270" spans="5:130" s="37" customFormat="1">
      <c r="E270" s="49"/>
      <c r="F270" s="49"/>
      <c r="G270" s="49"/>
      <c r="H270" s="49"/>
      <c r="I270" s="49"/>
      <c r="J270" s="49"/>
      <c r="K270" s="49"/>
      <c r="L270" s="49"/>
      <c r="M270" s="49"/>
      <c r="N270" s="49"/>
      <c r="O270" s="49"/>
      <c r="P270" s="49"/>
      <c r="Q270" s="49"/>
      <c r="R270" s="49"/>
      <c r="S270" s="50"/>
      <c r="T270" s="1510"/>
      <c r="U270" s="50"/>
      <c r="V270" s="50"/>
      <c r="W270" s="50"/>
      <c r="X270" s="50"/>
      <c r="Y270" s="50"/>
      <c r="Z270" s="50"/>
      <c r="CU270" s="30"/>
      <c r="CV270" s="30"/>
      <c r="CW270" s="30"/>
      <c r="CX270" s="30"/>
      <c r="CY270" s="30"/>
      <c r="CZ270" s="30"/>
      <c r="DA270" s="30"/>
      <c r="DB270" s="30"/>
      <c r="DC270" s="30"/>
      <c r="DD270" s="30"/>
      <c r="DE270" s="30"/>
      <c r="DF270" s="30"/>
      <c r="DG270" s="30"/>
      <c r="DH270" s="30"/>
      <c r="DI270" s="30"/>
      <c r="DJ270" s="30"/>
      <c r="DK270" s="30"/>
      <c r="DL270" s="45"/>
      <c r="DM270" s="45"/>
      <c r="DN270" s="45"/>
      <c r="DO270" s="45"/>
      <c r="DP270" s="45"/>
      <c r="DQ270" s="45"/>
      <c r="DR270" s="45"/>
      <c r="DS270" s="45"/>
      <c r="DT270" s="45"/>
      <c r="DU270" s="45"/>
      <c r="DV270" s="45"/>
      <c r="DW270" s="45"/>
      <c r="DX270" s="45"/>
      <c r="DY270" s="45"/>
      <c r="DZ270" s="45"/>
    </row>
    <row r="271" spans="5:130" s="37" customFormat="1">
      <c r="E271" s="49"/>
      <c r="F271" s="49"/>
      <c r="G271" s="49"/>
      <c r="H271" s="49"/>
      <c r="I271" s="49"/>
      <c r="J271" s="49"/>
      <c r="K271" s="49"/>
      <c r="L271" s="49"/>
      <c r="M271" s="49"/>
      <c r="N271" s="49"/>
      <c r="O271" s="49"/>
      <c r="P271" s="49"/>
      <c r="Q271" s="49"/>
      <c r="R271" s="49"/>
      <c r="S271" s="50"/>
      <c r="T271" s="1510"/>
      <c r="U271" s="50"/>
      <c r="V271" s="50"/>
      <c r="W271" s="50"/>
      <c r="X271" s="50"/>
      <c r="Y271" s="50"/>
      <c r="Z271" s="50"/>
      <c r="CU271" s="30"/>
      <c r="CV271" s="30"/>
      <c r="CW271" s="30"/>
      <c r="CX271" s="30"/>
      <c r="CY271" s="30"/>
      <c r="CZ271" s="30"/>
      <c r="DA271" s="30"/>
      <c r="DB271" s="30"/>
      <c r="DC271" s="30"/>
      <c r="DD271" s="30"/>
      <c r="DE271" s="30"/>
      <c r="DF271" s="30"/>
      <c r="DG271" s="30"/>
      <c r="DH271" s="30"/>
      <c r="DI271" s="30"/>
      <c r="DJ271" s="30"/>
      <c r="DK271" s="30"/>
      <c r="DL271" s="45"/>
      <c r="DM271" s="45"/>
      <c r="DN271" s="45"/>
      <c r="DO271" s="45"/>
      <c r="DP271" s="45"/>
      <c r="DQ271" s="45"/>
      <c r="DR271" s="45"/>
      <c r="DS271" s="45"/>
      <c r="DT271" s="45"/>
      <c r="DU271" s="45"/>
      <c r="DV271" s="45"/>
      <c r="DW271" s="45"/>
      <c r="DX271" s="45"/>
      <c r="DY271" s="45"/>
      <c r="DZ271" s="45"/>
    </row>
    <row r="272" spans="5:130" s="37" customFormat="1">
      <c r="E272" s="49"/>
      <c r="F272" s="49"/>
      <c r="G272" s="49"/>
      <c r="H272" s="49"/>
      <c r="I272" s="49"/>
      <c r="J272" s="49"/>
      <c r="K272" s="49"/>
      <c r="L272" s="49"/>
      <c r="M272" s="49"/>
      <c r="N272" s="49"/>
      <c r="O272" s="49"/>
      <c r="P272" s="49"/>
      <c r="Q272" s="49"/>
      <c r="R272" s="49"/>
      <c r="S272" s="50"/>
      <c r="T272" s="1510"/>
      <c r="U272" s="50"/>
      <c r="V272" s="50"/>
      <c r="W272" s="50"/>
      <c r="X272" s="50"/>
      <c r="Y272" s="50"/>
      <c r="Z272" s="50"/>
      <c r="CU272" s="30"/>
      <c r="CV272" s="30"/>
      <c r="CW272" s="30"/>
      <c r="CX272" s="30"/>
      <c r="CY272" s="30"/>
      <c r="CZ272" s="30"/>
      <c r="DA272" s="30"/>
      <c r="DB272" s="30"/>
      <c r="DC272" s="30"/>
      <c r="DD272" s="30"/>
      <c r="DE272" s="30"/>
      <c r="DF272" s="30"/>
      <c r="DG272" s="30"/>
      <c r="DH272" s="30"/>
      <c r="DI272" s="30"/>
      <c r="DJ272" s="30"/>
      <c r="DK272" s="30"/>
      <c r="DL272" s="45"/>
      <c r="DM272" s="45"/>
      <c r="DN272" s="45"/>
      <c r="DO272" s="45"/>
      <c r="DP272" s="45"/>
      <c r="DQ272" s="45"/>
      <c r="DR272" s="45"/>
      <c r="DS272" s="45"/>
      <c r="DT272" s="45"/>
      <c r="DU272" s="45"/>
      <c r="DV272" s="45"/>
      <c r="DW272" s="45"/>
      <c r="DX272" s="45"/>
      <c r="DY272" s="45"/>
      <c r="DZ272" s="45"/>
    </row>
    <row r="273" spans="5:130" s="37" customFormat="1">
      <c r="E273" s="49"/>
      <c r="F273" s="49"/>
      <c r="G273" s="49"/>
      <c r="H273" s="49"/>
      <c r="I273" s="49"/>
      <c r="J273" s="49"/>
      <c r="K273" s="49"/>
      <c r="L273" s="49"/>
      <c r="M273" s="49"/>
      <c r="N273" s="49"/>
      <c r="O273" s="49"/>
      <c r="P273" s="49"/>
      <c r="Q273" s="49"/>
      <c r="R273" s="49"/>
      <c r="S273" s="50"/>
      <c r="T273" s="1510"/>
      <c r="U273" s="50"/>
      <c r="V273" s="50"/>
      <c r="W273" s="50"/>
      <c r="X273" s="50"/>
      <c r="Y273" s="50"/>
      <c r="Z273" s="50"/>
      <c r="CU273" s="30"/>
      <c r="CV273" s="30"/>
      <c r="CW273" s="30"/>
      <c r="CX273" s="30"/>
      <c r="CY273" s="30"/>
      <c r="CZ273" s="30"/>
      <c r="DA273" s="30"/>
      <c r="DB273" s="30"/>
      <c r="DC273" s="30"/>
      <c r="DD273" s="30"/>
      <c r="DE273" s="30"/>
      <c r="DF273" s="30"/>
      <c r="DG273" s="30"/>
      <c r="DH273" s="30"/>
      <c r="DI273" s="30"/>
      <c r="DJ273" s="30"/>
      <c r="DK273" s="30"/>
      <c r="DL273" s="45"/>
      <c r="DM273" s="45"/>
      <c r="DN273" s="45"/>
      <c r="DO273" s="45"/>
      <c r="DP273" s="45"/>
      <c r="DQ273" s="45"/>
      <c r="DR273" s="45"/>
      <c r="DS273" s="45"/>
      <c r="DT273" s="45"/>
      <c r="DU273" s="45"/>
      <c r="DV273" s="45"/>
      <c r="DW273" s="45"/>
      <c r="DX273" s="45"/>
      <c r="DY273" s="45"/>
      <c r="DZ273" s="45"/>
    </row>
    <row r="274" spans="5:130" s="37" customFormat="1">
      <c r="E274" s="49"/>
      <c r="F274" s="49"/>
      <c r="G274" s="49"/>
      <c r="H274" s="49"/>
      <c r="I274" s="49"/>
      <c r="J274" s="49"/>
      <c r="K274" s="49"/>
      <c r="L274" s="49"/>
      <c r="M274" s="49"/>
      <c r="N274" s="49"/>
      <c r="O274" s="49"/>
      <c r="P274" s="49"/>
      <c r="Q274" s="49"/>
      <c r="R274" s="49"/>
      <c r="S274" s="50"/>
      <c r="T274" s="1510"/>
      <c r="U274" s="50"/>
      <c r="V274" s="50"/>
      <c r="W274" s="50"/>
      <c r="X274" s="50"/>
      <c r="Y274" s="50"/>
      <c r="Z274" s="50"/>
      <c r="CU274" s="30"/>
      <c r="CV274" s="30"/>
      <c r="CW274" s="30"/>
      <c r="CX274" s="30"/>
      <c r="CY274" s="30"/>
      <c r="CZ274" s="30"/>
      <c r="DA274" s="30"/>
      <c r="DB274" s="30"/>
      <c r="DC274" s="30"/>
      <c r="DD274" s="30"/>
      <c r="DE274" s="30"/>
      <c r="DF274" s="30"/>
      <c r="DG274" s="30"/>
      <c r="DH274" s="30"/>
      <c r="DI274" s="30"/>
      <c r="DJ274" s="30"/>
      <c r="DK274" s="30"/>
      <c r="DL274" s="45"/>
      <c r="DM274" s="45"/>
      <c r="DN274" s="45"/>
      <c r="DO274" s="45"/>
      <c r="DP274" s="45"/>
      <c r="DQ274" s="45"/>
      <c r="DR274" s="45"/>
      <c r="DS274" s="45"/>
      <c r="DT274" s="45"/>
      <c r="DU274" s="45"/>
      <c r="DV274" s="45"/>
      <c r="DW274" s="45"/>
      <c r="DX274" s="45"/>
      <c r="DY274" s="45"/>
      <c r="DZ274" s="45"/>
    </row>
    <row r="275" spans="5:130" s="37" customFormat="1">
      <c r="E275" s="49"/>
      <c r="F275" s="49"/>
      <c r="G275" s="49"/>
      <c r="H275" s="49"/>
      <c r="I275" s="49"/>
      <c r="J275" s="49"/>
      <c r="K275" s="49"/>
      <c r="L275" s="49"/>
      <c r="M275" s="49"/>
      <c r="N275" s="49"/>
      <c r="O275" s="49"/>
      <c r="P275" s="49"/>
      <c r="Q275" s="49"/>
      <c r="R275" s="49"/>
      <c r="S275" s="50"/>
      <c r="T275" s="1510"/>
      <c r="U275" s="50"/>
      <c r="V275" s="50"/>
      <c r="W275" s="50"/>
      <c r="X275" s="50"/>
      <c r="Y275" s="50"/>
      <c r="Z275" s="50"/>
      <c r="CU275" s="30"/>
      <c r="CV275" s="30"/>
      <c r="CW275" s="30"/>
      <c r="CX275" s="30"/>
      <c r="CY275" s="30"/>
      <c r="CZ275" s="30"/>
      <c r="DA275" s="30"/>
      <c r="DB275" s="30"/>
      <c r="DC275" s="30"/>
      <c r="DD275" s="30"/>
      <c r="DE275" s="30"/>
      <c r="DF275" s="30"/>
      <c r="DG275" s="30"/>
      <c r="DH275" s="30"/>
      <c r="DI275" s="30"/>
      <c r="DJ275" s="30"/>
      <c r="DK275" s="30"/>
      <c r="DL275" s="45"/>
      <c r="DM275" s="45"/>
      <c r="DN275" s="45"/>
      <c r="DO275" s="45"/>
      <c r="DP275" s="45"/>
      <c r="DQ275" s="45"/>
      <c r="DR275" s="45"/>
      <c r="DS275" s="45"/>
      <c r="DT275" s="45"/>
      <c r="DU275" s="45"/>
      <c r="DV275" s="45"/>
      <c r="DW275" s="45"/>
      <c r="DX275" s="45"/>
      <c r="DY275" s="45"/>
      <c r="DZ275" s="45"/>
    </row>
    <row r="276" spans="5:130" s="37" customFormat="1">
      <c r="E276" s="49"/>
      <c r="F276" s="49"/>
      <c r="G276" s="49"/>
      <c r="H276" s="49"/>
      <c r="I276" s="49"/>
      <c r="J276" s="49"/>
      <c r="K276" s="49"/>
      <c r="L276" s="49"/>
      <c r="M276" s="49"/>
      <c r="N276" s="49"/>
      <c r="O276" s="49"/>
      <c r="P276" s="49"/>
      <c r="Q276" s="49"/>
      <c r="R276" s="49"/>
      <c r="S276" s="50"/>
      <c r="T276" s="1510"/>
      <c r="U276" s="50"/>
      <c r="V276" s="50"/>
      <c r="W276" s="50"/>
      <c r="X276" s="50"/>
      <c r="Y276" s="50"/>
      <c r="Z276" s="50"/>
      <c r="CU276" s="30"/>
      <c r="CV276" s="30"/>
      <c r="CW276" s="30"/>
      <c r="CX276" s="30"/>
      <c r="CY276" s="30"/>
      <c r="CZ276" s="30"/>
      <c r="DA276" s="30"/>
      <c r="DB276" s="30"/>
      <c r="DC276" s="30"/>
      <c r="DD276" s="30"/>
      <c r="DE276" s="30"/>
      <c r="DF276" s="30"/>
      <c r="DG276" s="30"/>
      <c r="DH276" s="30"/>
      <c r="DI276" s="30"/>
      <c r="DJ276" s="30"/>
      <c r="DK276" s="30"/>
      <c r="DL276" s="45"/>
      <c r="DM276" s="45"/>
      <c r="DN276" s="45"/>
      <c r="DO276" s="45"/>
      <c r="DP276" s="45"/>
      <c r="DQ276" s="45"/>
      <c r="DR276" s="45"/>
      <c r="DS276" s="45"/>
      <c r="DT276" s="45"/>
      <c r="DU276" s="45"/>
      <c r="DV276" s="45"/>
      <c r="DW276" s="45"/>
      <c r="DX276" s="45"/>
      <c r="DY276" s="45"/>
      <c r="DZ276" s="45"/>
    </row>
    <row r="277" spans="5:130" s="37" customFormat="1">
      <c r="E277" s="49"/>
      <c r="F277" s="49"/>
      <c r="G277" s="49"/>
      <c r="H277" s="49"/>
      <c r="I277" s="49"/>
      <c r="J277" s="49"/>
      <c r="K277" s="49"/>
      <c r="L277" s="49"/>
      <c r="M277" s="49"/>
      <c r="N277" s="49"/>
      <c r="O277" s="49"/>
      <c r="P277" s="49"/>
      <c r="Q277" s="49"/>
      <c r="R277" s="49"/>
      <c r="S277" s="50"/>
      <c r="T277" s="1510"/>
      <c r="U277" s="50"/>
      <c r="V277" s="50"/>
      <c r="W277" s="50"/>
      <c r="X277" s="50"/>
      <c r="Y277" s="50"/>
      <c r="Z277" s="50"/>
      <c r="CU277" s="30"/>
      <c r="CV277" s="30"/>
      <c r="CW277" s="30"/>
      <c r="CX277" s="30"/>
      <c r="CY277" s="30"/>
      <c r="CZ277" s="30"/>
      <c r="DA277" s="30"/>
      <c r="DB277" s="30"/>
      <c r="DC277" s="30"/>
      <c r="DD277" s="30"/>
      <c r="DE277" s="30"/>
      <c r="DF277" s="30"/>
      <c r="DG277" s="30"/>
      <c r="DH277" s="30"/>
      <c r="DI277" s="30"/>
      <c r="DJ277" s="30"/>
      <c r="DK277" s="30"/>
      <c r="DL277" s="45"/>
      <c r="DM277" s="45"/>
      <c r="DN277" s="45"/>
      <c r="DO277" s="45"/>
      <c r="DP277" s="45"/>
      <c r="DQ277" s="45"/>
      <c r="DR277" s="45"/>
      <c r="DS277" s="45"/>
      <c r="DT277" s="45"/>
      <c r="DU277" s="45"/>
      <c r="DV277" s="45"/>
      <c r="DW277" s="45"/>
      <c r="DX277" s="45"/>
      <c r="DY277" s="45"/>
      <c r="DZ277" s="45"/>
    </row>
    <row r="278" spans="5:130" s="37" customFormat="1">
      <c r="E278" s="49"/>
      <c r="F278" s="49"/>
      <c r="G278" s="49"/>
      <c r="H278" s="49"/>
      <c r="I278" s="49"/>
      <c r="J278" s="49"/>
      <c r="K278" s="49"/>
      <c r="L278" s="49"/>
      <c r="M278" s="49"/>
      <c r="N278" s="49"/>
      <c r="O278" s="49"/>
      <c r="P278" s="49"/>
      <c r="Q278" s="49"/>
      <c r="R278" s="49"/>
      <c r="S278" s="50"/>
      <c r="T278" s="1510"/>
      <c r="U278" s="50"/>
      <c r="V278" s="50"/>
      <c r="W278" s="50"/>
      <c r="X278" s="50"/>
      <c r="Y278" s="50"/>
      <c r="Z278" s="50"/>
      <c r="CU278" s="30"/>
      <c r="CV278" s="30"/>
      <c r="CW278" s="30"/>
      <c r="CX278" s="30"/>
      <c r="CY278" s="30"/>
      <c r="CZ278" s="30"/>
      <c r="DA278" s="30"/>
      <c r="DB278" s="30"/>
      <c r="DC278" s="30"/>
      <c r="DD278" s="30"/>
      <c r="DE278" s="30"/>
      <c r="DF278" s="30"/>
      <c r="DG278" s="30"/>
      <c r="DH278" s="30"/>
      <c r="DI278" s="30"/>
      <c r="DJ278" s="30"/>
      <c r="DK278" s="30"/>
      <c r="DL278" s="45"/>
      <c r="DM278" s="45"/>
      <c r="DN278" s="45"/>
      <c r="DO278" s="45"/>
      <c r="DP278" s="45"/>
      <c r="DQ278" s="45"/>
      <c r="DR278" s="45"/>
      <c r="DS278" s="45"/>
      <c r="DT278" s="45"/>
      <c r="DU278" s="45"/>
      <c r="DV278" s="45"/>
      <c r="DW278" s="45"/>
      <c r="DX278" s="45"/>
      <c r="DY278" s="45"/>
      <c r="DZ278" s="45"/>
    </row>
    <row r="279" spans="5:130" s="37" customFormat="1">
      <c r="E279" s="49"/>
      <c r="F279" s="49"/>
      <c r="G279" s="49"/>
      <c r="H279" s="49"/>
      <c r="I279" s="49"/>
      <c r="J279" s="49"/>
      <c r="K279" s="49"/>
      <c r="L279" s="49"/>
      <c r="M279" s="49"/>
      <c r="N279" s="49"/>
      <c r="O279" s="49"/>
      <c r="P279" s="49"/>
      <c r="Q279" s="49"/>
      <c r="R279" s="49"/>
      <c r="S279" s="50"/>
      <c r="T279" s="1510"/>
      <c r="U279" s="50"/>
      <c r="V279" s="50"/>
      <c r="W279" s="50"/>
      <c r="X279" s="50"/>
      <c r="Y279" s="50"/>
      <c r="Z279" s="50"/>
      <c r="CU279" s="30"/>
      <c r="CV279" s="30"/>
      <c r="CW279" s="30"/>
      <c r="CX279" s="30"/>
      <c r="CY279" s="30"/>
      <c r="CZ279" s="30"/>
      <c r="DA279" s="30"/>
      <c r="DB279" s="30"/>
      <c r="DC279" s="30"/>
      <c r="DD279" s="30"/>
      <c r="DE279" s="30"/>
      <c r="DF279" s="30"/>
      <c r="DG279" s="30"/>
      <c r="DH279" s="30"/>
      <c r="DI279" s="30"/>
      <c r="DJ279" s="30"/>
      <c r="DK279" s="30"/>
      <c r="DL279" s="45"/>
      <c r="DM279" s="45"/>
      <c r="DN279" s="45"/>
      <c r="DO279" s="45"/>
      <c r="DP279" s="45"/>
      <c r="DQ279" s="45"/>
      <c r="DR279" s="45"/>
      <c r="DS279" s="45"/>
      <c r="DT279" s="45"/>
      <c r="DU279" s="45"/>
      <c r="DV279" s="45"/>
      <c r="DW279" s="45"/>
      <c r="DX279" s="45"/>
      <c r="DY279" s="45"/>
      <c r="DZ279" s="45"/>
    </row>
    <row r="280" spans="5:130" s="37" customFormat="1">
      <c r="E280" s="49"/>
      <c r="F280" s="49"/>
      <c r="G280" s="49"/>
      <c r="H280" s="49"/>
      <c r="I280" s="49"/>
      <c r="J280" s="49"/>
      <c r="K280" s="49"/>
      <c r="L280" s="49"/>
      <c r="M280" s="49"/>
      <c r="N280" s="49"/>
      <c r="O280" s="49"/>
      <c r="P280" s="49"/>
      <c r="Q280" s="49"/>
      <c r="R280" s="49"/>
      <c r="S280" s="50"/>
      <c r="T280" s="1510"/>
      <c r="U280" s="50"/>
      <c r="V280" s="50"/>
      <c r="W280" s="50"/>
      <c r="X280" s="50"/>
      <c r="Y280" s="50"/>
      <c r="Z280" s="50"/>
      <c r="CU280" s="30"/>
      <c r="CV280" s="30"/>
      <c r="CW280" s="30"/>
      <c r="CX280" s="30"/>
      <c r="CY280" s="30"/>
      <c r="CZ280" s="30"/>
      <c r="DA280" s="30"/>
      <c r="DB280" s="30"/>
      <c r="DC280" s="30"/>
      <c r="DD280" s="30"/>
      <c r="DE280" s="30"/>
      <c r="DF280" s="30"/>
      <c r="DG280" s="30"/>
      <c r="DH280" s="30"/>
      <c r="DI280" s="30"/>
      <c r="DJ280" s="30"/>
      <c r="DK280" s="30"/>
      <c r="DL280" s="45"/>
      <c r="DM280" s="45"/>
      <c r="DN280" s="45"/>
      <c r="DO280" s="45"/>
      <c r="DP280" s="45"/>
      <c r="DQ280" s="45"/>
      <c r="DR280" s="45"/>
      <c r="DS280" s="45"/>
      <c r="DT280" s="45"/>
      <c r="DU280" s="45"/>
      <c r="DV280" s="45"/>
      <c r="DW280" s="45"/>
      <c r="DX280" s="45"/>
      <c r="DY280" s="45"/>
      <c r="DZ280" s="45"/>
    </row>
    <row r="281" spans="5:130" s="37" customFormat="1">
      <c r="E281" s="49"/>
      <c r="F281" s="49"/>
      <c r="G281" s="49"/>
      <c r="H281" s="49"/>
      <c r="I281" s="49"/>
      <c r="J281" s="49"/>
      <c r="K281" s="49"/>
      <c r="L281" s="49"/>
      <c r="M281" s="49"/>
      <c r="N281" s="49"/>
      <c r="O281" s="49"/>
      <c r="P281" s="49"/>
      <c r="Q281" s="49"/>
      <c r="R281" s="49"/>
      <c r="S281" s="50"/>
      <c r="T281" s="1510"/>
      <c r="U281" s="50"/>
      <c r="V281" s="50"/>
      <c r="W281" s="50"/>
      <c r="X281" s="50"/>
      <c r="Y281" s="50"/>
      <c r="Z281" s="50"/>
      <c r="CU281" s="30"/>
      <c r="CV281" s="30"/>
      <c r="CW281" s="30"/>
      <c r="CX281" s="30"/>
      <c r="CY281" s="30"/>
      <c r="CZ281" s="30"/>
      <c r="DA281" s="30"/>
      <c r="DB281" s="30"/>
      <c r="DC281" s="30"/>
      <c r="DD281" s="30"/>
      <c r="DE281" s="30"/>
      <c r="DF281" s="30"/>
      <c r="DG281" s="30"/>
      <c r="DH281" s="30"/>
      <c r="DI281" s="30"/>
      <c r="DJ281" s="30"/>
      <c r="DK281" s="30"/>
      <c r="DL281" s="45"/>
      <c r="DM281" s="45"/>
      <c r="DN281" s="45"/>
      <c r="DO281" s="45"/>
      <c r="DP281" s="45"/>
      <c r="DQ281" s="45"/>
      <c r="DR281" s="45"/>
      <c r="DS281" s="45"/>
      <c r="DT281" s="45"/>
      <c r="DU281" s="45"/>
      <c r="DV281" s="45"/>
      <c r="DW281" s="45"/>
      <c r="DX281" s="45"/>
      <c r="DY281" s="45"/>
      <c r="DZ281" s="45"/>
    </row>
    <row r="282" spans="5:130" s="37" customFormat="1">
      <c r="E282" s="49"/>
      <c r="F282" s="49"/>
      <c r="G282" s="49"/>
      <c r="H282" s="49"/>
      <c r="I282" s="49"/>
      <c r="J282" s="49"/>
      <c r="K282" s="49"/>
      <c r="L282" s="49"/>
      <c r="M282" s="49"/>
      <c r="N282" s="49"/>
      <c r="O282" s="49"/>
      <c r="P282" s="49"/>
      <c r="Q282" s="49"/>
      <c r="R282" s="49"/>
      <c r="S282" s="50"/>
      <c r="T282" s="1510"/>
      <c r="U282" s="50"/>
      <c r="V282" s="50"/>
      <c r="W282" s="50"/>
      <c r="X282" s="50"/>
      <c r="Y282" s="50"/>
      <c r="Z282" s="50"/>
      <c r="CU282" s="30"/>
      <c r="CV282" s="30"/>
      <c r="CW282" s="30"/>
      <c r="CX282" s="30"/>
      <c r="CY282" s="30"/>
      <c r="CZ282" s="30"/>
      <c r="DA282" s="30"/>
      <c r="DB282" s="30"/>
      <c r="DC282" s="30"/>
      <c r="DD282" s="30"/>
      <c r="DE282" s="30"/>
      <c r="DF282" s="30"/>
      <c r="DG282" s="30"/>
      <c r="DH282" s="30"/>
      <c r="DI282" s="30"/>
      <c r="DJ282" s="30"/>
      <c r="DK282" s="30"/>
      <c r="DL282" s="45"/>
      <c r="DM282" s="45"/>
      <c r="DN282" s="45"/>
      <c r="DO282" s="45"/>
      <c r="DP282" s="45"/>
      <c r="DQ282" s="45"/>
      <c r="DR282" s="45"/>
      <c r="DS282" s="45"/>
      <c r="DT282" s="45"/>
      <c r="DU282" s="45"/>
      <c r="DV282" s="45"/>
      <c r="DW282" s="45"/>
      <c r="DX282" s="45"/>
      <c r="DY282" s="45"/>
      <c r="DZ282" s="45"/>
    </row>
    <row r="283" spans="5:130" s="37" customFormat="1">
      <c r="E283" s="49"/>
      <c r="F283" s="49"/>
      <c r="G283" s="49"/>
      <c r="H283" s="49"/>
      <c r="I283" s="49"/>
      <c r="J283" s="49"/>
      <c r="K283" s="49"/>
      <c r="L283" s="49"/>
      <c r="M283" s="49"/>
      <c r="N283" s="49"/>
      <c r="O283" s="49"/>
      <c r="P283" s="49"/>
      <c r="Q283" s="49"/>
      <c r="R283" s="49"/>
      <c r="S283" s="50"/>
      <c r="T283" s="1510"/>
      <c r="U283" s="50"/>
      <c r="V283" s="50"/>
      <c r="W283" s="50"/>
      <c r="X283" s="50"/>
      <c r="Y283" s="50"/>
      <c r="Z283" s="50"/>
      <c r="CU283" s="30"/>
      <c r="CV283" s="30"/>
      <c r="CW283" s="30"/>
      <c r="CX283" s="30"/>
      <c r="CY283" s="30"/>
      <c r="CZ283" s="30"/>
      <c r="DA283" s="30"/>
      <c r="DB283" s="30"/>
      <c r="DC283" s="30"/>
      <c r="DD283" s="30"/>
      <c r="DE283" s="30"/>
      <c r="DF283" s="30"/>
      <c r="DG283" s="30"/>
      <c r="DH283" s="30"/>
      <c r="DI283" s="30"/>
      <c r="DJ283" s="30"/>
      <c r="DK283" s="30"/>
      <c r="DL283" s="45"/>
      <c r="DM283" s="45"/>
      <c r="DN283" s="45"/>
      <c r="DO283" s="45"/>
      <c r="DP283" s="45"/>
      <c r="DQ283" s="45"/>
      <c r="DR283" s="45"/>
      <c r="DS283" s="45"/>
      <c r="DT283" s="45"/>
      <c r="DU283" s="45"/>
      <c r="DV283" s="45"/>
      <c r="DW283" s="45"/>
      <c r="DX283" s="45"/>
      <c r="DY283" s="45"/>
      <c r="DZ283" s="45"/>
    </row>
    <row r="284" spans="5:130" s="37" customFormat="1">
      <c r="E284" s="49"/>
      <c r="F284" s="49"/>
      <c r="G284" s="49"/>
      <c r="H284" s="49"/>
      <c r="I284" s="49"/>
      <c r="J284" s="49"/>
      <c r="K284" s="49"/>
      <c r="L284" s="49"/>
      <c r="M284" s="49"/>
      <c r="N284" s="49"/>
      <c r="O284" s="49"/>
      <c r="P284" s="49"/>
      <c r="Q284" s="49"/>
      <c r="R284" s="49"/>
      <c r="S284" s="50"/>
      <c r="T284" s="1510"/>
      <c r="U284" s="50"/>
      <c r="V284" s="50"/>
      <c r="W284" s="50"/>
      <c r="X284" s="50"/>
      <c r="Y284" s="50"/>
      <c r="Z284" s="50"/>
      <c r="CU284" s="30"/>
      <c r="CV284" s="30"/>
      <c r="CW284" s="30"/>
      <c r="CX284" s="30"/>
      <c r="CY284" s="30"/>
      <c r="CZ284" s="30"/>
      <c r="DA284" s="30"/>
      <c r="DB284" s="30"/>
      <c r="DC284" s="30"/>
      <c r="DD284" s="30"/>
      <c r="DE284" s="30"/>
      <c r="DF284" s="30"/>
      <c r="DG284" s="30"/>
      <c r="DH284" s="30"/>
      <c r="DI284" s="30"/>
      <c r="DJ284" s="30"/>
      <c r="DK284" s="30"/>
      <c r="DL284" s="45"/>
      <c r="DM284" s="45"/>
      <c r="DN284" s="45"/>
      <c r="DO284" s="45"/>
      <c r="DP284" s="45"/>
      <c r="DQ284" s="45"/>
      <c r="DR284" s="45"/>
      <c r="DS284" s="45"/>
      <c r="DT284" s="45"/>
      <c r="DU284" s="45"/>
      <c r="DV284" s="45"/>
      <c r="DW284" s="45"/>
      <c r="DX284" s="45"/>
      <c r="DY284" s="45"/>
      <c r="DZ284" s="45"/>
    </row>
    <row r="285" spans="5:130" s="37" customFormat="1">
      <c r="E285" s="49"/>
      <c r="F285" s="49"/>
      <c r="G285" s="49"/>
      <c r="H285" s="49"/>
      <c r="I285" s="49"/>
      <c r="J285" s="49"/>
      <c r="K285" s="49"/>
      <c r="L285" s="49"/>
      <c r="M285" s="49"/>
      <c r="N285" s="49"/>
      <c r="O285" s="49"/>
      <c r="P285" s="49"/>
      <c r="Q285" s="49"/>
      <c r="R285" s="49"/>
      <c r="S285" s="50"/>
      <c r="T285" s="1510"/>
      <c r="U285" s="50"/>
      <c r="V285" s="50"/>
      <c r="W285" s="50"/>
      <c r="X285" s="50"/>
      <c r="Y285" s="50"/>
      <c r="Z285" s="50"/>
      <c r="CU285" s="30"/>
      <c r="CV285" s="30"/>
      <c r="CW285" s="30"/>
      <c r="CX285" s="30"/>
      <c r="CY285" s="30"/>
      <c r="CZ285" s="30"/>
      <c r="DA285" s="30"/>
      <c r="DB285" s="30"/>
      <c r="DC285" s="30"/>
      <c r="DD285" s="30"/>
      <c r="DE285" s="30"/>
      <c r="DF285" s="30"/>
      <c r="DG285" s="30"/>
      <c r="DH285" s="30"/>
      <c r="DI285" s="30"/>
      <c r="DJ285" s="30"/>
      <c r="DK285" s="30"/>
      <c r="DL285" s="45"/>
      <c r="DM285" s="45"/>
      <c r="DN285" s="45"/>
      <c r="DO285" s="45"/>
      <c r="DP285" s="45"/>
      <c r="DQ285" s="45"/>
      <c r="DR285" s="45"/>
      <c r="DS285" s="45"/>
      <c r="DT285" s="45"/>
      <c r="DU285" s="45"/>
      <c r="DV285" s="45"/>
      <c r="DW285" s="45"/>
      <c r="DX285" s="45"/>
      <c r="DY285" s="45"/>
      <c r="DZ285" s="45"/>
    </row>
    <row r="286" spans="5:130" s="37" customFormat="1">
      <c r="E286" s="49"/>
      <c r="F286" s="49"/>
      <c r="G286" s="49"/>
      <c r="H286" s="49"/>
      <c r="I286" s="49"/>
      <c r="J286" s="49"/>
      <c r="K286" s="49"/>
      <c r="L286" s="49"/>
      <c r="M286" s="49"/>
      <c r="N286" s="49"/>
      <c r="O286" s="49"/>
      <c r="P286" s="49"/>
      <c r="Q286" s="49"/>
      <c r="R286" s="49"/>
      <c r="S286" s="50"/>
      <c r="T286" s="1510"/>
      <c r="U286" s="50"/>
      <c r="V286" s="50"/>
      <c r="W286" s="50"/>
      <c r="X286" s="50"/>
      <c r="Y286" s="50"/>
      <c r="Z286" s="50"/>
      <c r="CU286" s="30"/>
      <c r="CV286" s="30"/>
      <c r="CW286" s="30"/>
      <c r="CX286" s="30"/>
      <c r="CY286" s="30"/>
      <c r="CZ286" s="30"/>
      <c r="DA286" s="30"/>
      <c r="DB286" s="30"/>
      <c r="DC286" s="30"/>
      <c r="DD286" s="30"/>
      <c r="DE286" s="30"/>
      <c r="DF286" s="30"/>
      <c r="DG286" s="30"/>
      <c r="DH286" s="30"/>
      <c r="DI286" s="30"/>
      <c r="DJ286" s="30"/>
      <c r="DK286" s="30"/>
      <c r="DL286" s="45"/>
      <c r="DM286" s="45"/>
      <c r="DN286" s="45"/>
      <c r="DO286" s="45"/>
      <c r="DP286" s="45"/>
      <c r="DQ286" s="45"/>
      <c r="DR286" s="45"/>
      <c r="DS286" s="45"/>
      <c r="DT286" s="45"/>
      <c r="DU286" s="45"/>
      <c r="DV286" s="45"/>
      <c r="DW286" s="45"/>
      <c r="DX286" s="45"/>
      <c r="DY286" s="45"/>
      <c r="DZ286" s="45"/>
    </row>
    <row r="287" spans="5:130" s="37" customFormat="1">
      <c r="E287" s="49"/>
      <c r="F287" s="49"/>
      <c r="G287" s="49"/>
      <c r="H287" s="49"/>
      <c r="I287" s="49"/>
      <c r="J287" s="49"/>
      <c r="K287" s="49"/>
      <c r="L287" s="49"/>
      <c r="M287" s="49"/>
      <c r="N287" s="49"/>
      <c r="O287" s="49"/>
      <c r="P287" s="49"/>
      <c r="Q287" s="49"/>
      <c r="R287" s="49"/>
      <c r="S287" s="50"/>
      <c r="T287" s="1510"/>
      <c r="U287" s="50"/>
      <c r="V287" s="50"/>
      <c r="W287" s="50"/>
      <c r="X287" s="50"/>
      <c r="Y287" s="50"/>
      <c r="Z287" s="50"/>
      <c r="CU287" s="30"/>
      <c r="CV287" s="30"/>
      <c r="CW287" s="30"/>
      <c r="CX287" s="30"/>
      <c r="CY287" s="30"/>
      <c r="CZ287" s="30"/>
      <c r="DA287" s="30"/>
      <c r="DB287" s="30"/>
      <c r="DC287" s="30"/>
      <c r="DD287" s="30"/>
      <c r="DE287" s="30"/>
      <c r="DF287" s="30"/>
      <c r="DG287" s="30"/>
      <c r="DH287" s="30"/>
      <c r="DI287" s="30"/>
      <c r="DJ287" s="30"/>
      <c r="DK287" s="30"/>
      <c r="DL287" s="45"/>
      <c r="DM287" s="45"/>
      <c r="DN287" s="45"/>
      <c r="DO287" s="45"/>
      <c r="DP287" s="45"/>
      <c r="DQ287" s="45"/>
      <c r="DR287" s="45"/>
      <c r="DS287" s="45"/>
      <c r="DT287" s="45"/>
      <c r="DU287" s="45"/>
      <c r="DV287" s="45"/>
      <c r="DW287" s="45"/>
      <c r="DX287" s="45"/>
      <c r="DY287" s="45"/>
      <c r="DZ287" s="45"/>
    </row>
    <row r="288" spans="5:130" s="37" customFormat="1">
      <c r="E288" s="49"/>
      <c r="F288" s="49"/>
      <c r="G288" s="49"/>
      <c r="H288" s="49"/>
      <c r="I288" s="49"/>
      <c r="J288" s="49"/>
      <c r="K288" s="49"/>
      <c r="L288" s="49"/>
      <c r="M288" s="49"/>
      <c r="N288" s="49"/>
      <c r="O288" s="49"/>
      <c r="P288" s="49"/>
      <c r="Q288" s="49"/>
      <c r="R288" s="49"/>
      <c r="S288" s="50"/>
      <c r="T288" s="1510"/>
      <c r="U288" s="50"/>
      <c r="V288" s="50"/>
      <c r="W288" s="50"/>
      <c r="X288" s="50"/>
      <c r="Y288" s="50"/>
      <c r="Z288" s="50"/>
      <c r="CU288" s="30"/>
      <c r="CV288" s="30"/>
      <c r="CW288" s="30"/>
      <c r="CX288" s="30"/>
      <c r="CY288" s="30"/>
      <c r="CZ288" s="30"/>
      <c r="DA288" s="30"/>
      <c r="DB288" s="30"/>
      <c r="DC288" s="30"/>
      <c r="DD288" s="30"/>
      <c r="DE288" s="30"/>
      <c r="DF288" s="30"/>
      <c r="DG288" s="30"/>
      <c r="DH288" s="30"/>
      <c r="DI288" s="30"/>
      <c r="DJ288" s="30"/>
      <c r="DK288" s="30"/>
      <c r="DL288" s="45"/>
      <c r="DM288" s="45"/>
      <c r="DN288" s="45"/>
      <c r="DO288" s="45"/>
      <c r="DP288" s="45"/>
      <c r="DQ288" s="45"/>
      <c r="DR288" s="45"/>
      <c r="DS288" s="45"/>
      <c r="DT288" s="45"/>
      <c r="DU288" s="45"/>
      <c r="DV288" s="45"/>
      <c r="DW288" s="45"/>
      <c r="DX288" s="45"/>
      <c r="DY288" s="45"/>
      <c r="DZ288" s="45"/>
    </row>
    <row r="289" spans="5:130" s="37" customFormat="1">
      <c r="E289" s="49"/>
      <c r="F289" s="49"/>
      <c r="G289" s="49"/>
      <c r="H289" s="49"/>
      <c r="I289" s="49"/>
      <c r="J289" s="49"/>
      <c r="K289" s="49"/>
      <c r="L289" s="49"/>
      <c r="M289" s="49"/>
      <c r="N289" s="49"/>
      <c r="O289" s="49"/>
      <c r="P289" s="49"/>
      <c r="Q289" s="49"/>
      <c r="R289" s="49"/>
      <c r="S289" s="50"/>
      <c r="T289" s="1510"/>
      <c r="U289" s="50"/>
      <c r="V289" s="50"/>
      <c r="W289" s="50"/>
      <c r="X289" s="50"/>
      <c r="Y289" s="50"/>
      <c r="Z289" s="50"/>
      <c r="CU289" s="30"/>
      <c r="CV289" s="30"/>
      <c r="CW289" s="30"/>
      <c r="CX289" s="30"/>
      <c r="CY289" s="30"/>
      <c r="CZ289" s="30"/>
      <c r="DA289" s="30"/>
      <c r="DB289" s="30"/>
      <c r="DC289" s="30"/>
      <c r="DD289" s="30"/>
      <c r="DE289" s="30"/>
      <c r="DF289" s="30"/>
      <c r="DG289" s="30"/>
      <c r="DH289" s="30"/>
      <c r="DI289" s="30"/>
      <c r="DJ289" s="30"/>
      <c r="DK289" s="30"/>
      <c r="DL289" s="45"/>
      <c r="DM289" s="45"/>
      <c r="DN289" s="45"/>
      <c r="DO289" s="45"/>
      <c r="DP289" s="45"/>
      <c r="DQ289" s="45"/>
      <c r="DR289" s="45"/>
      <c r="DS289" s="45"/>
      <c r="DT289" s="45"/>
      <c r="DU289" s="45"/>
      <c r="DV289" s="45"/>
      <c r="DW289" s="45"/>
      <c r="DX289" s="45"/>
      <c r="DY289" s="45"/>
      <c r="DZ289" s="45"/>
    </row>
    <row r="290" spans="5:130" s="37" customFormat="1">
      <c r="E290" s="49"/>
      <c r="F290" s="49"/>
      <c r="G290" s="49"/>
      <c r="H290" s="49"/>
      <c r="I290" s="49"/>
      <c r="J290" s="49"/>
      <c r="K290" s="49"/>
      <c r="L290" s="49"/>
      <c r="M290" s="49"/>
      <c r="N290" s="49"/>
      <c r="O290" s="49"/>
      <c r="P290" s="49"/>
      <c r="Q290" s="49"/>
      <c r="R290" s="49"/>
      <c r="S290" s="50"/>
      <c r="T290" s="1510"/>
      <c r="U290" s="50"/>
      <c r="V290" s="50"/>
      <c r="W290" s="50"/>
      <c r="X290" s="50"/>
      <c r="Y290" s="50"/>
      <c r="Z290" s="50"/>
      <c r="CU290" s="30"/>
      <c r="CV290" s="30"/>
      <c r="CW290" s="30"/>
      <c r="CX290" s="30"/>
      <c r="CY290" s="30"/>
      <c r="CZ290" s="30"/>
      <c r="DA290" s="30"/>
      <c r="DB290" s="30"/>
      <c r="DC290" s="30"/>
      <c r="DD290" s="30"/>
      <c r="DE290" s="30"/>
      <c r="DF290" s="30"/>
      <c r="DG290" s="30"/>
      <c r="DH290" s="30"/>
      <c r="DI290" s="30"/>
      <c r="DJ290" s="30"/>
      <c r="DK290" s="30"/>
      <c r="DL290" s="45"/>
      <c r="DM290" s="45"/>
      <c r="DN290" s="45"/>
      <c r="DO290" s="45"/>
      <c r="DP290" s="45"/>
      <c r="DQ290" s="45"/>
      <c r="DR290" s="45"/>
      <c r="DS290" s="45"/>
      <c r="DT290" s="45"/>
      <c r="DU290" s="45"/>
      <c r="DV290" s="45"/>
      <c r="DW290" s="45"/>
      <c r="DX290" s="45"/>
      <c r="DY290" s="45"/>
      <c r="DZ290" s="45"/>
    </row>
    <row r="291" spans="5:130" s="37" customFormat="1">
      <c r="E291" s="49"/>
      <c r="F291" s="49"/>
      <c r="G291" s="49"/>
      <c r="H291" s="49"/>
      <c r="I291" s="49"/>
      <c r="J291" s="49"/>
      <c r="K291" s="49"/>
      <c r="L291" s="49"/>
      <c r="M291" s="49"/>
      <c r="N291" s="49"/>
      <c r="O291" s="49"/>
      <c r="P291" s="49"/>
      <c r="Q291" s="49"/>
      <c r="R291" s="49"/>
      <c r="S291" s="50"/>
      <c r="T291" s="1510"/>
      <c r="U291" s="50"/>
      <c r="V291" s="50"/>
      <c r="W291" s="50"/>
      <c r="X291" s="50"/>
      <c r="Y291" s="50"/>
      <c r="Z291" s="50"/>
      <c r="CU291" s="30"/>
      <c r="CV291" s="30"/>
      <c r="CW291" s="30"/>
      <c r="CX291" s="30"/>
      <c r="CY291" s="30"/>
      <c r="CZ291" s="30"/>
      <c r="DA291" s="30"/>
      <c r="DB291" s="30"/>
      <c r="DC291" s="30"/>
      <c r="DD291" s="30"/>
      <c r="DE291" s="30"/>
      <c r="DF291" s="30"/>
      <c r="DG291" s="30"/>
      <c r="DH291" s="30"/>
      <c r="DI291" s="30"/>
      <c r="DJ291" s="30"/>
      <c r="DK291" s="30"/>
      <c r="DL291" s="45"/>
      <c r="DM291" s="45"/>
      <c r="DN291" s="45"/>
      <c r="DO291" s="45"/>
      <c r="DP291" s="45"/>
      <c r="DQ291" s="45"/>
      <c r="DR291" s="45"/>
      <c r="DS291" s="45"/>
      <c r="DT291" s="45"/>
      <c r="DU291" s="45"/>
      <c r="DV291" s="45"/>
      <c r="DW291" s="45"/>
      <c r="DX291" s="45"/>
      <c r="DY291" s="45"/>
      <c r="DZ291" s="45"/>
    </row>
    <row r="292" spans="5:130" s="37" customFormat="1">
      <c r="E292" s="49"/>
      <c r="F292" s="49"/>
      <c r="G292" s="49"/>
      <c r="H292" s="49"/>
      <c r="I292" s="49"/>
      <c r="J292" s="49"/>
      <c r="K292" s="49"/>
      <c r="L292" s="49"/>
      <c r="M292" s="49"/>
      <c r="N292" s="49"/>
      <c r="O292" s="49"/>
      <c r="P292" s="49"/>
      <c r="Q292" s="49"/>
      <c r="R292" s="49"/>
      <c r="S292" s="50"/>
      <c r="T292" s="1510"/>
      <c r="U292" s="50"/>
      <c r="V292" s="50"/>
      <c r="W292" s="50"/>
      <c r="X292" s="50"/>
      <c r="Y292" s="50"/>
      <c r="Z292" s="50"/>
      <c r="CU292" s="30"/>
      <c r="CV292" s="30"/>
      <c r="CW292" s="30"/>
      <c r="CX292" s="30"/>
      <c r="CY292" s="30"/>
      <c r="CZ292" s="30"/>
      <c r="DA292" s="30"/>
      <c r="DB292" s="30"/>
      <c r="DC292" s="30"/>
      <c r="DD292" s="30"/>
      <c r="DE292" s="30"/>
      <c r="DF292" s="30"/>
      <c r="DG292" s="30"/>
      <c r="DH292" s="30"/>
      <c r="DI292" s="30"/>
      <c r="DJ292" s="30"/>
      <c r="DK292" s="30"/>
      <c r="DL292" s="45"/>
      <c r="DM292" s="45"/>
      <c r="DN292" s="45"/>
      <c r="DO292" s="45"/>
      <c r="DP292" s="45"/>
      <c r="DQ292" s="45"/>
      <c r="DR292" s="45"/>
      <c r="DS292" s="45"/>
      <c r="DT292" s="45"/>
      <c r="DU292" s="45"/>
      <c r="DV292" s="45"/>
      <c r="DW292" s="45"/>
      <c r="DX292" s="45"/>
      <c r="DY292" s="45"/>
      <c r="DZ292" s="45"/>
    </row>
    <row r="293" spans="5:130" s="37" customFormat="1">
      <c r="E293" s="49"/>
      <c r="F293" s="49"/>
      <c r="G293" s="49"/>
      <c r="H293" s="49"/>
      <c r="I293" s="49"/>
      <c r="J293" s="49"/>
      <c r="K293" s="49"/>
      <c r="L293" s="49"/>
      <c r="M293" s="49"/>
      <c r="N293" s="49"/>
      <c r="O293" s="49"/>
      <c r="P293" s="49"/>
      <c r="Q293" s="49"/>
      <c r="R293" s="49"/>
      <c r="S293" s="50"/>
      <c r="T293" s="1510"/>
      <c r="U293" s="50"/>
      <c r="V293" s="50"/>
      <c r="W293" s="50"/>
      <c r="X293" s="50"/>
      <c r="Y293" s="50"/>
      <c r="Z293" s="50"/>
      <c r="CU293" s="30"/>
      <c r="CV293" s="30"/>
      <c r="CW293" s="30"/>
      <c r="CX293" s="30"/>
      <c r="CY293" s="30"/>
      <c r="CZ293" s="30"/>
      <c r="DA293" s="30"/>
      <c r="DB293" s="30"/>
      <c r="DC293" s="30"/>
      <c r="DD293" s="30"/>
      <c r="DE293" s="30"/>
      <c r="DF293" s="30"/>
      <c r="DG293" s="30"/>
      <c r="DH293" s="30"/>
      <c r="DI293" s="30"/>
      <c r="DJ293" s="30"/>
      <c r="DK293" s="30"/>
      <c r="DL293" s="45"/>
      <c r="DM293" s="45"/>
      <c r="DN293" s="45"/>
      <c r="DO293" s="45"/>
      <c r="DP293" s="45"/>
      <c r="DQ293" s="45"/>
      <c r="DR293" s="45"/>
      <c r="DS293" s="45"/>
      <c r="DT293" s="45"/>
      <c r="DU293" s="45"/>
      <c r="DV293" s="45"/>
      <c r="DW293" s="45"/>
      <c r="DX293" s="45"/>
      <c r="DY293" s="45"/>
      <c r="DZ293" s="45"/>
    </row>
    <row r="294" spans="5:130" s="37" customFormat="1">
      <c r="E294" s="49"/>
      <c r="F294" s="49"/>
      <c r="G294" s="49"/>
      <c r="H294" s="49"/>
      <c r="I294" s="49"/>
      <c r="J294" s="49"/>
      <c r="K294" s="49"/>
      <c r="L294" s="49"/>
      <c r="M294" s="49"/>
      <c r="N294" s="49"/>
      <c r="O294" s="49"/>
      <c r="P294" s="49"/>
      <c r="Q294" s="49"/>
      <c r="R294" s="49"/>
      <c r="S294" s="50"/>
      <c r="T294" s="1510"/>
      <c r="U294" s="50"/>
      <c r="V294" s="50"/>
      <c r="W294" s="50"/>
      <c r="X294" s="50"/>
      <c r="Y294" s="50"/>
      <c r="Z294" s="50"/>
      <c r="CU294" s="30"/>
      <c r="CV294" s="30"/>
      <c r="CW294" s="30"/>
      <c r="CX294" s="30"/>
      <c r="CY294" s="30"/>
      <c r="CZ294" s="30"/>
      <c r="DA294" s="30"/>
      <c r="DB294" s="30"/>
      <c r="DC294" s="30"/>
      <c r="DD294" s="30"/>
      <c r="DE294" s="30"/>
      <c r="DF294" s="30"/>
      <c r="DG294" s="30"/>
      <c r="DH294" s="30"/>
      <c r="DI294" s="30"/>
      <c r="DJ294" s="30"/>
      <c r="DK294" s="30"/>
      <c r="DL294" s="45"/>
      <c r="DM294" s="45"/>
      <c r="DN294" s="45"/>
      <c r="DO294" s="45"/>
      <c r="DP294" s="45"/>
      <c r="DQ294" s="45"/>
      <c r="DR294" s="45"/>
      <c r="DS294" s="45"/>
      <c r="DT294" s="45"/>
      <c r="DU294" s="45"/>
      <c r="DV294" s="45"/>
      <c r="DW294" s="45"/>
      <c r="DX294" s="45"/>
      <c r="DY294" s="45"/>
      <c r="DZ294" s="45"/>
    </row>
    <row r="295" spans="5:130" s="37" customFormat="1">
      <c r="E295" s="49"/>
      <c r="F295" s="49"/>
      <c r="G295" s="49"/>
      <c r="H295" s="49"/>
      <c r="I295" s="49"/>
      <c r="J295" s="49"/>
      <c r="K295" s="49"/>
      <c r="L295" s="49"/>
      <c r="M295" s="49"/>
      <c r="N295" s="49"/>
      <c r="O295" s="49"/>
      <c r="P295" s="49"/>
      <c r="Q295" s="49"/>
      <c r="R295" s="49"/>
      <c r="S295" s="50"/>
      <c r="T295" s="1510"/>
      <c r="U295" s="50"/>
      <c r="V295" s="50"/>
      <c r="W295" s="50"/>
      <c r="X295" s="50"/>
      <c r="Y295" s="50"/>
      <c r="Z295" s="50"/>
      <c r="CU295" s="30"/>
      <c r="CV295" s="30"/>
      <c r="CW295" s="30"/>
      <c r="CX295" s="30"/>
      <c r="CY295" s="30"/>
      <c r="CZ295" s="30"/>
      <c r="DA295" s="30"/>
      <c r="DB295" s="30"/>
      <c r="DC295" s="30"/>
      <c r="DD295" s="30"/>
      <c r="DE295" s="30"/>
      <c r="DF295" s="30"/>
      <c r="DG295" s="30"/>
      <c r="DH295" s="30"/>
      <c r="DI295" s="30"/>
      <c r="DJ295" s="30"/>
      <c r="DK295" s="30"/>
      <c r="DL295" s="45"/>
      <c r="DM295" s="45"/>
      <c r="DN295" s="45"/>
      <c r="DO295" s="45"/>
      <c r="DP295" s="45"/>
      <c r="DQ295" s="45"/>
      <c r="DR295" s="45"/>
      <c r="DS295" s="45"/>
      <c r="DT295" s="45"/>
      <c r="DU295" s="45"/>
      <c r="DV295" s="45"/>
      <c r="DW295" s="45"/>
      <c r="DX295" s="45"/>
      <c r="DY295" s="45"/>
      <c r="DZ295" s="45"/>
    </row>
    <row r="296" spans="5:130" s="37" customFormat="1">
      <c r="E296" s="49"/>
      <c r="F296" s="49"/>
      <c r="G296" s="49"/>
      <c r="H296" s="49"/>
      <c r="I296" s="49"/>
      <c r="J296" s="49"/>
      <c r="K296" s="49"/>
      <c r="L296" s="49"/>
      <c r="M296" s="49"/>
      <c r="N296" s="49"/>
      <c r="O296" s="49"/>
      <c r="P296" s="49"/>
      <c r="Q296" s="49"/>
      <c r="R296" s="49"/>
      <c r="S296" s="50"/>
      <c r="T296" s="1510"/>
      <c r="U296" s="50"/>
      <c r="V296" s="50"/>
      <c r="W296" s="50"/>
      <c r="X296" s="50"/>
      <c r="Y296" s="50"/>
      <c r="Z296" s="50"/>
      <c r="CU296" s="30"/>
      <c r="CV296" s="30"/>
      <c r="CW296" s="30"/>
      <c r="CX296" s="30"/>
      <c r="CY296" s="30"/>
      <c r="CZ296" s="30"/>
      <c r="DA296" s="30"/>
      <c r="DB296" s="30"/>
      <c r="DC296" s="30"/>
      <c r="DD296" s="30"/>
      <c r="DE296" s="30"/>
      <c r="DF296" s="30"/>
      <c r="DG296" s="30"/>
      <c r="DH296" s="30"/>
      <c r="DI296" s="30"/>
      <c r="DJ296" s="30"/>
      <c r="DK296" s="30"/>
      <c r="DL296" s="45"/>
      <c r="DM296" s="45"/>
      <c r="DN296" s="45"/>
      <c r="DO296" s="45"/>
      <c r="DP296" s="45"/>
      <c r="DQ296" s="45"/>
      <c r="DR296" s="45"/>
      <c r="DS296" s="45"/>
      <c r="DT296" s="45"/>
      <c r="DU296" s="45"/>
      <c r="DV296" s="45"/>
      <c r="DW296" s="45"/>
      <c r="DX296" s="45"/>
      <c r="DY296" s="45"/>
      <c r="DZ296" s="45"/>
    </row>
    <row r="297" spans="5:130" s="37" customFormat="1">
      <c r="E297" s="49"/>
      <c r="F297" s="49"/>
      <c r="G297" s="49"/>
      <c r="H297" s="49"/>
      <c r="I297" s="49"/>
      <c r="J297" s="49"/>
      <c r="K297" s="49"/>
      <c r="L297" s="49"/>
      <c r="M297" s="49"/>
      <c r="N297" s="49"/>
      <c r="O297" s="49"/>
      <c r="P297" s="49"/>
      <c r="Q297" s="49"/>
      <c r="R297" s="49"/>
      <c r="S297" s="50"/>
      <c r="T297" s="1510"/>
      <c r="U297" s="50"/>
      <c r="V297" s="50"/>
      <c r="W297" s="50"/>
      <c r="X297" s="50"/>
      <c r="Y297" s="50"/>
      <c r="Z297" s="50"/>
      <c r="CU297" s="30"/>
      <c r="CV297" s="30"/>
      <c r="CW297" s="30"/>
      <c r="CX297" s="30"/>
      <c r="CY297" s="30"/>
      <c r="CZ297" s="30"/>
      <c r="DA297" s="30"/>
      <c r="DB297" s="30"/>
      <c r="DC297" s="30"/>
      <c r="DD297" s="30"/>
      <c r="DE297" s="30"/>
      <c r="DF297" s="30"/>
      <c r="DG297" s="30"/>
      <c r="DH297" s="30"/>
      <c r="DI297" s="30"/>
      <c r="DJ297" s="30"/>
      <c r="DK297" s="30"/>
      <c r="DL297" s="45"/>
      <c r="DM297" s="45"/>
      <c r="DN297" s="45"/>
      <c r="DO297" s="45"/>
      <c r="DP297" s="45"/>
      <c r="DQ297" s="45"/>
      <c r="DR297" s="45"/>
      <c r="DS297" s="45"/>
      <c r="DT297" s="45"/>
      <c r="DU297" s="45"/>
      <c r="DV297" s="45"/>
      <c r="DW297" s="45"/>
      <c r="DX297" s="45"/>
      <c r="DY297" s="45"/>
      <c r="DZ297" s="45"/>
    </row>
    <row r="298" spans="5:130" s="37" customFormat="1">
      <c r="E298" s="49"/>
      <c r="F298" s="49"/>
      <c r="G298" s="49"/>
      <c r="H298" s="49"/>
      <c r="I298" s="49"/>
      <c r="J298" s="49"/>
      <c r="K298" s="49"/>
      <c r="L298" s="49"/>
      <c r="M298" s="49"/>
      <c r="N298" s="49"/>
      <c r="O298" s="49"/>
      <c r="P298" s="49"/>
      <c r="Q298" s="49"/>
      <c r="R298" s="49"/>
      <c r="S298" s="50"/>
      <c r="T298" s="1510"/>
      <c r="U298" s="50"/>
      <c r="V298" s="50"/>
      <c r="W298" s="50"/>
      <c r="X298" s="50"/>
      <c r="Y298" s="50"/>
      <c r="Z298" s="50"/>
      <c r="CU298" s="30"/>
      <c r="CV298" s="30"/>
      <c r="CW298" s="30"/>
      <c r="CX298" s="30"/>
      <c r="CY298" s="30"/>
      <c r="CZ298" s="30"/>
      <c r="DA298" s="30"/>
      <c r="DB298" s="30"/>
      <c r="DC298" s="30"/>
      <c r="DD298" s="30"/>
      <c r="DE298" s="30"/>
      <c r="DF298" s="30"/>
      <c r="DG298" s="30"/>
      <c r="DH298" s="30"/>
      <c r="DI298" s="30"/>
      <c r="DJ298" s="30"/>
      <c r="DK298" s="30"/>
      <c r="DL298" s="45"/>
      <c r="DM298" s="45"/>
      <c r="DN298" s="45"/>
      <c r="DO298" s="45"/>
      <c r="DP298" s="45"/>
      <c r="DQ298" s="45"/>
      <c r="DR298" s="45"/>
      <c r="DS298" s="45"/>
      <c r="DT298" s="45"/>
      <c r="DU298" s="45"/>
      <c r="DV298" s="45"/>
      <c r="DW298" s="45"/>
      <c r="DX298" s="45"/>
      <c r="DY298" s="45"/>
      <c r="DZ298" s="45"/>
    </row>
    <row r="299" spans="5:130" s="37" customFormat="1">
      <c r="E299" s="49"/>
      <c r="F299" s="49"/>
      <c r="G299" s="49"/>
      <c r="H299" s="49"/>
      <c r="I299" s="49"/>
      <c r="J299" s="49"/>
      <c r="K299" s="49"/>
      <c r="L299" s="49"/>
      <c r="M299" s="49"/>
      <c r="N299" s="49"/>
      <c r="O299" s="49"/>
      <c r="P299" s="49"/>
      <c r="Q299" s="49"/>
      <c r="R299" s="49"/>
      <c r="S299" s="50"/>
      <c r="T299" s="1510"/>
      <c r="U299" s="50"/>
      <c r="V299" s="50"/>
      <c r="W299" s="50"/>
      <c r="X299" s="50"/>
      <c r="Y299" s="50"/>
      <c r="Z299" s="50"/>
      <c r="CU299" s="30"/>
      <c r="CV299" s="30"/>
      <c r="CW299" s="30"/>
      <c r="CX299" s="30"/>
      <c r="CY299" s="30"/>
      <c r="CZ299" s="30"/>
      <c r="DA299" s="30"/>
      <c r="DB299" s="30"/>
      <c r="DC299" s="30"/>
      <c r="DD299" s="30"/>
      <c r="DE299" s="30"/>
      <c r="DF299" s="30"/>
      <c r="DG299" s="30"/>
      <c r="DH299" s="30"/>
      <c r="DI299" s="30"/>
      <c r="DJ299" s="30"/>
      <c r="DK299" s="30"/>
      <c r="DL299" s="45"/>
      <c r="DM299" s="45"/>
      <c r="DN299" s="45"/>
      <c r="DO299" s="45"/>
      <c r="DP299" s="45"/>
      <c r="DQ299" s="45"/>
      <c r="DR299" s="45"/>
      <c r="DS299" s="45"/>
      <c r="DT299" s="45"/>
      <c r="DU299" s="45"/>
      <c r="DV299" s="45"/>
      <c r="DW299" s="45"/>
      <c r="DX299" s="45"/>
      <c r="DY299" s="45"/>
      <c r="DZ299" s="45"/>
    </row>
    <row r="300" spans="5:130" s="37" customFormat="1">
      <c r="E300" s="49"/>
      <c r="F300" s="49"/>
      <c r="G300" s="49"/>
      <c r="H300" s="49"/>
      <c r="I300" s="49"/>
      <c r="J300" s="49"/>
      <c r="K300" s="49"/>
      <c r="L300" s="49"/>
      <c r="M300" s="49"/>
      <c r="N300" s="49"/>
      <c r="O300" s="49"/>
      <c r="P300" s="49"/>
      <c r="Q300" s="49"/>
      <c r="R300" s="49"/>
      <c r="S300" s="50"/>
      <c r="T300" s="1510"/>
      <c r="U300" s="50"/>
      <c r="V300" s="50"/>
      <c r="W300" s="50"/>
      <c r="X300" s="50"/>
      <c r="Y300" s="50"/>
      <c r="Z300" s="50"/>
      <c r="CU300" s="30"/>
      <c r="CV300" s="30"/>
      <c r="CW300" s="30"/>
      <c r="CX300" s="30"/>
      <c r="CY300" s="30"/>
      <c r="CZ300" s="30"/>
      <c r="DA300" s="30"/>
      <c r="DB300" s="30"/>
      <c r="DC300" s="30"/>
      <c r="DD300" s="30"/>
      <c r="DE300" s="30"/>
      <c r="DF300" s="30"/>
      <c r="DG300" s="30"/>
      <c r="DH300" s="30"/>
      <c r="DI300" s="30"/>
      <c r="DJ300" s="30"/>
      <c r="DK300" s="30"/>
      <c r="DL300" s="45"/>
      <c r="DM300" s="45"/>
      <c r="DN300" s="45"/>
      <c r="DO300" s="45"/>
      <c r="DP300" s="45"/>
      <c r="DQ300" s="45"/>
      <c r="DR300" s="45"/>
      <c r="DS300" s="45"/>
      <c r="DT300" s="45"/>
      <c r="DU300" s="45"/>
      <c r="DV300" s="45"/>
      <c r="DW300" s="45"/>
      <c r="DX300" s="45"/>
      <c r="DY300" s="45"/>
      <c r="DZ300" s="45"/>
    </row>
    <row r="301" spans="5:130" s="37" customFormat="1">
      <c r="E301" s="49"/>
      <c r="F301" s="49"/>
      <c r="G301" s="49"/>
      <c r="H301" s="49"/>
      <c r="I301" s="49"/>
      <c r="J301" s="49"/>
      <c r="K301" s="49"/>
      <c r="L301" s="49"/>
      <c r="M301" s="49"/>
      <c r="N301" s="49"/>
      <c r="O301" s="49"/>
      <c r="P301" s="49"/>
      <c r="Q301" s="49"/>
      <c r="R301" s="49"/>
      <c r="S301" s="50"/>
      <c r="T301" s="1510"/>
      <c r="U301" s="50"/>
      <c r="V301" s="50"/>
      <c r="W301" s="50"/>
      <c r="X301" s="50"/>
      <c r="Y301" s="50"/>
      <c r="Z301" s="50"/>
      <c r="CU301" s="30"/>
      <c r="CV301" s="30"/>
      <c r="CW301" s="30"/>
      <c r="CX301" s="30"/>
      <c r="CY301" s="30"/>
      <c r="CZ301" s="30"/>
      <c r="DA301" s="30"/>
      <c r="DB301" s="30"/>
      <c r="DC301" s="30"/>
      <c r="DD301" s="30"/>
      <c r="DE301" s="30"/>
      <c r="DF301" s="30"/>
      <c r="DG301" s="30"/>
      <c r="DH301" s="30"/>
      <c r="DI301" s="30"/>
      <c r="DJ301" s="30"/>
      <c r="DK301" s="30"/>
      <c r="DL301" s="45"/>
      <c r="DM301" s="45"/>
      <c r="DN301" s="45"/>
      <c r="DO301" s="45"/>
      <c r="DP301" s="45"/>
      <c r="DQ301" s="45"/>
      <c r="DR301" s="45"/>
      <c r="DS301" s="45"/>
      <c r="DT301" s="45"/>
      <c r="DU301" s="45"/>
      <c r="DV301" s="45"/>
      <c r="DW301" s="45"/>
      <c r="DX301" s="45"/>
      <c r="DY301" s="45"/>
      <c r="DZ301" s="45"/>
    </row>
    <row r="302" spans="5:130" s="37" customFormat="1">
      <c r="E302" s="49"/>
      <c r="F302" s="49"/>
      <c r="G302" s="49"/>
      <c r="H302" s="49"/>
      <c r="I302" s="49"/>
      <c r="J302" s="49"/>
      <c r="K302" s="49"/>
      <c r="L302" s="49"/>
      <c r="M302" s="49"/>
      <c r="N302" s="49"/>
      <c r="O302" s="49"/>
      <c r="P302" s="49"/>
      <c r="Q302" s="49"/>
      <c r="R302" s="49"/>
      <c r="S302" s="50"/>
      <c r="T302" s="1510"/>
      <c r="U302" s="50"/>
      <c r="V302" s="50"/>
      <c r="W302" s="50"/>
      <c r="X302" s="50"/>
      <c r="Y302" s="50"/>
      <c r="Z302" s="50"/>
      <c r="CU302" s="30"/>
      <c r="CV302" s="30"/>
      <c r="CW302" s="30"/>
      <c r="CX302" s="30"/>
      <c r="CY302" s="30"/>
      <c r="CZ302" s="30"/>
      <c r="DA302" s="30"/>
      <c r="DB302" s="30"/>
      <c r="DC302" s="30"/>
      <c r="DD302" s="30"/>
      <c r="DE302" s="30"/>
      <c r="DF302" s="30"/>
      <c r="DG302" s="30"/>
      <c r="DH302" s="30"/>
      <c r="DI302" s="30"/>
      <c r="DJ302" s="30"/>
      <c r="DK302" s="30"/>
      <c r="DL302" s="45"/>
      <c r="DM302" s="45"/>
      <c r="DN302" s="45"/>
      <c r="DO302" s="45"/>
      <c r="DP302" s="45"/>
      <c r="DQ302" s="45"/>
      <c r="DR302" s="45"/>
      <c r="DS302" s="45"/>
      <c r="DT302" s="45"/>
      <c r="DU302" s="45"/>
      <c r="DV302" s="45"/>
      <c r="DW302" s="45"/>
      <c r="DX302" s="45"/>
      <c r="DY302" s="45"/>
      <c r="DZ302" s="45"/>
    </row>
    <row r="303" spans="5:130" s="37" customFormat="1">
      <c r="E303" s="49"/>
      <c r="F303" s="49"/>
      <c r="G303" s="49"/>
      <c r="H303" s="49"/>
      <c r="I303" s="49"/>
      <c r="J303" s="49"/>
      <c r="K303" s="49"/>
      <c r="L303" s="49"/>
      <c r="M303" s="49"/>
      <c r="N303" s="49"/>
      <c r="O303" s="49"/>
      <c r="P303" s="49"/>
      <c r="Q303" s="49"/>
      <c r="R303" s="49"/>
      <c r="S303" s="50"/>
      <c r="T303" s="1510"/>
      <c r="U303" s="50"/>
      <c r="V303" s="50"/>
      <c r="W303" s="50"/>
      <c r="X303" s="50"/>
      <c r="Y303" s="50"/>
      <c r="Z303" s="50"/>
      <c r="CU303" s="30"/>
      <c r="CV303" s="30"/>
      <c r="CW303" s="30"/>
      <c r="CX303" s="30"/>
      <c r="CY303" s="30"/>
      <c r="CZ303" s="30"/>
      <c r="DA303" s="30"/>
      <c r="DB303" s="30"/>
      <c r="DC303" s="30"/>
      <c r="DD303" s="30"/>
      <c r="DE303" s="30"/>
      <c r="DF303" s="30"/>
      <c r="DG303" s="30"/>
      <c r="DH303" s="30"/>
      <c r="DI303" s="30"/>
      <c r="DJ303" s="30"/>
      <c r="DK303" s="30"/>
      <c r="DL303" s="45"/>
      <c r="DM303" s="45"/>
      <c r="DN303" s="45"/>
      <c r="DO303" s="45"/>
      <c r="DP303" s="45"/>
      <c r="DQ303" s="45"/>
      <c r="DR303" s="45"/>
      <c r="DS303" s="45"/>
      <c r="DT303" s="45"/>
      <c r="DU303" s="45"/>
      <c r="DV303" s="45"/>
      <c r="DW303" s="45"/>
      <c r="DX303" s="45"/>
      <c r="DY303" s="45"/>
      <c r="DZ303" s="45"/>
    </row>
    <row r="304" spans="5:130" s="37" customFormat="1">
      <c r="E304" s="49"/>
      <c r="F304" s="49"/>
      <c r="G304" s="49"/>
      <c r="H304" s="49"/>
      <c r="I304" s="49"/>
      <c r="J304" s="49"/>
      <c r="K304" s="49"/>
      <c r="L304" s="49"/>
      <c r="M304" s="49"/>
      <c r="N304" s="49"/>
      <c r="O304" s="49"/>
      <c r="P304" s="49"/>
      <c r="Q304" s="49"/>
      <c r="R304" s="49"/>
      <c r="S304" s="50"/>
      <c r="T304" s="1510"/>
      <c r="U304" s="50"/>
      <c r="V304" s="50"/>
      <c r="W304" s="50"/>
      <c r="X304" s="50"/>
      <c r="Y304" s="50"/>
      <c r="Z304" s="50"/>
      <c r="CU304" s="30"/>
      <c r="CV304" s="30"/>
      <c r="CW304" s="30"/>
      <c r="CX304" s="30"/>
      <c r="CY304" s="30"/>
      <c r="CZ304" s="30"/>
      <c r="DA304" s="30"/>
      <c r="DB304" s="30"/>
      <c r="DC304" s="30"/>
      <c r="DD304" s="30"/>
      <c r="DE304" s="30"/>
      <c r="DF304" s="30"/>
      <c r="DG304" s="30"/>
      <c r="DH304" s="30"/>
      <c r="DI304" s="30"/>
      <c r="DJ304" s="30"/>
      <c r="DK304" s="30"/>
      <c r="DL304" s="45"/>
      <c r="DM304" s="45"/>
      <c r="DN304" s="45"/>
      <c r="DO304" s="45"/>
      <c r="DP304" s="45"/>
      <c r="DQ304" s="45"/>
      <c r="DR304" s="45"/>
      <c r="DS304" s="45"/>
      <c r="DT304" s="45"/>
      <c r="DU304" s="45"/>
      <c r="DV304" s="45"/>
      <c r="DW304" s="45"/>
      <c r="DX304" s="45"/>
      <c r="DY304" s="45"/>
      <c r="DZ304" s="45"/>
    </row>
    <row r="305" spans="5:130" s="37" customFormat="1">
      <c r="E305" s="49"/>
      <c r="F305" s="49"/>
      <c r="G305" s="49"/>
      <c r="H305" s="49"/>
      <c r="I305" s="49"/>
      <c r="J305" s="49"/>
      <c r="K305" s="49"/>
      <c r="L305" s="49"/>
      <c r="M305" s="49"/>
      <c r="N305" s="49"/>
      <c r="O305" s="49"/>
      <c r="P305" s="49"/>
      <c r="Q305" s="49"/>
      <c r="R305" s="49"/>
      <c r="S305" s="50"/>
      <c r="T305" s="1510"/>
      <c r="U305" s="50"/>
      <c r="V305" s="50"/>
      <c r="W305" s="50"/>
      <c r="X305" s="50"/>
      <c r="Y305" s="50"/>
      <c r="Z305" s="50"/>
      <c r="CU305" s="30"/>
      <c r="CV305" s="30"/>
      <c r="CW305" s="30"/>
      <c r="CX305" s="30"/>
      <c r="CY305" s="30"/>
      <c r="CZ305" s="30"/>
      <c r="DA305" s="30"/>
      <c r="DB305" s="30"/>
      <c r="DC305" s="30"/>
      <c r="DD305" s="30"/>
      <c r="DE305" s="30"/>
      <c r="DF305" s="30"/>
      <c r="DG305" s="30"/>
      <c r="DH305" s="30"/>
      <c r="DI305" s="30"/>
      <c r="DJ305" s="30"/>
      <c r="DK305" s="30"/>
      <c r="DL305" s="45"/>
      <c r="DM305" s="45"/>
      <c r="DN305" s="45"/>
      <c r="DO305" s="45"/>
      <c r="DP305" s="45"/>
      <c r="DQ305" s="45"/>
      <c r="DR305" s="45"/>
      <c r="DS305" s="45"/>
      <c r="DT305" s="45"/>
      <c r="DU305" s="45"/>
      <c r="DV305" s="45"/>
      <c r="DW305" s="45"/>
      <c r="DX305" s="45"/>
      <c r="DY305" s="45"/>
      <c r="DZ305" s="45"/>
    </row>
    <row r="306" spans="5:130" s="37" customFormat="1">
      <c r="E306" s="49"/>
      <c r="F306" s="49"/>
      <c r="G306" s="49"/>
      <c r="H306" s="49"/>
      <c r="I306" s="49"/>
      <c r="J306" s="49"/>
      <c r="K306" s="49"/>
      <c r="L306" s="49"/>
      <c r="M306" s="49"/>
      <c r="N306" s="49"/>
      <c r="O306" s="49"/>
      <c r="P306" s="49"/>
      <c r="Q306" s="49"/>
      <c r="R306" s="49"/>
      <c r="S306" s="50"/>
      <c r="T306" s="1510"/>
      <c r="U306" s="50"/>
      <c r="V306" s="50"/>
      <c r="W306" s="50"/>
      <c r="X306" s="50"/>
      <c r="Y306" s="50"/>
      <c r="Z306" s="50"/>
      <c r="CU306" s="30"/>
      <c r="CV306" s="30"/>
      <c r="CW306" s="30"/>
      <c r="CX306" s="30"/>
      <c r="CY306" s="30"/>
      <c r="CZ306" s="30"/>
      <c r="DA306" s="30"/>
      <c r="DB306" s="30"/>
      <c r="DC306" s="30"/>
      <c r="DD306" s="30"/>
      <c r="DE306" s="30"/>
      <c r="DF306" s="30"/>
      <c r="DG306" s="30"/>
      <c r="DH306" s="30"/>
      <c r="DI306" s="30"/>
      <c r="DJ306" s="30"/>
      <c r="DK306" s="30"/>
      <c r="DL306" s="45"/>
      <c r="DM306" s="45"/>
      <c r="DN306" s="45"/>
      <c r="DO306" s="45"/>
      <c r="DP306" s="45"/>
      <c r="DQ306" s="45"/>
      <c r="DR306" s="45"/>
      <c r="DS306" s="45"/>
      <c r="DT306" s="45"/>
      <c r="DU306" s="45"/>
      <c r="DV306" s="45"/>
      <c r="DW306" s="45"/>
      <c r="DX306" s="45"/>
      <c r="DY306" s="45"/>
      <c r="DZ306" s="45"/>
    </row>
    <row r="307" spans="5:130" s="37" customFormat="1">
      <c r="E307" s="49"/>
      <c r="F307" s="49"/>
      <c r="G307" s="49"/>
      <c r="H307" s="49"/>
      <c r="I307" s="49"/>
      <c r="J307" s="49"/>
      <c r="K307" s="49"/>
      <c r="L307" s="49"/>
      <c r="M307" s="49"/>
      <c r="N307" s="49"/>
      <c r="O307" s="49"/>
      <c r="P307" s="49"/>
      <c r="Q307" s="49"/>
      <c r="R307" s="49"/>
      <c r="S307" s="50"/>
      <c r="T307" s="1510"/>
      <c r="U307" s="50"/>
      <c r="V307" s="50"/>
      <c r="W307" s="50"/>
      <c r="X307" s="50"/>
      <c r="Y307" s="50"/>
      <c r="Z307" s="50"/>
      <c r="CU307" s="30"/>
      <c r="CV307" s="30"/>
      <c r="CW307" s="30"/>
      <c r="CX307" s="30"/>
      <c r="CY307" s="30"/>
      <c r="CZ307" s="30"/>
      <c r="DA307" s="30"/>
      <c r="DB307" s="30"/>
      <c r="DC307" s="30"/>
      <c r="DD307" s="30"/>
      <c r="DE307" s="30"/>
      <c r="DF307" s="30"/>
      <c r="DG307" s="30"/>
      <c r="DH307" s="30"/>
      <c r="DI307" s="30"/>
      <c r="DJ307" s="30"/>
      <c r="DK307" s="30"/>
      <c r="DL307" s="45"/>
      <c r="DM307" s="45"/>
      <c r="DN307" s="45"/>
      <c r="DO307" s="45"/>
      <c r="DP307" s="45"/>
      <c r="DQ307" s="45"/>
      <c r="DR307" s="45"/>
      <c r="DS307" s="45"/>
      <c r="DT307" s="45"/>
      <c r="DU307" s="45"/>
      <c r="DV307" s="45"/>
      <c r="DW307" s="45"/>
      <c r="DX307" s="45"/>
      <c r="DY307" s="45"/>
      <c r="DZ307" s="45"/>
    </row>
    <row r="308" spans="5:130" s="37" customFormat="1">
      <c r="E308" s="49"/>
      <c r="F308" s="49"/>
      <c r="G308" s="49"/>
      <c r="H308" s="49"/>
      <c r="I308" s="49"/>
      <c r="J308" s="49"/>
      <c r="K308" s="49"/>
      <c r="L308" s="49"/>
      <c r="M308" s="49"/>
      <c r="N308" s="49"/>
      <c r="O308" s="49"/>
      <c r="P308" s="49"/>
      <c r="Q308" s="49"/>
      <c r="R308" s="49"/>
      <c r="S308" s="50"/>
      <c r="T308" s="1510"/>
      <c r="U308" s="50"/>
      <c r="V308" s="50"/>
      <c r="W308" s="50"/>
      <c r="X308" s="50"/>
      <c r="Y308" s="50"/>
      <c r="Z308" s="50"/>
      <c r="CU308" s="30"/>
      <c r="CV308" s="30"/>
      <c r="CW308" s="30"/>
      <c r="CX308" s="30"/>
      <c r="CY308" s="30"/>
      <c r="CZ308" s="30"/>
      <c r="DA308" s="30"/>
      <c r="DB308" s="30"/>
      <c r="DC308" s="30"/>
      <c r="DD308" s="30"/>
      <c r="DE308" s="30"/>
      <c r="DF308" s="30"/>
      <c r="DG308" s="30"/>
      <c r="DH308" s="30"/>
      <c r="DI308" s="30"/>
      <c r="DJ308" s="30"/>
      <c r="DK308" s="30"/>
      <c r="DL308" s="45"/>
      <c r="DM308" s="45"/>
      <c r="DN308" s="45"/>
      <c r="DO308" s="45"/>
      <c r="DP308" s="45"/>
      <c r="DQ308" s="45"/>
      <c r="DR308" s="45"/>
      <c r="DS308" s="45"/>
      <c r="DT308" s="45"/>
      <c r="DU308" s="45"/>
      <c r="DV308" s="45"/>
      <c r="DW308" s="45"/>
      <c r="DX308" s="45"/>
      <c r="DY308" s="45"/>
      <c r="DZ308" s="45"/>
    </row>
    <row r="309" spans="5:130" s="37" customFormat="1">
      <c r="E309" s="49"/>
      <c r="F309" s="49"/>
      <c r="G309" s="49"/>
      <c r="H309" s="49"/>
      <c r="I309" s="49"/>
      <c r="J309" s="49"/>
      <c r="K309" s="49"/>
      <c r="L309" s="49"/>
      <c r="M309" s="49"/>
      <c r="N309" s="49"/>
      <c r="O309" s="49"/>
      <c r="P309" s="49"/>
      <c r="Q309" s="49"/>
      <c r="R309" s="49"/>
      <c r="S309" s="50"/>
      <c r="T309" s="1510"/>
      <c r="U309" s="50"/>
      <c r="V309" s="50"/>
      <c r="W309" s="50"/>
      <c r="X309" s="50"/>
      <c r="Y309" s="50"/>
      <c r="Z309" s="50"/>
      <c r="CU309" s="30"/>
      <c r="CV309" s="30"/>
      <c r="CW309" s="30"/>
      <c r="CX309" s="30"/>
      <c r="CY309" s="30"/>
      <c r="CZ309" s="30"/>
      <c r="DA309" s="30"/>
      <c r="DB309" s="30"/>
      <c r="DC309" s="30"/>
      <c r="DD309" s="30"/>
      <c r="DE309" s="30"/>
      <c r="DF309" s="30"/>
      <c r="DG309" s="30"/>
      <c r="DH309" s="30"/>
      <c r="DI309" s="30"/>
      <c r="DJ309" s="30"/>
      <c r="DK309" s="30"/>
      <c r="DL309" s="45"/>
      <c r="DM309" s="45"/>
      <c r="DN309" s="45"/>
      <c r="DO309" s="45"/>
      <c r="DP309" s="45"/>
      <c r="DQ309" s="45"/>
      <c r="DR309" s="45"/>
      <c r="DS309" s="45"/>
      <c r="DT309" s="45"/>
      <c r="DU309" s="45"/>
      <c r="DV309" s="45"/>
      <c r="DW309" s="45"/>
      <c r="DX309" s="45"/>
      <c r="DY309" s="45"/>
      <c r="DZ309" s="45"/>
    </row>
    <row r="310" spans="5:130" s="37" customFormat="1">
      <c r="E310" s="49"/>
      <c r="F310" s="49"/>
      <c r="G310" s="49"/>
      <c r="H310" s="49"/>
      <c r="I310" s="49"/>
      <c r="J310" s="49"/>
      <c r="K310" s="49"/>
      <c r="L310" s="49"/>
      <c r="M310" s="49"/>
      <c r="N310" s="49"/>
      <c r="O310" s="49"/>
      <c r="P310" s="49"/>
      <c r="Q310" s="49"/>
      <c r="R310" s="49"/>
      <c r="S310" s="50"/>
      <c r="T310" s="1510"/>
      <c r="U310" s="50"/>
      <c r="V310" s="50"/>
      <c r="W310" s="50"/>
      <c r="X310" s="50"/>
      <c r="Y310" s="50"/>
      <c r="Z310" s="50"/>
      <c r="CU310" s="30"/>
      <c r="CV310" s="30"/>
      <c r="CW310" s="30"/>
      <c r="CX310" s="30"/>
      <c r="CY310" s="30"/>
      <c r="CZ310" s="30"/>
      <c r="DA310" s="30"/>
      <c r="DB310" s="30"/>
      <c r="DC310" s="30"/>
      <c r="DD310" s="30"/>
      <c r="DE310" s="30"/>
      <c r="DF310" s="30"/>
      <c r="DG310" s="30"/>
      <c r="DH310" s="30"/>
      <c r="DI310" s="30"/>
      <c r="DJ310" s="30"/>
      <c r="DK310" s="30"/>
      <c r="DL310" s="45"/>
      <c r="DM310" s="45"/>
      <c r="DN310" s="45"/>
      <c r="DO310" s="45"/>
      <c r="DP310" s="45"/>
      <c r="DQ310" s="45"/>
      <c r="DR310" s="45"/>
      <c r="DS310" s="45"/>
      <c r="DT310" s="45"/>
      <c r="DU310" s="45"/>
      <c r="DV310" s="45"/>
      <c r="DW310" s="45"/>
      <c r="DX310" s="45"/>
      <c r="DY310" s="45"/>
      <c r="DZ310" s="45"/>
    </row>
    <row r="311" spans="5:130" s="37" customFormat="1">
      <c r="E311" s="49"/>
      <c r="F311" s="49"/>
      <c r="G311" s="49"/>
      <c r="H311" s="49"/>
      <c r="I311" s="49"/>
      <c r="J311" s="49"/>
      <c r="K311" s="49"/>
      <c r="L311" s="49"/>
      <c r="M311" s="49"/>
      <c r="N311" s="49"/>
      <c r="O311" s="49"/>
      <c r="P311" s="49"/>
      <c r="Q311" s="49"/>
      <c r="R311" s="49"/>
      <c r="S311" s="50"/>
      <c r="T311" s="1510"/>
      <c r="U311" s="50"/>
      <c r="V311" s="50"/>
      <c r="W311" s="50"/>
      <c r="X311" s="50"/>
      <c r="Y311" s="50"/>
      <c r="Z311" s="50"/>
      <c r="CU311" s="30"/>
      <c r="CV311" s="30"/>
      <c r="CW311" s="30"/>
      <c r="CX311" s="30"/>
      <c r="CY311" s="30"/>
      <c r="CZ311" s="30"/>
      <c r="DA311" s="30"/>
      <c r="DB311" s="30"/>
      <c r="DC311" s="30"/>
      <c r="DD311" s="30"/>
      <c r="DE311" s="30"/>
      <c r="DF311" s="30"/>
      <c r="DG311" s="30"/>
      <c r="DH311" s="30"/>
      <c r="DI311" s="30"/>
      <c r="DJ311" s="30"/>
      <c r="DK311" s="30"/>
      <c r="DL311" s="45"/>
      <c r="DM311" s="45"/>
      <c r="DN311" s="45"/>
      <c r="DO311" s="45"/>
      <c r="DP311" s="45"/>
      <c r="DQ311" s="45"/>
      <c r="DR311" s="45"/>
      <c r="DS311" s="45"/>
      <c r="DT311" s="45"/>
      <c r="DU311" s="45"/>
      <c r="DV311" s="45"/>
      <c r="DW311" s="45"/>
      <c r="DX311" s="45"/>
      <c r="DY311" s="45"/>
      <c r="DZ311" s="45"/>
    </row>
    <row r="312" spans="5:130" s="37" customFormat="1">
      <c r="E312" s="49"/>
      <c r="F312" s="49"/>
      <c r="G312" s="49"/>
      <c r="H312" s="49"/>
      <c r="I312" s="49"/>
      <c r="J312" s="49"/>
      <c r="K312" s="49"/>
      <c r="L312" s="49"/>
      <c r="M312" s="49"/>
      <c r="N312" s="49"/>
      <c r="O312" s="49"/>
      <c r="P312" s="49"/>
      <c r="Q312" s="49"/>
      <c r="R312" s="49"/>
      <c r="S312" s="50"/>
      <c r="T312" s="1510"/>
      <c r="U312" s="50"/>
      <c r="V312" s="50"/>
      <c r="W312" s="50"/>
      <c r="X312" s="50"/>
      <c r="Y312" s="50"/>
      <c r="Z312" s="50"/>
      <c r="CU312" s="30"/>
      <c r="CV312" s="30"/>
      <c r="CW312" s="30"/>
      <c r="CX312" s="30"/>
      <c r="CY312" s="30"/>
      <c r="CZ312" s="30"/>
      <c r="DA312" s="30"/>
      <c r="DB312" s="30"/>
      <c r="DC312" s="30"/>
      <c r="DD312" s="30"/>
      <c r="DE312" s="30"/>
      <c r="DF312" s="30"/>
      <c r="DG312" s="30"/>
      <c r="DH312" s="30"/>
      <c r="DI312" s="30"/>
      <c r="DJ312" s="30"/>
      <c r="DK312" s="30"/>
      <c r="DL312" s="45"/>
      <c r="DM312" s="45"/>
      <c r="DN312" s="45"/>
      <c r="DO312" s="45"/>
      <c r="DP312" s="45"/>
      <c r="DQ312" s="45"/>
      <c r="DR312" s="45"/>
      <c r="DS312" s="45"/>
      <c r="DT312" s="45"/>
      <c r="DU312" s="45"/>
      <c r="DV312" s="45"/>
      <c r="DW312" s="45"/>
      <c r="DX312" s="45"/>
      <c r="DY312" s="45"/>
      <c r="DZ312" s="45"/>
    </row>
    <row r="313" spans="5:130" s="37" customFormat="1">
      <c r="E313" s="49"/>
      <c r="F313" s="49"/>
      <c r="G313" s="49"/>
      <c r="H313" s="49"/>
      <c r="I313" s="49"/>
      <c r="J313" s="49"/>
      <c r="K313" s="49"/>
      <c r="L313" s="49"/>
      <c r="M313" s="49"/>
      <c r="N313" s="49"/>
      <c r="O313" s="49"/>
      <c r="P313" s="49"/>
      <c r="Q313" s="49"/>
      <c r="R313" s="49"/>
      <c r="S313" s="50"/>
      <c r="T313" s="1510"/>
      <c r="U313" s="50"/>
      <c r="V313" s="50"/>
      <c r="W313" s="50"/>
      <c r="X313" s="50"/>
      <c r="Y313" s="50"/>
      <c r="Z313" s="50"/>
      <c r="CU313" s="30"/>
      <c r="CV313" s="30"/>
      <c r="CW313" s="30"/>
      <c r="CX313" s="30"/>
      <c r="CY313" s="30"/>
      <c r="CZ313" s="30"/>
      <c r="DA313" s="30"/>
      <c r="DB313" s="30"/>
      <c r="DC313" s="30"/>
      <c r="DD313" s="30"/>
      <c r="DE313" s="30"/>
      <c r="DF313" s="30"/>
      <c r="DG313" s="30"/>
      <c r="DH313" s="30"/>
      <c r="DI313" s="30"/>
      <c r="DJ313" s="30"/>
      <c r="DK313" s="30"/>
      <c r="DL313" s="45"/>
      <c r="DM313" s="45"/>
      <c r="DN313" s="45"/>
      <c r="DO313" s="45"/>
      <c r="DP313" s="45"/>
      <c r="DQ313" s="45"/>
      <c r="DR313" s="45"/>
      <c r="DS313" s="45"/>
      <c r="DT313" s="45"/>
      <c r="DU313" s="45"/>
      <c r="DV313" s="45"/>
      <c r="DW313" s="45"/>
      <c r="DX313" s="45"/>
      <c r="DY313" s="45"/>
      <c r="DZ313" s="45"/>
    </row>
    <row r="314" spans="5:130" s="37" customFormat="1">
      <c r="E314" s="49"/>
      <c r="F314" s="49"/>
      <c r="G314" s="49"/>
      <c r="H314" s="49"/>
      <c r="I314" s="49"/>
      <c r="J314" s="49"/>
      <c r="K314" s="49"/>
      <c r="L314" s="49"/>
      <c r="M314" s="49"/>
      <c r="N314" s="49"/>
      <c r="O314" s="49"/>
      <c r="P314" s="49"/>
      <c r="Q314" s="49"/>
      <c r="R314" s="49"/>
      <c r="S314" s="50"/>
      <c r="T314" s="1510"/>
      <c r="U314" s="50"/>
      <c r="V314" s="50"/>
      <c r="W314" s="50"/>
      <c r="X314" s="50"/>
      <c r="Y314" s="50"/>
      <c r="Z314" s="50"/>
      <c r="CU314" s="30"/>
      <c r="CV314" s="30"/>
      <c r="CW314" s="30"/>
      <c r="CX314" s="30"/>
      <c r="CY314" s="30"/>
      <c r="CZ314" s="30"/>
      <c r="DA314" s="30"/>
      <c r="DB314" s="30"/>
      <c r="DC314" s="30"/>
      <c r="DD314" s="30"/>
      <c r="DE314" s="30"/>
      <c r="DF314" s="30"/>
      <c r="DG314" s="30"/>
      <c r="DH314" s="30"/>
      <c r="DI314" s="30"/>
      <c r="DJ314" s="30"/>
      <c r="DK314" s="30"/>
      <c r="DL314" s="45"/>
      <c r="DM314" s="45"/>
      <c r="DN314" s="45"/>
      <c r="DO314" s="45"/>
      <c r="DP314" s="45"/>
      <c r="DQ314" s="45"/>
      <c r="DR314" s="45"/>
      <c r="DS314" s="45"/>
      <c r="DT314" s="45"/>
      <c r="DU314" s="45"/>
      <c r="DV314" s="45"/>
      <c r="DW314" s="45"/>
      <c r="DX314" s="45"/>
      <c r="DY314" s="45"/>
      <c r="DZ314" s="45"/>
    </row>
    <row r="315" spans="5:130" s="37" customFormat="1">
      <c r="E315" s="49"/>
      <c r="F315" s="49"/>
      <c r="G315" s="49"/>
      <c r="H315" s="49"/>
      <c r="I315" s="49"/>
      <c r="J315" s="49"/>
      <c r="K315" s="49"/>
      <c r="L315" s="49"/>
      <c r="M315" s="49"/>
      <c r="N315" s="49"/>
      <c r="O315" s="49"/>
      <c r="P315" s="49"/>
      <c r="Q315" s="49"/>
      <c r="R315" s="49"/>
      <c r="S315" s="50"/>
      <c r="T315" s="1510"/>
      <c r="U315" s="50"/>
      <c r="V315" s="50"/>
      <c r="W315" s="50"/>
      <c r="X315" s="50"/>
      <c r="Y315" s="50"/>
      <c r="Z315" s="50"/>
      <c r="CU315" s="30"/>
      <c r="CV315" s="30"/>
      <c r="CW315" s="30"/>
      <c r="CX315" s="30"/>
      <c r="CY315" s="30"/>
      <c r="CZ315" s="30"/>
      <c r="DA315" s="30"/>
      <c r="DB315" s="30"/>
      <c r="DC315" s="30"/>
      <c r="DD315" s="30"/>
      <c r="DE315" s="30"/>
      <c r="DF315" s="30"/>
      <c r="DG315" s="30"/>
      <c r="DH315" s="30"/>
      <c r="DI315" s="30"/>
      <c r="DJ315" s="30"/>
      <c r="DK315" s="30"/>
      <c r="DL315" s="45"/>
      <c r="DM315" s="45"/>
      <c r="DN315" s="45"/>
      <c r="DO315" s="45"/>
      <c r="DP315" s="45"/>
      <c r="DQ315" s="45"/>
      <c r="DR315" s="45"/>
      <c r="DS315" s="45"/>
      <c r="DT315" s="45"/>
      <c r="DU315" s="45"/>
      <c r="DV315" s="45"/>
      <c r="DW315" s="45"/>
      <c r="DX315" s="45"/>
      <c r="DY315" s="45"/>
      <c r="DZ315" s="45"/>
    </row>
    <row r="316" spans="5:130" s="37" customFormat="1">
      <c r="E316" s="49"/>
      <c r="F316" s="49"/>
      <c r="G316" s="49"/>
      <c r="H316" s="49"/>
      <c r="I316" s="49"/>
      <c r="J316" s="49"/>
      <c r="K316" s="49"/>
      <c r="L316" s="49"/>
      <c r="M316" s="49"/>
      <c r="N316" s="49"/>
      <c r="O316" s="49"/>
      <c r="P316" s="49"/>
      <c r="Q316" s="49"/>
      <c r="R316" s="49"/>
      <c r="S316" s="50"/>
      <c r="T316" s="1510"/>
      <c r="U316" s="50"/>
      <c r="V316" s="50"/>
      <c r="W316" s="50"/>
      <c r="X316" s="50"/>
      <c r="Y316" s="50"/>
      <c r="Z316" s="50"/>
      <c r="CU316" s="30"/>
      <c r="CV316" s="30"/>
      <c r="CW316" s="30"/>
      <c r="CX316" s="30"/>
      <c r="CY316" s="30"/>
      <c r="CZ316" s="30"/>
      <c r="DA316" s="30"/>
      <c r="DB316" s="30"/>
      <c r="DC316" s="30"/>
      <c r="DD316" s="30"/>
      <c r="DE316" s="30"/>
      <c r="DF316" s="30"/>
      <c r="DG316" s="30"/>
      <c r="DH316" s="30"/>
      <c r="DI316" s="30"/>
      <c r="DJ316" s="30"/>
      <c r="DK316" s="30"/>
      <c r="DL316" s="45"/>
      <c r="DM316" s="45"/>
      <c r="DN316" s="45"/>
      <c r="DO316" s="45"/>
      <c r="DP316" s="45"/>
      <c r="DQ316" s="45"/>
      <c r="DR316" s="45"/>
      <c r="DS316" s="45"/>
      <c r="DT316" s="45"/>
      <c r="DU316" s="45"/>
      <c r="DV316" s="45"/>
      <c r="DW316" s="45"/>
      <c r="DX316" s="45"/>
      <c r="DY316" s="45"/>
      <c r="DZ316" s="45"/>
    </row>
    <row r="317" spans="5:130" s="37" customFormat="1">
      <c r="E317" s="49"/>
      <c r="F317" s="49"/>
      <c r="G317" s="49"/>
      <c r="H317" s="49"/>
      <c r="I317" s="49"/>
      <c r="J317" s="49"/>
      <c r="K317" s="49"/>
      <c r="L317" s="49"/>
      <c r="M317" s="49"/>
      <c r="N317" s="49"/>
      <c r="O317" s="49"/>
      <c r="P317" s="49"/>
      <c r="Q317" s="49"/>
      <c r="R317" s="49"/>
      <c r="S317" s="50"/>
      <c r="T317" s="1510"/>
      <c r="U317" s="50"/>
      <c r="V317" s="50"/>
      <c r="W317" s="50"/>
      <c r="X317" s="50"/>
      <c r="Y317" s="50"/>
      <c r="Z317" s="50"/>
      <c r="CU317" s="30"/>
      <c r="CV317" s="30"/>
      <c r="CW317" s="30"/>
      <c r="CX317" s="30"/>
      <c r="CY317" s="30"/>
      <c r="CZ317" s="30"/>
      <c r="DA317" s="30"/>
      <c r="DB317" s="30"/>
      <c r="DC317" s="30"/>
      <c r="DD317" s="30"/>
      <c r="DE317" s="30"/>
      <c r="DF317" s="30"/>
      <c r="DG317" s="30"/>
      <c r="DH317" s="30"/>
      <c r="DI317" s="30"/>
      <c r="DJ317" s="30"/>
      <c r="DK317" s="30"/>
      <c r="DL317" s="45"/>
      <c r="DM317" s="45"/>
      <c r="DN317" s="45"/>
      <c r="DO317" s="45"/>
      <c r="DP317" s="45"/>
      <c r="DQ317" s="45"/>
      <c r="DR317" s="45"/>
      <c r="DS317" s="45"/>
      <c r="DT317" s="45"/>
      <c r="DU317" s="45"/>
      <c r="DV317" s="45"/>
      <c r="DW317" s="45"/>
      <c r="DX317" s="45"/>
      <c r="DY317" s="45"/>
      <c r="DZ317" s="45"/>
    </row>
    <row r="318" spans="5:130" s="37" customFormat="1">
      <c r="E318" s="49"/>
      <c r="F318" s="49"/>
      <c r="G318" s="49"/>
      <c r="H318" s="49"/>
      <c r="I318" s="49"/>
      <c r="J318" s="49"/>
      <c r="K318" s="49"/>
      <c r="L318" s="49"/>
      <c r="M318" s="49"/>
      <c r="N318" s="49"/>
      <c r="O318" s="49"/>
      <c r="P318" s="49"/>
      <c r="Q318" s="49"/>
      <c r="R318" s="49"/>
      <c r="S318" s="50"/>
      <c r="T318" s="1510"/>
      <c r="U318" s="50"/>
      <c r="V318" s="50"/>
      <c r="W318" s="50"/>
      <c r="X318" s="50"/>
      <c r="Y318" s="50"/>
      <c r="Z318" s="50"/>
      <c r="CU318" s="30"/>
      <c r="CV318" s="30"/>
      <c r="CW318" s="30"/>
      <c r="CX318" s="30"/>
      <c r="CY318" s="30"/>
      <c r="CZ318" s="30"/>
      <c r="DA318" s="30"/>
      <c r="DB318" s="30"/>
      <c r="DC318" s="30"/>
      <c r="DD318" s="30"/>
      <c r="DE318" s="30"/>
      <c r="DF318" s="30"/>
      <c r="DG318" s="30"/>
      <c r="DH318" s="30"/>
      <c r="DI318" s="30"/>
      <c r="DJ318" s="30"/>
      <c r="DK318" s="30"/>
      <c r="DL318" s="45"/>
      <c r="DM318" s="45"/>
      <c r="DN318" s="45"/>
      <c r="DO318" s="45"/>
      <c r="DP318" s="45"/>
      <c r="DQ318" s="45"/>
      <c r="DR318" s="45"/>
      <c r="DS318" s="45"/>
      <c r="DT318" s="45"/>
      <c r="DU318" s="45"/>
      <c r="DV318" s="45"/>
      <c r="DW318" s="45"/>
      <c r="DX318" s="45"/>
      <c r="DY318" s="45"/>
      <c r="DZ318" s="45"/>
    </row>
    <row r="319" spans="5:130" s="37" customFormat="1">
      <c r="E319" s="49"/>
      <c r="F319" s="49"/>
      <c r="G319" s="49"/>
      <c r="H319" s="49"/>
      <c r="I319" s="49"/>
      <c r="J319" s="49"/>
      <c r="K319" s="49"/>
      <c r="L319" s="49"/>
      <c r="M319" s="49"/>
      <c r="N319" s="49"/>
      <c r="O319" s="49"/>
      <c r="P319" s="49"/>
      <c r="Q319" s="49"/>
      <c r="R319" s="49"/>
      <c r="S319" s="50"/>
      <c r="T319" s="1510"/>
      <c r="U319" s="50"/>
      <c r="V319" s="50"/>
      <c r="W319" s="50"/>
      <c r="X319" s="50"/>
      <c r="Y319" s="50"/>
      <c r="Z319" s="50"/>
      <c r="CU319" s="30"/>
      <c r="CV319" s="30"/>
      <c r="CW319" s="30"/>
      <c r="CX319" s="30"/>
      <c r="CY319" s="30"/>
      <c r="CZ319" s="30"/>
      <c r="DA319" s="30"/>
      <c r="DB319" s="30"/>
      <c r="DC319" s="30"/>
      <c r="DD319" s="30"/>
      <c r="DE319" s="30"/>
      <c r="DF319" s="30"/>
      <c r="DG319" s="30"/>
      <c r="DH319" s="30"/>
      <c r="DI319" s="30"/>
      <c r="DJ319" s="30"/>
      <c r="DK319" s="30"/>
      <c r="DL319" s="45"/>
      <c r="DM319" s="45"/>
      <c r="DN319" s="45"/>
      <c r="DO319" s="45"/>
      <c r="DP319" s="45"/>
      <c r="DQ319" s="45"/>
      <c r="DR319" s="45"/>
      <c r="DS319" s="45"/>
      <c r="DT319" s="45"/>
      <c r="DU319" s="45"/>
      <c r="DV319" s="45"/>
      <c r="DW319" s="45"/>
      <c r="DX319" s="45"/>
      <c r="DY319" s="45"/>
      <c r="DZ319" s="45"/>
    </row>
    <row r="320" spans="5:130" s="37" customFormat="1">
      <c r="E320" s="49"/>
      <c r="F320" s="49"/>
      <c r="G320" s="49"/>
      <c r="H320" s="49"/>
      <c r="I320" s="49"/>
      <c r="J320" s="49"/>
      <c r="K320" s="49"/>
      <c r="L320" s="49"/>
      <c r="M320" s="49"/>
      <c r="N320" s="49"/>
      <c r="O320" s="49"/>
      <c r="P320" s="49"/>
      <c r="Q320" s="49"/>
      <c r="R320" s="49"/>
      <c r="S320" s="50"/>
      <c r="T320" s="1510"/>
      <c r="U320" s="50"/>
      <c r="V320" s="50"/>
      <c r="W320" s="50"/>
      <c r="X320" s="50"/>
      <c r="Y320" s="50"/>
      <c r="Z320" s="50"/>
      <c r="CU320" s="30"/>
      <c r="CV320" s="30"/>
      <c r="CW320" s="30"/>
      <c r="CX320" s="30"/>
      <c r="CY320" s="30"/>
      <c r="CZ320" s="30"/>
      <c r="DA320" s="30"/>
      <c r="DB320" s="30"/>
      <c r="DC320" s="30"/>
      <c r="DD320" s="30"/>
      <c r="DE320" s="30"/>
      <c r="DF320" s="30"/>
      <c r="DG320" s="30"/>
      <c r="DH320" s="30"/>
      <c r="DI320" s="30"/>
      <c r="DJ320" s="30"/>
      <c r="DK320" s="30"/>
      <c r="DL320" s="45"/>
      <c r="DM320" s="45"/>
      <c r="DN320" s="45"/>
      <c r="DO320" s="45"/>
      <c r="DP320" s="45"/>
      <c r="DQ320" s="45"/>
      <c r="DR320" s="45"/>
      <c r="DS320" s="45"/>
      <c r="DT320" s="45"/>
      <c r="DU320" s="45"/>
      <c r="DV320" s="45"/>
      <c r="DW320" s="45"/>
      <c r="DX320" s="45"/>
      <c r="DY320" s="45"/>
      <c r="DZ320" s="45"/>
    </row>
    <row r="321" spans="5:130" s="37" customFormat="1">
      <c r="E321" s="49"/>
      <c r="F321" s="49"/>
      <c r="G321" s="49"/>
      <c r="H321" s="49"/>
      <c r="I321" s="49"/>
      <c r="J321" s="49"/>
      <c r="K321" s="49"/>
      <c r="L321" s="49"/>
      <c r="M321" s="49"/>
      <c r="N321" s="49"/>
      <c r="O321" s="49"/>
      <c r="P321" s="49"/>
      <c r="Q321" s="49"/>
      <c r="R321" s="49"/>
      <c r="S321" s="50"/>
      <c r="T321" s="1510"/>
      <c r="U321" s="50"/>
      <c r="V321" s="50"/>
      <c r="W321" s="50"/>
      <c r="X321" s="50"/>
      <c r="Y321" s="50"/>
      <c r="Z321" s="50"/>
      <c r="CU321" s="30"/>
      <c r="CV321" s="30"/>
      <c r="CW321" s="30"/>
      <c r="CX321" s="30"/>
      <c r="CY321" s="30"/>
      <c r="CZ321" s="30"/>
      <c r="DA321" s="30"/>
      <c r="DB321" s="30"/>
      <c r="DC321" s="30"/>
      <c r="DD321" s="30"/>
      <c r="DE321" s="30"/>
      <c r="DF321" s="30"/>
      <c r="DG321" s="30"/>
      <c r="DH321" s="30"/>
      <c r="DI321" s="30"/>
      <c r="DJ321" s="30"/>
      <c r="DK321" s="30"/>
      <c r="DL321" s="45"/>
      <c r="DM321" s="45"/>
      <c r="DN321" s="45"/>
      <c r="DO321" s="45"/>
      <c r="DP321" s="45"/>
      <c r="DQ321" s="45"/>
      <c r="DR321" s="45"/>
      <c r="DS321" s="45"/>
      <c r="DT321" s="45"/>
      <c r="DU321" s="45"/>
      <c r="DV321" s="45"/>
      <c r="DW321" s="45"/>
      <c r="DX321" s="45"/>
      <c r="DY321" s="45"/>
      <c r="DZ321" s="45"/>
    </row>
    <row r="322" spans="5:130" s="37" customFormat="1">
      <c r="E322" s="49"/>
      <c r="F322" s="49"/>
      <c r="G322" s="49"/>
      <c r="H322" s="49"/>
      <c r="I322" s="49"/>
      <c r="J322" s="49"/>
      <c r="K322" s="49"/>
      <c r="L322" s="49"/>
      <c r="M322" s="49"/>
      <c r="N322" s="49"/>
      <c r="O322" s="49"/>
      <c r="P322" s="49"/>
      <c r="Q322" s="49"/>
      <c r="R322" s="49"/>
      <c r="S322" s="50"/>
      <c r="T322" s="1510"/>
      <c r="U322" s="50"/>
      <c r="V322" s="50"/>
      <c r="W322" s="50"/>
      <c r="X322" s="50"/>
      <c r="Y322" s="50"/>
      <c r="Z322" s="50"/>
      <c r="CU322" s="30"/>
      <c r="CV322" s="30"/>
      <c r="CW322" s="30"/>
      <c r="CX322" s="30"/>
      <c r="CY322" s="30"/>
      <c r="CZ322" s="30"/>
      <c r="DA322" s="30"/>
      <c r="DB322" s="30"/>
      <c r="DC322" s="30"/>
      <c r="DD322" s="30"/>
      <c r="DE322" s="30"/>
      <c r="DF322" s="30"/>
      <c r="DG322" s="30"/>
      <c r="DH322" s="30"/>
      <c r="DI322" s="30"/>
      <c r="DJ322" s="30"/>
      <c r="DK322" s="30"/>
      <c r="DL322" s="45"/>
      <c r="DM322" s="45"/>
      <c r="DN322" s="45"/>
      <c r="DO322" s="45"/>
      <c r="DP322" s="45"/>
      <c r="DQ322" s="45"/>
      <c r="DR322" s="45"/>
      <c r="DS322" s="45"/>
      <c r="DT322" s="45"/>
      <c r="DU322" s="45"/>
      <c r="DV322" s="45"/>
      <c r="DW322" s="45"/>
      <c r="DX322" s="45"/>
      <c r="DY322" s="45"/>
      <c r="DZ322" s="45"/>
    </row>
    <row r="323" spans="5:130" s="37" customFormat="1">
      <c r="E323" s="49"/>
      <c r="F323" s="49"/>
      <c r="G323" s="49"/>
      <c r="H323" s="49"/>
      <c r="I323" s="49"/>
      <c r="J323" s="49"/>
      <c r="K323" s="49"/>
      <c r="L323" s="49"/>
      <c r="M323" s="49"/>
      <c r="N323" s="49"/>
      <c r="O323" s="49"/>
      <c r="P323" s="49"/>
      <c r="Q323" s="49"/>
      <c r="R323" s="49"/>
      <c r="S323" s="50"/>
      <c r="T323" s="1510"/>
      <c r="U323" s="50"/>
      <c r="V323" s="50"/>
      <c r="W323" s="50"/>
      <c r="X323" s="50"/>
      <c r="Y323" s="50"/>
      <c r="Z323" s="50"/>
      <c r="CU323" s="30"/>
      <c r="CV323" s="30"/>
      <c r="CW323" s="30"/>
      <c r="CX323" s="30"/>
      <c r="CY323" s="30"/>
      <c r="CZ323" s="30"/>
      <c r="DA323" s="30"/>
      <c r="DB323" s="30"/>
      <c r="DC323" s="30"/>
      <c r="DD323" s="30"/>
      <c r="DE323" s="30"/>
      <c r="DF323" s="30"/>
      <c r="DG323" s="30"/>
      <c r="DH323" s="30"/>
      <c r="DI323" s="30"/>
      <c r="DJ323" s="30"/>
      <c r="DK323" s="30"/>
      <c r="DL323" s="45"/>
      <c r="DM323" s="45"/>
      <c r="DN323" s="45"/>
      <c r="DO323" s="45"/>
      <c r="DP323" s="45"/>
      <c r="DQ323" s="45"/>
      <c r="DR323" s="45"/>
      <c r="DS323" s="45"/>
      <c r="DT323" s="45"/>
      <c r="DU323" s="45"/>
      <c r="DV323" s="45"/>
      <c r="DW323" s="45"/>
      <c r="DX323" s="45"/>
      <c r="DY323" s="45"/>
      <c r="DZ323" s="45"/>
    </row>
    <row r="324" spans="5:130" s="37" customFormat="1">
      <c r="E324" s="49"/>
      <c r="F324" s="49"/>
      <c r="G324" s="49"/>
      <c r="H324" s="49"/>
      <c r="I324" s="49"/>
      <c r="J324" s="49"/>
      <c r="K324" s="49"/>
      <c r="L324" s="49"/>
      <c r="M324" s="49"/>
      <c r="N324" s="49"/>
      <c r="O324" s="49"/>
      <c r="P324" s="49"/>
      <c r="Q324" s="49"/>
      <c r="R324" s="49"/>
      <c r="S324" s="50"/>
      <c r="T324" s="1510"/>
      <c r="U324" s="50"/>
      <c r="V324" s="50"/>
      <c r="W324" s="50"/>
      <c r="X324" s="50"/>
      <c r="Y324" s="50"/>
      <c r="Z324" s="50"/>
      <c r="CU324" s="30"/>
      <c r="CV324" s="30"/>
      <c r="CW324" s="30"/>
      <c r="CX324" s="30"/>
      <c r="CY324" s="30"/>
      <c r="CZ324" s="30"/>
      <c r="DA324" s="30"/>
      <c r="DB324" s="30"/>
      <c r="DC324" s="30"/>
      <c r="DD324" s="30"/>
      <c r="DE324" s="30"/>
      <c r="DF324" s="30"/>
      <c r="DG324" s="30"/>
      <c r="DH324" s="30"/>
      <c r="DI324" s="30"/>
      <c r="DJ324" s="30"/>
      <c r="DK324" s="30"/>
      <c r="DL324" s="45"/>
      <c r="DM324" s="45"/>
      <c r="DN324" s="45"/>
      <c r="DO324" s="45"/>
      <c r="DP324" s="45"/>
      <c r="DQ324" s="45"/>
      <c r="DR324" s="45"/>
      <c r="DS324" s="45"/>
      <c r="DT324" s="45"/>
      <c r="DU324" s="45"/>
      <c r="DV324" s="45"/>
      <c r="DW324" s="45"/>
      <c r="DX324" s="45"/>
      <c r="DY324" s="45"/>
      <c r="DZ324" s="45"/>
    </row>
    <row r="325" spans="5:130" s="37" customFormat="1">
      <c r="E325" s="49"/>
      <c r="F325" s="49"/>
      <c r="G325" s="49"/>
      <c r="H325" s="49"/>
      <c r="I325" s="49"/>
      <c r="J325" s="49"/>
      <c r="K325" s="49"/>
      <c r="L325" s="49"/>
      <c r="M325" s="49"/>
      <c r="N325" s="49"/>
      <c r="O325" s="49"/>
      <c r="P325" s="49"/>
      <c r="Q325" s="49"/>
      <c r="R325" s="49"/>
      <c r="S325" s="50"/>
      <c r="T325" s="1510"/>
      <c r="U325" s="50"/>
      <c r="V325" s="50"/>
      <c r="W325" s="50"/>
      <c r="X325" s="50"/>
      <c r="Y325" s="50"/>
      <c r="Z325" s="50"/>
      <c r="CU325" s="30"/>
      <c r="CV325" s="30"/>
      <c r="CW325" s="30"/>
      <c r="CX325" s="30"/>
      <c r="CY325" s="30"/>
      <c r="CZ325" s="30"/>
      <c r="DA325" s="30"/>
      <c r="DB325" s="30"/>
      <c r="DC325" s="30"/>
      <c r="DD325" s="30"/>
      <c r="DE325" s="30"/>
      <c r="DF325" s="30"/>
      <c r="DG325" s="30"/>
      <c r="DH325" s="30"/>
      <c r="DI325" s="30"/>
      <c r="DJ325" s="30"/>
      <c r="DK325" s="30"/>
      <c r="DL325" s="45"/>
      <c r="DM325" s="45"/>
      <c r="DN325" s="45"/>
      <c r="DO325" s="45"/>
      <c r="DP325" s="45"/>
      <c r="DQ325" s="45"/>
      <c r="DR325" s="45"/>
      <c r="DS325" s="45"/>
      <c r="DT325" s="45"/>
      <c r="DU325" s="45"/>
      <c r="DV325" s="45"/>
      <c r="DW325" s="45"/>
      <c r="DX325" s="45"/>
      <c r="DY325" s="45"/>
      <c r="DZ325" s="45"/>
    </row>
    <row r="326" spans="5:130" s="37" customFormat="1">
      <c r="E326" s="49"/>
      <c r="F326" s="49"/>
      <c r="G326" s="49"/>
      <c r="H326" s="49"/>
      <c r="I326" s="49"/>
      <c r="J326" s="49"/>
      <c r="K326" s="49"/>
      <c r="L326" s="49"/>
      <c r="M326" s="49"/>
      <c r="N326" s="49"/>
      <c r="O326" s="49"/>
      <c r="P326" s="49"/>
      <c r="Q326" s="49"/>
      <c r="R326" s="49"/>
      <c r="S326" s="50"/>
      <c r="T326" s="1510"/>
      <c r="U326" s="50"/>
      <c r="V326" s="50"/>
      <c r="W326" s="50"/>
      <c r="X326" s="50"/>
      <c r="Y326" s="50"/>
      <c r="Z326" s="50"/>
      <c r="CU326" s="30"/>
      <c r="CV326" s="30"/>
      <c r="CW326" s="30"/>
      <c r="CX326" s="30"/>
      <c r="CY326" s="30"/>
      <c r="CZ326" s="30"/>
      <c r="DA326" s="30"/>
      <c r="DB326" s="30"/>
      <c r="DC326" s="30"/>
      <c r="DD326" s="30"/>
      <c r="DE326" s="30"/>
      <c r="DF326" s="30"/>
      <c r="DG326" s="30"/>
      <c r="DH326" s="30"/>
      <c r="DI326" s="30"/>
      <c r="DJ326" s="30"/>
      <c r="DK326" s="30"/>
      <c r="DL326" s="45"/>
      <c r="DM326" s="45"/>
      <c r="DN326" s="45"/>
      <c r="DO326" s="45"/>
      <c r="DP326" s="45"/>
      <c r="DQ326" s="45"/>
      <c r="DR326" s="45"/>
      <c r="DS326" s="45"/>
      <c r="DT326" s="45"/>
      <c r="DU326" s="45"/>
      <c r="DV326" s="45"/>
      <c r="DW326" s="45"/>
      <c r="DX326" s="45"/>
      <c r="DY326" s="45"/>
      <c r="DZ326" s="45"/>
    </row>
    <row r="327" spans="5:130" s="37" customFormat="1">
      <c r="E327" s="49"/>
      <c r="F327" s="49"/>
      <c r="G327" s="49"/>
      <c r="H327" s="49"/>
      <c r="I327" s="49"/>
      <c r="J327" s="49"/>
      <c r="K327" s="49"/>
      <c r="L327" s="49"/>
      <c r="M327" s="49"/>
      <c r="N327" s="49"/>
      <c r="O327" s="49"/>
      <c r="P327" s="49"/>
      <c r="Q327" s="49"/>
      <c r="R327" s="49"/>
      <c r="S327" s="50"/>
      <c r="T327" s="1510"/>
      <c r="U327" s="50"/>
      <c r="V327" s="50"/>
      <c r="W327" s="50"/>
      <c r="X327" s="50"/>
      <c r="Y327" s="50"/>
      <c r="Z327" s="50"/>
      <c r="CU327" s="30"/>
      <c r="CV327" s="30"/>
      <c r="CW327" s="30"/>
      <c r="CX327" s="30"/>
      <c r="CY327" s="30"/>
      <c r="CZ327" s="30"/>
      <c r="DA327" s="30"/>
      <c r="DB327" s="30"/>
      <c r="DC327" s="30"/>
      <c r="DD327" s="30"/>
      <c r="DE327" s="30"/>
      <c r="DF327" s="30"/>
      <c r="DG327" s="30"/>
      <c r="DH327" s="30"/>
      <c r="DI327" s="30"/>
      <c r="DJ327" s="30"/>
      <c r="DK327" s="30"/>
      <c r="DL327" s="45"/>
      <c r="DM327" s="45"/>
      <c r="DN327" s="45"/>
      <c r="DO327" s="45"/>
      <c r="DP327" s="45"/>
      <c r="DQ327" s="45"/>
      <c r="DR327" s="45"/>
      <c r="DS327" s="45"/>
      <c r="DT327" s="45"/>
      <c r="DU327" s="45"/>
      <c r="DV327" s="45"/>
      <c r="DW327" s="45"/>
      <c r="DX327" s="45"/>
      <c r="DY327" s="45"/>
      <c r="DZ327" s="45"/>
    </row>
    <row r="328" spans="5:130" s="37" customFormat="1">
      <c r="E328" s="49"/>
      <c r="F328" s="49"/>
      <c r="G328" s="49"/>
      <c r="H328" s="49"/>
      <c r="I328" s="49"/>
      <c r="J328" s="49"/>
      <c r="K328" s="49"/>
      <c r="L328" s="49"/>
      <c r="M328" s="49"/>
      <c r="N328" s="49"/>
      <c r="O328" s="49"/>
      <c r="P328" s="49"/>
      <c r="Q328" s="49"/>
      <c r="R328" s="49"/>
      <c r="S328" s="50"/>
      <c r="T328" s="1510"/>
      <c r="U328" s="50"/>
      <c r="V328" s="50"/>
      <c r="W328" s="50"/>
      <c r="X328" s="50"/>
      <c r="Y328" s="50"/>
      <c r="Z328" s="50"/>
      <c r="CU328" s="30"/>
      <c r="CV328" s="30"/>
      <c r="CW328" s="30"/>
      <c r="CX328" s="30"/>
      <c r="CY328" s="30"/>
      <c r="CZ328" s="30"/>
      <c r="DA328" s="30"/>
      <c r="DB328" s="30"/>
      <c r="DC328" s="30"/>
      <c r="DD328" s="30"/>
      <c r="DE328" s="30"/>
      <c r="DF328" s="30"/>
      <c r="DG328" s="30"/>
      <c r="DH328" s="30"/>
      <c r="DI328" s="30"/>
      <c r="DJ328" s="30"/>
      <c r="DK328" s="30"/>
      <c r="DL328" s="45"/>
      <c r="DM328" s="45"/>
      <c r="DN328" s="45"/>
      <c r="DO328" s="45"/>
      <c r="DP328" s="45"/>
      <c r="DQ328" s="45"/>
      <c r="DR328" s="45"/>
      <c r="DS328" s="45"/>
      <c r="DT328" s="45"/>
      <c r="DU328" s="45"/>
      <c r="DV328" s="45"/>
      <c r="DW328" s="45"/>
      <c r="DX328" s="45"/>
      <c r="DY328" s="45"/>
      <c r="DZ328" s="45"/>
    </row>
    <row r="329" spans="5:130" s="37" customFormat="1">
      <c r="E329" s="49"/>
      <c r="F329" s="49"/>
      <c r="G329" s="49"/>
      <c r="H329" s="49"/>
      <c r="I329" s="49"/>
      <c r="J329" s="49"/>
      <c r="K329" s="49"/>
      <c r="L329" s="49"/>
      <c r="M329" s="49"/>
      <c r="N329" s="49"/>
      <c r="O329" s="49"/>
      <c r="P329" s="49"/>
      <c r="Q329" s="49"/>
      <c r="R329" s="49"/>
      <c r="S329" s="50"/>
      <c r="T329" s="1510"/>
      <c r="U329" s="50"/>
      <c r="V329" s="50"/>
      <c r="W329" s="50"/>
      <c r="X329" s="50"/>
      <c r="Y329" s="50"/>
      <c r="Z329" s="50"/>
      <c r="CU329" s="30"/>
      <c r="CV329" s="30"/>
      <c r="CW329" s="30"/>
      <c r="CX329" s="30"/>
      <c r="CY329" s="30"/>
      <c r="CZ329" s="30"/>
      <c r="DA329" s="30"/>
      <c r="DB329" s="30"/>
      <c r="DC329" s="30"/>
      <c r="DD329" s="30"/>
      <c r="DE329" s="30"/>
      <c r="DF329" s="30"/>
      <c r="DG329" s="30"/>
      <c r="DH329" s="30"/>
      <c r="DI329" s="30"/>
      <c r="DJ329" s="30"/>
      <c r="DK329" s="30"/>
      <c r="DL329" s="45"/>
      <c r="DM329" s="45"/>
      <c r="DN329" s="45"/>
      <c r="DO329" s="45"/>
      <c r="DP329" s="45"/>
      <c r="DQ329" s="45"/>
      <c r="DR329" s="45"/>
      <c r="DS329" s="45"/>
      <c r="DT329" s="45"/>
      <c r="DU329" s="45"/>
      <c r="DV329" s="45"/>
      <c r="DW329" s="45"/>
      <c r="DX329" s="45"/>
      <c r="DY329" s="45"/>
      <c r="DZ329" s="45"/>
    </row>
    <row r="330" spans="5:130" s="37" customFormat="1">
      <c r="E330" s="49"/>
      <c r="F330" s="49"/>
      <c r="G330" s="49"/>
      <c r="H330" s="49"/>
      <c r="I330" s="49"/>
      <c r="J330" s="49"/>
      <c r="K330" s="49"/>
      <c r="L330" s="49"/>
      <c r="M330" s="49"/>
      <c r="N330" s="49"/>
      <c r="O330" s="49"/>
      <c r="P330" s="49"/>
      <c r="Q330" s="49"/>
      <c r="R330" s="49"/>
      <c r="S330" s="50"/>
      <c r="T330" s="1510"/>
      <c r="U330" s="50"/>
      <c r="V330" s="50"/>
      <c r="W330" s="50"/>
      <c r="X330" s="50"/>
      <c r="Y330" s="50"/>
      <c r="Z330" s="50"/>
      <c r="CU330" s="30"/>
      <c r="CV330" s="30"/>
      <c r="CW330" s="30"/>
      <c r="CX330" s="30"/>
      <c r="CY330" s="30"/>
      <c r="CZ330" s="30"/>
      <c r="DA330" s="30"/>
      <c r="DB330" s="30"/>
      <c r="DC330" s="30"/>
      <c r="DD330" s="30"/>
      <c r="DE330" s="30"/>
      <c r="DF330" s="30"/>
      <c r="DG330" s="30"/>
      <c r="DH330" s="30"/>
      <c r="DI330" s="30"/>
      <c r="DJ330" s="30"/>
      <c r="DK330" s="30"/>
      <c r="DL330" s="45"/>
      <c r="DM330" s="45"/>
      <c r="DN330" s="45"/>
      <c r="DO330" s="45"/>
      <c r="DP330" s="45"/>
      <c r="DQ330" s="45"/>
      <c r="DR330" s="45"/>
      <c r="DS330" s="45"/>
      <c r="DT330" s="45"/>
      <c r="DU330" s="45"/>
      <c r="DV330" s="45"/>
      <c r="DW330" s="45"/>
      <c r="DX330" s="45"/>
      <c r="DY330" s="45"/>
      <c r="DZ330" s="45"/>
    </row>
    <row r="331" spans="5:130" s="37" customFormat="1">
      <c r="E331" s="49"/>
      <c r="F331" s="49"/>
      <c r="G331" s="49"/>
      <c r="H331" s="49"/>
      <c r="I331" s="49"/>
      <c r="J331" s="49"/>
      <c r="K331" s="49"/>
      <c r="L331" s="49"/>
      <c r="M331" s="49"/>
      <c r="N331" s="49"/>
      <c r="O331" s="49"/>
      <c r="P331" s="49"/>
      <c r="Q331" s="49"/>
      <c r="R331" s="49"/>
      <c r="S331" s="50"/>
      <c r="T331" s="1510"/>
      <c r="U331" s="50"/>
      <c r="V331" s="50"/>
      <c r="W331" s="50"/>
      <c r="X331" s="50"/>
      <c r="Y331" s="50"/>
      <c r="Z331" s="50"/>
      <c r="CU331" s="30"/>
      <c r="CV331" s="30"/>
      <c r="CW331" s="30"/>
      <c r="CX331" s="30"/>
      <c r="CY331" s="30"/>
      <c r="CZ331" s="30"/>
      <c r="DA331" s="30"/>
      <c r="DB331" s="30"/>
      <c r="DC331" s="30"/>
      <c r="DD331" s="30"/>
      <c r="DE331" s="30"/>
      <c r="DF331" s="30"/>
      <c r="DG331" s="30"/>
      <c r="DH331" s="30"/>
      <c r="DI331" s="30"/>
      <c r="DJ331" s="30"/>
      <c r="DK331" s="30"/>
      <c r="DL331" s="45"/>
      <c r="DM331" s="45"/>
      <c r="DN331" s="45"/>
      <c r="DO331" s="45"/>
      <c r="DP331" s="45"/>
      <c r="DQ331" s="45"/>
      <c r="DR331" s="45"/>
      <c r="DS331" s="45"/>
      <c r="DT331" s="45"/>
      <c r="DU331" s="45"/>
      <c r="DV331" s="45"/>
      <c r="DW331" s="45"/>
      <c r="DX331" s="45"/>
      <c r="DY331" s="45"/>
      <c r="DZ331" s="45"/>
    </row>
    <row r="332" spans="5:130" s="37" customFormat="1">
      <c r="E332" s="49"/>
      <c r="F332" s="49"/>
      <c r="G332" s="49"/>
      <c r="H332" s="49"/>
      <c r="I332" s="49"/>
      <c r="J332" s="49"/>
      <c r="K332" s="49"/>
      <c r="L332" s="49"/>
      <c r="M332" s="49"/>
      <c r="N332" s="49"/>
      <c r="O332" s="49"/>
      <c r="P332" s="49"/>
      <c r="Q332" s="49"/>
      <c r="R332" s="49"/>
      <c r="S332" s="50"/>
      <c r="T332" s="1510"/>
      <c r="U332" s="50"/>
      <c r="V332" s="50"/>
      <c r="W332" s="50"/>
      <c r="X332" s="50"/>
      <c r="Y332" s="50"/>
      <c r="Z332" s="50"/>
      <c r="CU332" s="30"/>
      <c r="CV332" s="30"/>
      <c r="CW332" s="30"/>
      <c r="CX332" s="30"/>
      <c r="CY332" s="30"/>
      <c r="CZ332" s="30"/>
      <c r="DA332" s="30"/>
      <c r="DB332" s="30"/>
      <c r="DC332" s="30"/>
      <c r="DD332" s="30"/>
      <c r="DE332" s="30"/>
      <c r="DF332" s="30"/>
      <c r="DG332" s="30"/>
      <c r="DH332" s="30"/>
      <c r="DI332" s="30"/>
      <c r="DJ332" s="30"/>
      <c r="DK332" s="30"/>
      <c r="DL332" s="45"/>
      <c r="DM332" s="45"/>
      <c r="DN332" s="45"/>
      <c r="DO332" s="45"/>
      <c r="DP332" s="45"/>
      <c r="DQ332" s="45"/>
      <c r="DR332" s="45"/>
      <c r="DS332" s="45"/>
      <c r="DT332" s="45"/>
      <c r="DU332" s="45"/>
      <c r="DV332" s="45"/>
      <c r="DW332" s="45"/>
      <c r="DX332" s="45"/>
      <c r="DY332" s="45"/>
      <c r="DZ332" s="45"/>
    </row>
    <row r="333" spans="5:130" s="37" customFormat="1">
      <c r="E333" s="49"/>
      <c r="F333" s="49"/>
      <c r="G333" s="49"/>
      <c r="H333" s="49"/>
      <c r="I333" s="49"/>
      <c r="J333" s="49"/>
      <c r="K333" s="49"/>
      <c r="L333" s="49"/>
      <c r="M333" s="49"/>
      <c r="N333" s="49"/>
      <c r="O333" s="49"/>
      <c r="P333" s="49"/>
      <c r="Q333" s="49"/>
      <c r="R333" s="49"/>
      <c r="S333" s="50"/>
      <c r="T333" s="1510"/>
      <c r="U333" s="50"/>
      <c r="V333" s="50"/>
      <c r="W333" s="50"/>
      <c r="X333" s="50"/>
      <c r="Y333" s="50"/>
      <c r="Z333" s="50"/>
      <c r="CU333" s="30"/>
      <c r="CV333" s="30"/>
      <c r="CW333" s="30"/>
      <c r="CX333" s="30"/>
      <c r="CY333" s="30"/>
      <c r="CZ333" s="30"/>
      <c r="DA333" s="30"/>
      <c r="DB333" s="30"/>
      <c r="DC333" s="30"/>
      <c r="DD333" s="30"/>
      <c r="DE333" s="30"/>
      <c r="DF333" s="30"/>
      <c r="DG333" s="30"/>
      <c r="DH333" s="30"/>
      <c r="DI333" s="30"/>
      <c r="DJ333" s="30"/>
      <c r="DK333" s="30"/>
      <c r="DL333" s="45"/>
      <c r="DM333" s="45"/>
      <c r="DN333" s="45"/>
      <c r="DO333" s="45"/>
      <c r="DP333" s="45"/>
      <c r="DQ333" s="45"/>
      <c r="DR333" s="45"/>
      <c r="DS333" s="45"/>
      <c r="DT333" s="45"/>
      <c r="DU333" s="45"/>
      <c r="DV333" s="45"/>
      <c r="DW333" s="45"/>
      <c r="DX333" s="45"/>
      <c r="DY333" s="45"/>
      <c r="DZ333" s="45"/>
    </row>
    <row r="334" spans="5:130" s="37" customFormat="1">
      <c r="E334" s="49"/>
      <c r="F334" s="49"/>
      <c r="G334" s="49"/>
      <c r="H334" s="49"/>
      <c r="I334" s="49"/>
      <c r="J334" s="49"/>
      <c r="K334" s="49"/>
      <c r="L334" s="49"/>
      <c r="M334" s="49"/>
      <c r="N334" s="49"/>
      <c r="O334" s="49"/>
      <c r="P334" s="49"/>
      <c r="Q334" s="49"/>
      <c r="R334" s="49"/>
      <c r="S334" s="50"/>
      <c r="T334" s="1510"/>
      <c r="U334" s="50"/>
      <c r="V334" s="50"/>
      <c r="W334" s="50"/>
      <c r="X334" s="50"/>
      <c r="Y334" s="50"/>
      <c r="Z334" s="50"/>
      <c r="CU334" s="30"/>
      <c r="CV334" s="30"/>
      <c r="CW334" s="30"/>
      <c r="CX334" s="30"/>
      <c r="CY334" s="30"/>
      <c r="CZ334" s="30"/>
      <c r="DA334" s="30"/>
      <c r="DB334" s="30"/>
      <c r="DC334" s="30"/>
      <c r="DD334" s="30"/>
      <c r="DE334" s="30"/>
      <c r="DF334" s="30"/>
      <c r="DG334" s="30"/>
      <c r="DH334" s="30"/>
      <c r="DI334" s="30"/>
      <c r="DJ334" s="30"/>
      <c r="DK334" s="30"/>
      <c r="DL334" s="45"/>
      <c r="DM334" s="45"/>
      <c r="DN334" s="45"/>
      <c r="DO334" s="45"/>
      <c r="DP334" s="45"/>
      <c r="DQ334" s="45"/>
      <c r="DR334" s="45"/>
      <c r="DS334" s="45"/>
      <c r="DT334" s="45"/>
      <c r="DU334" s="45"/>
      <c r="DV334" s="45"/>
      <c r="DW334" s="45"/>
      <c r="DX334" s="45"/>
      <c r="DY334" s="45"/>
      <c r="DZ334" s="45"/>
    </row>
    <row r="335" spans="5:130" s="37" customFormat="1">
      <c r="E335" s="49"/>
      <c r="F335" s="49"/>
      <c r="G335" s="49"/>
      <c r="H335" s="49"/>
      <c r="I335" s="49"/>
      <c r="J335" s="49"/>
      <c r="K335" s="49"/>
      <c r="L335" s="49"/>
      <c r="M335" s="49"/>
      <c r="N335" s="49"/>
      <c r="O335" s="49"/>
      <c r="P335" s="49"/>
      <c r="Q335" s="49"/>
      <c r="R335" s="49"/>
      <c r="S335" s="50"/>
      <c r="T335" s="1510"/>
      <c r="U335" s="50"/>
      <c r="V335" s="50"/>
      <c r="W335" s="50"/>
      <c r="X335" s="50"/>
      <c r="Y335" s="50"/>
      <c r="Z335" s="50"/>
      <c r="CU335" s="30"/>
      <c r="CV335" s="30"/>
      <c r="CW335" s="30"/>
      <c r="CX335" s="30"/>
      <c r="CY335" s="30"/>
      <c r="CZ335" s="30"/>
      <c r="DA335" s="30"/>
      <c r="DB335" s="30"/>
      <c r="DC335" s="30"/>
      <c r="DD335" s="30"/>
      <c r="DE335" s="30"/>
      <c r="DF335" s="30"/>
      <c r="DG335" s="30"/>
      <c r="DH335" s="30"/>
      <c r="DI335" s="30"/>
      <c r="DJ335" s="30"/>
      <c r="DK335" s="30"/>
      <c r="DL335" s="45"/>
      <c r="DM335" s="45"/>
      <c r="DN335" s="45"/>
      <c r="DO335" s="45"/>
      <c r="DP335" s="45"/>
      <c r="DQ335" s="45"/>
      <c r="DR335" s="45"/>
      <c r="DS335" s="45"/>
      <c r="DT335" s="45"/>
      <c r="DU335" s="45"/>
      <c r="DV335" s="45"/>
      <c r="DW335" s="45"/>
      <c r="DX335" s="45"/>
      <c r="DY335" s="45"/>
      <c r="DZ335" s="45"/>
    </row>
    <row r="336" spans="5:130" s="37" customFormat="1">
      <c r="E336" s="49"/>
      <c r="F336" s="49"/>
      <c r="G336" s="49"/>
      <c r="H336" s="49"/>
      <c r="I336" s="49"/>
      <c r="J336" s="49"/>
      <c r="K336" s="49"/>
      <c r="L336" s="49"/>
      <c r="M336" s="49"/>
      <c r="N336" s="49"/>
      <c r="O336" s="49"/>
      <c r="P336" s="49"/>
      <c r="Q336" s="49"/>
      <c r="R336" s="49"/>
      <c r="S336" s="50"/>
      <c r="T336" s="1510"/>
      <c r="U336" s="50"/>
      <c r="V336" s="50"/>
      <c r="W336" s="50"/>
      <c r="X336" s="50"/>
      <c r="Y336" s="50"/>
      <c r="Z336" s="50"/>
      <c r="CU336" s="30"/>
      <c r="CV336" s="30"/>
      <c r="CW336" s="30"/>
      <c r="CX336" s="30"/>
      <c r="CY336" s="30"/>
      <c r="CZ336" s="30"/>
      <c r="DA336" s="30"/>
      <c r="DB336" s="30"/>
      <c r="DC336" s="30"/>
      <c r="DD336" s="30"/>
      <c r="DE336" s="30"/>
      <c r="DF336" s="30"/>
      <c r="DG336" s="30"/>
      <c r="DH336" s="30"/>
      <c r="DI336" s="30"/>
      <c r="DJ336" s="30"/>
      <c r="DK336" s="30"/>
      <c r="DL336" s="45"/>
      <c r="DM336" s="45"/>
      <c r="DN336" s="45"/>
      <c r="DO336" s="45"/>
      <c r="DP336" s="45"/>
      <c r="DQ336" s="45"/>
      <c r="DR336" s="45"/>
      <c r="DS336" s="45"/>
      <c r="DT336" s="45"/>
      <c r="DU336" s="45"/>
      <c r="DV336" s="45"/>
      <c r="DW336" s="45"/>
      <c r="DX336" s="45"/>
      <c r="DY336" s="45"/>
      <c r="DZ336" s="45"/>
    </row>
    <row r="337" spans="5:130" s="37" customFormat="1">
      <c r="E337" s="49"/>
      <c r="F337" s="49"/>
      <c r="G337" s="49"/>
      <c r="H337" s="49"/>
      <c r="I337" s="49"/>
      <c r="J337" s="49"/>
      <c r="K337" s="49"/>
      <c r="L337" s="49"/>
      <c r="M337" s="49"/>
      <c r="N337" s="49"/>
      <c r="O337" s="49"/>
      <c r="P337" s="49"/>
      <c r="Q337" s="49"/>
      <c r="R337" s="49"/>
      <c r="S337" s="50"/>
      <c r="T337" s="1510"/>
      <c r="U337" s="50"/>
      <c r="V337" s="50"/>
      <c r="W337" s="50"/>
      <c r="X337" s="50"/>
      <c r="Y337" s="50"/>
      <c r="Z337" s="50"/>
      <c r="CU337" s="30"/>
      <c r="CV337" s="30"/>
      <c r="CW337" s="30"/>
      <c r="CX337" s="30"/>
      <c r="CY337" s="30"/>
      <c r="CZ337" s="30"/>
      <c r="DA337" s="30"/>
      <c r="DB337" s="30"/>
      <c r="DC337" s="30"/>
      <c r="DD337" s="30"/>
      <c r="DE337" s="30"/>
      <c r="DF337" s="30"/>
      <c r="DG337" s="30"/>
      <c r="DH337" s="30"/>
      <c r="DI337" s="30"/>
      <c r="DJ337" s="30"/>
      <c r="DK337" s="30"/>
      <c r="DL337" s="45"/>
      <c r="DM337" s="45"/>
      <c r="DN337" s="45"/>
      <c r="DO337" s="45"/>
      <c r="DP337" s="45"/>
      <c r="DQ337" s="45"/>
      <c r="DR337" s="45"/>
      <c r="DS337" s="45"/>
      <c r="DT337" s="45"/>
      <c r="DU337" s="45"/>
      <c r="DV337" s="45"/>
      <c r="DW337" s="45"/>
      <c r="DX337" s="45"/>
      <c r="DY337" s="45"/>
      <c r="DZ337" s="45"/>
    </row>
    <row r="338" spans="5:130" s="37" customFormat="1">
      <c r="E338" s="49"/>
      <c r="F338" s="49"/>
      <c r="G338" s="49"/>
      <c r="H338" s="49"/>
      <c r="I338" s="49"/>
      <c r="J338" s="49"/>
      <c r="K338" s="49"/>
      <c r="L338" s="49"/>
      <c r="M338" s="49"/>
      <c r="N338" s="49"/>
      <c r="O338" s="49"/>
      <c r="P338" s="49"/>
      <c r="Q338" s="49"/>
      <c r="R338" s="49"/>
      <c r="S338" s="50"/>
      <c r="T338" s="1510"/>
      <c r="U338" s="50"/>
      <c r="V338" s="50"/>
      <c r="W338" s="50"/>
      <c r="X338" s="50"/>
      <c r="Y338" s="50"/>
      <c r="Z338" s="50"/>
      <c r="CU338" s="30"/>
      <c r="CV338" s="30"/>
      <c r="CW338" s="30"/>
      <c r="CX338" s="30"/>
      <c r="CY338" s="30"/>
      <c r="CZ338" s="30"/>
      <c r="DA338" s="30"/>
      <c r="DB338" s="30"/>
      <c r="DC338" s="30"/>
      <c r="DD338" s="30"/>
      <c r="DE338" s="30"/>
      <c r="DF338" s="30"/>
      <c r="DG338" s="30"/>
      <c r="DH338" s="30"/>
      <c r="DI338" s="30"/>
      <c r="DJ338" s="30"/>
      <c r="DK338" s="30"/>
      <c r="DL338" s="45"/>
      <c r="DM338" s="45"/>
      <c r="DN338" s="45"/>
      <c r="DO338" s="45"/>
      <c r="DP338" s="45"/>
      <c r="DQ338" s="45"/>
      <c r="DR338" s="45"/>
      <c r="DS338" s="45"/>
      <c r="DT338" s="45"/>
      <c r="DU338" s="45"/>
      <c r="DV338" s="45"/>
      <c r="DW338" s="45"/>
      <c r="DX338" s="45"/>
      <c r="DY338" s="45"/>
      <c r="DZ338" s="45"/>
    </row>
    <row r="339" spans="5:130" s="37" customFormat="1">
      <c r="E339" s="49"/>
      <c r="F339" s="49"/>
      <c r="G339" s="49"/>
      <c r="H339" s="49"/>
      <c r="I339" s="49"/>
      <c r="J339" s="49"/>
      <c r="K339" s="49"/>
      <c r="L339" s="49"/>
      <c r="M339" s="49"/>
      <c r="N339" s="49"/>
      <c r="O339" s="49"/>
      <c r="P339" s="49"/>
      <c r="Q339" s="49"/>
      <c r="R339" s="49"/>
      <c r="S339" s="50"/>
      <c r="T339" s="1510"/>
      <c r="U339" s="50"/>
      <c r="V339" s="50"/>
      <c r="W339" s="50"/>
      <c r="X339" s="50"/>
      <c r="Y339" s="50"/>
      <c r="Z339" s="50"/>
      <c r="CU339" s="30"/>
      <c r="CV339" s="30"/>
      <c r="CW339" s="30"/>
      <c r="CX339" s="30"/>
      <c r="CY339" s="30"/>
      <c r="CZ339" s="30"/>
      <c r="DA339" s="30"/>
      <c r="DB339" s="30"/>
      <c r="DC339" s="30"/>
      <c r="DD339" s="30"/>
      <c r="DE339" s="30"/>
      <c r="DF339" s="30"/>
      <c r="DG339" s="30"/>
      <c r="DH339" s="30"/>
      <c r="DI339" s="30"/>
      <c r="DJ339" s="30"/>
      <c r="DK339" s="30"/>
      <c r="DL339" s="45"/>
      <c r="DM339" s="45"/>
      <c r="DN339" s="45"/>
      <c r="DO339" s="45"/>
      <c r="DP339" s="45"/>
      <c r="DQ339" s="45"/>
      <c r="DR339" s="45"/>
      <c r="DS339" s="45"/>
      <c r="DT339" s="45"/>
      <c r="DU339" s="45"/>
      <c r="DV339" s="45"/>
      <c r="DW339" s="45"/>
      <c r="DX339" s="45"/>
      <c r="DY339" s="45"/>
      <c r="DZ339" s="45"/>
    </row>
    <row r="340" spans="5:130" s="37" customFormat="1">
      <c r="E340" s="49"/>
      <c r="F340" s="49"/>
      <c r="G340" s="49"/>
      <c r="H340" s="49"/>
      <c r="I340" s="49"/>
      <c r="J340" s="49"/>
      <c r="K340" s="49"/>
      <c r="L340" s="49"/>
      <c r="M340" s="49"/>
      <c r="N340" s="49"/>
      <c r="O340" s="49"/>
      <c r="P340" s="49"/>
      <c r="Q340" s="49"/>
      <c r="R340" s="49"/>
      <c r="S340" s="50"/>
      <c r="T340" s="1510"/>
      <c r="U340" s="50"/>
      <c r="V340" s="50"/>
      <c r="W340" s="50"/>
      <c r="X340" s="50"/>
      <c r="Y340" s="50"/>
      <c r="Z340" s="50"/>
      <c r="CU340" s="30"/>
      <c r="CV340" s="30"/>
      <c r="CW340" s="30"/>
      <c r="CX340" s="30"/>
      <c r="CY340" s="30"/>
      <c r="CZ340" s="30"/>
      <c r="DA340" s="30"/>
      <c r="DB340" s="30"/>
      <c r="DC340" s="30"/>
      <c r="DD340" s="30"/>
      <c r="DE340" s="30"/>
      <c r="DF340" s="30"/>
      <c r="DG340" s="30"/>
      <c r="DH340" s="30"/>
      <c r="DI340" s="30"/>
      <c r="DJ340" s="30"/>
      <c r="DK340" s="30"/>
      <c r="DL340" s="45"/>
      <c r="DM340" s="45"/>
      <c r="DN340" s="45"/>
      <c r="DO340" s="45"/>
      <c r="DP340" s="45"/>
      <c r="DQ340" s="45"/>
      <c r="DR340" s="45"/>
      <c r="DS340" s="45"/>
      <c r="DT340" s="45"/>
      <c r="DU340" s="45"/>
      <c r="DV340" s="45"/>
      <c r="DW340" s="45"/>
      <c r="DX340" s="45"/>
      <c r="DY340" s="45"/>
      <c r="DZ340" s="45"/>
    </row>
    <row r="341" spans="5:130" s="37" customFormat="1">
      <c r="E341" s="49"/>
      <c r="F341" s="49"/>
      <c r="G341" s="49"/>
      <c r="H341" s="49"/>
      <c r="I341" s="49"/>
      <c r="J341" s="49"/>
      <c r="K341" s="49"/>
      <c r="L341" s="49"/>
      <c r="M341" s="49"/>
      <c r="N341" s="49"/>
      <c r="O341" s="49"/>
      <c r="P341" s="49"/>
      <c r="Q341" s="49"/>
      <c r="R341" s="49"/>
      <c r="S341" s="50"/>
      <c r="T341" s="1510"/>
      <c r="U341" s="50"/>
      <c r="V341" s="50"/>
      <c r="W341" s="50"/>
      <c r="X341" s="50"/>
      <c r="Y341" s="50"/>
      <c r="Z341" s="50"/>
      <c r="CU341" s="30"/>
      <c r="CV341" s="30"/>
      <c r="CW341" s="30"/>
      <c r="CX341" s="30"/>
      <c r="CY341" s="30"/>
      <c r="CZ341" s="30"/>
      <c r="DA341" s="30"/>
      <c r="DB341" s="30"/>
      <c r="DC341" s="30"/>
      <c r="DD341" s="30"/>
      <c r="DE341" s="30"/>
      <c r="DF341" s="30"/>
      <c r="DG341" s="30"/>
      <c r="DH341" s="30"/>
      <c r="DI341" s="30"/>
      <c r="DJ341" s="30"/>
      <c r="DK341" s="30"/>
      <c r="DL341" s="45"/>
      <c r="DM341" s="45"/>
      <c r="DN341" s="45"/>
      <c r="DO341" s="45"/>
      <c r="DP341" s="45"/>
      <c r="DQ341" s="45"/>
      <c r="DR341" s="45"/>
      <c r="DS341" s="45"/>
      <c r="DT341" s="45"/>
      <c r="DU341" s="45"/>
      <c r="DV341" s="45"/>
      <c r="DW341" s="45"/>
      <c r="DX341" s="45"/>
      <c r="DY341" s="45"/>
      <c r="DZ341" s="45"/>
    </row>
    <row r="342" spans="5:130" s="37" customFormat="1">
      <c r="E342" s="49"/>
      <c r="F342" s="49"/>
      <c r="G342" s="49"/>
      <c r="H342" s="49"/>
      <c r="I342" s="49"/>
      <c r="J342" s="49"/>
      <c r="K342" s="49"/>
      <c r="L342" s="49"/>
      <c r="M342" s="49"/>
      <c r="N342" s="49"/>
      <c r="O342" s="49"/>
      <c r="P342" s="49"/>
      <c r="Q342" s="49"/>
      <c r="R342" s="49"/>
      <c r="S342" s="50"/>
      <c r="T342" s="1510"/>
      <c r="U342" s="50"/>
      <c r="V342" s="50"/>
      <c r="W342" s="50"/>
      <c r="X342" s="50"/>
      <c r="Y342" s="50"/>
      <c r="Z342" s="50"/>
      <c r="CU342" s="30"/>
      <c r="CV342" s="30"/>
      <c r="CW342" s="30"/>
      <c r="CX342" s="30"/>
      <c r="CY342" s="30"/>
      <c r="CZ342" s="30"/>
      <c r="DA342" s="30"/>
      <c r="DB342" s="30"/>
      <c r="DC342" s="30"/>
      <c r="DD342" s="30"/>
      <c r="DE342" s="30"/>
      <c r="DF342" s="30"/>
      <c r="DG342" s="30"/>
      <c r="DH342" s="30"/>
      <c r="DI342" s="30"/>
      <c r="DJ342" s="30"/>
      <c r="DK342" s="30"/>
      <c r="DL342" s="45"/>
      <c r="DM342" s="45"/>
      <c r="DN342" s="45"/>
      <c r="DO342" s="45"/>
      <c r="DP342" s="45"/>
      <c r="DQ342" s="45"/>
      <c r="DR342" s="45"/>
      <c r="DS342" s="45"/>
      <c r="DT342" s="45"/>
      <c r="DU342" s="45"/>
      <c r="DV342" s="45"/>
      <c r="DW342" s="45"/>
      <c r="DX342" s="45"/>
      <c r="DY342" s="45"/>
      <c r="DZ342" s="45"/>
    </row>
    <row r="343" spans="5:130" s="37" customFormat="1">
      <c r="E343" s="49"/>
      <c r="F343" s="49"/>
      <c r="G343" s="49"/>
      <c r="H343" s="49"/>
      <c r="I343" s="49"/>
      <c r="J343" s="49"/>
      <c r="K343" s="49"/>
      <c r="L343" s="49"/>
      <c r="M343" s="49"/>
      <c r="N343" s="49"/>
      <c r="O343" s="49"/>
      <c r="P343" s="49"/>
      <c r="Q343" s="49"/>
      <c r="R343" s="49"/>
      <c r="S343" s="50"/>
      <c r="T343" s="1510"/>
      <c r="U343" s="50"/>
      <c r="V343" s="50"/>
      <c r="W343" s="50"/>
      <c r="X343" s="50"/>
      <c r="Y343" s="50"/>
      <c r="Z343" s="50"/>
      <c r="CU343" s="30"/>
      <c r="CV343" s="30"/>
      <c r="CW343" s="30"/>
      <c r="CX343" s="30"/>
      <c r="CY343" s="30"/>
      <c r="CZ343" s="30"/>
      <c r="DA343" s="30"/>
      <c r="DB343" s="30"/>
      <c r="DC343" s="30"/>
      <c r="DD343" s="30"/>
      <c r="DE343" s="30"/>
      <c r="DF343" s="30"/>
      <c r="DG343" s="30"/>
      <c r="DH343" s="30"/>
      <c r="DI343" s="30"/>
      <c r="DJ343" s="30"/>
      <c r="DK343" s="30"/>
      <c r="DL343" s="45"/>
      <c r="DM343" s="45"/>
      <c r="DN343" s="45"/>
      <c r="DO343" s="45"/>
      <c r="DP343" s="45"/>
      <c r="DQ343" s="45"/>
      <c r="DR343" s="45"/>
      <c r="DS343" s="45"/>
      <c r="DT343" s="45"/>
      <c r="DU343" s="45"/>
      <c r="DV343" s="45"/>
      <c r="DW343" s="45"/>
      <c r="DX343" s="45"/>
      <c r="DY343" s="45"/>
      <c r="DZ343" s="45"/>
    </row>
    <row r="344" spans="5:130" s="37" customFormat="1">
      <c r="E344" s="49"/>
      <c r="F344" s="49"/>
      <c r="G344" s="49"/>
      <c r="H344" s="49"/>
      <c r="I344" s="49"/>
      <c r="J344" s="49"/>
      <c r="K344" s="49"/>
      <c r="L344" s="49"/>
      <c r="M344" s="49"/>
      <c r="N344" s="49"/>
      <c r="O344" s="49"/>
      <c r="P344" s="49"/>
      <c r="Q344" s="49"/>
      <c r="R344" s="49"/>
      <c r="S344" s="50"/>
      <c r="T344" s="1510"/>
      <c r="U344" s="50"/>
      <c r="V344" s="50"/>
      <c r="W344" s="50"/>
      <c r="X344" s="50"/>
      <c r="Y344" s="50"/>
      <c r="Z344" s="50"/>
      <c r="CU344" s="30"/>
      <c r="CV344" s="30"/>
      <c r="CW344" s="30"/>
      <c r="CX344" s="30"/>
      <c r="CY344" s="30"/>
      <c r="CZ344" s="30"/>
      <c r="DA344" s="30"/>
      <c r="DB344" s="30"/>
      <c r="DC344" s="30"/>
      <c r="DD344" s="30"/>
      <c r="DE344" s="30"/>
      <c r="DF344" s="30"/>
      <c r="DG344" s="30"/>
      <c r="DH344" s="30"/>
      <c r="DI344" s="30"/>
      <c r="DJ344" s="30"/>
      <c r="DK344" s="30"/>
      <c r="DL344" s="45"/>
      <c r="DM344" s="45"/>
      <c r="DN344" s="45"/>
      <c r="DO344" s="45"/>
      <c r="DP344" s="45"/>
      <c r="DQ344" s="45"/>
      <c r="DR344" s="45"/>
      <c r="DS344" s="45"/>
      <c r="DT344" s="45"/>
      <c r="DU344" s="45"/>
      <c r="DV344" s="45"/>
      <c r="DW344" s="45"/>
      <c r="DX344" s="45"/>
      <c r="DY344" s="45"/>
      <c r="DZ344" s="45"/>
    </row>
    <row r="345" spans="5:130" s="37" customFormat="1">
      <c r="E345" s="49"/>
      <c r="F345" s="49"/>
      <c r="G345" s="49"/>
      <c r="H345" s="49"/>
      <c r="I345" s="49"/>
      <c r="J345" s="49"/>
      <c r="K345" s="49"/>
      <c r="L345" s="49"/>
      <c r="M345" s="49"/>
      <c r="N345" s="49"/>
      <c r="O345" s="49"/>
      <c r="P345" s="49"/>
      <c r="Q345" s="49"/>
      <c r="R345" s="49"/>
      <c r="S345" s="50"/>
      <c r="T345" s="1510"/>
      <c r="U345" s="50"/>
      <c r="V345" s="50"/>
      <c r="W345" s="50"/>
      <c r="X345" s="50"/>
      <c r="Y345" s="50"/>
      <c r="Z345" s="50"/>
      <c r="CU345" s="30"/>
      <c r="CV345" s="30"/>
      <c r="CW345" s="30"/>
      <c r="CX345" s="30"/>
      <c r="CY345" s="30"/>
      <c r="CZ345" s="30"/>
      <c r="DA345" s="30"/>
      <c r="DB345" s="30"/>
      <c r="DC345" s="30"/>
      <c r="DD345" s="30"/>
      <c r="DE345" s="30"/>
      <c r="DF345" s="30"/>
      <c r="DG345" s="30"/>
      <c r="DH345" s="30"/>
      <c r="DI345" s="30"/>
      <c r="DJ345" s="30"/>
      <c r="DK345" s="30"/>
      <c r="DL345" s="45"/>
      <c r="DM345" s="45"/>
      <c r="DN345" s="45"/>
      <c r="DO345" s="45"/>
      <c r="DP345" s="45"/>
      <c r="DQ345" s="45"/>
      <c r="DR345" s="45"/>
      <c r="DS345" s="45"/>
      <c r="DT345" s="45"/>
      <c r="DU345" s="45"/>
      <c r="DV345" s="45"/>
      <c r="DW345" s="45"/>
      <c r="DX345" s="45"/>
      <c r="DY345" s="45"/>
      <c r="DZ345" s="45"/>
    </row>
    <row r="346" spans="5:130" s="37" customFormat="1">
      <c r="E346" s="49"/>
      <c r="F346" s="49"/>
      <c r="G346" s="49"/>
      <c r="H346" s="49"/>
      <c r="I346" s="49"/>
      <c r="J346" s="49"/>
      <c r="K346" s="49"/>
      <c r="L346" s="49"/>
      <c r="M346" s="49"/>
      <c r="N346" s="49"/>
      <c r="O346" s="49"/>
      <c r="P346" s="49"/>
      <c r="Q346" s="49"/>
      <c r="R346" s="49"/>
      <c r="S346" s="50"/>
      <c r="T346" s="1510"/>
      <c r="U346" s="50"/>
      <c r="V346" s="50"/>
      <c r="W346" s="50"/>
      <c r="X346" s="50"/>
      <c r="Y346" s="50"/>
      <c r="Z346" s="50"/>
      <c r="CU346" s="30"/>
      <c r="CV346" s="30"/>
      <c r="CW346" s="30"/>
      <c r="CX346" s="30"/>
      <c r="CY346" s="30"/>
      <c r="CZ346" s="30"/>
      <c r="DA346" s="30"/>
      <c r="DB346" s="30"/>
      <c r="DC346" s="30"/>
      <c r="DD346" s="30"/>
      <c r="DE346" s="30"/>
      <c r="DF346" s="30"/>
      <c r="DG346" s="30"/>
      <c r="DH346" s="30"/>
      <c r="DI346" s="30"/>
      <c r="DJ346" s="30"/>
      <c r="DK346" s="30"/>
      <c r="DL346" s="45"/>
      <c r="DM346" s="45"/>
      <c r="DN346" s="45"/>
      <c r="DO346" s="45"/>
      <c r="DP346" s="45"/>
      <c r="DQ346" s="45"/>
      <c r="DR346" s="45"/>
      <c r="DS346" s="45"/>
      <c r="DT346" s="45"/>
      <c r="DU346" s="45"/>
      <c r="DV346" s="45"/>
      <c r="DW346" s="45"/>
      <c r="DX346" s="45"/>
      <c r="DY346" s="45"/>
      <c r="DZ346" s="45"/>
    </row>
    <row r="347" spans="5:130" s="37" customFormat="1">
      <c r="E347" s="49"/>
      <c r="F347" s="49"/>
      <c r="G347" s="49"/>
      <c r="H347" s="49"/>
      <c r="I347" s="49"/>
      <c r="J347" s="49"/>
      <c r="K347" s="49"/>
      <c r="L347" s="49"/>
      <c r="M347" s="49"/>
      <c r="N347" s="49"/>
      <c r="O347" s="49"/>
      <c r="P347" s="49"/>
      <c r="Q347" s="49"/>
      <c r="R347" s="49"/>
      <c r="S347" s="50"/>
      <c r="T347" s="1510"/>
      <c r="U347" s="50"/>
      <c r="V347" s="50"/>
      <c r="W347" s="50"/>
      <c r="X347" s="50"/>
      <c r="Y347" s="50"/>
      <c r="Z347" s="50"/>
      <c r="CU347" s="30"/>
      <c r="CV347" s="30"/>
      <c r="CW347" s="30"/>
      <c r="CX347" s="30"/>
      <c r="CY347" s="30"/>
      <c r="CZ347" s="30"/>
      <c r="DA347" s="30"/>
      <c r="DB347" s="30"/>
      <c r="DC347" s="30"/>
      <c r="DD347" s="30"/>
      <c r="DE347" s="30"/>
      <c r="DF347" s="30"/>
      <c r="DG347" s="30"/>
      <c r="DH347" s="30"/>
      <c r="DI347" s="30"/>
      <c r="DJ347" s="30"/>
      <c r="DK347" s="30"/>
      <c r="DL347" s="45"/>
      <c r="DM347" s="45"/>
      <c r="DN347" s="45"/>
      <c r="DO347" s="45"/>
      <c r="DP347" s="45"/>
      <c r="DQ347" s="45"/>
      <c r="DR347" s="45"/>
      <c r="DS347" s="45"/>
      <c r="DT347" s="45"/>
      <c r="DU347" s="45"/>
      <c r="DV347" s="45"/>
      <c r="DW347" s="45"/>
      <c r="DX347" s="45"/>
      <c r="DY347" s="45"/>
      <c r="DZ347" s="45"/>
    </row>
    <row r="348" spans="5:130" s="37" customFormat="1">
      <c r="E348" s="49"/>
      <c r="F348" s="49"/>
      <c r="G348" s="49"/>
      <c r="H348" s="49"/>
      <c r="I348" s="49"/>
      <c r="J348" s="49"/>
      <c r="K348" s="49"/>
      <c r="L348" s="49"/>
      <c r="M348" s="49"/>
      <c r="N348" s="49"/>
      <c r="O348" s="49"/>
      <c r="P348" s="49"/>
      <c r="Q348" s="49"/>
      <c r="R348" s="49"/>
      <c r="S348" s="50"/>
      <c r="T348" s="1510"/>
      <c r="U348" s="50"/>
      <c r="V348" s="50"/>
      <c r="W348" s="50"/>
      <c r="X348" s="50"/>
      <c r="Y348" s="50"/>
      <c r="Z348" s="50"/>
      <c r="CU348" s="30"/>
      <c r="CV348" s="30"/>
      <c r="CW348" s="30"/>
      <c r="CX348" s="30"/>
      <c r="CY348" s="30"/>
      <c r="CZ348" s="30"/>
      <c r="DA348" s="30"/>
      <c r="DB348" s="30"/>
      <c r="DC348" s="30"/>
      <c r="DD348" s="30"/>
      <c r="DE348" s="30"/>
      <c r="DF348" s="30"/>
      <c r="DG348" s="30"/>
      <c r="DH348" s="30"/>
      <c r="DI348" s="30"/>
      <c r="DJ348" s="30"/>
      <c r="DK348" s="30"/>
      <c r="DL348" s="45"/>
      <c r="DM348" s="45"/>
      <c r="DN348" s="45"/>
      <c r="DO348" s="45"/>
      <c r="DP348" s="45"/>
      <c r="DQ348" s="45"/>
      <c r="DR348" s="45"/>
      <c r="DS348" s="45"/>
      <c r="DT348" s="45"/>
      <c r="DU348" s="45"/>
      <c r="DV348" s="45"/>
      <c r="DW348" s="45"/>
      <c r="DX348" s="45"/>
      <c r="DY348" s="45"/>
      <c r="DZ348" s="45"/>
    </row>
    <row r="349" spans="5:130" s="37" customFormat="1">
      <c r="E349" s="49"/>
      <c r="F349" s="49"/>
      <c r="G349" s="49"/>
      <c r="H349" s="49"/>
      <c r="I349" s="49"/>
      <c r="J349" s="49"/>
      <c r="K349" s="49"/>
      <c r="L349" s="49"/>
      <c r="M349" s="49"/>
      <c r="N349" s="49"/>
      <c r="O349" s="49"/>
      <c r="P349" s="49"/>
      <c r="Q349" s="49"/>
      <c r="R349" s="49"/>
      <c r="S349" s="50"/>
      <c r="T349" s="1510"/>
      <c r="U349" s="50"/>
      <c r="V349" s="50"/>
      <c r="W349" s="50"/>
      <c r="X349" s="50"/>
      <c r="Y349" s="50"/>
      <c r="Z349" s="50"/>
      <c r="CU349" s="30"/>
      <c r="CV349" s="30"/>
      <c r="CW349" s="30"/>
      <c r="CX349" s="30"/>
      <c r="CY349" s="30"/>
      <c r="CZ349" s="30"/>
      <c r="DA349" s="30"/>
      <c r="DB349" s="30"/>
      <c r="DC349" s="30"/>
      <c r="DD349" s="30"/>
      <c r="DE349" s="30"/>
      <c r="DF349" s="30"/>
      <c r="DG349" s="30"/>
      <c r="DH349" s="30"/>
      <c r="DI349" s="30"/>
      <c r="DJ349" s="30"/>
      <c r="DK349" s="30"/>
      <c r="DL349" s="45"/>
      <c r="DM349" s="45"/>
      <c r="DN349" s="45"/>
      <c r="DO349" s="45"/>
      <c r="DP349" s="45"/>
      <c r="DQ349" s="45"/>
      <c r="DR349" s="45"/>
      <c r="DS349" s="45"/>
      <c r="DT349" s="45"/>
      <c r="DU349" s="45"/>
      <c r="DV349" s="45"/>
      <c r="DW349" s="45"/>
      <c r="DX349" s="45"/>
      <c r="DY349" s="45"/>
      <c r="DZ349" s="45"/>
    </row>
    <row r="350" spans="5:130" s="37" customFormat="1">
      <c r="E350" s="49"/>
      <c r="F350" s="49"/>
      <c r="G350" s="49"/>
      <c r="H350" s="49"/>
      <c r="I350" s="49"/>
      <c r="J350" s="49"/>
      <c r="K350" s="49"/>
      <c r="L350" s="49"/>
      <c r="M350" s="49"/>
      <c r="N350" s="49"/>
      <c r="O350" s="49"/>
      <c r="P350" s="49"/>
      <c r="Q350" s="49"/>
      <c r="R350" s="49"/>
      <c r="S350" s="50"/>
      <c r="T350" s="1510"/>
      <c r="U350" s="50"/>
      <c r="V350" s="50"/>
      <c r="W350" s="50"/>
      <c r="X350" s="50"/>
      <c r="Y350" s="50"/>
      <c r="Z350" s="50"/>
      <c r="CU350" s="30"/>
      <c r="CV350" s="30"/>
      <c r="CW350" s="30"/>
      <c r="CX350" s="30"/>
      <c r="CY350" s="30"/>
      <c r="CZ350" s="30"/>
      <c r="DA350" s="30"/>
      <c r="DB350" s="30"/>
      <c r="DC350" s="30"/>
      <c r="DD350" s="30"/>
      <c r="DE350" s="30"/>
      <c r="DF350" s="30"/>
      <c r="DG350" s="30"/>
      <c r="DH350" s="30"/>
      <c r="DI350" s="30"/>
      <c r="DJ350" s="30"/>
      <c r="DK350" s="30"/>
      <c r="DL350" s="45"/>
      <c r="DM350" s="45"/>
      <c r="DN350" s="45"/>
      <c r="DO350" s="45"/>
      <c r="DP350" s="45"/>
      <c r="DQ350" s="45"/>
      <c r="DR350" s="45"/>
      <c r="DS350" s="45"/>
      <c r="DT350" s="45"/>
      <c r="DU350" s="45"/>
      <c r="DV350" s="45"/>
      <c r="DW350" s="45"/>
      <c r="DX350" s="45"/>
      <c r="DY350" s="45"/>
      <c r="DZ350" s="45"/>
    </row>
    <row r="351" spans="5:130" s="37" customFormat="1">
      <c r="E351" s="49"/>
      <c r="F351" s="49"/>
      <c r="G351" s="49"/>
      <c r="H351" s="49"/>
      <c r="I351" s="49"/>
      <c r="J351" s="49"/>
      <c r="K351" s="49"/>
      <c r="L351" s="49"/>
      <c r="M351" s="49"/>
      <c r="N351" s="49"/>
      <c r="O351" s="49"/>
      <c r="P351" s="49"/>
      <c r="Q351" s="49"/>
      <c r="R351" s="49"/>
      <c r="S351" s="50"/>
      <c r="T351" s="1510"/>
      <c r="U351" s="50"/>
      <c r="V351" s="50"/>
      <c r="W351" s="50"/>
      <c r="X351" s="50"/>
      <c r="Y351" s="50"/>
      <c r="Z351" s="50"/>
      <c r="CU351" s="30"/>
      <c r="CV351" s="30"/>
      <c r="CW351" s="30"/>
      <c r="CX351" s="30"/>
      <c r="CY351" s="30"/>
      <c r="CZ351" s="30"/>
      <c r="DA351" s="30"/>
      <c r="DB351" s="30"/>
      <c r="DC351" s="30"/>
      <c r="DD351" s="30"/>
      <c r="DE351" s="30"/>
      <c r="DF351" s="30"/>
      <c r="DG351" s="30"/>
      <c r="DH351" s="30"/>
      <c r="DI351" s="30"/>
      <c r="DJ351" s="30"/>
      <c r="DK351" s="30"/>
      <c r="DL351" s="45"/>
      <c r="DM351" s="45"/>
      <c r="DN351" s="45"/>
      <c r="DO351" s="45"/>
      <c r="DP351" s="45"/>
      <c r="DQ351" s="45"/>
      <c r="DR351" s="45"/>
      <c r="DS351" s="45"/>
      <c r="DT351" s="45"/>
      <c r="DU351" s="45"/>
      <c r="DV351" s="45"/>
      <c r="DW351" s="45"/>
      <c r="DX351" s="45"/>
      <c r="DY351" s="45"/>
      <c r="DZ351" s="45"/>
    </row>
    <row r="352" spans="5:130" s="37" customFormat="1">
      <c r="E352" s="49"/>
      <c r="F352" s="49"/>
      <c r="G352" s="49"/>
      <c r="H352" s="49"/>
      <c r="I352" s="49"/>
      <c r="J352" s="49"/>
      <c r="K352" s="49"/>
      <c r="L352" s="49"/>
      <c r="M352" s="49"/>
      <c r="N352" s="49"/>
      <c r="O352" s="49"/>
      <c r="P352" s="49"/>
      <c r="Q352" s="49"/>
      <c r="R352" s="49"/>
      <c r="S352" s="50"/>
      <c r="T352" s="1510"/>
      <c r="U352" s="50"/>
      <c r="V352" s="50"/>
      <c r="W352" s="50"/>
      <c r="X352" s="50"/>
      <c r="Y352" s="50"/>
      <c r="Z352" s="50"/>
      <c r="CU352" s="30"/>
      <c r="CV352" s="30"/>
      <c r="CW352" s="30"/>
      <c r="CX352" s="30"/>
      <c r="CY352" s="30"/>
      <c r="CZ352" s="30"/>
      <c r="DA352" s="30"/>
      <c r="DB352" s="30"/>
      <c r="DC352" s="30"/>
      <c r="DD352" s="30"/>
      <c r="DE352" s="30"/>
      <c r="DF352" s="30"/>
      <c r="DG352" s="30"/>
      <c r="DH352" s="30"/>
      <c r="DI352" s="30"/>
      <c r="DJ352" s="30"/>
      <c r="DK352" s="30"/>
      <c r="DL352" s="45"/>
      <c r="DM352" s="45"/>
      <c r="DN352" s="45"/>
      <c r="DO352" s="45"/>
      <c r="DP352" s="45"/>
      <c r="DQ352" s="45"/>
      <c r="DR352" s="45"/>
      <c r="DS352" s="45"/>
      <c r="DT352" s="45"/>
      <c r="DU352" s="45"/>
      <c r="DV352" s="45"/>
      <c r="DW352" s="45"/>
      <c r="DX352" s="45"/>
      <c r="DY352" s="45"/>
      <c r="DZ352" s="45"/>
    </row>
    <row r="353" spans="5:130" s="37" customFormat="1">
      <c r="E353" s="49"/>
      <c r="F353" s="49"/>
      <c r="G353" s="49"/>
      <c r="H353" s="49"/>
      <c r="I353" s="49"/>
      <c r="J353" s="49"/>
      <c r="K353" s="49"/>
      <c r="L353" s="49"/>
      <c r="M353" s="49"/>
      <c r="N353" s="49"/>
      <c r="O353" s="49"/>
      <c r="P353" s="49"/>
      <c r="Q353" s="49"/>
      <c r="R353" s="49"/>
      <c r="S353" s="50"/>
      <c r="T353" s="1510"/>
      <c r="U353" s="50"/>
      <c r="V353" s="50"/>
      <c r="W353" s="50"/>
      <c r="X353" s="50"/>
      <c r="Y353" s="50"/>
      <c r="Z353" s="50"/>
      <c r="CU353" s="30"/>
      <c r="CV353" s="30"/>
      <c r="CW353" s="30"/>
      <c r="CX353" s="30"/>
      <c r="CY353" s="30"/>
      <c r="CZ353" s="30"/>
      <c r="DA353" s="30"/>
      <c r="DB353" s="30"/>
      <c r="DC353" s="30"/>
      <c r="DD353" s="30"/>
      <c r="DE353" s="30"/>
      <c r="DF353" s="30"/>
      <c r="DG353" s="30"/>
      <c r="DH353" s="30"/>
      <c r="DI353" s="30"/>
      <c r="DJ353" s="30"/>
      <c r="DK353" s="30"/>
      <c r="DL353" s="45"/>
      <c r="DM353" s="45"/>
      <c r="DN353" s="45"/>
      <c r="DO353" s="45"/>
      <c r="DP353" s="45"/>
      <c r="DQ353" s="45"/>
      <c r="DR353" s="45"/>
      <c r="DS353" s="45"/>
      <c r="DT353" s="45"/>
      <c r="DU353" s="45"/>
      <c r="DV353" s="45"/>
      <c r="DW353" s="45"/>
      <c r="DX353" s="45"/>
      <c r="DY353" s="45"/>
      <c r="DZ353" s="45"/>
    </row>
    <row r="354" spans="5:130" s="37" customFormat="1">
      <c r="E354" s="49"/>
      <c r="F354" s="49"/>
      <c r="G354" s="49"/>
      <c r="H354" s="49"/>
      <c r="I354" s="49"/>
      <c r="J354" s="49"/>
      <c r="K354" s="49"/>
      <c r="L354" s="49"/>
      <c r="M354" s="49"/>
      <c r="N354" s="49"/>
      <c r="O354" s="49"/>
      <c r="P354" s="49"/>
      <c r="Q354" s="49"/>
      <c r="R354" s="49"/>
      <c r="S354" s="50"/>
      <c r="T354" s="1510"/>
      <c r="U354" s="50"/>
      <c r="V354" s="50"/>
      <c r="W354" s="50"/>
      <c r="X354" s="50"/>
      <c r="Y354" s="50"/>
      <c r="Z354" s="50"/>
      <c r="CU354" s="30"/>
      <c r="CV354" s="30"/>
      <c r="CW354" s="30"/>
      <c r="CX354" s="30"/>
      <c r="CY354" s="30"/>
      <c r="CZ354" s="30"/>
      <c r="DA354" s="30"/>
      <c r="DB354" s="30"/>
      <c r="DC354" s="30"/>
      <c r="DD354" s="30"/>
      <c r="DE354" s="30"/>
      <c r="DF354" s="30"/>
      <c r="DG354" s="30"/>
      <c r="DH354" s="30"/>
      <c r="DI354" s="30"/>
      <c r="DJ354" s="30"/>
      <c r="DK354" s="30"/>
      <c r="DL354" s="45"/>
      <c r="DM354" s="45"/>
      <c r="DN354" s="45"/>
      <c r="DO354" s="45"/>
      <c r="DP354" s="45"/>
      <c r="DQ354" s="45"/>
      <c r="DR354" s="45"/>
      <c r="DS354" s="45"/>
      <c r="DT354" s="45"/>
      <c r="DU354" s="45"/>
      <c r="DV354" s="45"/>
      <c r="DW354" s="45"/>
      <c r="DX354" s="45"/>
      <c r="DY354" s="45"/>
      <c r="DZ354" s="45"/>
    </row>
    <row r="355" spans="5:130" s="37" customFormat="1">
      <c r="E355" s="49"/>
      <c r="F355" s="49"/>
      <c r="G355" s="49"/>
      <c r="H355" s="49"/>
      <c r="I355" s="49"/>
      <c r="J355" s="49"/>
      <c r="K355" s="49"/>
      <c r="L355" s="49"/>
      <c r="M355" s="49"/>
      <c r="N355" s="49"/>
      <c r="O355" s="49"/>
      <c r="P355" s="49"/>
      <c r="Q355" s="49"/>
      <c r="R355" s="49"/>
      <c r="S355" s="50"/>
      <c r="T355" s="1510"/>
      <c r="U355" s="50"/>
      <c r="V355" s="50"/>
      <c r="W355" s="50"/>
      <c r="X355" s="50"/>
      <c r="Y355" s="50"/>
      <c r="Z355" s="50"/>
      <c r="CU355" s="30"/>
      <c r="CV355" s="30"/>
      <c r="CW355" s="30"/>
      <c r="CX355" s="30"/>
      <c r="CY355" s="30"/>
      <c r="CZ355" s="30"/>
      <c r="DA355" s="30"/>
      <c r="DB355" s="30"/>
      <c r="DC355" s="30"/>
      <c r="DD355" s="30"/>
      <c r="DE355" s="30"/>
      <c r="DF355" s="30"/>
      <c r="DG355" s="30"/>
      <c r="DH355" s="30"/>
      <c r="DI355" s="30"/>
      <c r="DJ355" s="30"/>
      <c r="DK355" s="30"/>
      <c r="DL355" s="45"/>
      <c r="DM355" s="45"/>
      <c r="DN355" s="45"/>
      <c r="DO355" s="45"/>
      <c r="DP355" s="45"/>
      <c r="DQ355" s="45"/>
      <c r="DR355" s="45"/>
      <c r="DS355" s="45"/>
      <c r="DT355" s="45"/>
      <c r="DU355" s="45"/>
      <c r="DV355" s="45"/>
      <c r="DW355" s="45"/>
      <c r="DX355" s="45"/>
      <c r="DY355" s="45"/>
      <c r="DZ355" s="45"/>
    </row>
    <row r="356" spans="5:130" s="37" customFormat="1">
      <c r="E356" s="49"/>
      <c r="F356" s="49"/>
      <c r="G356" s="49"/>
      <c r="H356" s="49"/>
      <c r="I356" s="49"/>
      <c r="J356" s="49"/>
      <c r="K356" s="49"/>
      <c r="L356" s="49"/>
      <c r="M356" s="49"/>
      <c r="N356" s="49"/>
      <c r="O356" s="49"/>
      <c r="P356" s="49"/>
      <c r="Q356" s="49"/>
      <c r="R356" s="49"/>
      <c r="S356" s="50"/>
      <c r="T356" s="1510"/>
      <c r="U356" s="50"/>
      <c r="V356" s="50"/>
      <c r="W356" s="50"/>
      <c r="X356" s="50"/>
      <c r="Y356" s="50"/>
      <c r="Z356" s="50"/>
      <c r="CU356" s="30"/>
      <c r="CV356" s="30"/>
      <c r="CW356" s="30"/>
      <c r="CX356" s="30"/>
      <c r="CY356" s="30"/>
      <c r="CZ356" s="30"/>
      <c r="DA356" s="30"/>
      <c r="DB356" s="30"/>
      <c r="DC356" s="30"/>
      <c r="DD356" s="30"/>
      <c r="DE356" s="30"/>
      <c r="DF356" s="30"/>
      <c r="DG356" s="30"/>
      <c r="DH356" s="30"/>
      <c r="DI356" s="30"/>
      <c r="DJ356" s="30"/>
      <c r="DK356" s="30"/>
      <c r="DL356" s="45"/>
      <c r="DM356" s="45"/>
      <c r="DN356" s="45"/>
      <c r="DO356" s="45"/>
      <c r="DP356" s="45"/>
      <c r="DQ356" s="45"/>
      <c r="DR356" s="45"/>
      <c r="DS356" s="45"/>
      <c r="DT356" s="45"/>
      <c r="DU356" s="45"/>
      <c r="DV356" s="45"/>
      <c r="DW356" s="45"/>
      <c r="DX356" s="45"/>
      <c r="DY356" s="45"/>
      <c r="DZ356" s="45"/>
    </row>
    <row r="357" spans="5:130" s="37" customFormat="1">
      <c r="E357" s="49"/>
      <c r="F357" s="49"/>
      <c r="G357" s="49"/>
      <c r="H357" s="49"/>
      <c r="I357" s="49"/>
      <c r="J357" s="49"/>
      <c r="K357" s="49"/>
      <c r="L357" s="49"/>
      <c r="M357" s="49"/>
      <c r="N357" s="49"/>
      <c r="O357" s="49"/>
      <c r="P357" s="49"/>
      <c r="Q357" s="49"/>
      <c r="R357" s="49"/>
      <c r="S357" s="50"/>
      <c r="T357" s="1510"/>
      <c r="U357" s="50"/>
      <c r="V357" s="50"/>
      <c r="W357" s="50"/>
      <c r="X357" s="50"/>
      <c r="Y357" s="50"/>
      <c r="Z357" s="50"/>
      <c r="CU357" s="30"/>
      <c r="CV357" s="30"/>
      <c r="CW357" s="30"/>
      <c r="CX357" s="30"/>
      <c r="CY357" s="30"/>
      <c r="CZ357" s="30"/>
      <c r="DA357" s="30"/>
      <c r="DB357" s="30"/>
      <c r="DC357" s="30"/>
      <c r="DD357" s="30"/>
      <c r="DE357" s="30"/>
      <c r="DF357" s="30"/>
      <c r="DG357" s="30"/>
      <c r="DH357" s="30"/>
      <c r="DI357" s="30"/>
      <c r="DJ357" s="30"/>
      <c r="DK357" s="30"/>
      <c r="DL357" s="45"/>
      <c r="DM357" s="45"/>
      <c r="DN357" s="45"/>
      <c r="DO357" s="45"/>
      <c r="DP357" s="45"/>
      <c r="DQ357" s="45"/>
      <c r="DR357" s="45"/>
      <c r="DS357" s="45"/>
      <c r="DT357" s="45"/>
      <c r="DU357" s="45"/>
      <c r="DV357" s="45"/>
      <c r="DW357" s="45"/>
      <c r="DX357" s="45"/>
      <c r="DY357" s="45"/>
      <c r="DZ357" s="45"/>
    </row>
    <row r="358" spans="5:130" s="37" customFormat="1">
      <c r="E358" s="49"/>
      <c r="F358" s="49"/>
      <c r="G358" s="49"/>
      <c r="H358" s="49"/>
      <c r="I358" s="49"/>
      <c r="J358" s="49"/>
      <c r="K358" s="49"/>
      <c r="L358" s="49"/>
      <c r="M358" s="49"/>
      <c r="N358" s="49"/>
      <c r="O358" s="49"/>
      <c r="P358" s="49"/>
      <c r="Q358" s="49"/>
      <c r="R358" s="49"/>
      <c r="S358" s="50"/>
      <c r="T358" s="1510"/>
      <c r="U358" s="50"/>
      <c r="V358" s="50"/>
      <c r="W358" s="50"/>
      <c r="X358" s="50"/>
      <c r="Y358" s="50"/>
      <c r="Z358" s="50"/>
      <c r="CU358" s="30"/>
      <c r="CV358" s="30"/>
      <c r="CW358" s="30"/>
      <c r="CX358" s="30"/>
      <c r="CY358" s="30"/>
      <c r="CZ358" s="30"/>
      <c r="DA358" s="30"/>
      <c r="DB358" s="30"/>
      <c r="DC358" s="30"/>
      <c r="DD358" s="30"/>
      <c r="DE358" s="30"/>
      <c r="DF358" s="30"/>
      <c r="DG358" s="30"/>
      <c r="DH358" s="30"/>
      <c r="DI358" s="30"/>
      <c r="DJ358" s="30"/>
      <c r="DK358" s="30"/>
      <c r="DL358" s="45"/>
      <c r="DM358" s="45"/>
      <c r="DN358" s="45"/>
      <c r="DO358" s="45"/>
      <c r="DP358" s="45"/>
      <c r="DQ358" s="45"/>
      <c r="DR358" s="45"/>
      <c r="DS358" s="45"/>
      <c r="DT358" s="45"/>
      <c r="DU358" s="45"/>
      <c r="DV358" s="45"/>
      <c r="DW358" s="45"/>
      <c r="DX358" s="45"/>
      <c r="DY358" s="45"/>
      <c r="DZ358" s="45"/>
    </row>
    <row r="359" spans="5:130" s="37" customFormat="1">
      <c r="E359" s="49"/>
      <c r="F359" s="49"/>
      <c r="G359" s="49"/>
      <c r="H359" s="49"/>
      <c r="I359" s="49"/>
      <c r="J359" s="49"/>
      <c r="K359" s="49"/>
      <c r="L359" s="49"/>
      <c r="M359" s="49"/>
      <c r="N359" s="49"/>
      <c r="O359" s="49"/>
      <c r="P359" s="49"/>
      <c r="Q359" s="49"/>
      <c r="R359" s="49"/>
      <c r="S359" s="50"/>
      <c r="T359" s="1510"/>
      <c r="U359" s="50"/>
      <c r="V359" s="50"/>
      <c r="W359" s="50"/>
      <c r="X359" s="50"/>
      <c r="Y359" s="50"/>
      <c r="Z359" s="50"/>
      <c r="CU359" s="30"/>
      <c r="CV359" s="30"/>
      <c r="CW359" s="30"/>
      <c r="CX359" s="30"/>
      <c r="CY359" s="30"/>
      <c r="CZ359" s="30"/>
      <c r="DA359" s="30"/>
      <c r="DB359" s="30"/>
      <c r="DC359" s="30"/>
      <c r="DD359" s="30"/>
      <c r="DE359" s="30"/>
      <c r="DF359" s="30"/>
      <c r="DG359" s="30"/>
      <c r="DH359" s="30"/>
      <c r="DI359" s="30"/>
      <c r="DJ359" s="30"/>
      <c r="DK359" s="30"/>
      <c r="DL359" s="45"/>
      <c r="DM359" s="45"/>
      <c r="DN359" s="45"/>
      <c r="DO359" s="45"/>
      <c r="DP359" s="45"/>
      <c r="DQ359" s="45"/>
      <c r="DR359" s="45"/>
      <c r="DS359" s="45"/>
      <c r="DT359" s="45"/>
      <c r="DU359" s="45"/>
      <c r="DV359" s="45"/>
      <c r="DW359" s="45"/>
      <c r="DX359" s="45"/>
      <c r="DY359" s="45"/>
      <c r="DZ359" s="45"/>
    </row>
    <row r="360" spans="5:130" s="37" customFormat="1">
      <c r="E360" s="49"/>
      <c r="F360" s="49"/>
      <c r="G360" s="49"/>
      <c r="H360" s="49"/>
      <c r="I360" s="49"/>
      <c r="J360" s="49"/>
      <c r="K360" s="49"/>
      <c r="L360" s="49"/>
      <c r="M360" s="49"/>
      <c r="N360" s="49"/>
      <c r="O360" s="49"/>
      <c r="P360" s="49"/>
      <c r="Q360" s="49"/>
      <c r="R360" s="49"/>
      <c r="S360" s="50"/>
      <c r="T360" s="1510"/>
      <c r="U360" s="50"/>
      <c r="V360" s="50"/>
      <c r="W360" s="50"/>
      <c r="X360" s="50"/>
      <c r="Y360" s="50"/>
      <c r="Z360" s="50"/>
      <c r="CU360" s="30"/>
      <c r="CV360" s="30"/>
      <c r="CW360" s="30"/>
      <c r="CX360" s="30"/>
      <c r="CY360" s="30"/>
      <c r="CZ360" s="30"/>
      <c r="DA360" s="30"/>
      <c r="DB360" s="30"/>
      <c r="DC360" s="30"/>
      <c r="DD360" s="30"/>
      <c r="DE360" s="30"/>
      <c r="DF360" s="30"/>
      <c r="DG360" s="30"/>
      <c r="DH360" s="30"/>
      <c r="DI360" s="30"/>
      <c r="DJ360" s="30"/>
      <c r="DK360" s="30"/>
      <c r="DL360" s="45"/>
      <c r="DM360" s="45"/>
      <c r="DN360" s="45"/>
      <c r="DO360" s="45"/>
      <c r="DP360" s="45"/>
      <c r="DQ360" s="45"/>
      <c r="DR360" s="45"/>
      <c r="DS360" s="45"/>
      <c r="DT360" s="45"/>
      <c r="DU360" s="45"/>
      <c r="DV360" s="45"/>
      <c r="DW360" s="45"/>
      <c r="DX360" s="45"/>
      <c r="DY360" s="45"/>
      <c r="DZ360" s="45"/>
    </row>
    <row r="361" spans="5:130" s="37" customFormat="1">
      <c r="E361" s="49"/>
      <c r="F361" s="49"/>
      <c r="G361" s="49"/>
      <c r="H361" s="49"/>
      <c r="I361" s="49"/>
      <c r="J361" s="49"/>
      <c r="K361" s="49"/>
      <c r="L361" s="49"/>
      <c r="M361" s="49"/>
      <c r="N361" s="49"/>
      <c r="O361" s="49"/>
      <c r="P361" s="49"/>
      <c r="Q361" s="49"/>
      <c r="R361" s="49"/>
      <c r="S361" s="50"/>
      <c r="T361" s="1510"/>
      <c r="U361" s="50"/>
      <c r="V361" s="50"/>
      <c r="W361" s="50"/>
      <c r="X361" s="50"/>
      <c r="Y361" s="50"/>
      <c r="Z361" s="50"/>
      <c r="CU361" s="30"/>
      <c r="CV361" s="30"/>
      <c r="CW361" s="30"/>
      <c r="CX361" s="30"/>
      <c r="CY361" s="30"/>
      <c r="CZ361" s="30"/>
      <c r="DA361" s="30"/>
      <c r="DB361" s="30"/>
      <c r="DC361" s="30"/>
      <c r="DD361" s="30"/>
      <c r="DE361" s="30"/>
      <c r="DF361" s="30"/>
      <c r="DG361" s="30"/>
      <c r="DH361" s="30"/>
      <c r="DI361" s="30"/>
      <c r="DJ361" s="30"/>
      <c r="DK361" s="30"/>
      <c r="DL361" s="45"/>
      <c r="DM361" s="45"/>
      <c r="DN361" s="45"/>
      <c r="DO361" s="45"/>
      <c r="DP361" s="45"/>
      <c r="DQ361" s="45"/>
      <c r="DR361" s="45"/>
      <c r="DS361" s="45"/>
      <c r="DT361" s="45"/>
      <c r="DU361" s="45"/>
      <c r="DV361" s="45"/>
      <c r="DW361" s="45"/>
      <c r="DX361" s="45"/>
      <c r="DY361" s="45"/>
      <c r="DZ361" s="45"/>
    </row>
    <row r="362" spans="5:130" s="37" customFormat="1">
      <c r="E362" s="49"/>
      <c r="F362" s="49"/>
      <c r="G362" s="49"/>
      <c r="H362" s="49"/>
      <c r="I362" s="49"/>
      <c r="J362" s="49"/>
      <c r="K362" s="49"/>
      <c r="L362" s="49"/>
      <c r="M362" s="49"/>
      <c r="N362" s="49"/>
      <c r="O362" s="49"/>
      <c r="P362" s="49"/>
      <c r="Q362" s="49"/>
      <c r="R362" s="49"/>
      <c r="S362" s="50"/>
      <c r="T362" s="1510"/>
      <c r="U362" s="50"/>
      <c r="V362" s="50"/>
      <c r="W362" s="50"/>
      <c r="X362" s="50"/>
      <c r="Y362" s="50"/>
      <c r="Z362" s="50"/>
      <c r="CU362" s="30"/>
      <c r="CV362" s="30"/>
      <c r="CW362" s="30"/>
      <c r="CX362" s="30"/>
      <c r="CY362" s="30"/>
      <c r="CZ362" s="30"/>
      <c r="DA362" s="30"/>
      <c r="DB362" s="30"/>
      <c r="DC362" s="30"/>
      <c r="DD362" s="30"/>
      <c r="DE362" s="30"/>
      <c r="DF362" s="30"/>
      <c r="DG362" s="30"/>
      <c r="DH362" s="30"/>
      <c r="DI362" s="30"/>
      <c r="DJ362" s="30"/>
      <c r="DK362" s="30"/>
      <c r="DL362" s="45"/>
      <c r="DM362" s="45"/>
      <c r="DN362" s="45"/>
      <c r="DO362" s="45"/>
      <c r="DP362" s="45"/>
      <c r="DQ362" s="45"/>
      <c r="DR362" s="45"/>
      <c r="DS362" s="45"/>
      <c r="DT362" s="45"/>
      <c r="DU362" s="45"/>
      <c r="DV362" s="45"/>
      <c r="DW362" s="45"/>
      <c r="DX362" s="45"/>
      <c r="DY362" s="45"/>
      <c r="DZ362" s="45"/>
    </row>
    <row r="363" spans="5:130" s="37" customFormat="1">
      <c r="E363" s="49"/>
      <c r="F363" s="49"/>
      <c r="G363" s="49"/>
      <c r="H363" s="49"/>
      <c r="I363" s="49"/>
      <c r="J363" s="49"/>
      <c r="K363" s="49"/>
      <c r="L363" s="49"/>
      <c r="M363" s="49"/>
      <c r="N363" s="49"/>
      <c r="O363" s="49"/>
      <c r="P363" s="49"/>
      <c r="Q363" s="49"/>
      <c r="R363" s="49"/>
      <c r="S363" s="50"/>
      <c r="T363" s="1510"/>
      <c r="U363" s="50"/>
      <c r="V363" s="50"/>
      <c r="W363" s="50"/>
      <c r="X363" s="50"/>
      <c r="Y363" s="50"/>
      <c r="Z363" s="50"/>
      <c r="CU363" s="30"/>
      <c r="CV363" s="30"/>
      <c r="CW363" s="30"/>
      <c r="CX363" s="30"/>
      <c r="CY363" s="30"/>
      <c r="CZ363" s="30"/>
      <c r="DA363" s="30"/>
      <c r="DB363" s="30"/>
      <c r="DC363" s="30"/>
      <c r="DD363" s="30"/>
      <c r="DE363" s="30"/>
      <c r="DF363" s="30"/>
      <c r="DG363" s="30"/>
      <c r="DH363" s="30"/>
      <c r="DI363" s="30"/>
      <c r="DJ363" s="30"/>
      <c r="DK363" s="30"/>
      <c r="DL363" s="45"/>
      <c r="DM363" s="45"/>
      <c r="DN363" s="45"/>
      <c r="DO363" s="45"/>
      <c r="DP363" s="45"/>
      <c r="DQ363" s="45"/>
      <c r="DR363" s="45"/>
      <c r="DS363" s="45"/>
      <c r="DT363" s="45"/>
      <c r="DU363" s="45"/>
      <c r="DV363" s="45"/>
      <c r="DW363" s="45"/>
      <c r="DX363" s="45"/>
      <c r="DY363" s="45"/>
      <c r="DZ363" s="45"/>
    </row>
    <row r="364" spans="5:130" s="37" customFormat="1">
      <c r="E364" s="49"/>
      <c r="F364" s="49"/>
      <c r="G364" s="49"/>
      <c r="H364" s="49"/>
      <c r="I364" s="49"/>
      <c r="J364" s="49"/>
      <c r="K364" s="49"/>
      <c r="L364" s="49"/>
      <c r="M364" s="49"/>
      <c r="N364" s="49"/>
      <c r="O364" s="49"/>
      <c r="P364" s="49"/>
      <c r="Q364" s="49"/>
      <c r="R364" s="49"/>
      <c r="S364" s="50"/>
      <c r="T364" s="1510"/>
      <c r="U364" s="50"/>
      <c r="V364" s="50"/>
      <c r="W364" s="50"/>
      <c r="X364" s="50"/>
      <c r="Y364" s="50"/>
      <c r="Z364" s="50"/>
      <c r="CU364" s="30"/>
      <c r="CV364" s="30"/>
      <c r="CW364" s="30"/>
      <c r="CX364" s="30"/>
      <c r="CY364" s="30"/>
      <c r="CZ364" s="30"/>
      <c r="DA364" s="30"/>
      <c r="DB364" s="30"/>
      <c r="DC364" s="30"/>
      <c r="DD364" s="30"/>
      <c r="DE364" s="30"/>
      <c r="DF364" s="30"/>
      <c r="DG364" s="30"/>
      <c r="DH364" s="30"/>
      <c r="DI364" s="30"/>
      <c r="DJ364" s="30"/>
      <c r="DK364" s="30"/>
      <c r="DL364" s="45"/>
      <c r="DM364" s="45"/>
      <c r="DN364" s="45"/>
      <c r="DO364" s="45"/>
      <c r="DP364" s="45"/>
      <c r="DQ364" s="45"/>
      <c r="DR364" s="45"/>
      <c r="DS364" s="45"/>
      <c r="DT364" s="45"/>
      <c r="DU364" s="45"/>
      <c r="DV364" s="45"/>
      <c r="DW364" s="45"/>
      <c r="DX364" s="45"/>
      <c r="DY364" s="45"/>
      <c r="DZ364" s="45"/>
    </row>
    <row r="365" spans="5:130" s="37" customFormat="1">
      <c r="E365" s="49"/>
      <c r="F365" s="49"/>
      <c r="G365" s="49"/>
      <c r="H365" s="49"/>
      <c r="I365" s="49"/>
      <c r="J365" s="49"/>
      <c r="K365" s="49"/>
      <c r="L365" s="49"/>
      <c r="M365" s="49"/>
      <c r="N365" s="49"/>
      <c r="O365" s="49"/>
      <c r="P365" s="49"/>
      <c r="Q365" s="49"/>
      <c r="R365" s="49"/>
      <c r="S365" s="50"/>
      <c r="T365" s="1510"/>
      <c r="U365" s="50"/>
      <c r="V365" s="50"/>
      <c r="W365" s="50"/>
      <c r="X365" s="50"/>
      <c r="Y365" s="50"/>
      <c r="Z365" s="50"/>
      <c r="CU365" s="30"/>
      <c r="CV365" s="30"/>
      <c r="CW365" s="30"/>
      <c r="CX365" s="30"/>
      <c r="CY365" s="30"/>
      <c r="CZ365" s="30"/>
      <c r="DA365" s="30"/>
      <c r="DB365" s="30"/>
      <c r="DC365" s="30"/>
      <c r="DD365" s="30"/>
      <c r="DE365" s="30"/>
      <c r="DF365" s="30"/>
      <c r="DG365" s="30"/>
      <c r="DH365" s="30"/>
      <c r="DI365" s="30"/>
      <c r="DJ365" s="30"/>
      <c r="DK365" s="30"/>
      <c r="DL365" s="45"/>
      <c r="DM365" s="45"/>
      <c r="DN365" s="45"/>
      <c r="DO365" s="45"/>
      <c r="DP365" s="45"/>
      <c r="DQ365" s="45"/>
      <c r="DR365" s="45"/>
      <c r="DS365" s="45"/>
      <c r="DT365" s="45"/>
      <c r="DU365" s="45"/>
      <c r="DV365" s="45"/>
      <c r="DW365" s="45"/>
      <c r="DX365" s="45"/>
      <c r="DY365" s="45"/>
      <c r="DZ365" s="45"/>
    </row>
    <row r="366" spans="5:130" s="37" customFormat="1">
      <c r="E366" s="49"/>
      <c r="F366" s="49"/>
      <c r="G366" s="49"/>
      <c r="H366" s="49"/>
      <c r="I366" s="49"/>
      <c r="J366" s="49"/>
      <c r="K366" s="49"/>
      <c r="L366" s="49"/>
      <c r="M366" s="49"/>
      <c r="N366" s="49"/>
      <c r="O366" s="49"/>
      <c r="P366" s="49"/>
      <c r="Q366" s="49"/>
      <c r="R366" s="49"/>
      <c r="S366" s="50"/>
      <c r="T366" s="1510"/>
      <c r="U366" s="50"/>
      <c r="V366" s="50"/>
      <c r="W366" s="50"/>
      <c r="X366" s="50"/>
      <c r="Y366" s="50"/>
      <c r="Z366" s="50"/>
      <c r="CU366" s="30"/>
      <c r="CV366" s="30"/>
      <c r="CW366" s="30"/>
      <c r="CX366" s="30"/>
      <c r="CY366" s="30"/>
      <c r="CZ366" s="30"/>
      <c r="DA366" s="30"/>
      <c r="DB366" s="30"/>
      <c r="DC366" s="30"/>
      <c r="DD366" s="30"/>
      <c r="DE366" s="30"/>
      <c r="DF366" s="30"/>
      <c r="DG366" s="30"/>
      <c r="DH366" s="30"/>
      <c r="DI366" s="30"/>
      <c r="DJ366" s="30"/>
      <c r="DK366" s="30"/>
      <c r="DL366" s="45"/>
      <c r="DM366" s="45"/>
      <c r="DN366" s="45"/>
      <c r="DO366" s="45"/>
      <c r="DP366" s="45"/>
      <c r="DQ366" s="45"/>
      <c r="DR366" s="45"/>
      <c r="DS366" s="45"/>
      <c r="DT366" s="45"/>
      <c r="DU366" s="45"/>
      <c r="DV366" s="45"/>
      <c r="DW366" s="45"/>
      <c r="DX366" s="45"/>
      <c r="DY366" s="45"/>
      <c r="DZ366" s="45"/>
    </row>
    <row r="367" spans="5:130" s="37" customFormat="1">
      <c r="E367" s="49"/>
      <c r="F367" s="49"/>
      <c r="G367" s="49"/>
      <c r="H367" s="49"/>
      <c r="I367" s="49"/>
      <c r="J367" s="49"/>
      <c r="K367" s="49"/>
      <c r="L367" s="49"/>
      <c r="M367" s="49"/>
      <c r="N367" s="49"/>
      <c r="O367" s="49"/>
      <c r="P367" s="49"/>
      <c r="Q367" s="49"/>
      <c r="R367" s="49"/>
      <c r="S367" s="50"/>
      <c r="T367" s="1510"/>
      <c r="U367" s="50"/>
      <c r="V367" s="50"/>
      <c r="W367" s="50"/>
      <c r="X367" s="50"/>
      <c r="Y367" s="50"/>
      <c r="Z367" s="50"/>
      <c r="CU367" s="30"/>
      <c r="CV367" s="30"/>
      <c r="CW367" s="30"/>
      <c r="CX367" s="30"/>
      <c r="CY367" s="30"/>
      <c r="CZ367" s="30"/>
      <c r="DA367" s="30"/>
      <c r="DB367" s="30"/>
      <c r="DC367" s="30"/>
      <c r="DD367" s="30"/>
      <c r="DE367" s="30"/>
      <c r="DF367" s="30"/>
      <c r="DG367" s="30"/>
      <c r="DH367" s="30"/>
      <c r="DI367" s="30"/>
      <c r="DJ367" s="30"/>
      <c r="DK367" s="30"/>
      <c r="DL367" s="45"/>
      <c r="DM367" s="45"/>
      <c r="DN367" s="45"/>
      <c r="DO367" s="45"/>
      <c r="DP367" s="45"/>
      <c r="DQ367" s="45"/>
      <c r="DR367" s="45"/>
      <c r="DS367" s="45"/>
      <c r="DT367" s="45"/>
      <c r="DU367" s="45"/>
      <c r="DV367" s="45"/>
      <c r="DW367" s="45"/>
      <c r="DX367" s="45"/>
      <c r="DY367" s="45"/>
      <c r="DZ367" s="45"/>
    </row>
    <row r="368" spans="5:130" s="37" customFormat="1">
      <c r="E368" s="49"/>
      <c r="F368" s="49"/>
      <c r="G368" s="49"/>
      <c r="H368" s="49"/>
      <c r="I368" s="49"/>
      <c r="J368" s="49"/>
      <c r="K368" s="49"/>
      <c r="L368" s="49"/>
      <c r="M368" s="49"/>
      <c r="N368" s="49"/>
      <c r="O368" s="49"/>
      <c r="P368" s="49"/>
      <c r="Q368" s="49"/>
      <c r="R368" s="49"/>
      <c r="S368" s="50"/>
      <c r="T368" s="1510"/>
      <c r="U368" s="50"/>
      <c r="V368" s="50"/>
      <c r="W368" s="50"/>
      <c r="X368" s="50"/>
      <c r="Y368" s="50"/>
      <c r="Z368" s="50"/>
      <c r="CU368" s="30"/>
      <c r="CV368" s="30"/>
      <c r="CW368" s="30"/>
      <c r="CX368" s="30"/>
      <c r="CY368" s="30"/>
      <c r="CZ368" s="30"/>
      <c r="DA368" s="30"/>
      <c r="DB368" s="30"/>
      <c r="DC368" s="30"/>
      <c r="DD368" s="30"/>
      <c r="DE368" s="30"/>
      <c r="DF368" s="30"/>
      <c r="DG368" s="30"/>
      <c r="DH368" s="30"/>
      <c r="DI368" s="30"/>
      <c r="DJ368" s="30"/>
      <c r="DK368" s="30"/>
      <c r="DL368" s="45"/>
      <c r="DM368" s="45"/>
      <c r="DN368" s="45"/>
      <c r="DO368" s="45"/>
      <c r="DP368" s="45"/>
      <c r="DQ368" s="45"/>
      <c r="DR368" s="45"/>
      <c r="DS368" s="45"/>
      <c r="DT368" s="45"/>
      <c r="DU368" s="45"/>
      <c r="DV368" s="45"/>
      <c r="DW368" s="45"/>
      <c r="DX368" s="45"/>
      <c r="DY368" s="45"/>
      <c r="DZ368" s="45"/>
    </row>
    <row r="369" spans="5:130" s="37" customFormat="1">
      <c r="E369" s="49"/>
      <c r="F369" s="49"/>
      <c r="G369" s="49"/>
      <c r="H369" s="49"/>
      <c r="I369" s="49"/>
      <c r="J369" s="49"/>
      <c r="K369" s="49"/>
      <c r="L369" s="49"/>
      <c r="M369" s="49"/>
      <c r="N369" s="49"/>
      <c r="O369" s="49"/>
      <c r="P369" s="49"/>
      <c r="Q369" s="49"/>
      <c r="R369" s="49"/>
      <c r="S369" s="50"/>
      <c r="T369" s="1510"/>
      <c r="U369" s="50"/>
      <c r="V369" s="50"/>
      <c r="W369" s="50"/>
      <c r="X369" s="50"/>
      <c r="Y369" s="50"/>
      <c r="Z369" s="50"/>
      <c r="CU369" s="30"/>
      <c r="CV369" s="30"/>
      <c r="CW369" s="30"/>
      <c r="CX369" s="30"/>
      <c r="CY369" s="30"/>
      <c r="CZ369" s="30"/>
      <c r="DA369" s="30"/>
      <c r="DB369" s="30"/>
      <c r="DC369" s="30"/>
      <c r="DD369" s="30"/>
      <c r="DE369" s="30"/>
      <c r="DF369" s="30"/>
      <c r="DG369" s="30"/>
      <c r="DH369" s="30"/>
      <c r="DI369" s="30"/>
      <c r="DJ369" s="30"/>
      <c r="DK369" s="30"/>
      <c r="DL369" s="45"/>
      <c r="DM369" s="45"/>
      <c r="DN369" s="45"/>
      <c r="DO369" s="45"/>
      <c r="DP369" s="45"/>
      <c r="DQ369" s="45"/>
      <c r="DR369" s="45"/>
      <c r="DS369" s="45"/>
      <c r="DT369" s="45"/>
      <c r="DU369" s="45"/>
      <c r="DV369" s="45"/>
      <c r="DW369" s="45"/>
      <c r="DX369" s="45"/>
      <c r="DY369" s="45"/>
      <c r="DZ369" s="45"/>
    </row>
    <row r="370" spans="5:130" s="37" customFormat="1">
      <c r="E370" s="49"/>
      <c r="F370" s="49"/>
      <c r="G370" s="49"/>
      <c r="H370" s="49"/>
      <c r="I370" s="49"/>
      <c r="J370" s="49"/>
      <c r="K370" s="49"/>
      <c r="L370" s="49"/>
      <c r="M370" s="49"/>
      <c r="N370" s="49"/>
      <c r="O370" s="49"/>
      <c r="P370" s="49"/>
      <c r="Q370" s="49"/>
      <c r="R370" s="49"/>
      <c r="S370" s="50"/>
      <c r="T370" s="1510"/>
      <c r="U370" s="50"/>
      <c r="V370" s="50"/>
      <c r="W370" s="50"/>
      <c r="X370" s="50"/>
      <c r="Y370" s="50"/>
      <c r="Z370" s="50"/>
      <c r="CU370" s="30"/>
      <c r="CV370" s="30"/>
      <c r="CW370" s="30"/>
      <c r="CX370" s="30"/>
      <c r="CY370" s="30"/>
      <c r="CZ370" s="30"/>
      <c r="DA370" s="30"/>
      <c r="DB370" s="30"/>
      <c r="DC370" s="30"/>
      <c r="DD370" s="30"/>
      <c r="DE370" s="30"/>
      <c r="DF370" s="30"/>
      <c r="DG370" s="30"/>
      <c r="DH370" s="30"/>
      <c r="DI370" s="30"/>
      <c r="DJ370" s="30"/>
      <c r="DK370" s="30"/>
      <c r="DL370" s="45"/>
      <c r="DM370" s="45"/>
      <c r="DN370" s="45"/>
      <c r="DO370" s="45"/>
      <c r="DP370" s="45"/>
      <c r="DQ370" s="45"/>
      <c r="DR370" s="45"/>
      <c r="DS370" s="45"/>
      <c r="DT370" s="45"/>
      <c r="DU370" s="45"/>
      <c r="DV370" s="45"/>
      <c r="DW370" s="45"/>
      <c r="DX370" s="45"/>
      <c r="DY370" s="45"/>
      <c r="DZ370" s="45"/>
    </row>
    <row r="371" spans="5:130" s="37" customFormat="1">
      <c r="E371" s="49"/>
      <c r="F371" s="49"/>
      <c r="G371" s="49"/>
      <c r="H371" s="49"/>
      <c r="I371" s="49"/>
      <c r="J371" s="49"/>
      <c r="K371" s="49"/>
      <c r="L371" s="49"/>
      <c r="M371" s="49"/>
      <c r="N371" s="49"/>
      <c r="O371" s="49"/>
      <c r="P371" s="49"/>
      <c r="Q371" s="49"/>
      <c r="R371" s="49"/>
      <c r="S371" s="50"/>
      <c r="T371" s="1510"/>
      <c r="U371" s="50"/>
      <c r="V371" s="50"/>
      <c r="W371" s="50"/>
      <c r="X371" s="50"/>
      <c r="Y371" s="50"/>
      <c r="Z371" s="50"/>
      <c r="CU371" s="30"/>
      <c r="CV371" s="30"/>
      <c r="CW371" s="30"/>
      <c r="CX371" s="30"/>
      <c r="CY371" s="30"/>
      <c r="CZ371" s="30"/>
      <c r="DA371" s="30"/>
      <c r="DB371" s="30"/>
      <c r="DC371" s="30"/>
      <c r="DD371" s="30"/>
      <c r="DE371" s="30"/>
      <c r="DF371" s="30"/>
      <c r="DG371" s="30"/>
      <c r="DH371" s="30"/>
      <c r="DI371" s="30"/>
      <c r="DJ371" s="30"/>
      <c r="DK371" s="30"/>
      <c r="DL371" s="45"/>
      <c r="DM371" s="45"/>
      <c r="DN371" s="45"/>
      <c r="DO371" s="45"/>
      <c r="DP371" s="45"/>
      <c r="DQ371" s="45"/>
      <c r="DR371" s="45"/>
      <c r="DS371" s="45"/>
      <c r="DT371" s="45"/>
      <c r="DU371" s="45"/>
      <c r="DV371" s="45"/>
      <c r="DW371" s="45"/>
      <c r="DX371" s="45"/>
      <c r="DY371" s="45"/>
      <c r="DZ371" s="45"/>
    </row>
    <row r="372" spans="5:130" s="37" customFormat="1">
      <c r="E372" s="49"/>
      <c r="F372" s="49"/>
      <c r="G372" s="49"/>
      <c r="H372" s="49"/>
      <c r="I372" s="49"/>
      <c r="J372" s="49"/>
      <c r="K372" s="49"/>
      <c r="L372" s="49"/>
      <c r="M372" s="49"/>
      <c r="N372" s="49"/>
      <c r="O372" s="49"/>
      <c r="P372" s="49"/>
      <c r="Q372" s="49"/>
      <c r="R372" s="49"/>
      <c r="S372" s="50"/>
      <c r="T372" s="1510"/>
      <c r="U372" s="50"/>
      <c r="V372" s="50"/>
      <c r="W372" s="50"/>
      <c r="X372" s="50"/>
      <c r="Y372" s="50"/>
      <c r="Z372" s="50"/>
      <c r="CU372" s="30"/>
      <c r="CV372" s="30"/>
      <c r="CW372" s="30"/>
      <c r="CX372" s="30"/>
      <c r="CY372" s="30"/>
      <c r="CZ372" s="30"/>
      <c r="DA372" s="30"/>
      <c r="DB372" s="30"/>
      <c r="DC372" s="30"/>
      <c r="DD372" s="30"/>
      <c r="DE372" s="30"/>
      <c r="DF372" s="30"/>
      <c r="DG372" s="30"/>
      <c r="DH372" s="30"/>
      <c r="DI372" s="30"/>
      <c r="DJ372" s="30"/>
      <c r="DK372" s="30"/>
      <c r="DL372" s="45"/>
      <c r="DM372" s="45"/>
      <c r="DN372" s="45"/>
      <c r="DO372" s="45"/>
      <c r="DP372" s="45"/>
      <c r="DQ372" s="45"/>
      <c r="DR372" s="45"/>
      <c r="DS372" s="45"/>
      <c r="DT372" s="45"/>
      <c r="DU372" s="45"/>
      <c r="DV372" s="45"/>
      <c r="DW372" s="45"/>
      <c r="DX372" s="45"/>
      <c r="DY372" s="45"/>
      <c r="DZ372" s="45"/>
    </row>
    <row r="373" spans="5:130" s="37" customFormat="1">
      <c r="E373" s="49"/>
      <c r="F373" s="49"/>
      <c r="G373" s="49"/>
      <c r="H373" s="49"/>
      <c r="I373" s="49"/>
      <c r="J373" s="49"/>
      <c r="K373" s="49"/>
      <c r="L373" s="49"/>
      <c r="M373" s="49"/>
      <c r="N373" s="49"/>
      <c r="O373" s="49"/>
      <c r="P373" s="49"/>
      <c r="Q373" s="49"/>
      <c r="R373" s="49"/>
      <c r="S373" s="50"/>
      <c r="T373" s="1510"/>
      <c r="U373" s="50"/>
      <c r="V373" s="50"/>
      <c r="W373" s="50"/>
      <c r="X373" s="50"/>
      <c r="Y373" s="50"/>
      <c r="Z373" s="50"/>
      <c r="CU373" s="30"/>
      <c r="CV373" s="30"/>
      <c r="CW373" s="30"/>
      <c r="CX373" s="30"/>
      <c r="CY373" s="30"/>
      <c r="CZ373" s="30"/>
      <c r="DA373" s="30"/>
      <c r="DB373" s="30"/>
      <c r="DC373" s="30"/>
      <c r="DD373" s="30"/>
      <c r="DE373" s="30"/>
      <c r="DF373" s="30"/>
      <c r="DG373" s="30"/>
      <c r="DH373" s="30"/>
      <c r="DI373" s="30"/>
      <c r="DJ373" s="30"/>
      <c r="DK373" s="30"/>
      <c r="DL373" s="45"/>
      <c r="DM373" s="45"/>
      <c r="DN373" s="45"/>
      <c r="DO373" s="45"/>
      <c r="DP373" s="45"/>
      <c r="DQ373" s="45"/>
      <c r="DR373" s="45"/>
      <c r="DS373" s="45"/>
      <c r="DT373" s="45"/>
      <c r="DU373" s="45"/>
      <c r="DV373" s="45"/>
      <c r="DW373" s="45"/>
      <c r="DX373" s="45"/>
      <c r="DY373" s="45"/>
      <c r="DZ373" s="45"/>
    </row>
    <row r="374" spans="5:130" s="37" customFormat="1">
      <c r="E374" s="49"/>
      <c r="F374" s="49"/>
      <c r="G374" s="49"/>
      <c r="H374" s="49"/>
      <c r="I374" s="49"/>
      <c r="J374" s="49"/>
      <c r="K374" s="49"/>
      <c r="L374" s="49"/>
      <c r="M374" s="49"/>
      <c r="N374" s="49"/>
      <c r="O374" s="49"/>
      <c r="P374" s="49"/>
      <c r="Q374" s="49"/>
      <c r="R374" s="49"/>
      <c r="S374" s="50"/>
      <c r="T374" s="1510"/>
      <c r="U374" s="50"/>
      <c r="V374" s="50"/>
      <c r="W374" s="50"/>
      <c r="X374" s="50"/>
      <c r="Y374" s="50"/>
      <c r="Z374" s="50"/>
      <c r="CU374" s="30"/>
      <c r="CV374" s="30"/>
      <c r="CW374" s="30"/>
      <c r="CX374" s="30"/>
      <c r="CY374" s="30"/>
      <c r="CZ374" s="30"/>
      <c r="DA374" s="30"/>
      <c r="DB374" s="30"/>
      <c r="DC374" s="30"/>
      <c r="DD374" s="30"/>
      <c r="DE374" s="30"/>
      <c r="DF374" s="30"/>
      <c r="DG374" s="30"/>
      <c r="DH374" s="30"/>
      <c r="DI374" s="30"/>
      <c r="DJ374" s="30"/>
      <c r="DK374" s="30"/>
      <c r="DL374" s="45"/>
      <c r="DM374" s="45"/>
      <c r="DN374" s="45"/>
      <c r="DO374" s="45"/>
      <c r="DP374" s="45"/>
      <c r="DQ374" s="45"/>
      <c r="DR374" s="45"/>
      <c r="DS374" s="45"/>
      <c r="DT374" s="45"/>
      <c r="DU374" s="45"/>
      <c r="DV374" s="45"/>
      <c r="DW374" s="45"/>
      <c r="DX374" s="45"/>
      <c r="DY374" s="45"/>
      <c r="DZ374" s="45"/>
    </row>
    <row r="375" spans="5:130" s="37" customFormat="1">
      <c r="E375" s="49"/>
      <c r="F375" s="49"/>
      <c r="G375" s="49"/>
      <c r="H375" s="49"/>
      <c r="I375" s="49"/>
      <c r="J375" s="49"/>
      <c r="K375" s="49"/>
      <c r="L375" s="49"/>
      <c r="M375" s="49"/>
      <c r="N375" s="49"/>
      <c r="O375" s="49"/>
      <c r="P375" s="49"/>
      <c r="Q375" s="49"/>
      <c r="R375" s="49"/>
      <c r="S375" s="50"/>
      <c r="T375" s="1510"/>
      <c r="U375" s="50"/>
      <c r="V375" s="50"/>
      <c r="W375" s="50"/>
      <c r="X375" s="50"/>
      <c r="Y375" s="50"/>
      <c r="Z375" s="50"/>
      <c r="CU375" s="30"/>
      <c r="CV375" s="30"/>
      <c r="CW375" s="30"/>
      <c r="CX375" s="30"/>
      <c r="CY375" s="30"/>
      <c r="CZ375" s="30"/>
      <c r="DA375" s="30"/>
      <c r="DB375" s="30"/>
      <c r="DC375" s="30"/>
      <c r="DD375" s="30"/>
      <c r="DE375" s="30"/>
      <c r="DF375" s="30"/>
      <c r="DG375" s="30"/>
      <c r="DH375" s="30"/>
      <c r="DI375" s="30"/>
      <c r="DJ375" s="30"/>
      <c r="DK375" s="30"/>
      <c r="DL375" s="45"/>
      <c r="DM375" s="45"/>
      <c r="DN375" s="45"/>
      <c r="DO375" s="45"/>
      <c r="DP375" s="45"/>
      <c r="DQ375" s="45"/>
      <c r="DR375" s="45"/>
      <c r="DS375" s="45"/>
      <c r="DT375" s="45"/>
      <c r="DU375" s="45"/>
      <c r="DV375" s="45"/>
      <c r="DW375" s="45"/>
      <c r="DX375" s="45"/>
      <c r="DY375" s="45"/>
      <c r="DZ375" s="45"/>
    </row>
    <row r="376" spans="5:130" s="37" customFormat="1">
      <c r="E376" s="49"/>
      <c r="F376" s="49"/>
      <c r="G376" s="49"/>
      <c r="H376" s="49"/>
      <c r="I376" s="49"/>
      <c r="J376" s="49"/>
      <c r="K376" s="49"/>
      <c r="L376" s="49"/>
      <c r="M376" s="49"/>
      <c r="N376" s="49"/>
      <c r="O376" s="49"/>
      <c r="P376" s="49"/>
      <c r="Q376" s="49"/>
      <c r="R376" s="49"/>
      <c r="S376" s="50"/>
      <c r="T376" s="1510"/>
      <c r="U376" s="50"/>
      <c r="V376" s="50"/>
      <c r="W376" s="50"/>
      <c r="X376" s="50"/>
      <c r="Y376" s="50"/>
      <c r="Z376" s="50"/>
      <c r="CU376" s="30"/>
      <c r="CV376" s="30"/>
      <c r="CW376" s="30"/>
      <c r="CX376" s="30"/>
      <c r="CY376" s="30"/>
      <c r="CZ376" s="30"/>
      <c r="DA376" s="30"/>
      <c r="DB376" s="30"/>
      <c r="DC376" s="30"/>
      <c r="DD376" s="30"/>
      <c r="DE376" s="30"/>
      <c r="DF376" s="30"/>
      <c r="DG376" s="30"/>
      <c r="DH376" s="30"/>
      <c r="DI376" s="30"/>
      <c r="DJ376" s="30"/>
      <c r="DK376" s="30"/>
      <c r="DL376" s="45"/>
      <c r="DM376" s="45"/>
      <c r="DN376" s="45"/>
      <c r="DO376" s="45"/>
      <c r="DP376" s="45"/>
      <c r="DQ376" s="45"/>
      <c r="DR376" s="45"/>
      <c r="DS376" s="45"/>
      <c r="DT376" s="45"/>
      <c r="DU376" s="45"/>
      <c r="DV376" s="45"/>
      <c r="DW376" s="45"/>
      <c r="DX376" s="45"/>
      <c r="DY376" s="45"/>
      <c r="DZ376" s="45"/>
    </row>
    <row r="377" spans="5:130" s="37" customFormat="1">
      <c r="E377" s="49"/>
      <c r="F377" s="49"/>
      <c r="G377" s="49"/>
      <c r="H377" s="49"/>
      <c r="I377" s="49"/>
      <c r="J377" s="49"/>
      <c r="K377" s="49"/>
      <c r="L377" s="49"/>
      <c r="M377" s="49"/>
      <c r="N377" s="49"/>
      <c r="O377" s="49"/>
      <c r="P377" s="49"/>
      <c r="Q377" s="49"/>
      <c r="R377" s="49"/>
      <c r="S377" s="50"/>
      <c r="T377" s="1510"/>
      <c r="U377" s="50"/>
      <c r="V377" s="50"/>
      <c r="W377" s="50"/>
      <c r="X377" s="50"/>
      <c r="Y377" s="50"/>
      <c r="Z377" s="50"/>
      <c r="CU377" s="30"/>
      <c r="CV377" s="30"/>
      <c r="CW377" s="30"/>
      <c r="CX377" s="30"/>
      <c r="CY377" s="30"/>
      <c r="CZ377" s="30"/>
      <c r="DA377" s="30"/>
      <c r="DB377" s="30"/>
      <c r="DC377" s="30"/>
      <c r="DD377" s="30"/>
      <c r="DE377" s="30"/>
      <c r="DF377" s="30"/>
      <c r="DG377" s="30"/>
      <c r="DH377" s="30"/>
      <c r="DI377" s="30"/>
      <c r="DJ377" s="30"/>
      <c r="DK377" s="30"/>
      <c r="DL377" s="45"/>
      <c r="DM377" s="45"/>
      <c r="DN377" s="45"/>
      <c r="DO377" s="45"/>
      <c r="DP377" s="45"/>
      <c r="DQ377" s="45"/>
      <c r="DR377" s="45"/>
      <c r="DS377" s="45"/>
      <c r="DT377" s="45"/>
      <c r="DU377" s="45"/>
      <c r="DV377" s="45"/>
      <c r="DW377" s="45"/>
      <c r="DX377" s="45"/>
      <c r="DY377" s="45"/>
      <c r="DZ377" s="45"/>
    </row>
    <row r="378" spans="5:130" s="37" customFormat="1">
      <c r="E378" s="49"/>
      <c r="F378" s="49"/>
      <c r="G378" s="49"/>
      <c r="H378" s="49"/>
      <c r="I378" s="49"/>
      <c r="J378" s="49"/>
      <c r="K378" s="49"/>
      <c r="L378" s="49"/>
      <c r="M378" s="49"/>
      <c r="N378" s="49"/>
      <c r="O378" s="49"/>
      <c r="P378" s="49"/>
      <c r="Q378" s="49"/>
      <c r="R378" s="49"/>
      <c r="S378" s="50"/>
      <c r="T378" s="1510"/>
      <c r="U378" s="50"/>
      <c r="V378" s="50"/>
      <c r="W378" s="50"/>
      <c r="X378" s="50"/>
      <c r="Y378" s="50"/>
      <c r="Z378" s="50"/>
      <c r="CU378" s="30"/>
      <c r="CV378" s="30"/>
      <c r="CW378" s="30"/>
      <c r="CX378" s="30"/>
      <c r="CY378" s="30"/>
      <c r="CZ378" s="30"/>
      <c r="DA378" s="30"/>
      <c r="DB378" s="30"/>
      <c r="DC378" s="30"/>
      <c r="DD378" s="30"/>
      <c r="DE378" s="30"/>
      <c r="DF378" s="30"/>
      <c r="DG378" s="30"/>
      <c r="DH378" s="30"/>
      <c r="DI378" s="30"/>
      <c r="DJ378" s="30"/>
      <c r="DK378" s="30"/>
      <c r="DL378" s="45"/>
      <c r="DM378" s="45"/>
      <c r="DN378" s="45"/>
      <c r="DO378" s="45"/>
      <c r="DP378" s="45"/>
      <c r="DQ378" s="45"/>
      <c r="DR378" s="45"/>
      <c r="DS378" s="45"/>
      <c r="DT378" s="45"/>
      <c r="DU378" s="45"/>
      <c r="DV378" s="45"/>
      <c r="DW378" s="45"/>
      <c r="DX378" s="45"/>
      <c r="DY378" s="45"/>
      <c r="DZ378" s="45"/>
    </row>
    <row r="379" spans="5:130" s="37" customFormat="1">
      <c r="E379" s="49"/>
      <c r="F379" s="49"/>
      <c r="G379" s="49"/>
      <c r="H379" s="49"/>
      <c r="I379" s="49"/>
      <c r="J379" s="49"/>
      <c r="K379" s="49"/>
      <c r="L379" s="49"/>
      <c r="M379" s="49"/>
      <c r="N379" s="49"/>
      <c r="O379" s="49"/>
      <c r="P379" s="49"/>
      <c r="Q379" s="49"/>
      <c r="R379" s="49"/>
      <c r="S379" s="50"/>
      <c r="T379" s="1510"/>
      <c r="U379" s="50"/>
      <c r="V379" s="50"/>
      <c r="W379" s="50"/>
      <c r="X379" s="50"/>
      <c r="Y379" s="50"/>
      <c r="Z379" s="50"/>
      <c r="CU379" s="30"/>
      <c r="CV379" s="30"/>
      <c r="CW379" s="30"/>
      <c r="CX379" s="30"/>
      <c r="CY379" s="30"/>
      <c r="CZ379" s="30"/>
      <c r="DA379" s="30"/>
      <c r="DB379" s="30"/>
      <c r="DC379" s="30"/>
      <c r="DD379" s="30"/>
      <c r="DE379" s="30"/>
      <c r="DF379" s="30"/>
      <c r="DG379" s="30"/>
      <c r="DH379" s="30"/>
      <c r="DI379" s="30"/>
      <c r="DJ379" s="30"/>
      <c r="DK379" s="30"/>
      <c r="DL379" s="45"/>
      <c r="DM379" s="45"/>
      <c r="DN379" s="45"/>
      <c r="DO379" s="45"/>
      <c r="DP379" s="45"/>
      <c r="DQ379" s="45"/>
      <c r="DR379" s="45"/>
      <c r="DS379" s="45"/>
      <c r="DT379" s="45"/>
      <c r="DU379" s="45"/>
      <c r="DV379" s="45"/>
      <c r="DW379" s="45"/>
      <c r="DX379" s="45"/>
      <c r="DY379" s="45"/>
      <c r="DZ379" s="45"/>
    </row>
    <row r="380" spans="5:130" s="37" customFormat="1">
      <c r="E380" s="49"/>
      <c r="F380" s="49"/>
      <c r="G380" s="49"/>
      <c r="H380" s="49"/>
      <c r="I380" s="49"/>
      <c r="J380" s="49"/>
      <c r="K380" s="49"/>
      <c r="L380" s="49"/>
      <c r="M380" s="49"/>
      <c r="N380" s="49"/>
      <c r="O380" s="49"/>
      <c r="P380" s="49"/>
      <c r="Q380" s="49"/>
      <c r="R380" s="49"/>
      <c r="S380" s="50"/>
      <c r="T380" s="1510"/>
      <c r="U380" s="50"/>
      <c r="V380" s="50"/>
      <c r="W380" s="50"/>
      <c r="X380" s="50"/>
      <c r="Y380" s="50"/>
      <c r="Z380" s="50"/>
      <c r="CU380" s="30"/>
      <c r="CV380" s="30"/>
      <c r="CW380" s="30"/>
      <c r="CX380" s="30"/>
      <c r="CY380" s="30"/>
      <c r="CZ380" s="30"/>
      <c r="DA380" s="30"/>
      <c r="DB380" s="30"/>
      <c r="DC380" s="30"/>
      <c r="DD380" s="30"/>
      <c r="DE380" s="30"/>
      <c r="DF380" s="30"/>
      <c r="DG380" s="30"/>
      <c r="DH380" s="30"/>
      <c r="DI380" s="30"/>
      <c r="DJ380" s="30"/>
      <c r="DK380" s="30"/>
      <c r="DL380" s="45"/>
      <c r="DM380" s="45"/>
      <c r="DN380" s="45"/>
      <c r="DO380" s="45"/>
      <c r="DP380" s="45"/>
      <c r="DQ380" s="45"/>
      <c r="DR380" s="45"/>
      <c r="DS380" s="45"/>
      <c r="DT380" s="45"/>
      <c r="DU380" s="45"/>
      <c r="DV380" s="45"/>
      <c r="DW380" s="45"/>
      <c r="DX380" s="45"/>
      <c r="DY380" s="45"/>
      <c r="DZ380" s="45"/>
    </row>
    <row r="381" spans="5:130" s="37" customFormat="1">
      <c r="E381" s="49"/>
      <c r="F381" s="49"/>
      <c r="G381" s="49"/>
      <c r="H381" s="49"/>
      <c r="I381" s="49"/>
      <c r="J381" s="49"/>
      <c r="K381" s="49"/>
      <c r="L381" s="49"/>
      <c r="M381" s="49"/>
      <c r="N381" s="49"/>
      <c r="O381" s="49"/>
      <c r="P381" s="49"/>
      <c r="Q381" s="49"/>
      <c r="R381" s="49"/>
      <c r="S381" s="50"/>
      <c r="T381" s="1510"/>
      <c r="U381" s="50"/>
      <c r="V381" s="50"/>
      <c r="W381" s="50"/>
      <c r="X381" s="50"/>
      <c r="Y381" s="50"/>
      <c r="Z381" s="50"/>
      <c r="CU381" s="30"/>
      <c r="CV381" s="30"/>
      <c r="CW381" s="30"/>
      <c r="CX381" s="30"/>
      <c r="CY381" s="30"/>
      <c r="CZ381" s="30"/>
      <c r="DA381" s="30"/>
      <c r="DB381" s="30"/>
      <c r="DC381" s="30"/>
      <c r="DD381" s="30"/>
      <c r="DE381" s="30"/>
      <c r="DF381" s="30"/>
      <c r="DG381" s="30"/>
      <c r="DH381" s="30"/>
      <c r="DI381" s="30"/>
      <c r="DJ381" s="30"/>
      <c r="DK381" s="30"/>
      <c r="DL381" s="45"/>
      <c r="DM381" s="45"/>
      <c r="DN381" s="45"/>
      <c r="DO381" s="45"/>
      <c r="DP381" s="45"/>
      <c r="DQ381" s="45"/>
      <c r="DR381" s="45"/>
      <c r="DS381" s="45"/>
      <c r="DT381" s="45"/>
      <c r="DU381" s="45"/>
      <c r="DV381" s="45"/>
      <c r="DW381" s="45"/>
      <c r="DX381" s="45"/>
      <c r="DY381" s="45"/>
      <c r="DZ381" s="45"/>
    </row>
    <row r="382" spans="5:130" s="37" customFormat="1">
      <c r="E382" s="49"/>
      <c r="F382" s="49"/>
      <c r="G382" s="49"/>
      <c r="H382" s="49"/>
      <c r="I382" s="49"/>
      <c r="J382" s="49"/>
      <c r="K382" s="49"/>
      <c r="L382" s="49"/>
      <c r="M382" s="49"/>
      <c r="N382" s="49"/>
      <c r="O382" s="49"/>
      <c r="P382" s="49"/>
      <c r="Q382" s="49"/>
      <c r="R382" s="49"/>
      <c r="S382" s="50"/>
      <c r="T382" s="1510"/>
      <c r="U382" s="50"/>
      <c r="V382" s="50"/>
      <c r="W382" s="50"/>
      <c r="X382" s="50"/>
      <c r="Y382" s="50"/>
      <c r="Z382" s="50"/>
      <c r="CU382" s="30"/>
      <c r="CV382" s="30"/>
      <c r="CW382" s="30"/>
      <c r="CX382" s="30"/>
      <c r="CY382" s="30"/>
      <c r="CZ382" s="30"/>
      <c r="DA382" s="30"/>
      <c r="DB382" s="30"/>
      <c r="DC382" s="30"/>
      <c r="DD382" s="30"/>
      <c r="DE382" s="30"/>
      <c r="DF382" s="30"/>
      <c r="DG382" s="30"/>
      <c r="DH382" s="30"/>
      <c r="DI382" s="30"/>
      <c r="DJ382" s="30"/>
      <c r="DK382" s="30"/>
      <c r="DL382" s="45"/>
      <c r="DM382" s="45"/>
      <c r="DN382" s="45"/>
      <c r="DO382" s="45"/>
      <c r="DP382" s="45"/>
      <c r="DQ382" s="45"/>
      <c r="DR382" s="45"/>
      <c r="DS382" s="45"/>
      <c r="DT382" s="45"/>
      <c r="DU382" s="45"/>
      <c r="DV382" s="45"/>
      <c r="DW382" s="45"/>
      <c r="DX382" s="45"/>
      <c r="DY382" s="45"/>
      <c r="DZ382" s="45"/>
    </row>
    <row r="383" spans="5:130" s="37" customFormat="1">
      <c r="E383" s="49"/>
      <c r="F383" s="49"/>
      <c r="G383" s="49"/>
      <c r="H383" s="49"/>
      <c r="I383" s="49"/>
      <c r="J383" s="49"/>
      <c r="K383" s="49"/>
      <c r="L383" s="49"/>
      <c r="M383" s="49"/>
      <c r="N383" s="49"/>
      <c r="O383" s="49"/>
      <c r="P383" s="49"/>
      <c r="Q383" s="49"/>
      <c r="R383" s="49"/>
      <c r="S383" s="50"/>
      <c r="T383" s="1510"/>
      <c r="U383" s="50"/>
      <c r="V383" s="50"/>
      <c r="W383" s="50"/>
      <c r="X383" s="50"/>
      <c r="Y383" s="50"/>
      <c r="Z383" s="50"/>
      <c r="CU383" s="30"/>
      <c r="CV383" s="30"/>
      <c r="CW383" s="30"/>
      <c r="CX383" s="30"/>
      <c r="CY383" s="30"/>
      <c r="CZ383" s="30"/>
      <c r="DA383" s="30"/>
      <c r="DB383" s="30"/>
      <c r="DC383" s="30"/>
      <c r="DD383" s="30"/>
      <c r="DE383" s="30"/>
      <c r="DF383" s="30"/>
      <c r="DG383" s="30"/>
      <c r="DH383" s="30"/>
      <c r="DI383" s="30"/>
      <c r="DJ383" s="30"/>
      <c r="DK383" s="30"/>
      <c r="DL383" s="45"/>
      <c r="DM383" s="45"/>
      <c r="DN383" s="45"/>
      <c r="DO383" s="45"/>
      <c r="DP383" s="45"/>
      <c r="DQ383" s="45"/>
      <c r="DR383" s="45"/>
      <c r="DS383" s="45"/>
      <c r="DT383" s="45"/>
      <c r="DU383" s="45"/>
      <c r="DV383" s="45"/>
      <c r="DW383" s="45"/>
      <c r="DX383" s="45"/>
      <c r="DY383" s="45"/>
      <c r="DZ383" s="45"/>
    </row>
    <row r="384" spans="5:130" s="37" customFormat="1">
      <c r="E384" s="49"/>
      <c r="F384" s="49"/>
      <c r="G384" s="49"/>
      <c r="H384" s="49"/>
      <c r="I384" s="49"/>
      <c r="J384" s="49"/>
      <c r="K384" s="49"/>
      <c r="L384" s="49"/>
      <c r="M384" s="49"/>
      <c r="N384" s="49"/>
      <c r="O384" s="49"/>
      <c r="P384" s="49"/>
      <c r="Q384" s="49"/>
      <c r="R384" s="49"/>
      <c r="S384" s="50"/>
      <c r="T384" s="1510"/>
      <c r="U384" s="50"/>
      <c r="V384" s="50"/>
      <c r="W384" s="50"/>
      <c r="X384" s="50"/>
      <c r="Y384" s="50"/>
      <c r="Z384" s="50"/>
      <c r="CU384" s="30"/>
      <c r="CV384" s="30"/>
      <c r="CW384" s="30"/>
      <c r="CX384" s="30"/>
      <c r="CY384" s="30"/>
      <c r="CZ384" s="30"/>
      <c r="DA384" s="30"/>
      <c r="DB384" s="30"/>
      <c r="DC384" s="30"/>
      <c r="DD384" s="30"/>
      <c r="DE384" s="30"/>
      <c r="DF384" s="30"/>
      <c r="DG384" s="30"/>
      <c r="DH384" s="30"/>
      <c r="DI384" s="30"/>
      <c r="DJ384" s="30"/>
      <c r="DK384" s="30"/>
      <c r="DL384" s="45"/>
      <c r="DM384" s="45"/>
      <c r="DN384" s="45"/>
      <c r="DO384" s="45"/>
      <c r="DP384" s="45"/>
      <c r="DQ384" s="45"/>
      <c r="DR384" s="45"/>
      <c r="DS384" s="45"/>
      <c r="DT384" s="45"/>
      <c r="DU384" s="45"/>
      <c r="DV384" s="45"/>
      <c r="DW384" s="45"/>
      <c r="DX384" s="45"/>
      <c r="DY384" s="45"/>
      <c r="DZ384" s="45"/>
    </row>
    <row r="385" spans="5:130" s="37" customFormat="1">
      <c r="E385" s="49"/>
      <c r="F385" s="49"/>
      <c r="G385" s="49"/>
      <c r="H385" s="49"/>
      <c r="I385" s="49"/>
      <c r="J385" s="49"/>
      <c r="K385" s="49"/>
      <c r="L385" s="49"/>
      <c r="M385" s="49"/>
      <c r="N385" s="49"/>
      <c r="O385" s="49"/>
      <c r="P385" s="49"/>
      <c r="Q385" s="49"/>
      <c r="R385" s="49"/>
      <c r="S385" s="50"/>
      <c r="T385" s="1510"/>
      <c r="U385" s="50"/>
      <c r="V385" s="50"/>
      <c r="W385" s="50"/>
      <c r="X385" s="50"/>
      <c r="Y385" s="50"/>
      <c r="Z385" s="50"/>
      <c r="CU385" s="30"/>
      <c r="CV385" s="30"/>
      <c r="CW385" s="30"/>
      <c r="CX385" s="30"/>
      <c r="CY385" s="30"/>
      <c r="CZ385" s="30"/>
      <c r="DA385" s="30"/>
      <c r="DB385" s="30"/>
      <c r="DC385" s="30"/>
      <c r="DD385" s="30"/>
      <c r="DE385" s="30"/>
      <c r="DF385" s="30"/>
      <c r="DG385" s="30"/>
      <c r="DH385" s="30"/>
      <c r="DI385" s="30"/>
      <c r="DJ385" s="30"/>
      <c r="DK385" s="30"/>
      <c r="DL385" s="45"/>
      <c r="DM385" s="45"/>
      <c r="DN385" s="45"/>
      <c r="DO385" s="45"/>
      <c r="DP385" s="45"/>
      <c r="DQ385" s="45"/>
      <c r="DR385" s="45"/>
      <c r="DS385" s="45"/>
      <c r="DT385" s="45"/>
      <c r="DU385" s="45"/>
      <c r="DV385" s="45"/>
      <c r="DW385" s="45"/>
      <c r="DX385" s="45"/>
      <c r="DY385" s="45"/>
      <c r="DZ385" s="45"/>
    </row>
    <row r="386" spans="5:130" s="37" customFormat="1">
      <c r="E386" s="49"/>
      <c r="F386" s="49"/>
      <c r="G386" s="49"/>
      <c r="H386" s="49"/>
      <c r="I386" s="49"/>
      <c r="J386" s="49"/>
      <c r="K386" s="49"/>
      <c r="L386" s="49"/>
      <c r="M386" s="49"/>
      <c r="N386" s="49"/>
      <c r="O386" s="49"/>
      <c r="P386" s="49"/>
      <c r="Q386" s="49"/>
      <c r="R386" s="49"/>
      <c r="S386" s="50"/>
      <c r="T386" s="1510"/>
      <c r="U386" s="50"/>
      <c r="V386" s="50"/>
      <c r="W386" s="50"/>
      <c r="X386" s="50"/>
      <c r="Y386" s="50"/>
      <c r="Z386" s="50"/>
      <c r="CU386" s="30"/>
      <c r="CV386" s="30"/>
      <c r="CW386" s="30"/>
      <c r="CX386" s="30"/>
      <c r="CY386" s="30"/>
      <c r="CZ386" s="30"/>
      <c r="DA386" s="30"/>
      <c r="DB386" s="30"/>
      <c r="DC386" s="30"/>
      <c r="DD386" s="30"/>
      <c r="DE386" s="30"/>
      <c r="DF386" s="30"/>
      <c r="DG386" s="30"/>
      <c r="DH386" s="30"/>
      <c r="DI386" s="30"/>
      <c r="DJ386" s="30"/>
      <c r="DK386" s="30"/>
      <c r="DL386" s="45"/>
      <c r="DM386" s="45"/>
      <c r="DN386" s="45"/>
      <c r="DO386" s="45"/>
      <c r="DP386" s="45"/>
      <c r="DQ386" s="45"/>
      <c r="DR386" s="45"/>
      <c r="DS386" s="45"/>
      <c r="DT386" s="45"/>
      <c r="DU386" s="45"/>
      <c r="DV386" s="45"/>
      <c r="DW386" s="45"/>
      <c r="DX386" s="45"/>
      <c r="DY386" s="45"/>
      <c r="DZ386" s="45"/>
    </row>
    <row r="387" spans="5:130" s="37" customFormat="1">
      <c r="E387" s="49"/>
      <c r="F387" s="49"/>
      <c r="G387" s="49"/>
      <c r="H387" s="49"/>
      <c r="I387" s="49"/>
      <c r="J387" s="49"/>
      <c r="K387" s="49"/>
      <c r="L387" s="49"/>
      <c r="M387" s="49"/>
      <c r="N387" s="49"/>
      <c r="O387" s="49"/>
      <c r="P387" s="49"/>
      <c r="Q387" s="49"/>
      <c r="R387" s="49"/>
      <c r="S387" s="50"/>
      <c r="T387" s="1510"/>
      <c r="U387" s="50"/>
      <c r="V387" s="50"/>
      <c r="W387" s="50"/>
      <c r="X387" s="50"/>
      <c r="Y387" s="50"/>
      <c r="Z387" s="50"/>
      <c r="CU387" s="30"/>
      <c r="CV387" s="30"/>
      <c r="CW387" s="30"/>
      <c r="CX387" s="30"/>
      <c r="CY387" s="30"/>
      <c r="CZ387" s="30"/>
      <c r="DA387" s="30"/>
      <c r="DB387" s="30"/>
      <c r="DC387" s="30"/>
      <c r="DD387" s="30"/>
      <c r="DE387" s="30"/>
      <c r="DF387" s="30"/>
      <c r="DG387" s="30"/>
      <c r="DH387" s="30"/>
      <c r="DI387" s="30"/>
      <c r="DJ387" s="30"/>
      <c r="DK387" s="30"/>
      <c r="DL387" s="45"/>
      <c r="DM387" s="45"/>
      <c r="DN387" s="45"/>
      <c r="DO387" s="45"/>
      <c r="DP387" s="45"/>
      <c r="DQ387" s="45"/>
      <c r="DR387" s="45"/>
      <c r="DS387" s="45"/>
      <c r="DT387" s="45"/>
      <c r="DU387" s="45"/>
      <c r="DV387" s="45"/>
      <c r="DW387" s="45"/>
      <c r="DX387" s="45"/>
      <c r="DY387" s="45"/>
      <c r="DZ387" s="45"/>
    </row>
    <row r="388" spans="5:130" s="37" customFormat="1">
      <c r="E388" s="49"/>
      <c r="F388" s="49"/>
      <c r="G388" s="49"/>
      <c r="H388" s="49"/>
      <c r="I388" s="49"/>
      <c r="J388" s="49"/>
      <c r="K388" s="49"/>
      <c r="L388" s="49"/>
      <c r="M388" s="49"/>
      <c r="N388" s="49"/>
      <c r="O388" s="49"/>
      <c r="P388" s="49"/>
      <c r="Q388" s="49"/>
      <c r="R388" s="49"/>
      <c r="S388" s="50"/>
      <c r="T388" s="1510"/>
      <c r="U388" s="50"/>
      <c r="V388" s="50"/>
      <c r="W388" s="50"/>
      <c r="X388" s="50"/>
      <c r="Y388" s="50"/>
      <c r="Z388" s="50"/>
      <c r="CU388" s="30"/>
      <c r="CV388" s="30"/>
      <c r="CW388" s="30"/>
      <c r="CX388" s="30"/>
      <c r="CY388" s="30"/>
      <c r="CZ388" s="30"/>
      <c r="DA388" s="30"/>
      <c r="DB388" s="30"/>
      <c r="DC388" s="30"/>
      <c r="DD388" s="30"/>
      <c r="DE388" s="30"/>
      <c r="DF388" s="30"/>
      <c r="DG388" s="30"/>
      <c r="DH388" s="30"/>
      <c r="DI388" s="30"/>
      <c r="DJ388" s="30"/>
      <c r="DK388" s="30"/>
      <c r="DL388" s="45"/>
      <c r="DM388" s="45"/>
      <c r="DN388" s="45"/>
      <c r="DO388" s="45"/>
      <c r="DP388" s="45"/>
      <c r="DQ388" s="45"/>
      <c r="DR388" s="45"/>
      <c r="DS388" s="45"/>
      <c r="DT388" s="45"/>
      <c r="DU388" s="45"/>
      <c r="DV388" s="45"/>
      <c r="DW388" s="45"/>
      <c r="DX388" s="45"/>
      <c r="DY388" s="45"/>
      <c r="DZ388" s="45"/>
    </row>
    <row r="389" spans="5:130" s="37" customFormat="1">
      <c r="E389" s="49"/>
      <c r="F389" s="49"/>
      <c r="G389" s="49"/>
      <c r="H389" s="49"/>
      <c r="I389" s="49"/>
      <c r="J389" s="49"/>
      <c r="K389" s="49"/>
      <c r="L389" s="49"/>
      <c r="M389" s="49"/>
      <c r="N389" s="49"/>
      <c r="O389" s="49"/>
      <c r="P389" s="49"/>
      <c r="Q389" s="49"/>
      <c r="R389" s="49"/>
      <c r="S389" s="50"/>
      <c r="T389" s="1510"/>
      <c r="U389" s="50"/>
      <c r="V389" s="50"/>
      <c r="W389" s="50"/>
      <c r="X389" s="50"/>
      <c r="Y389" s="50"/>
      <c r="Z389" s="50"/>
      <c r="CU389" s="30"/>
      <c r="CV389" s="30"/>
      <c r="CW389" s="30"/>
      <c r="CX389" s="30"/>
      <c r="CY389" s="30"/>
      <c r="CZ389" s="30"/>
      <c r="DA389" s="30"/>
      <c r="DB389" s="30"/>
      <c r="DC389" s="30"/>
      <c r="DD389" s="30"/>
      <c r="DE389" s="30"/>
      <c r="DF389" s="30"/>
      <c r="DG389" s="30"/>
      <c r="DH389" s="30"/>
      <c r="DI389" s="30"/>
      <c r="DJ389" s="30"/>
      <c r="DK389" s="30"/>
      <c r="DL389" s="45"/>
      <c r="DM389" s="45"/>
      <c r="DN389" s="45"/>
      <c r="DO389" s="45"/>
      <c r="DP389" s="45"/>
      <c r="DQ389" s="45"/>
      <c r="DR389" s="45"/>
      <c r="DS389" s="45"/>
      <c r="DT389" s="45"/>
      <c r="DU389" s="45"/>
      <c r="DV389" s="45"/>
      <c r="DW389" s="45"/>
      <c r="DX389" s="45"/>
      <c r="DY389" s="45"/>
      <c r="DZ389" s="45"/>
    </row>
    <row r="390" spans="5:130" s="37" customFormat="1">
      <c r="E390" s="49"/>
      <c r="F390" s="49"/>
      <c r="G390" s="49"/>
      <c r="H390" s="49"/>
      <c r="I390" s="49"/>
      <c r="J390" s="49"/>
      <c r="K390" s="49"/>
      <c r="L390" s="49"/>
      <c r="M390" s="49"/>
      <c r="N390" s="49"/>
      <c r="O390" s="49"/>
      <c r="P390" s="49"/>
      <c r="Q390" s="49"/>
      <c r="R390" s="49"/>
      <c r="S390" s="50"/>
      <c r="T390" s="1510"/>
      <c r="U390" s="50"/>
      <c r="V390" s="50"/>
      <c r="W390" s="50"/>
      <c r="X390" s="50"/>
      <c r="Y390" s="50"/>
      <c r="Z390" s="50"/>
      <c r="CU390" s="30"/>
      <c r="CV390" s="30"/>
      <c r="CW390" s="30"/>
      <c r="CX390" s="30"/>
      <c r="CY390" s="30"/>
      <c r="CZ390" s="30"/>
      <c r="DA390" s="30"/>
      <c r="DB390" s="30"/>
      <c r="DC390" s="30"/>
      <c r="DD390" s="30"/>
      <c r="DE390" s="30"/>
      <c r="DF390" s="30"/>
      <c r="DG390" s="30"/>
      <c r="DH390" s="30"/>
      <c r="DI390" s="30"/>
      <c r="DJ390" s="30"/>
      <c r="DK390" s="30"/>
      <c r="DL390" s="45"/>
      <c r="DM390" s="45"/>
      <c r="DN390" s="45"/>
      <c r="DO390" s="45"/>
      <c r="DP390" s="45"/>
      <c r="DQ390" s="45"/>
      <c r="DR390" s="45"/>
      <c r="DS390" s="45"/>
      <c r="DT390" s="45"/>
      <c r="DU390" s="45"/>
      <c r="DV390" s="45"/>
      <c r="DW390" s="45"/>
      <c r="DX390" s="45"/>
      <c r="DY390" s="45"/>
      <c r="DZ390" s="45"/>
    </row>
    <row r="391" spans="5:130" s="37" customFormat="1">
      <c r="E391" s="49"/>
      <c r="F391" s="49"/>
      <c r="G391" s="49"/>
      <c r="H391" s="49"/>
      <c r="I391" s="49"/>
      <c r="J391" s="49"/>
      <c r="K391" s="49"/>
      <c r="L391" s="49"/>
      <c r="M391" s="49"/>
      <c r="N391" s="49"/>
      <c r="O391" s="49"/>
      <c r="P391" s="49"/>
      <c r="Q391" s="49"/>
      <c r="R391" s="49"/>
      <c r="S391" s="50"/>
      <c r="T391" s="1510"/>
      <c r="U391" s="50"/>
      <c r="V391" s="50"/>
      <c r="W391" s="50"/>
      <c r="X391" s="50"/>
      <c r="Y391" s="50"/>
      <c r="Z391" s="50"/>
      <c r="CU391" s="30"/>
      <c r="CV391" s="30"/>
      <c r="CW391" s="30"/>
      <c r="CX391" s="30"/>
      <c r="CY391" s="30"/>
      <c r="CZ391" s="30"/>
      <c r="DA391" s="30"/>
      <c r="DB391" s="30"/>
      <c r="DC391" s="30"/>
      <c r="DD391" s="30"/>
      <c r="DE391" s="30"/>
      <c r="DF391" s="30"/>
      <c r="DG391" s="30"/>
      <c r="DH391" s="30"/>
      <c r="DI391" s="30"/>
      <c r="DJ391" s="30"/>
      <c r="DK391" s="30"/>
      <c r="DL391" s="45"/>
      <c r="DM391" s="45"/>
      <c r="DN391" s="45"/>
      <c r="DO391" s="45"/>
      <c r="DP391" s="45"/>
      <c r="DQ391" s="45"/>
      <c r="DR391" s="45"/>
      <c r="DS391" s="45"/>
      <c r="DT391" s="45"/>
      <c r="DU391" s="45"/>
      <c r="DV391" s="45"/>
      <c r="DW391" s="45"/>
      <c r="DX391" s="45"/>
      <c r="DY391" s="45"/>
      <c r="DZ391" s="45"/>
    </row>
    <row r="392" spans="5:130" s="37" customFormat="1">
      <c r="E392" s="49"/>
      <c r="F392" s="49"/>
      <c r="G392" s="49"/>
      <c r="H392" s="49"/>
      <c r="I392" s="49"/>
      <c r="J392" s="49"/>
      <c r="K392" s="49"/>
      <c r="L392" s="49"/>
      <c r="M392" s="49"/>
      <c r="N392" s="49"/>
      <c r="O392" s="49"/>
      <c r="P392" s="49"/>
      <c r="Q392" s="49"/>
      <c r="R392" s="49"/>
      <c r="S392" s="50"/>
      <c r="T392" s="1510"/>
      <c r="U392" s="50"/>
      <c r="V392" s="50"/>
      <c r="W392" s="50"/>
      <c r="X392" s="50"/>
      <c r="Y392" s="50"/>
      <c r="Z392" s="50"/>
      <c r="CU392" s="30"/>
      <c r="CV392" s="30"/>
      <c r="CW392" s="30"/>
      <c r="CX392" s="30"/>
      <c r="CY392" s="30"/>
      <c r="CZ392" s="30"/>
      <c r="DA392" s="30"/>
      <c r="DB392" s="30"/>
      <c r="DC392" s="30"/>
      <c r="DD392" s="30"/>
      <c r="DE392" s="30"/>
      <c r="DF392" s="30"/>
      <c r="DG392" s="30"/>
      <c r="DH392" s="30"/>
      <c r="DI392" s="30"/>
      <c r="DJ392" s="30"/>
      <c r="DK392" s="30"/>
      <c r="DL392" s="45"/>
      <c r="DM392" s="45"/>
      <c r="DN392" s="45"/>
      <c r="DO392" s="45"/>
      <c r="DP392" s="45"/>
      <c r="DQ392" s="45"/>
      <c r="DR392" s="45"/>
      <c r="DS392" s="45"/>
      <c r="DT392" s="45"/>
      <c r="DU392" s="45"/>
      <c r="DV392" s="45"/>
      <c r="DW392" s="45"/>
      <c r="DX392" s="45"/>
      <c r="DY392" s="45"/>
      <c r="DZ392" s="45"/>
    </row>
    <row r="393" spans="5:130" s="37" customFormat="1">
      <c r="E393" s="49"/>
      <c r="F393" s="49"/>
      <c r="G393" s="49"/>
      <c r="H393" s="49"/>
      <c r="I393" s="49"/>
      <c r="J393" s="49"/>
      <c r="K393" s="49"/>
      <c r="L393" s="49"/>
      <c r="M393" s="49"/>
      <c r="N393" s="49"/>
      <c r="O393" s="49"/>
      <c r="P393" s="49"/>
      <c r="Q393" s="49"/>
      <c r="R393" s="49"/>
      <c r="S393" s="50"/>
      <c r="T393" s="1510"/>
      <c r="U393" s="50"/>
      <c r="V393" s="50"/>
      <c r="W393" s="50"/>
      <c r="X393" s="50"/>
      <c r="Y393" s="50"/>
      <c r="Z393" s="50"/>
      <c r="CU393" s="30"/>
      <c r="CV393" s="30"/>
      <c r="CW393" s="30"/>
      <c r="CX393" s="30"/>
      <c r="CY393" s="30"/>
      <c r="CZ393" s="30"/>
      <c r="DA393" s="30"/>
      <c r="DB393" s="30"/>
      <c r="DC393" s="30"/>
      <c r="DD393" s="30"/>
      <c r="DE393" s="30"/>
      <c r="DF393" s="30"/>
      <c r="DG393" s="30"/>
      <c r="DH393" s="30"/>
      <c r="DI393" s="30"/>
      <c r="DJ393" s="30"/>
      <c r="DK393" s="30"/>
      <c r="DL393" s="45"/>
      <c r="DM393" s="45"/>
      <c r="DN393" s="45"/>
      <c r="DO393" s="45"/>
      <c r="DP393" s="45"/>
      <c r="DQ393" s="45"/>
      <c r="DR393" s="45"/>
      <c r="DS393" s="45"/>
      <c r="DT393" s="45"/>
      <c r="DU393" s="45"/>
      <c r="DV393" s="45"/>
      <c r="DW393" s="45"/>
      <c r="DX393" s="45"/>
      <c r="DY393" s="45"/>
      <c r="DZ393" s="45"/>
    </row>
    <row r="394" spans="5:130" s="37" customFormat="1">
      <c r="E394" s="49"/>
      <c r="F394" s="49"/>
      <c r="G394" s="49"/>
      <c r="H394" s="49"/>
      <c r="I394" s="49"/>
      <c r="J394" s="49"/>
      <c r="K394" s="49"/>
      <c r="L394" s="49"/>
      <c r="M394" s="49"/>
      <c r="N394" s="49"/>
      <c r="O394" s="49"/>
      <c r="P394" s="49"/>
      <c r="Q394" s="49"/>
      <c r="R394" s="49"/>
      <c r="S394" s="50"/>
      <c r="T394" s="1510"/>
      <c r="U394" s="50"/>
      <c r="V394" s="50"/>
      <c r="W394" s="50"/>
      <c r="X394" s="50"/>
      <c r="Y394" s="50"/>
      <c r="Z394" s="50"/>
      <c r="CU394" s="30"/>
      <c r="CV394" s="30"/>
      <c r="CW394" s="30"/>
      <c r="CX394" s="30"/>
      <c r="CY394" s="30"/>
      <c r="CZ394" s="30"/>
      <c r="DA394" s="30"/>
      <c r="DB394" s="30"/>
      <c r="DC394" s="30"/>
      <c r="DD394" s="30"/>
      <c r="DE394" s="30"/>
      <c r="DF394" s="30"/>
      <c r="DG394" s="30"/>
      <c r="DH394" s="30"/>
      <c r="DI394" s="30"/>
      <c r="DJ394" s="30"/>
      <c r="DK394" s="30"/>
      <c r="DL394" s="45"/>
      <c r="DM394" s="45"/>
      <c r="DN394" s="45"/>
      <c r="DO394" s="45"/>
      <c r="DP394" s="45"/>
      <c r="DQ394" s="45"/>
      <c r="DR394" s="45"/>
      <c r="DS394" s="45"/>
      <c r="DT394" s="45"/>
      <c r="DU394" s="45"/>
      <c r="DV394" s="45"/>
      <c r="DW394" s="45"/>
      <c r="DX394" s="45"/>
      <c r="DY394" s="45"/>
      <c r="DZ394" s="45"/>
    </row>
    <row r="395" spans="5:130" s="37" customFormat="1">
      <c r="E395" s="49"/>
      <c r="F395" s="49"/>
      <c r="G395" s="49"/>
      <c r="H395" s="49"/>
      <c r="I395" s="49"/>
      <c r="J395" s="49"/>
      <c r="K395" s="49"/>
      <c r="L395" s="49"/>
      <c r="M395" s="49"/>
      <c r="N395" s="49"/>
      <c r="O395" s="49"/>
      <c r="P395" s="49"/>
      <c r="Q395" s="49"/>
      <c r="R395" s="49"/>
      <c r="S395" s="50"/>
      <c r="T395" s="1510"/>
      <c r="U395" s="50"/>
      <c r="V395" s="50"/>
      <c r="W395" s="50"/>
      <c r="X395" s="50"/>
      <c r="Y395" s="50"/>
      <c r="Z395" s="50"/>
      <c r="CU395" s="30"/>
      <c r="CV395" s="30"/>
      <c r="CW395" s="30"/>
      <c r="CX395" s="30"/>
      <c r="CY395" s="30"/>
      <c r="CZ395" s="30"/>
      <c r="DA395" s="30"/>
      <c r="DB395" s="30"/>
      <c r="DC395" s="30"/>
      <c r="DD395" s="30"/>
      <c r="DE395" s="30"/>
      <c r="DF395" s="30"/>
      <c r="DG395" s="30"/>
      <c r="DH395" s="30"/>
      <c r="DI395" s="30"/>
      <c r="DJ395" s="30"/>
      <c r="DK395" s="30"/>
      <c r="DL395" s="45"/>
      <c r="DM395" s="45"/>
      <c r="DN395" s="45"/>
      <c r="DO395" s="45"/>
      <c r="DP395" s="45"/>
      <c r="DQ395" s="45"/>
      <c r="DR395" s="45"/>
      <c r="DS395" s="45"/>
      <c r="DT395" s="45"/>
      <c r="DU395" s="45"/>
      <c r="DV395" s="45"/>
      <c r="DW395" s="45"/>
      <c r="DX395" s="45"/>
      <c r="DY395" s="45"/>
      <c r="DZ395" s="45"/>
    </row>
    <row r="396" spans="5:130" s="37" customFormat="1">
      <c r="E396" s="49"/>
      <c r="F396" s="49"/>
      <c r="G396" s="49"/>
      <c r="H396" s="49"/>
      <c r="I396" s="49"/>
      <c r="J396" s="49"/>
      <c r="K396" s="49"/>
      <c r="L396" s="49"/>
      <c r="M396" s="49"/>
      <c r="N396" s="49"/>
      <c r="O396" s="49"/>
      <c r="P396" s="49"/>
      <c r="Q396" s="49"/>
      <c r="R396" s="49"/>
      <c r="S396" s="50"/>
      <c r="T396" s="1510"/>
      <c r="U396" s="50"/>
      <c r="V396" s="50"/>
      <c r="W396" s="50"/>
      <c r="X396" s="50"/>
      <c r="Y396" s="50"/>
      <c r="Z396" s="50"/>
      <c r="CU396" s="30"/>
      <c r="CV396" s="30"/>
      <c r="CW396" s="30"/>
      <c r="CX396" s="30"/>
      <c r="CY396" s="30"/>
      <c r="CZ396" s="30"/>
      <c r="DA396" s="30"/>
      <c r="DB396" s="30"/>
      <c r="DC396" s="30"/>
      <c r="DD396" s="30"/>
      <c r="DE396" s="30"/>
      <c r="DF396" s="30"/>
      <c r="DG396" s="30"/>
      <c r="DH396" s="30"/>
      <c r="DI396" s="30"/>
      <c r="DJ396" s="30"/>
      <c r="DK396" s="30"/>
      <c r="DL396" s="45"/>
      <c r="DM396" s="45"/>
      <c r="DN396" s="45"/>
      <c r="DO396" s="45"/>
      <c r="DP396" s="45"/>
      <c r="DQ396" s="45"/>
      <c r="DR396" s="45"/>
      <c r="DS396" s="45"/>
      <c r="DT396" s="45"/>
      <c r="DU396" s="45"/>
      <c r="DV396" s="45"/>
      <c r="DW396" s="45"/>
      <c r="DX396" s="45"/>
      <c r="DY396" s="45"/>
      <c r="DZ396" s="45"/>
    </row>
    <row r="397" spans="5:130" s="37" customFormat="1">
      <c r="E397" s="49"/>
      <c r="F397" s="49"/>
      <c r="G397" s="49"/>
      <c r="H397" s="49"/>
      <c r="I397" s="49"/>
      <c r="J397" s="49"/>
      <c r="K397" s="49"/>
      <c r="L397" s="49"/>
      <c r="M397" s="49"/>
      <c r="N397" s="49"/>
      <c r="O397" s="49"/>
      <c r="P397" s="49"/>
      <c r="Q397" s="49"/>
      <c r="R397" s="49"/>
      <c r="S397" s="50"/>
      <c r="T397" s="1510"/>
      <c r="U397" s="50"/>
      <c r="V397" s="50"/>
      <c r="W397" s="50"/>
      <c r="X397" s="50"/>
      <c r="Y397" s="50"/>
      <c r="Z397" s="50"/>
      <c r="CU397" s="30"/>
      <c r="CV397" s="30"/>
      <c r="CW397" s="30"/>
      <c r="CX397" s="30"/>
      <c r="CY397" s="30"/>
      <c r="CZ397" s="30"/>
      <c r="DA397" s="30"/>
      <c r="DB397" s="30"/>
      <c r="DC397" s="30"/>
      <c r="DD397" s="30"/>
      <c r="DE397" s="30"/>
      <c r="DF397" s="30"/>
      <c r="DG397" s="30"/>
      <c r="DH397" s="30"/>
      <c r="DI397" s="30"/>
      <c r="DJ397" s="30"/>
      <c r="DK397" s="30"/>
      <c r="DL397" s="45"/>
      <c r="DM397" s="45"/>
      <c r="DN397" s="45"/>
      <c r="DO397" s="45"/>
      <c r="DP397" s="45"/>
      <c r="DQ397" s="45"/>
      <c r="DR397" s="45"/>
      <c r="DS397" s="45"/>
      <c r="DT397" s="45"/>
      <c r="DU397" s="45"/>
      <c r="DV397" s="45"/>
      <c r="DW397" s="45"/>
      <c r="DX397" s="45"/>
      <c r="DY397" s="45"/>
      <c r="DZ397" s="45"/>
    </row>
    <row r="398" spans="5:130" s="37" customFormat="1">
      <c r="E398" s="49"/>
      <c r="F398" s="49"/>
      <c r="G398" s="49"/>
      <c r="H398" s="49"/>
      <c r="I398" s="49"/>
      <c r="J398" s="49"/>
      <c r="K398" s="49"/>
      <c r="L398" s="49"/>
      <c r="M398" s="49"/>
      <c r="N398" s="49"/>
      <c r="O398" s="49"/>
      <c r="P398" s="49"/>
      <c r="Q398" s="49"/>
      <c r="R398" s="49"/>
      <c r="S398" s="50"/>
      <c r="T398" s="1510"/>
      <c r="U398" s="50"/>
      <c r="V398" s="50"/>
      <c r="W398" s="50"/>
      <c r="X398" s="50"/>
      <c r="Y398" s="50"/>
      <c r="Z398" s="50"/>
      <c r="CU398" s="30"/>
      <c r="CV398" s="30"/>
      <c r="CW398" s="30"/>
      <c r="CX398" s="30"/>
      <c r="CY398" s="30"/>
      <c r="CZ398" s="30"/>
      <c r="DA398" s="30"/>
      <c r="DB398" s="30"/>
      <c r="DC398" s="30"/>
      <c r="DD398" s="30"/>
      <c r="DE398" s="30"/>
      <c r="DF398" s="30"/>
      <c r="DG398" s="30"/>
      <c r="DH398" s="30"/>
      <c r="DI398" s="30"/>
      <c r="DJ398" s="30"/>
      <c r="DK398" s="30"/>
      <c r="DL398" s="45"/>
      <c r="DM398" s="45"/>
      <c r="DN398" s="45"/>
      <c r="DO398" s="45"/>
      <c r="DP398" s="45"/>
      <c r="DQ398" s="45"/>
      <c r="DR398" s="45"/>
      <c r="DS398" s="45"/>
      <c r="DT398" s="45"/>
      <c r="DU398" s="45"/>
      <c r="DV398" s="45"/>
      <c r="DW398" s="45"/>
      <c r="DX398" s="45"/>
      <c r="DY398" s="45"/>
      <c r="DZ398" s="45"/>
    </row>
    <row r="399" spans="5:130" s="37" customFormat="1">
      <c r="E399" s="49"/>
      <c r="F399" s="49"/>
      <c r="G399" s="49"/>
      <c r="H399" s="49"/>
      <c r="I399" s="49"/>
      <c r="J399" s="49"/>
      <c r="K399" s="49"/>
      <c r="L399" s="49"/>
      <c r="M399" s="49"/>
      <c r="N399" s="49"/>
      <c r="O399" s="49"/>
      <c r="P399" s="49"/>
      <c r="Q399" s="49"/>
      <c r="R399" s="49"/>
      <c r="S399" s="50"/>
      <c r="T399" s="1510"/>
      <c r="U399" s="50"/>
      <c r="V399" s="50"/>
      <c r="W399" s="50"/>
      <c r="X399" s="50"/>
      <c r="Y399" s="50"/>
      <c r="Z399" s="50"/>
      <c r="CU399" s="30"/>
      <c r="CV399" s="30"/>
      <c r="CW399" s="30"/>
      <c r="CX399" s="30"/>
      <c r="CY399" s="30"/>
      <c r="CZ399" s="30"/>
      <c r="DA399" s="30"/>
      <c r="DB399" s="30"/>
      <c r="DC399" s="30"/>
      <c r="DD399" s="30"/>
      <c r="DE399" s="30"/>
      <c r="DF399" s="30"/>
      <c r="DG399" s="30"/>
      <c r="DH399" s="30"/>
      <c r="DI399" s="30"/>
      <c r="DJ399" s="30"/>
      <c r="DK399" s="30"/>
      <c r="DL399" s="45"/>
      <c r="DM399" s="45"/>
      <c r="DN399" s="45"/>
      <c r="DO399" s="45"/>
      <c r="DP399" s="45"/>
      <c r="DQ399" s="45"/>
      <c r="DR399" s="45"/>
      <c r="DS399" s="45"/>
      <c r="DT399" s="45"/>
      <c r="DU399" s="45"/>
      <c r="DV399" s="45"/>
      <c r="DW399" s="45"/>
      <c r="DX399" s="45"/>
      <c r="DY399" s="45"/>
      <c r="DZ399" s="45"/>
    </row>
    <row r="400" spans="5:130" s="37" customFormat="1">
      <c r="E400" s="49"/>
      <c r="F400" s="49"/>
      <c r="G400" s="49"/>
      <c r="H400" s="49"/>
      <c r="I400" s="49"/>
      <c r="J400" s="49"/>
      <c r="K400" s="49"/>
      <c r="L400" s="49"/>
      <c r="M400" s="49"/>
      <c r="N400" s="49"/>
      <c r="O400" s="49"/>
      <c r="P400" s="49"/>
      <c r="Q400" s="49"/>
      <c r="R400" s="49"/>
      <c r="S400" s="50"/>
      <c r="T400" s="1510"/>
      <c r="U400" s="50"/>
      <c r="V400" s="50"/>
      <c r="W400" s="50"/>
      <c r="X400" s="50"/>
      <c r="Y400" s="50"/>
      <c r="Z400" s="50"/>
      <c r="CU400" s="30"/>
      <c r="CV400" s="30"/>
      <c r="CW400" s="30"/>
      <c r="CX400" s="30"/>
      <c r="CY400" s="30"/>
      <c r="CZ400" s="30"/>
      <c r="DA400" s="30"/>
      <c r="DB400" s="30"/>
      <c r="DC400" s="30"/>
      <c r="DD400" s="30"/>
      <c r="DE400" s="30"/>
      <c r="DF400" s="30"/>
      <c r="DG400" s="30"/>
      <c r="DH400" s="30"/>
      <c r="DI400" s="30"/>
      <c r="DJ400" s="30"/>
      <c r="DK400" s="30"/>
      <c r="DL400" s="45"/>
      <c r="DM400" s="45"/>
      <c r="DN400" s="45"/>
      <c r="DO400" s="45"/>
      <c r="DP400" s="45"/>
      <c r="DQ400" s="45"/>
      <c r="DR400" s="45"/>
      <c r="DS400" s="45"/>
      <c r="DT400" s="45"/>
      <c r="DU400" s="45"/>
      <c r="DV400" s="45"/>
      <c r="DW400" s="45"/>
      <c r="DX400" s="45"/>
      <c r="DY400" s="45"/>
      <c r="DZ400" s="45"/>
    </row>
    <row r="401" spans="5:130" s="37" customFormat="1">
      <c r="E401" s="49"/>
      <c r="F401" s="49"/>
      <c r="G401" s="49"/>
      <c r="H401" s="49"/>
      <c r="I401" s="49"/>
      <c r="J401" s="49"/>
      <c r="K401" s="49"/>
      <c r="L401" s="49"/>
      <c r="M401" s="49"/>
      <c r="N401" s="49"/>
      <c r="O401" s="49"/>
      <c r="P401" s="49"/>
      <c r="Q401" s="49"/>
      <c r="R401" s="49"/>
      <c r="S401" s="50"/>
      <c r="T401" s="1510"/>
      <c r="U401" s="50"/>
      <c r="V401" s="50"/>
      <c r="W401" s="50"/>
      <c r="X401" s="50"/>
      <c r="Y401" s="50"/>
      <c r="Z401" s="50"/>
      <c r="CU401" s="30"/>
      <c r="CV401" s="30"/>
      <c r="CW401" s="30"/>
      <c r="CX401" s="30"/>
      <c r="CY401" s="30"/>
      <c r="CZ401" s="30"/>
      <c r="DA401" s="30"/>
      <c r="DB401" s="30"/>
      <c r="DC401" s="30"/>
      <c r="DD401" s="30"/>
      <c r="DE401" s="30"/>
      <c r="DF401" s="30"/>
      <c r="DG401" s="30"/>
      <c r="DH401" s="30"/>
      <c r="DI401" s="30"/>
      <c r="DJ401" s="30"/>
      <c r="DK401" s="30"/>
      <c r="DL401" s="45"/>
      <c r="DM401" s="45"/>
      <c r="DN401" s="45"/>
      <c r="DO401" s="45"/>
      <c r="DP401" s="45"/>
      <c r="DQ401" s="45"/>
      <c r="DR401" s="45"/>
      <c r="DS401" s="45"/>
      <c r="DT401" s="45"/>
      <c r="DU401" s="45"/>
      <c r="DV401" s="45"/>
      <c r="DW401" s="45"/>
      <c r="DX401" s="45"/>
      <c r="DY401" s="45"/>
      <c r="DZ401" s="45"/>
    </row>
    <row r="402" spans="5:130" s="37" customFormat="1">
      <c r="E402" s="49"/>
      <c r="F402" s="49"/>
      <c r="G402" s="49"/>
      <c r="H402" s="49"/>
      <c r="I402" s="49"/>
      <c r="J402" s="49"/>
      <c r="K402" s="49"/>
      <c r="L402" s="49"/>
      <c r="M402" s="49"/>
      <c r="N402" s="49"/>
      <c r="O402" s="49"/>
      <c r="P402" s="49"/>
      <c r="Q402" s="49"/>
      <c r="R402" s="49"/>
      <c r="S402" s="50"/>
      <c r="T402" s="1510"/>
      <c r="U402" s="50"/>
      <c r="V402" s="50"/>
      <c r="W402" s="50"/>
      <c r="X402" s="50"/>
      <c r="Y402" s="50"/>
      <c r="Z402" s="50"/>
      <c r="CU402" s="30"/>
      <c r="CV402" s="30"/>
      <c r="CW402" s="30"/>
      <c r="CX402" s="30"/>
      <c r="CY402" s="30"/>
      <c r="CZ402" s="30"/>
      <c r="DA402" s="30"/>
      <c r="DB402" s="30"/>
      <c r="DC402" s="30"/>
      <c r="DD402" s="30"/>
      <c r="DE402" s="30"/>
      <c r="DF402" s="30"/>
      <c r="DG402" s="30"/>
      <c r="DH402" s="30"/>
      <c r="DI402" s="30"/>
      <c r="DJ402" s="30"/>
      <c r="DK402" s="30"/>
      <c r="DL402" s="45"/>
      <c r="DM402" s="45"/>
      <c r="DN402" s="45"/>
      <c r="DO402" s="45"/>
      <c r="DP402" s="45"/>
      <c r="DQ402" s="45"/>
      <c r="DR402" s="45"/>
      <c r="DS402" s="45"/>
      <c r="DT402" s="45"/>
      <c r="DU402" s="45"/>
      <c r="DV402" s="45"/>
      <c r="DW402" s="45"/>
      <c r="DX402" s="45"/>
      <c r="DY402" s="45"/>
      <c r="DZ402" s="45"/>
    </row>
    <row r="403" spans="5:130" s="37" customFormat="1">
      <c r="E403" s="49"/>
      <c r="F403" s="49"/>
      <c r="G403" s="49"/>
      <c r="H403" s="49"/>
      <c r="I403" s="49"/>
      <c r="J403" s="49"/>
      <c r="K403" s="49"/>
      <c r="L403" s="49"/>
      <c r="M403" s="49"/>
      <c r="N403" s="49"/>
      <c r="O403" s="49"/>
      <c r="P403" s="49"/>
      <c r="Q403" s="49"/>
      <c r="R403" s="49"/>
      <c r="S403" s="50"/>
      <c r="T403" s="1510"/>
      <c r="U403" s="50"/>
      <c r="V403" s="50"/>
      <c r="W403" s="50"/>
      <c r="X403" s="50"/>
      <c r="Y403" s="50"/>
      <c r="Z403" s="50"/>
      <c r="CU403" s="30"/>
      <c r="CV403" s="30"/>
      <c r="CW403" s="30"/>
      <c r="CX403" s="30"/>
      <c r="CY403" s="30"/>
      <c r="CZ403" s="30"/>
      <c r="DA403" s="30"/>
      <c r="DB403" s="30"/>
      <c r="DC403" s="30"/>
      <c r="DD403" s="30"/>
      <c r="DE403" s="30"/>
      <c r="DF403" s="30"/>
      <c r="DG403" s="30"/>
      <c r="DH403" s="30"/>
      <c r="DI403" s="30"/>
      <c r="DJ403" s="30"/>
      <c r="DK403" s="30"/>
      <c r="DL403" s="45"/>
      <c r="DM403" s="45"/>
      <c r="DN403" s="45"/>
      <c r="DO403" s="45"/>
      <c r="DP403" s="45"/>
      <c r="DQ403" s="45"/>
      <c r="DR403" s="45"/>
      <c r="DS403" s="45"/>
      <c r="DT403" s="45"/>
      <c r="DU403" s="45"/>
      <c r="DV403" s="45"/>
      <c r="DW403" s="45"/>
      <c r="DX403" s="45"/>
      <c r="DY403" s="45"/>
      <c r="DZ403" s="45"/>
    </row>
    <row r="404" spans="5:130" s="37" customFormat="1">
      <c r="E404" s="49"/>
      <c r="F404" s="49"/>
      <c r="G404" s="49"/>
      <c r="H404" s="49"/>
      <c r="I404" s="49"/>
      <c r="J404" s="49"/>
      <c r="K404" s="49"/>
      <c r="L404" s="49"/>
      <c r="M404" s="49"/>
      <c r="N404" s="49"/>
      <c r="O404" s="49"/>
      <c r="P404" s="49"/>
      <c r="Q404" s="49"/>
      <c r="R404" s="49"/>
      <c r="S404" s="50"/>
      <c r="T404" s="1510"/>
      <c r="U404" s="50"/>
      <c r="V404" s="50"/>
      <c r="W404" s="50"/>
      <c r="X404" s="50"/>
      <c r="Y404" s="50"/>
      <c r="Z404" s="50"/>
      <c r="CU404" s="30"/>
      <c r="CV404" s="30"/>
      <c r="CW404" s="30"/>
      <c r="CX404" s="30"/>
      <c r="CY404" s="30"/>
      <c r="CZ404" s="30"/>
      <c r="DA404" s="30"/>
      <c r="DB404" s="30"/>
      <c r="DC404" s="30"/>
      <c r="DD404" s="30"/>
      <c r="DE404" s="30"/>
      <c r="DF404" s="30"/>
      <c r="DG404" s="30"/>
      <c r="DH404" s="30"/>
      <c r="DI404" s="30"/>
      <c r="DJ404" s="30"/>
      <c r="DK404" s="30"/>
      <c r="DL404" s="45"/>
      <c r="DM404" s="45"/>
      <c r="DN404" s="45"/>
      <c r="DO404" s="45"/>
      <c r="DP404" s="45"/>
      <c r="DQ404" s="45"/>
      <c r="DR404" s="45"/>
      <c r="DS404" s="45"/>
      <c r="DT404" s="45"/>
      <c r="DU404" s="45"/>
      <c r="DV404" s="45"/>
      <c r="DW404" s="45"/>
      <c r="DX404" s="45"/>
      <c r="DY404" s="45"/>
      <c r="DZ404" s="45"/>
    </row>
    <row r="405" spans="5:130" s="37" customFormat="1">
      <c r="E405" s="49"/>
      <c r="F405" s="49"/>
      <c r="G405" s="49"/>
      <c r="H405" s="49"/>
      <c r="I405" s="49"/>
      <c r="J405" s="49"/>
      <c r="K405" s="49"/>
      <c r="L405" s="49"/>
      <c r="M405" s="49"/>
      <c r="N405" s="49"/>
      <c r="O405" s="49"/>
      <c r="P405" s="49"/>
      <c r="Q405" s="49"/>
      <c r="R405" s="49"/>
      <c r="S405" s="50"/>
      <c r="T405" s="1510"/>
      <c r="U405" s="50"/>
      <c r="V405" s="50"/>
      <c r="W405" s="50"/>
      <c r="X405" s="50"/>
      <c r="Y405" s="50"/>
      <c r="Z405" s="50"/>
      <c r="CU405" s="30"/>
      <c r="CV405" s="30"/>
      <c r="CW405" s="30"/>
      <c r="CX405" s="30"/>
      <c r="CY405" s="30"/>
      <c r="CZ405" s="30"/>
      <c r="DA405" s="30"/>
      <c r="DB405" s="30"/>
      <c r="DC405" s="30"/>
      <c r="DD405" s="30"/>
      <c r="DE405" s="30"/>
      <c r="DF405" s="30"/>
      <c r="DG405" s="30"/>
      <c r="DH405" s="30"/>
      <c r="DI405" s="30"/>
      <c r="DJ405" s="30"/>
      <c r="DK405" s="30"/>
      <c r="DL405" s="45"/>
      <c r="DM405" s="45"/>
      <c r="DN405" s="45"/>
      <c r="DO405" s="45"/>
      <c r="DP405" s="45"/>
      <c r="DQ405" s="45"/>
      <c r="DR405" s="45"/>
      <c r="DS405" s="45"/>
      <c r="DT405" s="45"/>
      <c r="DU405" s="45"/>
      <c r="DV405" s="45"/>
      <c r="DW405" s="45"/>
      <c r="DX405" s="45"/>
      <c r="DY405" s="45"/>
      <c r="DZ405" s="45"/>
    </row>
    <row r="406" spans="5:130" s="37" customFormat="1">
      <c r="E406" s="49"/>
      <c r="F406" s="49"/>
      <c r="G406" s="49"/>
      <c r="H406" s="49"/>
      <c r="I406" s="49"/>
      <c r="J406" s="49"/>
      <c r="K406" s="49"/>
      <c r="L406" s="49"/>
      <c r="M406" s="49"/>
      <c r="N406" s="49"/>
      <c r="O406" s="49"/>
      <c r="P406" s="49"/>
      <c r="Q406" s="49"/>
      <c r="R406" s="49"/>
      <c r="S406" s="50"/>
      <c r="T406" s="1510"/>
      <c r="U406" s="50"/>
      <c r="V406" s="50"/>
      <c r="W406" s="50"/>
      <c r="X406" s="50"/>
      <c r="Y406" s="50"/>
      <c r="Z406" s="50"/>
      <c r="CU406" s="30"/>
      <c r="CV406" s="30"/>
      <c r="CW406" s="30"/>
      <c r="CX406" s="30"/>
      <c r="CY406" s="30"/>
      <c r="CZ406" s="30"/>
      <c r="DA406" s="30"/>
      <c r="DB406" s="30"/>
      <c r="DC406" s="30"/>
      <c r="DD406" s="30"/>
      <c r="DE406" s="30"/>
      <c r="DF406" s="30"/>
      <c r="DG406" s="30"/>
      <c r="DH406" s="30"/>
      <c r="DI406" s="30"/>
      <c r="DJ406" s="30"/>
      <c r="DK406" s="30"/>
      <c r="DL406" s="45"/>
      <c r="DM406" s="45"/>
      <c r="DN406" s="45"/>
      <c r="DO406" s="45"/>
      <c r="DP406" s="45"/>
      <c r="DQ406" s="45"/>
      <c r="DR406" s="45"/>
      <c r="DS406" s="45"/>
      <c r="DT406" s="45"/>
      <c r="DU406" s="45"/>
      <c r="DV406" s="45"/>
      <c r="DW406" s="45"/>
      <c r="DX406" s="45"/>
      <c r="DY406" s="45"/>
      <c r="DZ406" s="45"/>
    </row>
    <row r="407" spans="5:130" s="37" customFormat="1">
      <c r="E407" s="49"/>
      <c r="F407" s="49"/>
      <c r="G407" s="49"/>
      <c r="H407" s="49"/>
      <c r="I407" s="49"/>
      <c r="J407" s="49"/>
      <c r="K407" s="49"/>
      <c r="L407" s="49"/>
      <c r="M407" s="49"/>
      <c r="N407" s="49"/>
      <c r="O407" s="49"/>
      <c r="P407" s="49"/>
      <c r="Q407" s="49"/>
      <c r="R407" s="49"/>
      <c r="S407" s="50"/>
      <c r="T407" s="1510"/>
      <c r="U407" s="50"/>
      <c r="V407" s="50"/>
      <c r="W407" s="50"/>
      <c r="X407" s="50"/>
      <c r="Y407" s="50"/>
      <c r="Z407" s="50"/>
      <c r="CU407" s="30"/>
      <c r="CV407" s="30"/>
      <c r="CW407" s="30"/>
      <c r="CX407" s="30"/>
      <c r="CY407" s="30"/>
      <c r="CZ407" s="30"/>
      <c r="DA407" s="30"/>
      <c r="DB407" s="30"/>
      <c r="DC407" s="30"/>
      <c r="DD407" s="30"/>
      <c r="DE407" s="30"/>
      <c r="DF407" s="30"/>
      <c r="DG407" s="30"/>
      <c r="DH407" s="30"/>
      <c r="DI407" s="30"/>
      <c r="DJ407" s="30"/>
      <c r="DK407" s="30"/>
      <c r="DL407" s="45"/>
      <c r="DM407" s="45"/>
      <c r="DN407" s="45"/>
      <c r="DO407" s="45"/>
      <c r="DP407" s="45"/>
      <c r="DQ407" s="45"/>
      <c r="DR407" s="45"/>
      <c r="DS407" s="45"/>
      <c r="DT407" s="45"/>
      <c r="DU407" s="45"/>
      <c r="DV407" s="45"/>
      <c r="DW407" s="45"/>
      <c r="DX407" s="45"/>
      <c r="DY407" s="45"/>
      <c r="DZ407" s="45"/>
    </row>
    <row r="408" spans="5:130" s="37" customFormat="1">
      <c r="E408" s="49"/>
      <c r="F408" s="49"/>
      <c r="G408" s="49"/>
      <c r="H408" s="49"/>
      <c r="I408" s="49"/>
      <c r="J408" s="49"/>
      <c r="K408" s="49"/>
      <c r="L408" s="49"/>
      <c r="M408" s="49"/>
      <c r="N408" s="49"/>
      <c r="O408" s="49"/>
      <c r="P408" s="49"/>
      <c r="Q408" s="49"/>
      <c r="R408" s="49"/>
      <c r="S408" s="50"/>
      <c r="T408" s="1510"/>
      <c r="U408" s="50"/>
      <c r="V408" s="50"/>
      <c r="W408" s="50"/>
      <c r="X408" s="50"/>
      <c r="Y408" s="50"/>
      <c r="Z408" s="50"/>
      <c r="CU408" s="30"/>
      <c r="CV408" s="30"/>
      <c r="CW408" s="30"/>
      <c r="CX408" s="30"/>
      <c r="CY408" s="30"/>
      <c r="CZ408" s="30"/>
      <c r="DA408" s="30"/>
      <c r="DB408" s="30"/>
      <c r="DC408" s="30"/>
      <c r="DD408" s="30"/>
      <c r="DE408" s="30"/>
      <c r="DF408" s="30"/>
      <c r="DG408" s="30"/>
      <c r="DH408" s="30"/>
      <c r="DI408" s="30"/>
      <c r="DJ408" s="30"/>
      <c r="DK408" s="30"/>
      <c r="DL408" s="45"/>
      <c r="DM408" s="45"/>
      <c r="DN408" s="45"/>
      <c r="DO408" s="45"/>
      <c r="DP408" s="45"/>
      <c r="DQ408" s="45"/>
      <c r="DR408" s="45"/>
      <c r="DS408" s="45"/>
      <c r="DT408" s="45"/>
      <c r="DU408" s="45"/>
      <c r="DV408" s="45"/>
      <c r="DW408" s="45"/>
      <c r="DX408" s="45"/>
      <c r="DY408" s="45"/>
      <c r="DZ408" s="45"/>
    </row>
    <row r="409" spans="5:130" s="37" customFormat="1">
      <c r="E409" s="49"/>
      <c r="F409" s="49"/>
      <c r="G409" s="49"/>
      <c r="H409" s="49"/>
      <c r="I409" s="49"/>
      <c r="J409" s="49"/>
      <c r="K409" s="49"/>
      <c r="L409" s="49"/>
      <c r="M409" s="49"/>
      <c r="N409" s="49"/>
      <c r="O409" s="49"/>
      <c r="P409" s="49"/>
      <c r="Q409" s="49"/>
      <c r="R409" s="49"/>
      <c r="S409" s="50"/>
      <c r="T409" s="1510"/>
      <c r="U409" s="50"/>
      <c r="V409" s="50"/>
      <c r="W409" s="50"/>
      <c r="X409" s="50"/>
      <c r="Y409" s="50"/>
      <c r="Z409" s="50"/>
      <c r="CU409" s="30"/>
      <c r="CV409" s="30"/>
      <c r="CW409" s="30"/>
      <c r="CX409" s="30"/>
      <c r="CY409" s="30"/>
      <c r="CZ409" s="30"/>
      <c r="DA409" s="30"/>
      <c r="DB409" s="30"/>
      <c r="DC409" s="30"/>
      <c r="DD409" s="30"/>
      <c r="DE409" s="30"/>
      <c r="DF409" s="30"/>
      <c r="DG409" s="30"/>
      <c r="DH409" s="30"/>
      <c r="DI409" s="30"/>
      <c r="DJ409" s="30"/>
      <c r="DK409" s="30"/>
      <c r="DL409" s="45"/>
      <c r="DM409" s="45"/>
      <c r="DN409" s="45"/>
      <c r="DO409" s="45"/>
      <c r="DP409" s="45"/>
      <c r="DQ409" s="45"/>
      <c r="DR409" s="45"/>
      <c r="DS409" s="45"/>
      <c r="DT409" s="45"/>
      <c r="DU409" s="45"/>
      <c r="DV409" s="45"/>
      <c r="DW409" s="45"/>
      <c r="DX409" s="45"/>
      <c r="DY409" s="45"/>
      <c r="DZ409" s="45"/>
    </row>
    <row r="410" spans="5:130" s="37" customFormat="1">
      <c r="E410" s="49"/>
      <c r="F410" s="49"/>
      <c r="G410" s="49"/>
      <c r="H410" s="49"/>
      <c r="I410" s="49"/>
      <c r="J410" s="49"/>
      <c r="K410" s="49"/>
      <c r="L410" s="49"/>
      <c r="M410" s="49"/>
      <c r="N410" s="49"/>
      <c r="O410" s="49"/>
      <c r="P410" s="49"/>
      <c r="Q410" s="49"/>
      <c r="R410" s="49"/>
      <c r="S410" s="50"/>
      <c r="T410" s="1510"/>
      <c r="U410" s="50"/>
      <c r="V410" s="50"/>
      <c r="W410" s="50"/>
      <c r="X410" s="50"/>
      <c r="Y410" s="50"/>
      <c r="Z410" s="50"/>
      <c r="CU410" s="30"/>
      <c r="CV410" s="30"/>
      <c r="CW410" s="30"/>
      <c r="CX410" s="30"/>
      <c r="CY410" s="30"/>
      <c r="CZ410" s="30"/>
      <c r="DA410" s="30"/>
      <c r="DB410" s="30"/>
      <c r="DC410" s="30"/>
      <c r="DD410" s="30"/>
      <c r="DE410" s="30"/>
      <c r="DF410" s="30"/>
      <c r="DG410" s="30"/>
      <c r="DH410" s="30"/>
      <c r="DI410" s="30"/>
      <c r="DJ410" s="30"/>
      <c r="DK410" s="30"/>
      <c r="DL410" s="45"/>
      <c r="DM410" s="45"/>
      <c r="DN410" s="45"/>
      <c r="DO410" s="45"/>
      <c r="DP410" s="45"/>
      <c r="DQ410" s="45"/>
      <c r="DR410" s="45"/>
      <c r="DS410" s="45"/>
      <c r="DT410" s="45"/>
      <c r="DU410" s="45"/>
      <c r="DV410" s="45"/>
      <c r="DW410" s="45"/>
      <c r="DX410" s="45"/>
      <c r="DY410" s="45"/>
      <c r="DZ410" s="45"/>
    </row>
    <row r="411" spans="5:130" s="37" customFormat="1">
      <c r="E411" s="49"/>
      <c r="F411" s="49"/>
      <c r="G411" s="49"/>
      <c r="H411" s="49"/>
      <c r="I411" s="49"/>
      <c r="J411" s="49"/>
      <c r="K411" s="49"/>
      <c r="L411" s="49"/>
      <c r="M411" s="49"/>
      <c r="N411" s="49"/>
      <c r="O411" s="49"/>
      <c r="P411" s="49"/>
      <c r="Q411" s="49"/>
      <c r="R411" s="49"/>
      <c r="S411" s="50"/>
      <c r="T411" s="1510"/>
      <c r="U411" s="50"/>
      <c r="V411" s="50"/>
      <c r="W411" s="50"/>
      <c r="X411" s="50"/>
      <c r="Y411" s="50"/>
      <c r="Z411" s="50"/>
      <c r="CU411" s="30"/>
      <c r="CV411" s="30"/>
      <c r="CW411" s="30"/>
      <c r="CX411" s="30"/>
      <c r="CY411" s="30"/>
      <c r="CZ411" s="30"/>
      <c r="DA411" s="30"/>
      <c r="DB411" s="30"/>
      <c r="DC411" s="30"/>
      <c r="DD411" s="30"/>
      <c r="DE411" s="30"/>
      <c r="DF411" s="30"/>
      <c r="DG411" s="30"/>
      <c r="DH411" s="30"/>
      <c r="DI411" s="30"/>
      <c r="DJ411" s="30"/>
      <c r="DK411" s="30"/>
      <c r="DL411" s="45"/>
      <c r="DM411" s="45"/>
      <c r="DN411" s="45"/>
      <c r="DO411" s="45"/>
      <c r="DP411" s="45"/>
      <c r="DQ411" s="45"/>
      <c r="DR411" s="45"/>
      <c r="DS411" s="45"/>
      <c r="DT411" s="45"/>
      <c r="DU411" s="45"/>
      <c r="DV411" s="45"/>
      <c r="DW411" s="45"/>
      <c r="DX411" s="45"/>
      <c r="DY411" s="45"/>
      <c r="DZ411" s="45"/>
    </row>
    <row r="412" spans="5:130" s="37" customFormat="1">
      <c r="E412" s="49"/>
      <c r="F412" s="49"/>
      <c r="G412" s="49"/>
      <c r="H412" s="49"/>
      <c r="I412" s="49"/>
      <c r="J412" s="49"/>
      <c r="K412" s="49"/>
      <c r="L412" s="49"/>
      <c r="M412" s="49"/>
      <c r="N412" s="49"/>
      <c r="O412" s="49"/>
      <c r="P412" s="49"/>
      <c r="Q412" s="49"/>
      <c r="R412" s="49"/>
      <c r="S412" s="50"/>
      <c r="T412" s="1510"/>
      <c r="U412" s="50"/>
      <c r="V412" s="50"/>
      <c r="W412" s="50"/>
      <c r="X412" s="50"/>
      <c r="Y412" s="50"/>
      <c r="Z412" s="50"/>
      <c r="CU412" s="30"/>
      <c r="CV412" s="30"/>
      <c r="CW412" s="30"/>
      <c r="CX412" s="30"/>
      <c r="CY412" s="30"/>
      <c r="CZ412" s="30"/>
      <c r="DA412" s="30"/>
      <c r="DB412" s="30"/>
      <c r="DC412" s="30"/>
      <c r="DD412" s="30"/>
      <c r="DE412" s="30"/>
      <c r="DF412" s="30"/>
      <c r="DG412" s="30"/>
      <c r="DH412" s="30"/>
      <c r="DI412" s="30"/>
      <c r="DJ412" s="30"/>
      <c r="DK412" s="30"/>
      <c r="DL412" s="45"/>
      <c r="DM412" s="45"/>
      <c r="DN412" s="45"/>
      <c r="DO412" s="45"/>
      <c r="DP412" s="45"/>
      <c r="DQ412" s="45"/>
      <c r="DR412" s="45"/>
      <c r="DS412" s="45"/>
      <c r="DT412" s="45"/>
      <c r="DU412" s="45"/>
      <c r="DV412" s="45"/>
      <c r="DW412" s="45"/>
      <c r="DX412" s="45"/>
      <c r="DY412" s="45"/>
      <c r="DZ412" s="45"/>
    </row>
    <row r="413" spans="5:130" s="37" customFormat="1">
      <c r="E413" s="49"/>
      <c r="F413" s="49"/>
      <c r="G413" s="49"/>
      <c r="H413" s="49"/>
      <c r="I413" s="49"/>
      <c r="J413" s="49"/>
      <c r="K413" s="49"/>
      <c r="L413" s="49"/>
      <c r="M413" s="49"/>
      <c r="N413" s="49"/>
      <c r="O413" s="49"/>
      <c r="P413" s="49"/>
      <c r="Q413" s="49"/>
      <c r="R413" s="49"/>
      <c r="S413" s="50"/>
      <c r="T413" s="1510"/>
      <c r="U413" s="50"/>
      <c r="V413" s="50"/>
      <c r="W413" s="50"/>
      <c r="X413" s="50"/>
      <c r="Y413" s="50"/>
      <c r="Z413" s="50"/>
      <c r="CU413" s="30"/>
      <c r="CV413" s="30"/>
      <c r="CW413" s="30"/>
      <c r="CX413" s="30"/>
      <c r="CY413" s="30"/>
      <c r="CZ413" s="30"/>
      <c r="DA413" s="30"/>
      <c r="DB413" s="30"/>
      <c r="DC413" s="30"/>
      <c r="DD413" s="30"/>
      <c r="DE413" s="30"/>
      <c r="DF413" s="30"/>
      <c r="DG413" s="30"/>
      <c r="DH413" s="30"/>
      <c r="DI413" s="30"/>
      <c r="DJ413" s="30"/>
      <c r="DK413" s="30"/>
      <c r="DL413" s="45"/>
      <c r="DM413" s="45"/>
      <c r="DN413" s="45"/>
      <c r="DO413" s="45"/>
      <c r="DP413" s="45"/>
      <c r="DQ413" s="45"/>
      <c r="DR413" s="45"/>
      <c r="DS413" s="45"/>
      <c r="DT413" s="45"/>
      <c r="DU413" s="45"/>
      <c r="DV413" s="45"/>
      <c r="DW413" s="45"/>
      <c r="DX413" s="45"/>
      <c r="DY413" s="45"/>
      <c r="DZ413" s="45"/>
    </row>
    <row r="414" spans="5:130" s="37" customFormat="1">
      <c r="E414" s="49"/>
      <c r="F414" s="49"/>
      <c r="G414" s="49"/>
      <c r="H414" s="49"/>
      <c r="I414" s="49"/>
      <c r="J414" s="49"/>
      <c r="K414" s="49"/>
      <c r="L414" s="49"/>
      <c r="M414" s="49"/>
      <c r="N414" s="49"/>
      <c r="O414" s="49"/>
      <c r="P414" s="49"/>
      <c r="Q414" s="49"/>
      <c r="R414" s="49"/>
      <c r="S414" s="50"/>
      <c r="T414" s="1510"/>
      <c r="U414" s="50"/>
      <c r="V414" s="50"/>
      <c r="W414" s="50"/>
      <c r="X414" s="50"/>
      <c r="Y414" s="50"/>
      <c r="Z414" s="50"/>
      <c r="CU414" s="30"/>
      <c r="CV414" s="30"/>
      <c r="CW414" s="30"/>
      <c r="CX414" s="30"/>
      <c r="CY414" s="30"/>
      <c r="CZ414" s="30"/>
      <c r="DA414" s="30"/>
      <c r="DB414" s="30"/>
      <c r="DC414" s="30"/>
      <c r="DD414" s="30"/>
      <c r="DE414" s="30"/>
      <c r="DF414" s="30"/>
      <c r="DG414" s="30"/>
      <c r="DH414" s="30"/>
      <c r="DI414" s="30"/>
      <c r="DJ414" s="30"/>
      <c r="DK414" s="30"/>
      <c r="DL414" s="45"/>
      <c r="DM414" s="45"/>
      <c r="DN414" s="45"/>
      <c r="DO414" s="45"/>
      <c r="DP414" s="45"/>
      <c r="DQ414" s="45"/>
      <c r="DR414" s="45"/>
      <c r="DS414" s="45"/>
      <c r="DT414" s="45"/>
      <c r="DU414" s="45"/>
      <c r="DV414" s="45"/>
      <c r="DW414" s="45"/>
      <c r="DX414" s="45"/>
      <c r="DY414" s="45"/>
      <c r="DZ414" s="45"/>
    </row>
    <row r="415" spans="5:130" s="37" customFormat="1">
      <c r="E415" s="49"/>
      <c r="F415" s="49"/>
      <c r="G415" s="49"/>
      <c r="H415" s="49"/>
      <c r="I415" s="49"/>
      <c r="J415" s="49"/>
      <c r="K415" s="49"/>
      <c r="L415" s="49"/>
      <c r="M415" s="49"/>
      <c r="N415" s="49"/>
      <c r="O415" s="49"/>
      <c r="P415" s="49"/>
      <c r="Q415" s="49"/>
      <c r="R415" s="49"/>
      <c r="S415" s="50"/>
      <c r="T415" s="1510"/>
      <c r="U415" s="50"/>
      <c r="V415" s="50"/>
      <c r="W415" s="50"/>
      <c r="X415" s="50"/>
      <c r="Y415" s="50"/>
      <c r="Z415" s="50"/>
      <c r="CU415" s="30"/>
      <c r="CV415" s="30"/>
      <c r="CW415" s="30"/>
      <c r="CX415" s="30"/>
      <c r="CY415" s="30"/>
      <c r="CZ415" s="30"/>
      <c r="DA415" s="30"/>
      <c r="DB415" s="30"/>
      <c r="DC415" s="30"/>
      <c r="DD415" s="30"/>
      <c r="DE415" s="30"/>
      <c r="DF415" s="30"/>
      <c r="DG415" s="30"/>
      <c r="DH415" s="30"/>
      <c r="DI415" s="30"/>
      <c r="DJ415" s="30"/>
      <c r="DK415" s="30"/>
      <c r="DL415" s="45"/>
      <c r="DM415" s="45"/>
      <c r="DN415" s="45"/>
      <c r="DO415" s="45"/>
      <c r="DP415" s="45"/>
      <c r="DQ415" s="45"/>
      <c r="DR415" s="45"/>
      <c r="DS415" s="45"/>
      <c r="DT415" s="45"/>
      <c r="DU415" s="45"/>
      <c r="DV415" s="45"/>
      <c r="DW415" s="45"/>
      <c r="DX415" s="45"/>
      <c r="DY415" s="45"/>
      <c r="DZ415" s="45"/>
    </row>
    <row r="416" spans="5:130" s="37" customFormat="1">
      <c r="E416" s="49"/>
      <c r="F416" s="49"/>
      <c r="G416" s="49"/>
      <c r="H416" s="49"/>
      <c r="I416" s="49"/>
      <c r="J416" s="49"/>
      <c r="K416" s="49"/>
      <c r="L416" s="49"/>
      <c r="M416" s="49"/>
      <c r="N416" s="49"/>
      <c r="O416" s="49"/>
      <c r="P416" s="49"/>
      <c r="Q416" s="49"/>
      <c r="R416" s="49"/>
      <c r="S416" s="50"/>
      <c r="T416" s="1510"/>
      <c r="U416" s="50"/>
      <c r="V416" s="50"/>
      <c r="W416" s="50"/>
      <c r="X416" s="50"/>
      <c r="Y416" s="50"/>
      <c r="Z416" s="50"/>
      <c r="CU416" s="30"/>
      <c r="CV416" s="30"/>
      <c r="CW416" s="30"/>
      <c r="CX416" s="30"/>
      <c r="CY416" s="30"/>
      <c r="CZ416" s="30"/>
      <c r="DA416" s="30"/>
      <c r="DB416" s="30"/>
      <c r="DC416" s="30"/>
      <c r="DD416" s="30"/>
      <c r="DE416" s="30"/>
      <c r="DF416" s="30"/>
      <c r="DG416" s="30"/>
      <c r="DH416" s="30"/>
      <c r="DI416" s="30"/>
      <c r="DJ416" s="30"/>
      <c r="DK416" s="30"/>
      <c r="DL416" s="45"/>
      <c r="DM416" s="45"/>
      <c r="DN416" s="45"/>
      <c r="DO416" s="45"/>
      <c r="DP416" s="45"/>
      <c r="DQ416" s="45"/>
      <c r="DR416" s="45"/>
      <c r="DS416" s="45"/>
      <c r="DT416" s="45"/>
      <c r="DU416" s="45"/>
      <c r="DV416" s="45"/>
      <c r="DW416" s="45"/>
      <c r="DX416" s="45"/>
      <c r="DY416" s="45"/>
      <c r="DZ416" s="45"/>
    </row>
    <row r="417" spans="5:130" s="37" customFormat="1">
      <c r="E417" s="49"/>
      <c r="F417" s="49"/>
      <c r="G417" s="49"/>
      <c r="H417" s="49"/>
      <c r="I417" s="49"/>
      <c r="J417" s="49"/>
      <c r="K417" s="49"/>
      <c r="L417" s="49"/>
      <c r="M417" s="49"/>
      <c r="N417" s="49"/>
      <c r="O417" s="49"/>
      <c r="P417" s="49"/>
      <c r="Q417" s="49"/>
      <c r="R417" s="49"/>
      <c r="S417" s="50"/>
      <c r="T417" s="1510"/>
      <c r="U417" s="50"/>
      <c r="V417" s="50"/>
      <c r="W417" s="50"/>
      <c r="X417" s="50"/>
      <c r="Y417" s="50"/>
      <c r="Z417" s="50"/>
      <c r="CU417" s="30"/>
      <c r="CV417" s="30"/>
      <c r="CW417" s="30"/>
      <c r="CX417" s="30"/>
      <c r="CY417" s="30"/>
      <c r="CZ417" s="30"/>
      <c r="DA417" s="30"/>
      <c r="DB417" s="30"/>
      <c r="DC417" s="30"/>
      <c r="DD417" s="30"/>
      <c r="DE417" s="30"/>
      <c r="DF417" s="30"/>
      <c r="DG417" s="30"/>
      <c r="DH417" s="30"/>
      <c r="DI417" s="30"/>
      <c r="DJ417" s="30"/>
      <c r="DK417" s="30"/>
      <c r="DL417" s="45"/>
      <c r="DM417" s="45"/>
      <c r="DN417" s="45"/>
      <c r="DO417" s="45"/>
      <c r="DP417" s="45"/>
      <c r="DQ417" s="45"/>
      <c r="DR417" s="45"/>
      <c r="DS417" s="45"/>
      <c r="DT417" s="45"/>
      <c r="DU417" s="45"/>
      <c r="DV417" s="45"/>
      <c r="DW417" s="45"/>
      <c r="DX417" s="45"/>
      <c r="DY417" s="45"/>
      <c r="DZ417" s="45"/>
    </row>
    <row r="1000" spans="1:1">
      <c r="A1000" s="30">
        <v>70</v>
      </c>
    </row>
  </sheetData>
  <sheetProtection algorithmName="SHA-512" hashValue="lCByWvb80aL6hvizQRmp90us3hP/+vS77Rov06DCzhzyXio6FkWqE6kj6nZiFYg/25QgBGazTIJfpCZ/4J3vvg==" saltValue="k4F7ndIISY0/jNqQ3qwYKw==" spinCount="100000" sheet="1" objects="1" scenarios="1"/>
  <conditionalFormatting sqref="E14:P16">
    <cfRule type="cellIs" dxfId="73" priority="13" stopIfTrue="1" operator="greaterThan">
      <formula>0</formula>
    </cfRule>
  </conditionalFormatting>
  <conditionalFormatting sqref="E28:P28">
    <cfRule type="cellIs" dxfId="72" priority="21" stopIfTrue="1" operator="greaterThan">
      <formula>0</formula>
    </cfRule>
  </conditionalFormatting>
  <conditionalFormatting sqref="E46:P48">
    <cfRule type="cellIs" dxfId="71" priority="19" stopIfTrue="1" operator="greaterThan">
      <formula>0</formula>
    </cfRule>
  </conditionalFormatting>
  <conditionalFormatting sqref="E60:P60">
    <cfRule type="cellIs" dxfId="70" priority="12" stopIfTrue="1" operator="greaterThan">
      <formula>0</formula>
    </cfRule>
  </conditionalFormatting>
  <conditionalFormatting sqref="G79:I81">
    <cfRule type="cellIs" dxfId="69" priority="41" stopIfTrue="1" operator="greaterThan">
      <formula>0</formula>
    </cfRule>
  </conditionalFormatting>
  <conditionalFormatting sqref="G93:I93">
    <cfRule type="cellIs" dxfId="68" priority="14" stopIfTrue="1" operator="greaterThan">
      <formula>0</formula>
    </cfRule>
  </conditionalFormatting>
  <conditionalFormatting sqref="S14:S16 S28 S48">
    <cfRule type="notContainsBlanks" dxfId="67" priority="25" stopIfTrue="1">
      <formula>LEN(TRIM(S14))&gt;0</formula>
    </cfRule>
  </conditionalFormatting>
  <conditionalFormatting sqref="S14:S16">
    <cfRule type="cellIs" dxfId="66" priority="11" operator="greaterThan">
      <formula>0</formula>
    </cfRule>
  </conditionalFormatting>
  <conditionalFormatting sqref="S28">
    <cfRule type="cellIs" dxfId="65" priority="10" operator="greaterThan">
      <formula>0</formula>
    </cfRule>
  </conditionalFormatting>
  <conditionalFormatting sqref="S48">
    <cfRule type="cellIs" dxfId="64" priority="9" operator="greaterThan">
      <formula>0</formula>
    </cfRule>
  </conditionalFormatting>
  <conditionalFormatting sqref="S60">
    <cfRule type="cellIs" dxfId="63" priority="7" operator="greaterThan">
      <formula>0</formula>
    </cfRule>
    <cfRule type="notContainsBlanks" dxfId="62" priority="8" stopIfTrue="1">
      <formula>LEN(TRIM(S60))&gt;0</formula>
    </cfRule>
  </conditionalFormatting>
  <conditionalFormatting sqref="S79:S81">
    <cfRule type="cellIs" dxfId="61" priority="3" operator="greaterThan">
      <formula>0</formula>
    </cfRule>
    <cfRule type="notContainsBlanks" dxfId="60" priority="4" stopIfTrue="1">
      <formula>LEN(TRIM(S79))&gt;0</formula>
    </cfRule>
  </conditionalFormatting>
  <conditionalFormatting sqref="S93">
    <cfRule type="cellIs" dxfId="59" priority="1" operator="greaterThan">
      <formula>0</formula>
    </cfRule>
    <cfRule type="notContainsBlanks" dxfId="58" priority="2" stopIfTrue="1">
      <formula>LEN(TRIM(S93))&gt;0</formula>
    </cfRule>
  </conditionalFormatting>
  <dataValidations count="1">
    <dataValidation type="list" allowBlank="1" showInputMessage="1" showErrorMessage="1" sqref="G2" xr:uid="{00000000-0002-0000-0800-000000000000}">
      <formula1>$M$1:$Q$1</formula1>
    </dataValidation>
  </dataValidations>
  <printOptions horizontalCentered="1" verticalCentered="1"/>
  <pageMargins left="0.62992125984251968" right="0.62992125984251968" top="1.1417322834645669" bottom="0.55118110236220474" header="0.70866141732283472" footer="0.31496062992125984"/>
  <pageSetup paperSize="9" scale="47" fitToHeight="3" orientation="landscape" r:id="rId1"/>
  <headerFooter>
    <oddHeader>&amp;L&amp;G&amp;C&amp;48Liquidität / Liquidity&amp;R&amp;G</oddHeader>
    <oddFooter>&amp;L&amp;"Verdana,Standard"&amp;9&amp;F / &amp;A&amp;C&amp;"Verdana,Standard"&amp;9Seite &amp;P von &amp;N&amp;R&amp;"Verdana,Standard"&amp;9© 2026 Juergen Erlewein</oddFooter>
  </headerFooter>
  <rowBreaks count="1" manualBreakCount="1">
    <brk id="67" min="2" max="16" man="1"/>
  </rowBreaks>
  <ignoredErrors>
    <ignoredError sqref="D88" formula="1"/>
  </ignoredErrors>
  <drawing r:id="rId2"/>
  <legacyDrawing r:id="rId3"/>
  <legacyDrawingHF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25DC9-CEC6-46A3-A39A-4989C74B1B03}">
  <sheetPr codeName="Tabelle17">
    <pageSetUpPr fitToPage="1"/>
  </sheetPr>
  <dimension ref="A1:EF1002"/>
  <sheetViews>
    <sheetView showGridLines="0" zoomScale="90" zoomScaleNormal="90" workbookViewId="0">
      <selection activeCell="A2" sqref="A2"/>
    </sheetView>
  </sheetViews>
  <sheetFormatPr baseColWidth="10" defaultColWidth="11.44140625" defaultRowHeight="13.8"/>
  <cols>
    <col min="1" max="1" width="6" style="68" customWidth="1"/>
    <col min="2" max="2" width="3" style="68" customWidth="1"/>
    <col min="3" max="3" width="10.44140625" style="71" customWidth="1"/>
    <col min="4" max="4" width="32" style="71" customWidth="1"/>
    <col min="5" max="5" width="12.6640625" style="710" customWidth="1"/>
    <col min="6" max="9" width="10.6640625" style="205" customWidth="1"/>
    <col min="10" max="10" width="12.6640625" style="205" customWidth="1"/>
    <col min="11" max="14" width="10.6640625" style="205" customWidth="1"/>
    <col min="15" max="15" width="12.6640625" style="209" customWidth="1"/>
    <col min="16" max="17" width="10.6640625" style="205" customWidth="1"/>
    <col min="18" max="19" width="10.6640625" style="182" customWidth="1"/>
    <col min="20" max="20" width="8.33203125" style="183" customWidth="1"/>
    <col min="21" max="21" width="56.109375" style="76" customWidth="1"/>
    <col min="22" max="25" width="14.6640625" style="1445" customWidth="1"/>
    <col min="26" max="26" width="14.6640625" style="1446" customWidth="1"/>
    <col min="27" max="28" width="14.6640625" style="68" customWidth="1"/>
    <col min="29" max="30" width="14.6640625" style="80" customWidth="1"/>
    <col min="31" max="31" width="14.6640625" style="81" customWidth="1"/>
    <col min="32" max="49" width="14.6640625" style="80" customWidth="1"/>
    <col min="50" max="64" width="16.6640625" style="80" customWidth="1"/>
    <col min="65" max="73" width="16.6640625" style="123" customWidth="1"/>
    <col min="74" max="74" width="16.6640625" style="144" customWidth="1"/>
    <col min="75" max="78" width="16.6640625" style="123" customWidth="1"/>
    <col min="79" max="79" width="16.6640625" style="123" hidden="1" customWidth="1"/>
    <col min="80" max="86" width="25.5546875" style="123" hidden="1" customWidth="1"/>
    <col min="87" max="87" width="9.33203125" style="446" hidden="1" customWidth="1"/>
    <col min="88" max="88" width="10.33203125" style="446" hidden="1" customWidth="1"/>
    <col min="89" max="89" width="7.33203125" style="446" hidden="1" customWidth="1"/>
    <col min="90" max="90" width="5.88671875" style="446" hidden="1" customWidth="1"/>
    <col min="91" max="91" width="5.33203125" style="446" hidden="1" customWidth="1"/>
    <col min="92" max="92" width="5.88671875" style="446" hidden="1" customWidth="1"/>
    <col min="93" max="93" width="5.109375" style="446" hidden="1" customWidth="1"/>
    <col min="94" max="94" width="8.109375" style="446" hidden="1" customWidth="1"/>
    <col min="95" max="95" width="12.44140625" style="446" hidden="1" customWidth="1"/>
    <col min="96" max="96" width="9.44140625" style="446" hidden="1" customWidth="1"/>
    <col min="97" max="98" width="11.6640625" style="446" hidden="1" customWidth="1"/>
    <col min="99" max="99" width="26" style="446" hidden="1" customWidth="1"/>
    <col min="100" max="100" width="51.44140625" style="445" hidden="1" customWidth="1"/>
    <col min="101" max="101" width="61.33203125" style="117" hidden="1" customWidth="1"/>
    <col min="102" max="102" width="54.88671875" style="445" hidden="1" customWidth="1"/>
    <col min="103" max="104" width="25.5546875" style="123" hidden="1" customWidth="1"/>
    <col min="105" max="129" width="25.5546875" style="123" customWidth="1"/>
    <col min="130" max="157" width="25.5546875" style="71" customWidth="1"/>
    <col min="158" max="16384" width="11.44140625" style="71"/>
  </cols>
  <sheetData>
    <row r="1" spans="1:136" ht="9.9" customHeight="1">
      <c r="C1" s="130" t="s">
        <v>1028</v>
      </c>
      <c r="D1" s="709">
        <f ca="1">E6</f>
        <v>2026</v>
      </c>
      <c r="AA1" s="74"/>
      <c r="AB1" s="74"/>
      <c r="AC1" s="74"/>
      <c r="AD1" s="74"/>
      <c r="AE1" s="1447"/>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1448"/>
      <c r="BN1" s="1448"/>
      <c r="BO1" s="1448"/>
      <c r="BP1" s="1448"/>
      <c r="BQ1" s="1448"/>
      <c r="BR1" s="1448"/>
      <c r="BS1" s="1448"/>
      <c r="BT1" s="1448"/>
      <c r="BU1" s="1448"/>
      <c r="BV1" s="1449"/>
      <c r="BW1" s="1448"/>
      <c r="BX1" s="1448"/>
      <c r="BY1" s="1448"/>
      <c r="BZ1" s="1448"/>
      <c r="CA1" s="1448"/>
      <c r="CB1" s="1448"/>
      <c r="CC1" s="1448"/>
      <c r="CD1" s="1448"/>
      <c r="CE1" s="1448"/>
      <c r="CF1" s="1448"/>
      <c r="CG1" s="1448"/>
      <c r="CH1" s="1448"/>
      <c r="CY1" s="30"/>
    </row>
    <row r="2" spans="1:136" s="73" customFormat="1" ht="28.2">
      <c r="A2" s="336" t="s">
        <v>507</v>
      </c>
      <c r="B2" s="68"/>
      <c r="C2" s="711" t="str">
        <f>CV3</f>
        <v>8 Finanzierungsplan (EUR)</v>
      </c>
      <c r="E2" s="712"/>
      <c r="F2" s="76"/>
      <c r="G2" s="76"/>
      <c r="H2" s="76"/>
      <c r="I2" s="76"/>
      <c r="J2" s="76"/>
      <c r="K2" s="77"/>
      <c r="L2" s="76"/>
      <c r="M2" s="76"/>
      <c r="N2" s="76"/>
      <c r="O2" s="76"/>
      <c r="P2" s="76"/>
      <c r="Q2" s="76"/>
      <c r="R2" s="184"/>
      <c r="S2" s="184"/>
      <c r="T2" s="184"/>
      <c r="U2" s="184"/>
      <c r="V2" s="191"/>
      <c r="W2" s="191"/>
      <c r="X2" s="191"/>
      <c r="Y2" s="191"/>
      <c r="Z2" s="1438"/>
      <c r="AA2" s="1438"/>
      <c r="AB2" s="1438"/>
      <c r="AC2" s="1438"/>
      <c r="AD2" s="1438"/>
      <c r="AE2" s="1438"/>
      <c r="AF2" s="1438"/>
      <c r="AG2" s="1438"/>
      <c r="AH2" s="1438"/>
      <c r="AI2" s="1438"/>
      <c r="AJ2" s="1438"/>
      <c r="AK2" s="1438"/>
      <c r="AL2" s="1438"/>
      <c r="AM2" s="1438"/>
      <c r="AN2" s="1438"/>
      <c r="AO2" s="1438"/>
      <c r="AP2" s="1438"/>
      <c r="AQ2" s="1438"/>
      <c r="AR2" s="1438"/>
      <c r="AS2" s="1438"/>
      <c r="AT2" s="1438"/>
      <c r="AU2" s="1438"/>
      <c r="AV2" s="1438"/>
      <c r="AW2" s="1438"/>
      <c r="AX2" s="1438"/>
      <c r="AY2" s="1438"/>
      <c r="AZ2" s="1438"/>
      <c r="BA2" s="1438"/>
      <c r="BB2" s="1438"/>
      <c r="BC2" s="1438"/>
      <c r="BD2" s="1438"/>
      <c r="BE2" s="1438"/>
      <c r="BF2" s="1438"/>
      <c r="BG2" s="1438"/>
      <c r="BH2" s="1438"/>
      <c r="BI2" s="1438"/>
      <c r="BJ2" s="1438"/>
      <c r="BK2" s="1438"/>
      <c r="BL2" s="1438"/>
      <c r="BM2" s="1438"/>
      <c r="BN2" s="1438"/>
      <c r="BO2" s="1438"/>
      <c r="BP2" s="1438"/>
      <c r="BQ2" s="1438"/>
      <c r="BR2" s="1438"/>
      <c r="BS2" s="1438"/>
      <c r="BT2" s="1438"/>
      <c r="BU2" s="1438"/>
      <c r="BV2" s="1438"/>
      <c r="BW2" s="1438"/>
      <c r="BX2" s="1438"/>
      <c r="BY2" s="1438"/>
      <c r="BZ2" s="1438"/>
      <c r="CA2" s="1439"/>
      <c r="CB2" s="1439"/>
      <c r="CC2" s="1439"/>
      <c r="CD2" s="1439"/>
      <c r="CE2" s="1439"/>
      <c r="CF2" s="1439"/>
      <c r="CG2" s="1439"/>
      <c r="CH2" s="1439"/>
      <c r="CI2" s="1440" t="s">
        <v>60</v>
      </c>
      <c r="CJ2" s="295" t="s">
        <v>61</v>
      </c>
      <c r="CK2" s="295" t="s">
        <v>190</v>
      </c>
      <c r="CL2" s="295" t="s">
        <v>63</v>
      </c>
      <c r="CM2" s="295" t="s">
        <v>187</v>
      </c>
      <c r="CN2" s="295" t="s">
        <v>64</v>
      </c>
      <c r="CO2" s="295" t="s">
        <v>65</v>
      </c>
      <c r="CP2" s="295" t="s">
        <v>66</v>
      </c>
      <c r="CQ2" s="295" t="s">
        <v>67</v>
      </c>
      <c r="CR2" s="295" t="s">
        <v>191</v>
      </c>
      <c r="CS2" s="295" t="s">
        <v>69</v>
      </c>
      <c r="CT2" s="295" t="s">
        <v>192</v>
      </c>
      <c r="CU2" s="713"/>
      <c r="CV2" s="621" t="str">
        <f>IF(Basisdaten!$B$15="English",CX2,CW2)</f>
        <v>Aufgaben und/oder Kommentar</v>
      </c>
      <c r="CW2" s="714" t="s">
        <v>131</v>
      </c>
      <c r="CX2" s="714" t="s">
        <v>193</v>
      </c>
      <c r="CY2" s="185"/>
      <c r="CZ2" s="30"/>
      <c r="DA2" s="82"/>
      <c r="DB2" s="82"/>
      <c r="DC2" s="82"/>
      <c r="DD2" s="82"/>
      <c r="DE2" s="82"/>
      <c r="DF2" s="82"/>
      <c r="DG2" s="82"/>
      <c r="DH2" s="82"/>
      <c r="DI2" s="82"/>
      <c r="DJ2" s="82"/>
      <c r="DK2" s="82"/>
      <c r="DL2" s="82"/>
      <c r="DM2" s="82"/>
      <c r="DN2" s="82"/>
      <c r="DO2" s="82"/>
      <c r="EB2" s="68"/>
      <c r="EC2" s="68"/>
      <c r="ED2" s="68"/>
      <c r="EE2" s="68"/>
      <c r="EF2" s="68"/>
    </row>
    <row r="3" spans="1:136" s="73" customFormat="1" ht="9.9" customHeight="1">
      <c r="A3" s="69">
        <v>80</v>
      </c>
      <c r="B3" s="68"/>
      <c r="C3" s="271"/>
      <c r="D3" s="65">
        <v>0</v>
      </c>
      <c r="E3" s="712"/>
      <c r="F3" s="76"/>
      <c r="G3" s="76"/>
      <c r="H3" s="76"/>
      <c r="I3" s="76"/>
      <c r="J3" s="76"/>
      <c r="K3" s="77"/>
      <c r="L3" s="76"/>
      <c r="M3" s="76"/>
      <c r="N3" s="76"/>
      <c r="O3" s="76"/>
      <c r="P3" s="76"/>
      <c r="Q3" s="76"/>
      <c r="R3" s="184"/>
      <c r="S3" s="184"/>
      <c r="T3" s="184"/>
      <c r="U3" s="184"/>
      <c r="V3" s="191"/>
      <c r="W3" s="191"/>
      <c r="X3" s="191"/>
      <c r="Y3" s="191"/>
      <c r="Z3" s="1438"/>
      <c r="AA3" s="1438"/>
      <c r="AB3" s="1438"/>
      <c r="AC3" s="1438"/>
      <c r="AD3" s="1438"/>
      <c r="AE3" s="1438"/>
      <c r="AF3" s="1438"/>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9"/>
      <c r="CB3" s="1439"/>
      <c r="CC3" s="1439"/>
      <c r="CD3" s="1439"/>
      <c r="CE3" s="1439"/>
      <c r="CF3" s="1439"/>
      <c r="CG3" s="1439"/>
      <c r="CH3" s="1439"/>
      <c r="CI3" s="1440" t="s">
        <v>60</v>
      </c>
      <c r="CJ3" s="295" t="s">
        <v>61</v>
      </c>
      <c r="CK3" s="295" t="s">
        <v>62</v>
      </c>
      <c r="CL3" s="295" t="s">
        <v>63</v>
      </c>
      <c r="CM3" s="295" t="s">
        <v>4</v>
      </c>
      <c r="CN3" s="295" t="s">
        <v>64</v>
      </c>
      <c r="CO3" s="295" t="s">
        <v>65</v>
      </c>
      <c r="CP3" s="295" t="s">
        <v>66</v>
      </c>
      <c r="CQ3" s="295" t="s">
        <v>67</v>
      </c>
      <c r="CR3" s="295" t="s">
        <v>68</v>
      </c>
      <c r="CS3" s="295" t="s">
        <v>69</v>
      </c>
      <c r="CT3" s="295" t="s">
        <v>70</v>
      </c>
      <c r="CU3" s="713"/>
      <c r="CV3" s="621" t="str">
        <f>IF(Basisdaten!$B$15="English",CX3,CW3)</f>
        <v>8 Finanzierungsplan (EUR)</v>
      </c>
      <c r="CW3" s="305" t="s">
        <v>1031</v>
      </c>
      <c r="CX3" s="117" t="s">
        <v>1019</v>
      </c>
      <c r="CY3" s="185"/>
      <c r="CZ3" s="30"/>
      <c r="DA3" s="82"/>
      <c r="DB3" s="82"/>
      <c r="DC3" s="82"/>
      <c r="DD3" s="82"/>
      <c r="DE3" s="82"/>
      <c r="DF3" s="82"/>
      <c r="DG3" s="82"/>
      <c r="DH3" s="82"/>
      <c r="DI3" s="82"/>
      <c r="DJ3" s="82"/>
      <c r="DK3" s="82"/>
      <c r="DL3" s="82"/>
      <c r="DM3" s="82"/>
      <c r="DN3" s="82"/>
      <c r="DO3" s="82"/>
      <c r="EB3" s="68"/>
      <c r="EC3" s="68"/>
      <c r="ED3" s="68"/>
      <c r="EE3" s="68"/>
      <c r="EF3" s="68"/>
    </row>
    <row r="4" spans="1:136" s="185" customFormat="1" ht="19.8">
      <c r="B4" s="89"/>
      <c r="C4" s="129" t="str">
        <f ca="1">CV5</f>
        <v>Beschaffung des erforderlichen Kapitals für die Jahre 2026 und 2027</v>
      </c>
      <c r="E4" s="715"/>
      <c r="F4" s="186"/>
      <c r="G4" s="186"/>
      <c r="H4" s="186"/>
      <c r="I4" s="186"/>
      <c r="J4" s="186"/>
      <c r="K4" s="187"/>
      <c r="L4" s="186"/>
      <c r="M4" s="186"/>
      <c r="N4" s="186"/>
      <c r="O4" s="186"/>
      <c r="P4" s="186"/>
      <c r="Q4" s="186"/>
      <c r="R4" s="188"/>
      <c r="S4" s="188"/>
      <c r="T4" s="188"/>
      <c r="U4" s="188"/>
      <c r="V4" s="1441"/>
      <c r="W4" s="1441"/>
      <c r="X4" s="1441"/>
      <c r="Y4" s="1441"/>
      <c r="Z4" s="1442"/>
      <c r="AA4" s="1442"/>
      <c r="AB4" s="1442"/>
      <c r="AC4" s="1442"/>
      <c r="AD4" s="1442"/>
      <c r="AE4" s="1442"/>
      <c r="AF4" s="1442"/>
      <c r="AG4" s="1442"/>
      <c r="AH4" s="1442"/>
      <c r="AI4" s="1442"/>
      <c r="AJ4" s="1442"/>
      <c r="AK4" s="1442"/>
      <c r="AL4" s="1442"/>
      <c r="AM4" s="1442"/>
      <c r="AN4" s="1442"/>
      <c r="AO4" s="1442"/>
      <c r="AP4" s="1442"/>
      <c r="AQ4" s="1442"/>
      <c r="AR4" s="1442"/>
      <c r="AS4" s="1442"/>
      <c r="AT4" s="1442"/>
      <c r="AU4" s="1442"/>
      <c r="AV4" s="1442"/>
      <c r="AW4" s="1442"/>
      <c r="AX4" s="1442"/>
      <c r="AY4" s="1442"/>
      <c r="AZ4" s="1442"/>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3"/>
      <c r="CB4" s="1443"/>
      <c r="CC4" s="1443"/>
      <c r="CD4" s="1443"/>
      <c r="CE4" s="1443"/>
      <c r="CF4" s="1443"/>
      <c r="CG4" s="1443"/>
      <c r="CH4" s="1443"/>
      <c r="CI4" s="112" t="str">
        <f t="shared" ref="CI4:CT4" si="0">IF($D$3="English",CI2,CI3)</f>
        <v>Jan</v>
      </c>
      <c r="CJ4" s="112" t="str">
        <f t="shared" si="0"/>
        <v>Feb</v>
      </c>
      <c r="CK4" s="112" t="str">
        <f t="shared" si="0"/>
        <v>Mrz</v>
      </c>
      <c r="CL4" s="112" t="str">
        <f t="shared" si="0"/>
        <v>Apr</v>
      </c>
      <c r="CM4" s="112" t="str">
        <f t="shared" si="0"/>
        <v>Mai</v>
      </c>
      <c r="CN4" s="112" t="str">
        <f t="shared" si="0"/>
        <v>Jun</v>
      </c>
      <c r="CO4" s="112" t="str">
        <f t="shared" si="0"/>
        <v>Jul</v>
      </c>
      <c r="CP4" s="112" t="str">
        <f t="shared" si="0"/>
        <v>Aug</v>
      </c>
      <c r="CQ4" s="112" t="str">
        <f t="shared" si="0"/>
        <v>Sep</v>
      </c>
      <c r="CR4" s="112" t="str">
        <f t="shared" si="0"/>
        <v>Okt</v>
      </c>
      <c r="CS4" s="112" t="str">
        <f t="shared" si="0"/>
        <v>Nov</v>
      </c>
      <c r="CT4" s="112" t="str">
        <f t="shared" si="0"/>
        <v>Dez</v>
      </c>
      <c r="CU4" s="716"/>
      <c r="CV4" s="621" t="str">
        <f>IF(Basisdaten!$B$15="English",CX4,CW4)</f>
        <v>Auszahlung in Monat</v>
      </c>
      <c r="CW4" s="717" t="s">
        <v>341</v>
      </c>
      <c r="CX4" s="117" t="s">
        <v>216</v>
      </c>
      <c r="CY4" s="73"/>
      <c r="DA4" s="189"/>
      <c r="DB4" s="189"/>
      <c r="DC4" s="189"/>
      <c r="DD4" s="189"/>
      <c r="DE4" s="189"/>
      <c r="DF4" s="189"/>
      <c r="DG4" s="189"/>
      <c r="DH4" s="189"/>
      <c r="DI4" s="189"/>
      <c r="DJ4" s="189"/>
      <c r="DK4" s="189"/>
      <c r="DL4" s="189"/>
      <c r="DM4" s="189"/>
      <c r="DN4" s="189"/>
      <c r="DO4" s="189"/>
      <c r="EB4" s="89"/>
      <c r="EC4" s="89"/>
      <c r="ED4" s="89"/>
      <c r="EE4" s="89"/>
      <c r="EF4" s="89"/>
    </row>
    <row r="5" spans="1:136" s="73" customFormat="1" ht="9.9" customHeight="1">
      <c r="A5" s="68"/>
      <c r="B5" s="68"/>
      <c r="E5" s="718"/>
      <c r="F5" s="76"/>
      <c r="G5" s="76"/>
      <c r="H5" s="76"/>
      <c r="I5" s="76"/>
      <c r="J5" s="76"/>
      <c r="L5" s="76"/>
      <c r="M5" s="76"/>
      <c r="N5" s="76"/>
      <c r="O5" s="718"/>
      <c r="P5" s="78"/>
      <c r="Q5" s="76"/>
      <c r="R5" s="76"/>
      <c r="S5" s="184"/>
      <c r="T5" s="184"/>
      <c r="U5" s="188"/>
      <c r="V5" s="191"/>
      <c r="W5" s="1441"/>
      <c r="X5" s="191"/>
      <c r="Y5" s="1441"/>
      <c r="Z5" s="1438"/>
      <c r="AA5" s="1438"/>
      <c r="AB5" s="1438"/>
      <c r="AC5" s="1438"/>
      <c r="AD5" s="1438"/>
      <c r="AE5" s="1438"/>
      <c r="AF5" s="1438"/>
      <c r="AG5" s="1438"/>
      <c r="AH5" s="1438"/>
      <c r="AI5" s="1438"/>
      <c r="AJ5" s="1438"/>
      <c r="AK5" s="1438"/>
      <c r="AL5" s="1438"/>
      <c r="AM5" s="1438"/>
      <c r="AN5" s="1438"/>
      <c r="AO5" s="1438"/>
      <c r="AP5" s="1438"/>
      <c r="AQ5" s="1438"/>
      <c r="AR5" s="1438"/>
      <c r="AS5" s="1438"/>
      <c r="AT5" s="1438"/>
      <c r="AU5" s="1438"/>
      <c r="AV5" s="1438"/>
      <c r="AW5" s="1438"/>
      <c r="AX5" s="1438"/>
      <c r="AY5" s="1438"/>
      <c r="AZ5" s="1438"/>
      <c r="BA5" s="1438"/>
      <c r="BB5" s="1438"/>
      <c r="BC5" s="1438"/>
      <c r="BD5" s="1438"/>
      <c r="BE5" s="1438"/>
      <c r="BF5" s="1438"/>
      <c r="BG5" s="1438"/>
      <c r="BH5" s="1438"/>
      <c r="BI5" s="1438"/>
      <c r="BJ5" s="1438"/>
      <c r="BK5" s="1438"/>
      <c r="BL5" s="1438"/>
      <c r="BM5" s="1438"/>
      <c r="BN5" s="1438"/>
      <c r="BO5" s="1438"/>
      <c r="BP5" s="1438"/>
      <c r="BQ5" s="1438"/>
      <c r="BR5" s="1438"/>
      <c r="BS5" s="1438"/>
      <c r="BT5" s="1438"/>
      <c r="BU5" s="1438"/>
      <c r="BV5" s="1438"/>
      <c r="BW5" s="1438"/>
      <c r="BX5" s="1438"/>
      <c r="BY5" s="1438"/>
      <c r="BZ5" s="1438"/>
      <c r="CA5" s="1439"/>
      <c r="CB5" s="1439"/>
      <c r="CC5" s="1439"/>
      <c r="CD5" s="1439"/>
      <c r="CE5" s="1439"/>
      <c r="CF5" s="1439"/>
      <c r="CG5" s="1439"/>
      <c r="CH5" s="1439"/>
      <c r="CI5" s="1438"/>
      <c r="CU5" s="657"/>
      <c r="CV5" s="621" t="str">
        <f ca="1">IF(Basisdaten!$B$15="English",CX5,CW5)</f>
        <v>Beschaffung des erforderlichen Kapitals für die Jahre 2026 und 2027</v>
      </c>
      <c r="CW5" s="305" t="str">
        <f ca="1">"Beschaffung des erforderlichen Kapitals für die Jahre "&amp;Basisdaten!C15&amp;" und "&amp;Basisdaten!C15+1</f>
        <v>Beschaffung des erforderlichen Kapitals für die Jahre 2026 und 2027</v>
      </c>
      <c r="CX5" s="117" t="str">
        <f ca="1">"Finding of necessary capital for the years "&amp;Basisdaten!C15&amp;" and "&amp;Basisdaten!C15+1</f>
        <v>Finding of necessary capital for the years 2026 and 2027</v>
      </c>
      <c r="CY5" s="123"/>
      <c r="DA5" s="82"/>
      <c r="DB5" s="82"/>
      <c r="DC5" s="82"/>
      <c r="DD5" s="82"/>
      <c r="DE5" s="82"/>
      <c r="DF5" s="82"/>
      <c r="DG5" s="82"/>
      <c r="DH5" s="82"/>
      <c r="DI5" s="82"/>
      <c r="DJ5" s="82"/>
      <c r="DK5" s="82"/>
      <c r="DL5" s="82"/>
      <c r="DM5" s="82"/>
      <c r="DN5" s="82"/>
      <c r="DO5" s="82"/>
      <c r="EB5" s="68"/>
      <c r="EC5" s="68"/>
      <c r="ED5" s="68"/>
      <c r="EE5" s="68"/>
      <c r="EF5" s="68"/>
    </row>
    <row r="6" spans="1:136" ht="18" customHeight="1">
      <c r="C6" s="2302" t="s">
        <v>186</v>
      </c>
      <c r="D6" s="2324" t="str">
        <f>CV13</f>
        <v>Kapitalquellen</v>
      </c>
      <c r="E6" s="2251">
        <f ca="1">Basisdaten!$C$15</f>
        <v>2026</v>
      </c>
      <c r="F6" s="2252"/>
      <c r="G6" s="2251" t="str">
        <f>$CV$9</f>
        <v>Finanzbedingungen</v>
      </c>
      <c r="H6" s="2326"/>
      <c r="I6" s="2252"/>
      <c r="K6" s="2302" t="s">
        <v>186</v>
      </c>
      <c r="L6" s="2324" t="str">
        <f>D6</f>
        <v>Kapitalquellen</v>
      </c>
      <c r="M6" s="2327"/>
      <c r="N6" s="2328"/>
      <c r="O6" s="719">
        <f ca="1">E6+1</f>
        <v>2027</v>
      </c>
      <c r="P6" s="720"/>
      <c r="Q6" s="719" t="str">
        <f>G6</f>
        <v>Finanzbedingungen</v>
      </c>
      <c r="R6" s="721"/>
      <c r="S6" s="720"/>
      <c r="AA6" s="74"/>
      <c r="AB6" s="74"/>
      <c r="AC6" s="74"/>
      <c r="AD6" s="74"/>
      <c r="AE6" s="1447"/>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1448"/>
      <c r="BN6" s="1448"/>
      <c r="BO6" s="1448"/>
      <c r="BP6" s="1448"/>
      <c r="BQ6" s="1448"/>
      <c r="BR6" s="1448"/>
      <c r="BS6" s="1448"/>
      <c r="BT6" s="1448"/>
      <c r="BU6" s="1448"/>
      <c r="BV6" s="1449"/>
      <c r="BW6" s="1448"/>
      <c r="BX6" s="1448"/>
      <c r="BY6" s="1448"/>
      <c r="BZ6" s="1448"/>
      <c r="CA6" s="1448"/>
      <c r="CB6" s="1448"/>
      <c r="CC6" s="1448"/>
      <c r="CD6" s="1448"/>
      <c r="CE6" s="1448"/>
      <c r="CF6" s="1448"/>
      <c r="CG6" s="1448"/>
      <c r="CH6" s="1448"/>
      <c r="CI6" s="1444"/>
      <c r="CV6" s="621" t="str">
        <f>IF(Basisdaten!$B$15="English",CX6,CW6)</f>
        <v>Betrag</v>
      </c>
      <c r="CW6" s="717" t="s">
        <v>121</v>
      </c>
      <c r="CX6" s="117" t="s">
        <v>217</v>
      </c>
      <c r="CY6" s="722"/>
    </row>
    <row r="7" spans="1:136" s="722" customFormat="1" ht="32.1" customHeight="1">
      <c r="A7" s="2321" t="str">
        <f>IF(B12="→",Basisdaten!R6,"")</f>
        <v/>
      </c>
      <c r="B7" s="37"/>
      <c r="C7" s="2303"/>
      <c r="D7" s="2325"/>
      <c r="E7" s="541" t="str">
        <f>CV6</f>
        <v>Betrag</v>
      </c>
      <c r="F7" s="1879" t="str">
        <f>CV7</f>
        <v>Auszahlung in Monat</v>
      </c>
      <c r="G7" s="723" t="str">
        <f>$CV$10</f>
        <v>Zinssatz</v>
      </c>
      <c r="H7" s="724" t="str">
        <f>$CV$11</f>
        <v>tilgungsfrei (M)</v>
      </c>
      <c r="I7" s="725" t="str">
        <f>$CV$12</f>
        <v>Tilgung Jahre</v>
      </c>
      <c r="K7" s="2303"/>
      <c r="L7" s="2325"/>
      <c r="M7" s="2329"/>
      <c r="N7" s="2330"/>
      <c r="O7" s="541" t="str">
        <f>E7</f>
        <v>Betrag</v>
      </c>
      <c r="P7" s="1879" t="str">
        <f>F7</f>
        <v>Auszahlung in Monat</v>
      </c>
      <c r="Q7" s="723" t="str">
        <f>$CV$10</f>
        <v>Zinssatz</v>
      </c>
      <c r="R7" s="724" t="str">
        <f>$CV$11</f>
        <v>tilgungsfrei (M)</v>
      </c>
      <c r="S7" s="725" t="str">
        <f>$CV$12</f>
        <v>Tilgung Jahre</v>
      </c>
      <c r="U7" s="342" t="str">
        <f>CV2</f>
        <v>Aufgaben und/oder Kommentar</v>
      </c>
      <c r="V7" s="1450"/>
      <c r="W7" s="1450"/>
      <c r="X7" s="1450"/>
      <c r="Y7" s="1450"/>
      <c r="Z7" s="1450"/>
      <c r="AA7" s="1450"/>
      <c r="AB7" s="1450"/>
      <c r="AC7" s="1450"/>
      <c r="AD7" s="1450"/>
      <c r="AE7" s="1450"/>
      <c r="AF7" s="1450"/>
      <c r="AG7" s="1450"/>
      <c r="AH7" s="1450"/>
      <c r="AI7" s="1450"/>
      <c r="AJ7" s="1450"/>
      <c r="AK7" s="1450"/>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450"/>
      <c r="BN7" s="1450"/>
      <c r="BO7" s="1450"/>
      <c r="BP7" s="1450"/>
      <c r="BQ7" s="1450"/>
      <c r="BR7" s="1450"/>
      <c r="BS7" s="1450"/>
      <c r="BT7" s="1450"/>
      <c r="BU7" s="1450"/>
      <c r="BV7" s="1450"/>
      <c r="BW7" s="1450"/>
      <c r="BX7" s="1450"/>
      <c r="BY7" s="1450"/>
      <c r="BZ7" s="1450"/>
      <c r="CA7" s="1450"/>
      <c r="CB7" s="1450"/>
      <c r="CC7" s="1450"/>
      <c r="CD7" s="1450"/>
      <c r="CE7" s="1450"/>
      <c r="CF7" s="1450"/>
      <c r="CG7" s="1450"/>
      <c r="CH7" s="1450"/>
      <c r="CI7" s="1451"/>
      <c r="CJ7" s="430"/>
      <c r="CK7" s="430"/>
      <c r="CL7" s="430"/>
      <c r="CM7" s="430"/>
      <c r="CN7" s="430"/>
      <c r="CO7" s="430"/>
      <c r="CP7" s="430"/>
      <c r="CQ7" s="430"/>
      <c r="CR7" s="430"/>
      <c r="CS7" s="430"/>
      <c r="CT7" s="430"/>
      <c r="CU7" s="430"/>
      <c r="CV7" s="621" t="str">
        <f>IF(Basisdaten!$B$15="English",CX7,CW7)</f>
        <v>Auszahlung in Monat</v>
      </c>
      <c r="CW7" s="297" t="s">
        <v>341</v>
      </c>
      <c r="CX7" s="726" t="s">
        <v>342</v>
      </c>
      <c r="CY7" s="73"/>
      <c r="EB7" s="30"/>
      <c r="EC7" s="30"/>
      <c r="ED7" s="30"/>
      <c r="EE7" s="30"/>
      <c r="EF7" s="30"/>
    </row>
    <row r="8" spans="1:136" ht="14.1" customHeight="1">
      <c r="A8" s="2321"/>
      <c r="C8" s="727">
        <v>1</v>
      </c>
      <c r="D8" s="728" t="str">
        <f>CV14</f>
        <v>Eigenkapital</v>
      </c>
      <c r="E8" s="729"/>
      <c r="F8" s="730"/>
      <c r="G8" s="731">
        <v>0</v>
      </c>
      <c r="H8" s="732">
        <v>0</v>
      </c>
      <c r="I8" s="732">
        <v>0</v>
      </c>
      <c r="J8" s="2317" t="str">
        <f>IF(J12="→",Basisdaten!R6,"")</f>
        <v/>
      </c>
      <c r="K8" s="727">
        <v>1</v>
      </c>
      <c r="L8" s="2295" t="str">
        <f>D8</f>
        <v>Eigenkapital</v>
      </c>
      <c r="M8" s="2296"/>
      <c r="N8" s="2297"/>
      <c r="O8" s="733"/>
      <c r="P8" s="730"/>
      <c r="Q8" s="731">
        <v>0</v>
      </c>
      <c r="R8" s="732">
        <v>0</v>
      </c>
      <c r="S8" s="732">
        <v>0</v>
      </c>
      <c r="U8" s="734"/>
      <c r="AA8" s="74"/>
      <c r="AB8" s="74"/>
      <c r="AC8" s="74"/>
      <c r="AD8" s="74"/>
      <c r="AE8" s="1447"/>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1448"/>
      <c r="BN8" s="1448"/>
      <c r="BO8" s="1448"/>
      <c r="BP8" s="1448"/>
      <c r="BQ8" s="1448"/>
      <c r="BR8" s="1448"/>
      <c r="BS8" s="1448"/>
      <c r="BT8" s="1448"/>
      <c r="BU8" s="1448"/>
      <c r="BV8" s="1449"/>
      <c r="BW8" s="1448"/>
      <c r="BX8" s="1448"/>
      <c r="BY8" s="1448"/>
      <c r="BZ8" s="1448"/>
      <c r="CA8" s="1448"/>
      <c r="CB8" s="1448"/>
      <c r="CC8" s="1448"/>
      <c r="CD8" s="1448"/>
      <c r="CE8" s="1448"/>
      <c r="CF8" s="1448"/>
      <c r="CG8" s="1448"/>
      <c r="CH8" s="1448"/>
      <c r="CI8" s="1444"/>
      <c r="CV8" s="621" t="str">
        <f ca="1">IF(Basisdaten!$B$15="English",CX8,CW8)</f>
        <v>Beschaffung des erforderlichen Kapitals für die Jahre 2026 - 2030</v>
      </c>
      <c r="CW8" s="305" t="str">
        <f ca="1">"Beschaffung des erforderlichen Kapitals für die Jahre "&amp;Basisdaten!O18</f>
        <v>Beschaffung des erforderlichen Kapitals für die Jahre 2026 - 2030</v>
      </c>
      <c r="CX8" s="117" t="s">
        <v>1052</v>
      </c>
    </row>
    <row r="9" spans="1:136" ht="14.1" customHeight="1">
      <c r="A9" s="2321"/>
      <c r="C9" s="735">
        <v>2</v>
      </c>
      <c r="D9" s="736" t="str">
        <f>CV15</f>
        <v>Eigenleistung</v>
      </c>
      <c r="E9" s="737"/>
      <c r="F9" s="738"/>
      <c r="G9" s="739">
        <v>0</v>
      </c>
      <c r="H9" s="740">
        <v>0</v>
      </c>
      <c r="I9" s="740">
        <v>0</v>
      </c>
      <c r="J9" s="2317"/>
      <c r="K9" s="735">
        <v>2</v>
      </c>
      <c r="L9" s="2331" t="str">
        <f>D9</f>
        <v>Eigenleistung</v>
      </c>
      <c r="M9" s="2332"/>
      <c r="N9" s="2333"/>
      <c r="O9" s="741"/>
      <c r="P9" s="738"/>
      <c r="Q9" s="739">
        <v>0</v>
      </c>
      <c r="R9" s="740">
        <v>0</v>
      </c>
      <c r="S9" s="740">
        <v>0</v>
      </c>
      <c r="U9" s="734"/>
      <c r="AA9" s="74"/>
      <c r="AB9" s="74"/>
      <c r="AC9" s="74"/>
      <c r="AD9" s="74"/>
      <c r="AE9" s="1447"/>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1448"/>
      <c r="BN9" s="1448"/>
      <c r="BO9" s="1448"/>
      <c r="BP9" s="1448"/>
      <c r="BQ9" s="1448"/>
      <c r="BR9" s="1448"/>
      <c r="BS9" s="1448"/>
      <c r="BT9" s="1448"/>
      <c r="BU9" s="1448"/>
      <c r="BV9" s="1449"/>
      <c r="BW9" s="1448"/>
      <c r="BX9" s="1448"/>
      <c r="BY9" s="1448"/>
      <c r="BZ9" s="1448"/>
      <c r="CA9" s="1448"/>
      <c r="CB9" s="1448"/>
      <c r="CC9" s="1448"/>
      <c r="CD9" s="1448"/>
      <c r="CE9" s="1448"/>
      <c r="CF9" s="1448"/>
      <c r="CG9" s="1448"/>
      <c r="CH9" s="1448"/>
      <c r="CI9" s="1444"/>
      <c r="CV9" s="621" t="str">
        <f>IF(Basisdaten!$B$15="English",CX9,CW9)</f>
        <v>Finanzbedingungen</v>
      </c>
      <c r="CW9" s="742" t="s">
        <v>88</v>
      </c>
      <c r="CX9" s="716" t="s">
        <v>236</v>
      </c>
      <c r="CY9" s="133"/>
    </row>
    <row r="10" spans="1:136" ht="14.1" customHeight="1">
      <c r="A10" s="2321"/>
      <c r="C10" s="743">
        <v>3</v>
      </c>
      <c r="D10" s="744" t="str">
        <f>CV16</f>
        <v>Drittmittel</v>
      </c>
      <c r="E10" s="745"/>
      <c r="F10" s="746"/>
      <c r="G10" s="747"/>
      <c r="H10" s="748"/>
      <c r="I10" s="748"/>
      <c r="J10" s="2317"/>
      <c r="K10" s="743">
        <v>3</v>
      </c>
      <c r="L10" s="2292" t="str">
        <f>D10</f>
        <v>Drittmittel</v>
      </c>
      <c r="M10" s="2293"/>
      <c r="N10" s="2294"/>
      <c r="O10" s="745"/>
      <c r="P10" s="746"/>
      <c r="Q10" s="747"/>
      <c r="R10" s="748"/>
      <c r="S10" s="748"/>
      <c r="U10" s="734"/>
      <c r="AA10" s="74"/>
      <c r="AB10" s="74"/>
      <c r="AC10" s="74"/>
      <c r="AD10" s="74"/>
      <c r="AE10" s="1447"/>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1448"/>
      <c r="BN10" s="1448"/>
      <c r="BO10" s="1448"/>
      <c r="BP10" s="1448"/>
      <c r="BQ10" s="1448"/>
      <c r="BR10" s="1448"/>
      <c r="BS10" s="1448"/>
      <c r="BT10" s="1448"/>
      <c r="BU10" s="1448"/>
      <c r="BV10" s="1449"/>
      <c r="BW10" s="1448"/>
      <c r="BX10" s="1448"/>
      <c r="BY10" s="1448"/>
      <c r="BZ10" s="1448"/>
      <c r="CA10" s="1448"/>
      <c r="CB10" s="1448"/>
      <c r="CC10" s="1448"/>
      <c r="CD10" s="1448"/>
      <c r="CE10" s="1448"/>
      <c r="CF10" s="1448"/>
      <c r="CG10" s="1448"/>
      <c r="CH10" s="1448"/>
      <c r="CI10" s="1444"/>
      <c r="CV10" s="621" t="str">
        <f>IF(Basisdaten!$B$15="English",CX10,CW10)</f>
        <v>Zinssatz</v>
      </c>
      <c r="CW10" s="742" t="s">
        <v>51</v>
      </c>
      <c r="CX10" s="297" t="s">
        <v>665</v>
      </c>
      <c r="CY10" s="133"/>
    </row>
    <row r="11" spans="1:136" ht="14.1" customHeight="1">
      <c r="A11" s="2321"/>
      <c r="C11" s="749">
        <v>4</v>
      </c>
      <c r="D11" s="728" t="str">
        <f>CV17</f>
        <v>Kontokorrent</v>
      </c>
      <c r="E11" s="745"/>
      <c r="F11" s="746"/>
      <c r="G11" s="747"/>
      <c r="H11" s="748"/>
      <c r="I11" s="748"/>
      <c r="J11" s="2317"/>
      <c r="K11" s="749">
        <v>4</v>
      </c>
      <c r="L11" s="2295" t="str">
        <f>D11</f>
        <v>Kontokorrent</v>
      </c>
      <c r="M11" s="2296"/>
      <c r="N11" s="2297"/>
      <c r="O11" s="745"/>
      <c r="P11" s="746"/>
      <c r="Q11" s="747"/>
      <c r="R11" s="748"/>
      <c r="S11" s="748"/>
      <c r="U11" s="734"/>
      <c r="AA11" s="74"/>
      <c r="AB11" s="74"/>
      <c r="AC11" s="74"/>
      <c r="AD11" s="74"/>
      <c r="AE11" s="1447"/>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1448"/>
      <c r="BN11" s="1448"/>
      <c r="BO11" s="1448"/>
      <c r="BP11" s="1448"/>
      <c r="BQ11" s="1448"/>
      <c r="BR11" s="1448"/>
      <c r="BS11" s="1448"/>
      <c r="BT11" s="1448"/>
      <c r="BU11" s="1448"/>
      <c r="BV11" s="1449"/>
      <c r="BW11" s="1448"/>
      <c r="BX11" s="1448"/>
      <c r="BY11" s="1448"/>
      <c r="BZ11" s="1448"/>
      <c r="CA11" s="1448"/>
      <c r="CB11" s="1448"/>
      <c r="CC11" s="1448"/>
      <c r="CD11" s="1448"/>
      <c r="CE11" s="1448"/>
      <c r="CF11" s="1448"/>
      <c r="CG11" s="1448"/>
      <c r="CH11" s="1448"/>
      <c r="CI11" s="1444"/>
      <c r="CV11" s="621" t="str">
        <f>IF(Basisdaten!$B$15="English",CX11,CW11)</f>
        <v>tilgungsfrei (M)</v>
      </c>
      <c r="CW11" s="305" t="s">
        <v>666</v>
      </c>
      <c r="CX11" s="445" t="s">
        <v>667</v>
      </c>
      <c r="CY11" s="133"/>
    </row>
    <row r="12" spans="1:136" ht="14.1" customHeight="1">
      <c r="A12" s="2321"/>
      <c r="B12" s="68" t="str">
        <f>IF(CU19=1,"→","")</f>
        <v/>
      </c>
      <c r="C12" s="751" t="s">
        <v>668</v>
      </c>
      <c r="D12" s="1910" t="s">
        <v>54</v>
      </c>
      <c r="E12" s="2019"/>
      <c r="F12" s="2020"/>
      <c r="G12" s="2021"/>
      <c r="H12" s="750"/>
      <c r="I12" s="750"/>
      <c r="J12" s="205" t="str">
        <f>IF(CU20=1,"→","")</f>
        <v/>
      </c>
      <c r="K12" s="751" t="s">
        <v>668</v>
      </c>
      <c r="L12" s="2318" t="s">
        <v>1050</v>
      </c>
      <c r="M12" s="2319"/>
      <c r="N12" s="2320"/>
      <c r="O12" s="2019"/>
      <c r="P12" s="2020"/>
      <c r="Q12" s="2021"/>
      <c r="R12" s="750"/>
      <c r="S12" s="750"/>
      <c r="U12" s="734"/>
      <c r="AA12" s="74"/>
      <c r="AB12" s="74"/>
      <c r="AC12" s="74"/>
      <c r="AD12" s="74"/>
      <c r="AE12" s="1447"/>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1448"/>
      <c r="BN12" s="1448"/>
      <c r="BO12" s="1448"/>
      <c r="BP12" s="1448"/>
      <c r="BQ12" s="1448"/>
      <c r="BR12" s="1448"/>
      <c r="BS12" s="1448"/>
      <c r="BT12" s="1448"/>
      <c r="BU12" s="1448"/>
      <c r="BV12" s="1449"/>
      <c r="BW12" s="1448"/>
      <c r="BX12" s="1448"/>
      <c r="BY12" s="1448"/>
      <c r="BZ12" s="1448"/>
      <c r="CA12" s="1448"/>
      <c r="CB12" s="1448"/>
      <c r="CC12" s="1448"/>
      <c r="CD12" s="1448"/>
      <c r="CE12" s="1448"/>
      <c r="CF12" s="1448"/>
      <c r="CG12" s="1448"/>
      <c r="CH12" s="1448"/>
      <c r="CI12" s="1444"/>
      <c r="CV12" s="621" t="str">
        <f>IF(Basisdaten!$B$15="English",CX12,CW12)</f>
        <v>Tilgung Jahre</v>
      </c>
      <c r="CW12" s="305" t="s">
        <v>669</v>
      </c>
      <c r="CX12" s="445" t="s">
        <v>670</v>
      </c>
      <c r="CY12" s="133"/>
    </row>
    <row r="13" spans="1:136" ht="14.1" customHeight="1">
      <c r="A13" s="2322" t="str">
        <f>IF(B13="→",Basisdaten!R6,"")</f>
        <v/>
      </c>
      <c r="B13" s="68" t="str">
        <f>IF(CT19=1,"→","")</f>
        <v/>
      </c>
      <c r="C13" s="1326" t="s">
        <v>671</v>
      </c>
      <c r="D13" s="1911" t="s">
        <v>1050</v>
      </c>
      <c r="E13" s="737"/>
      <c r="F13" s="738"/>
      <c r="G13" s="753"/>
      <c r="H13" s="754"/>
      <c r="I13" s="754"/>
      <c r="J13" s="205" t="str">
        <f>IF(CT20=1,"→","")</f>
        <v/>
      </c>
      <c r="K13" s="1326" t="s">
        <v>671</v>
      </c>
      <c r="L13" s="2318" t="s">
        <v>1050</v>
      </c>
      <c r="M13" s="2319"/>
      <c r="N13" s="2320"/>
      <c r="O13" s="737"/>
      <c r="P13" s="738"/>
      <c r="Q13" s="753"/>
      <c r="R13" s="754"/>
      <c r="S13" s="754"/>
      <c r="U13" s="734"/>
      <c r="AA13" s="74"/>
      <c r="AB13" s="74"/>
      <c r="AC13" s="74"/>
      <c r="AD13" s="74"/>
      <c r="AE13" s="1447"/>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1448"/>
      <c r="BN13" s="1448"/>
      <c r="BO13" s="1448"/>
      <c r="BP13" s="1448"/>
      <c r="BQ13" s="1448"/>
      <c r="BR13" s="1448"/>
      <c r="BS13" s="1448"/>
      <c r="BT13" s="1448"/>
      <c r="BU13" s="1448"/>
      <c r="BV13" s="1449"/>
      <c r="BW13" s="1448"/>
      <c r="BX13" s="1448"/>
      <c r="BY13" s="1448"/>
      <c r="BZ13" s="1448"/>
      <c r="CA13" s="1448"/>
      <c r="CB13" s="1448"/>
      <c r="CC13" s="1448"/>
      <c r="CD13" s="1448"/>
      <c r="CE13" s="1448"/>
      <c r="CF13" s="1448"/>
      <c r="CG13" s="1448"/>
      <c r="CH13" s="1448"/>
      <c r="CI13" s="1444"/>
      <c r="CV13" s="621" t="str">
        <f>IF(Basisdaten!$B$15="English",CX13,CW13)</f>
        <v>Kapitalquellen</v>
      </c>
      <c r="CW13" s="305" t="s">
        <v>50</v>
      </c>
      <c r="CX13" s="117" t="s">
        <v>218</v>
      </c>
      <c r="CY13" s="133"/>
    </row>
    <row r="14" spans="1:136" ht="14.25" hidden="1" customHeight="1">
      <c r="A14" s="2322"/>
      <c r="C14" s="1325">
        <v>6</v>
      </c>
      <c r="D14" s="1418" t="str">
        <f>$CV$29</f>
        <v>für Nachhaltigkeit</v>
      </c>
      <c r="E14" s="1327"/>
      <c r="F14" s="1322"/>
      <c r="G14" s="1323"/>
      <c r="H14" s="1324"/>
      <c r="I14" s="1324"/>
      <c r="K14" s="1325">
        <v>6</v>
      </c>
      <c r="L14" s="2299" t="str">
        <f>$CV$29</f>
        <v>für Nachhaltigkeit</v>
      </c>
      <c r="M14" s="2300"/>
      <c r="N14" s="2301"/>
      <c r="O14" s="1327"/>
      <c r="P14" s="1322"/>
      <c r="Q14" s="1323"/>
      <c r="R14" s="1324"/>
      <c r="S14" s="1324"/>
      <c r="U14" s="734"/>
      <c r="AA14" s="74"/>
      <c r="AB14" s="74"/>
      <c r="AC14" s="74"/>
      <c r="AD14" s="74"/>
      <c r="AE14" s="1447"/>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1448"/>
      <c r="BN14" s="1448"/>
      <c r="BO14" s="1448"/>
      <c r="BP14" s="1448"/>
      <c r="BQ14" s="1448"/>
      <c r="BR14" s="1448"/>
      <c r="BS14" s="1448"/>
      <c r="BT14" s="1448"/>
      <c r="BU14" s="1448"/>
      <c r="BV14" s="1449"/>
      <c r="BW14" s="1448"/>
      <c r="BX14" s="1448"/>
      <c r="BY14" s="1448"/>
      <c r="BZ14" s="1448"/>
      <c r="CA14" s="1448"/>
      <c r="CB14" s="1448"/>
      <c r="CC14" s="1448"/>
      <c r="CD14" s="1448"/>
      <c r="CE14" s="1448"/>
      <c r="CF14" s="1448"/>
      <c r="CG14" s="1448"/>
      <c r="CH14" s="1448"/>
      <c r="CI14" s="1444"/>
      <c r="CV14" s="621" t="str">
        <f>IF(Basisdaten!$B$15="English",CX14,CW14)</f>
        <v>Eigenkapital</v>
      </c>
      <c r="CW14" s="305" t="s">
        <v>52</v>
      </c>
      <c r="CX14" s="117" t="s">
        <v>219</v>
      </c>
      <c r="CY14" s="133"/>
    </row>
    <row r="15" spans="1:136" ht="14.4" customHeight="1">
      <c r="A15" s="2322"/>
      <c r="C15" s="755"/>
      <c r="D15" s="756" t="str">
        <f>CV25</f>
        <v>Eigenkapital, -Leistung</v>
      </c>
      <c r="E15" s="757">
        <f>E8+E9</f>
        <v>0</v>
      </c>
      <c r="F15" s="758"/>
      <c r="G15" s="758"/>
      <c r="H15" s="758"/>
      <c r="I15" s="758"/>
      <c r="J15" s="2323" t="str">
        <f>IF(J13="→",Basisdaten!R6,"")</f>
        <v/>
      </c>
      <c r="L15" s="2292" t="str">
        <f>D15</f>
        <v>Eigenkapital, -Leistung</v>
      </c>
      <c r="M15" s="2293"/>
      <c r="N15" s="2294"/>
      <c r="O15" s="534">
        <f>O8+O9</f>
        <v>0</v>
      </c>
      <c r="P15" s="758"/>
      <c r="Q15" s="758"/>
      <c r="R15" s="758"/>
      <c r="S15" s="758"/>
      <c r="AA15" s="74"/>
      <c r="AB15" s="74"/>
      <c r="AC15" s="74"/>
      <c r="AD15" s="74"/>
      <c r="AE15" s="1447"/>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1448"/>
      <c r="BN15" s="1448"/>
      <c r="BO15" s="1448"/>
      <c r="BP15" s="1448"/>
      <c r="BQ15" s="1448"/>
      <c r="BR15" s="1448"/>
      <c r="BS15" s="1448"/>
      <c r="BT15" s="1448"/>
      <c r="BU15" s="1448"/>
      <c r="BV15" s="1449"/>
      <c r="BW15" s="1448"/>
      <c r="BX15" s="1448"/>
      <c r="BY15" s="1448"/>
      <c r="BZ15" s="1448"/>
      <c r="CA15" s="1448"/>
      <c r="CB15" s="1448"/>
      <c r="CC15" s="1448"/>
      <c r="CD15" s="1448"/>
      <c r="CE15" s="1448"/>
      <c r="CF15" s="1448"/>
      <c r="CG15" s="1448"/>
      <c r="CH15" s="1448"/>
      <c r="CI15" s="1444"/>
      <c r="CV15" s="621" t="str">
        <f>IF(Basisdaten!$B$15="English",CX15,CW15)</f>
        <v>Eigenleistung</v>
      </c>
      <c r="CW15" s="305" t="s">
        <v>72</v>
      </c>
      <c r="CX15" s="117" t="s">
        <v>400</v>
      </c>
      <c r="CY15" s="133"/>
    </row>
    <row r="16" spans="1:136">
      <c r="A16" s="2322"/>
      <c r="C16" s="759"/>
      <c r="D16" s="760" t="str">
        <f>CV393</f>
        <v>Summe Fremdfinanzierung</v>
      </c>
      <c r="E16" s="419">
        <f>SUM(E11:E14)</f>
        <v>0</v>
      </c>
      <c r="F16" s="758"/>
      <c r="G16" s="758"/>
      <c r="H16" s="758"/>
      <c r="I16" s="758"/>
      <c r="J16" s="2323"/>
      <c r="L16" s="2292" t="str">
        <f>D16</f>
        <v>Summe Fremdfinanzierung</v>
      </c>
      <c r="M16" s="2293"/>
      <c r="N16" s="2294"/>
      <c r="O16" s="761">
        <f>SUM(O11:O14)</f>
        <v>0</v>
      </c>
      <c r="P16" s="758"/>
      <c r="Q16" s="758"/>
      <c r="R16" s="758"/>
      <c r="S16" s="758"/>
      <c r="AA16" s="74"/>
      <c r="AB16" s="74"/>
      <c r="AC16" s="74"/>
      <c r="AD16" s="74"/>
      <c r="AE16" s="1447"/>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1448"/>
      <c r="BN16" s="1448"/>
      <c r="BO16" s="1448"/>
      <c r="BP16" s="1448"/>
      <c r="BQ16" s="1448"/>
      <c r="BR16" s="1448"/>
      <c r="BS16" s="1448"/>
      <c r="BT16" s="1448"/>
      <c r="BU16" s="1448"/>
      <c r="BV16" s="1449"/>
      <c r="BW16" s="1448"/>
      <c r="BX16" s="1448"/>
      <c r="BY16" s="1448"/>
      <c r="BZ16" s="1448"/>
      <c r="CA16" s="1448"/>
      <c r="CB16" s="1448"/>
      <c r="CC16" s="1448"/>
      <c r="CD16" s="1448"/>
      <c r="CE16" s="1448"/>
      <c r="CF16" s="1448"/>
      <c r="CG16" s="1448"/>
      <c r="CH16" s="1448"/>
      <c r="CI16" s="1444"/>
      <c r="CV16" s="621" t="str">
        <f>IF(Basisdaten!$B$15="English",CX16,CW16)</f>
        <v>Drittmittel</v>
      </c>
      <c r="CW16" s="305" t="s">
        <v>672</v>
      </c>
      <c r="CX16" s="117" t="s">
        <v>673</v>
      </c>
      <c r="CY16" s="133"/>
    </row>
    <row r="17" spans="1:129" ht="15" customHeight="1">
      <c r="A17" s="2322"/>
      <c r="B17" s="762"/>
      <c r="C17" s="762"/>
      <c r="D17" s="762"/>
      <c r="E17" s="763"/>
      <c r="F17" s="762"/>
      <c r="G17" s="762"/>
      <c r="H17" s="762"/>
      <c r="I17" s="762"/>
      <c r="J17" s="2323"/>
      <c r="K17" s="762"/>
      <c r="L17" s="762"/>
      <c r="M17" s="762"/>
      <c r="N17" s="762"/>
      <c r="O17" s="762"/>
      <c r="P17" s="762"/>
      <c r="AA17" s="74"/>
      <c r="AB17" s="74"/>
      <c r="AC17" s="74"/>
      <c r="AD17" s="74"/>
      <c r="AE17" s="1447"/>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1448"/>
      <c r="BN17" s="1448"/>
      <c r="BO17" s="1448"/>
      <c r="BP17" s="1448"/>
      <c r="BQ17" s="1448"/>
      <c r="BR17" s="1448"/>
      <c r="BS17" s="1448"/>
      <c r="BT17" s="1448"/>
      <c r="BU17" s="1448"/>
      <c r="BV17" s="1448"/>
      <c r="BW17" s="1448"/>
      <c r="BX17" s="1448"/>
      <c r="BY17" s="1448"/>
      <c r="BZ17" s="1448"/>
      <c r="CA17" s="1448"/>
      <c r="CB17" s="1448"/>
      <c r="CC17" s="1448"/>
      <c r="CD17" s="1448"/>
      <c r="CE17" s="1448"/>
      <c r="CF17" s="1448"/>
      <c r="CG17" s="1448"/>
      <c r="CH17" s="1448"/>
      <c r="CI17" s="1444"/>
      <c r="CJ17" s="112"/>
      <c r="CK17" s="112"/>
      <c r="CL17" s="112"/>
      <c r="CM17" s="112"/>
      <c r="CN17" s="112"/>
      <c r="CO17" s="112"/>
      <c r="CP17" s="112"/>
      <c r="CQ17" s="112"/>
      <c r="CR17" s="112"/>
      <c r="CS17" s="112"/>
      <c r="CT17" s="112"/>
      <c r="CU17" s="112"/>
      <c r="CV17" s="621" t="str">
        <f>IF(Basisdaten!$B$15="English",CX17,CW17)</f>
        <v>Kontokorrent</v>
      </c>
      <c r="CW17" s="305" t="s">
        <v>798</v>
      </c>
      <c r="CX17" s="117" t="s">
        <v>799</v>
      </c>
      <c r="CY17" s="30"/>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row>
    <row r="18" spans="1:129" s="79" customFormat="1" ht="19.8">
      <c r="A18" s="2322"/>
      <c r="B18" s="68"/>
      <c r="C18" s="1763" t="str">
        <f ca="1">CV8</f>
        <v>Beschaffung des erforderlichen Kapitals für die Jahre 2026 - 2030</v>
      </c>
      <c r="E18" s="764"/>
      <c r="F18" s="192"/>
      <c r="G18" s="192"/>
      <c r="H18" s="192"/>
      <c r="I18" s="192"/>
      <c r="J18" s="2323"/>
      <c r="K18" s="192"/>
      <c r="L18" s="192"/>
      <c r="M18" s="192"/>
      <c r="N18" s="192"/>
      <c r="O18" s="765"/>
      <c r="P18" s="192"/>
      <c r="Q18" s="192"/>
      <c r="R18" s="766"/>
      <c r="S18" s="767"/>
      <c r="T18" s="768"/>
      <c r="U18" s="192"/>
      <c r="V18" s="1452"/>
      <c r="W18" s="1452"/>
      <c r="X18" s="1452"/>
      <c r="Y18" s="1446"/>
      <c r="Z18" s="1452"/>
      <c r="AA18" s="1446"/>
      <c r="AB18" s="1446"/>
      <c r="AC18" s="1446"/>
      <c r="AD18" s="1446"/>
      <c r="AE18" s="1446"/>
      <c r="AF18" s="1446"/>
      <c r="AG18" s="1446"/>
      <c r="AH18" s="1446"/>
      <c r="AI18" s="1446"/>
      <c r="AJ18" s="1446"/>
      <c r="AK18" s="1446"/>
      <c r="AL18" s="1446"/>
      <c r="AM18" s="1446"/>
      <c r="AN18" s="1446"/>
      <c r="AO18" s="1446"/>
      <c r="AP18" s="1446"/>
      <c r="AQ18" s="1446"/>
      <c r="AR18" s="1446"/>
      <c r="AS18" s="1446"/>
      <c r="AT18" s="1446"/>
      <c r="AU18" s="1446"/>
      <c r="AV18" s="1446"/>
      <c r="AW18" s="1446"/>
      <c r="AX18" s="1446"/>
      <c r="AY18" s="1446"/>
      <c r="AZ18" s="1446"/>
      <c r="BA18" s="1446"/>
      <c r="BB18" s="1446"/>
      <c r="BC18" s="1446"/>
      <c r="BD18" s="1446"/>
      <c r="BE18" s="1446"/>
      <c r="BF18" s="1446"/>
      <c r="BG18" s="1446"/>
      <c r="BH18" s="1446"/>
      <c r="BI18" s="1446"/>
      <c r="BJ18" s="1446"/>
      <c r="BK18" s="1446"/>
      <c r="BL18" s="1446"/>
      <c r="BM18" s="1446"/>
      <c r="BN18" s="1446"/>
      <c r="BO18" s="1446"/>
      <c r="BP18" s="1446"/>
      <c r="BQ18" s="1446"/>
      <c r="BR18" s="1446"/>
      <c r="BS18" s="1446"/>
      <c r="BT18" s="1446"/>
      <c r="BU18" s="1446"/>
      <c r="BV18" s="1453"/>
      <c r="BW18" s="1446"/>
      <c r="BX18" s="1446"/>
      <c r="BY18" s="1446"/>
      <c r="BZ18" s="1446"/>
      <c r="CA18" s="1454"/>
      <c r="CB18" s="1454"/>
      <c r="CC18" s="1454"/>
      <c r="CD18" s="1454"/>
      <c r="CE18" s="1454"/>
      <c r="CF18" s="1454"/>
      <c r="CG18" s="1454"/>
      <c r="CH18" s="1454"/>
      <c r="CI18" s="1455"/>
      <c r="CJ18" s="499"/>
      <c r="CK18" s="499"/>
      <c r="CL18" s="499"/>
      <c r="CM18" s="499"/>
      <c r="CN18" s="499"/>
      <c r="CO18" s="499"/>
      <c r="CP18" s="499"/>
      <c r="CQ18" s="499"/>
      <c r="CR18" s="499"/>
      <c r="CS18" s="1759"/>
      <c r="CT18" s="70" t="s">
        <v>1048</v>
      </c>
      <c r="CU18" s="1759" t="s">
        <v>1047</v>
      </c>
      <c r="CV18" s="621" t="str">
        <f>IF(Basisdaten!$B$15="English",CX18,CW18)</f>
        <v>Wahl Kreditart</v>
      </c>
      <c r="CW18" s="117" t="s">
        <v>1050</v>
      </c>
      <c r="CX18" s="445" t="s">
        <v>1051</v>
      </c>
      <c r="CY18" s="133"/>
      <c r="CZ18" s="123"/>
      <c r="DA18" s="123"/>
      <c r="DB18" s="217"/>
      <c r="DC18" s="217"/>
      <c r="DD18" s="217"/>
      <c r="DE18" s="217"/>
      <c r="DF18" s="217"/>
      <c r="DG18" s="217"/>
      <c r="DH18" s="217"/>
      <c r="DI18" s="217"/>
      <c r="DJ18" s="217"/>
      <c r="DK18" s="217"/>
      <c r="DL18" s="217"/>
      <c r="DM18" s="217"/>
      <c r="DN18" s="217"/>
      <c r="DO18" s="217"/>
      <c r="DP18" s="122"/>
      <c r="DQ18" s="122"/>
      <c r="DR18" s="122"/>
      <c r="DS18" s="122"/>
      <c r="DT18" s="122"/>
      <c r="DU18" s="122"/>
      <c r="DV18" s="122"/>
      <c r="DW18" s="122"/>
      <c r="DX18" s="122"/>
      <c r="DY18" s="122"/>
    </row>
    <row r="19" spans="1:129" s="79" customFormat="1" ht="9.9" customHeight="1">
      <c r="A19" s="2322"/>
      <c r="B19" s="68"/>
      <c r="E19" s="718"/>
      <c r="F19" s="192"/>
      <c r="G19" s="192"/>
      <c r="H19" s="192"/>
      <c r="I19" s="192"/>
      <c r="J19" s="718"/>
      <c r="K19" s="192"/>
      <c r="L19" s="192"/>
      <c r="M19" s="192"/>
      <c r="N19" s="192"/>
      <c r="O19" s="718"/>
      <c r="P19" s="192"/>
      <c r="Q19" s="192"/>
      <c r="R19" s="766"/>
      <c r="S19" s="767"/>
      <c r="T19" s="768"/>
      <c r="U19" s="192"/>
      <c r="V19" s="1452"/>
      <c r="W19" s="1452"/>
      <c r="X19" s="1452"/>
      <c r="Y19" s="1446"/>
      <c r="Z19" s="1452"/>
      <c r="AA19" s="1446"/>
      <c r="AB19" s="1446"/>
      <c r="AC19" s="1446"/>
      <c r="AD19" s="1446"/>
      <c r="AE19" s="1446"/>
      <c r="AF19" s="1446"/>
      <c r="AG19" s="1446"/>
      <c r="AH19" s="1446"/>
      <c r="AI19" s="1446"/>
      <c r="AJ19" s="1446"/>
      <c r="AK19" s="1446"/>
      <c r="AL19" s="1446"/>
      <c r="AM19" s="1446"/>
      <c r="AN19" s="1446"/>
      <c r="AO19" s="1446"/>
      <c r="AP19" s="1446"/>
      <c r="AQ19" s="1446"/>
      <c r="AR19" s="1446"/>
      <c r="AS19" s="1446"/>
      <c r="AT19" s="1446"/>
      <c r="AU19" s="1446"/>
      <c r="AV19" s="1446"/>
      <c r="AW19" s="1446"/>
      <c r="AX19" s="1446"/>
      <c r="AY19" s="1446"/>
      <c r="AZ19" s="1446"/>
      <c r="BA19" s="1446"/>
      <c r="BB19" s="1446"/>
      <c r="BC19" s="1446"/>
      <c r="BD19" s="1446"/>
      <c r="BE19" s="1446"/>
      <c r="BF19" s="1446"/>
      <c r="BG19" s="1446"/>
      <c r="BH19" s="1446"/>
      <c r="BI19" s="1446"/>
      <c r="BJ19" s="1446"/>
      <c r="BK19" s="1446"/>
      <c r="BL19" s="1446"/>
      <c r="BM19" s="1446"/>
      <c r="BN19" s="1446"/>
      <c r="BO19" s="1446"/>
      <c r="BP19" s="1446"/>
      <c r="BQ19" s="1446"/>
      <c r="BR19" s="1446"/>
      <c r="BS19" s="1446"/>
      <c r="BT19" s="1446"/>
      <c r="BU19" s="1446"/>
      <c r="BV19" s="1453"/>
      <c r="BW19" s="1446"/>
      <c r="BX19" s="1446"/>
      <c r="BY19" s="1446"/>
      <c r="BZ19" s="1446"/>
      <c r="CA19" s="1454"/>
      <c r="CB19" s="1454"/>
      <c r="CC19" s="1454"/>
      <c r="CD19" s="1454"/>
      <c r="CE19" s="1454"/>
      <c r="CF19" s="1454"/>
      <c r="CG19" s="1454"/>
      <c r="CH19" s="1454"/>
      <c r="CI19" s="1455"/>
      <c r="CJ19" s="499"/>
      <c r="CK19" s="499"/>
      <c r="CL19" s="499"/>
      <c r="CM19" s="499"/>
      <c r="CN19" s="499"/>
      <c r="CO19" s="499"/>
      <c r="CP19" s="499"/>
      <c r="CQ19" s="499"/>
      <c r="CR19" s="499"/>
      <c r="CS19" s="1762">
        <f ca="1">E6</f>
        <v>2026</v>
      </c>
      <c r="CT19" s="1760">
        <f>IF(OR(D13=CV18,D13=CV19,D13=CV20,D13=CV21,D13=CV22,D13=CV23,D13=CV24),0,1)</f>
        <v>0</v>
      </c>
      <c r="CU19" s="1760">
        <f>IF(OR(D12=CV18,D12=CV19,D12=CV20,D12=CV21,D12=CV22,D12=CV23,D12=CV24),0,1)</f>
        <v>0</v>
      </c>
      <c r="CV19" s="621" t="str">
        <f>IF(Basisdaten!$B$15="English",CX19,CW19)</f>
        <v>Öffentliche Förderdarlehen</v>
      </c>
      <c r="CW19" s="305" t="s">
        <v>53</v>
      </c>
      <c r="CX19" s="117" t="s">
        <v>220</v>
      </c>
      <c r="CY19" s="133"/>
      <c r="CZ19" s="123"/>
      <c r="DA19" s="123"/>
      <c r="DB19" s="217"/>
      <c r="DC19" s="217"/>
      <c r="DD19" s="217"/>
      <c r="DE19" s="217"/>
      <c r="DF19" s="217"/>
      <c r="DG19" s="217"/>
      <c r="DH19" s="217"/>
      <c r="DI19" s="217"/>
      <c r="DJ19" s="217"/>
      <c r="DK19" s="217"/>
      <c r="DL19" s="217"/>
      <c r="DM19" s="217"/>
      <c r="DN19" s="217"/>
      <c r="DO19" s="217"/>
      <c r="DP19" s="122"/>
      <c r="DQ19" s="122"/>
      <c r="DR19" s="122"/>
      <c r="DS19" s="122"/>
      <c r="DT19" s="122"/>
      <c r="DU19" s="122"/>
      <c r="DV19" s="122"/>
      <c r="DW19" s="122"/>
      <c r="DX19" s="122"/>
      <c r="DY19" s="122"/>
    </row>
    <row r="20" spans="1:129" s="79" customFormat="1" ht="15" customHeight="1">
      <c r="A20" s="2322"/>
      <c r="B20" s="68"/>
      <c r="C20" s="2302" t="s">
        <v>186</v>
      </c>
      <c r="D20" s="2304" t="str">
        <f>L6</f>
        <v>Kapitalquellen</v>
      </c>
      <c r="E20" s="2306">
        <f ca="1">E6+2</f>
        <v>2028</v>
      </c>
      <c r="F20" s="2307"/>
      <c r="G20" s="2306" t="str">
        <f>Q6</f>
        <v>Finanzbedingungen</v>
      </c>
      <c r="H20" s="2308"/>
      <c r="I20" s="2308"/>
      <c r="J20" s="2309">
        <f ca="1">E6+3</f>
        <v>2029</v>
      </c>
      <c r="K20" s="2308"/>
      <c r="L20" s="2306" t="str">
        <f>$CV$9</f>
        <v>Finanzbedingungen</v>
      </c>
      <c r="M20" s="2308"/>
      <c r="N20" s="2308"/>
      <c r="O20" s="2309">
        <f ca="1">E6+4</f>
        <v>2030</v>
      </c>
      <c r="P20" s="2307"/>
      <c r="Q20" s="2306" t="str">
        <f>L20</f>
        <v>Finanzbedingungen</v>
      </c>
      <c r="R20" s="2308"/>
      <c r="S20" s="2307"/>
      <c r="V20" s="1446"/>
      <c r="W20" s="1446"/>
      <c r="X20" s="1446"/>
      <c r="Y20" s="1446"/>
      <c r="Z20" s="1452"/>
      <c r="AA20" s="1446"/>
      <c r="AB20" s="1446"/>
      <c r="AC20" s="1446"/>
      <c r="AD20" s="1446"/>
      <c r="AE20" s="1446"/>
      <c r="AF20" s="1446"/>
      <c r="AG20" s="1446"/>
      <c r="AH20" s="1446"/>
      <c r="AI20" s="1446"/>
      <c r="AJ20" s="1446"/>
      <c r="AK20" s="1446"/>
      <c r="AL20" s="1446"/>
      <c r="AM20" s="1446"/>
      <c r="AN20" s="1446"/>
      <c r="AO20" s="1446"/>
      <c r="AP20" s="1446"/>
      <c r="AQ20" s="1446"/>
      <c r="AR20" s="1446"/>
      <c r="AS20" s="1446"/>
      <c r="AT20" s="1446"/>
      <c r="AU20" s="1446"/>
      <c r="AV20" s="1446"/>
      <c r="AW20" s="1446"/>
      <c r="AX20" s="1446"/>
      <c r="AY20" s="1446"/>
      <c r="AZ20" s="1446"/>
      <c r="BA20" s="1446"/>
      <c r="BB20" s="1446"/>
      <c r="BC20" s="1446"/>
      <c r="BD20" s="1446"/>
      <c r="BE20" s="1446"/>
      <c r="BF20" s="1446"/>
      <c r="BG20" s="1446"/>
      <c r="BH20" s="1446"/>
      <c r="BI20" s="1446"/>
      <c r="BJ20" s="1446"/>
      <c r="BK20" s="1446"/>
      <c r="BL20" s="1446"/>
      <c r="BM20" s="1446"/>
      <c r="BN20" s="1446"/>
      <c r="BO20" s="1446"/>
      <c r="BP20" s="1446"/>
      <c r="BQ20" s="1446"/>
      <c r="BR20" s="1446"/>
      <c r="BS20" s="1446"/>
      <c r="BT20" s="1446"/>
      <c r="BU20" s="1446"/>
      <c r="BV20" s="1453"/>
      <c r="BW20" s="1446"/>
      <c r="BX20" s="1446"/>
      <c r="BY20" s="1446"/>
      <c r="BZ20" s="1446"/>
      <c r="CA20" s="1454"/>
      <c r="CB20" s="1454"/>
      <c r="CC20" s="1454"/>
      <c r="CD20" s="1454"/>
      <c r="CE20" s="1454"/>
      <c r="CF20" s="1454"/>
      <c r="CG20" s="1454"/>
      <c r="CH20" s="1454"/>
      <c r="CI20" s="1455"/>
      <c r="CJ20" s="499"/>
      <c r="CK20" s="499"/>
      <c r="CL20" s="499"/>
      <c r="CM20" s="499"/>
      <c r="CN20" s="499"/>
      <c r="CO20" s="499"/>
      <c r="CP20" s="499"/>
      <c r="CQ20" s="499"/>
      <c r="CR20" s="499"/>
      <c r="CS20" s="1762">
        <f ca="1">CS19+1</f>
        <v>2027</v>
      </c>
      <c r="CT20" s="1760">
        <f>IF(OR(L13=CV18,L13=CV19,L13=CV20,L13=CV21,L13=CV22,L13=CV23,L13=CV24),0,1)</f>
        <v>0</v>
      </c>
      <c r="CU20" s="1760">
        <f>IF(OR(L12=CV18,L12=CV19,L12=CV20,L12=CV21,L12=CV22,L12=CV23,L12=CV24),0,1)</f>
        <v>0</v>
      </c>
      <c r="CV20" s="621" t="str">
        <f>IF(Basisdaten!$B$15="English",CX20,CW20)</f>
        <v>KfW  Programm</v>
      </c>
      <c r="CW20" s="305" t="s">
        <v>404</v>
      </c>
      <c r="CX20" s="117" t="s">
        <v>403</v>
      </c>
      <c r="CY20" s="133"/>
      <c r="CZ20" s="123"/>
      <c r="DA20" s="123"/>
      <c r="DB20" s="217"/>
      <c r="DC20" s="217"/>
      <c r="DD20" s="217"/>
      <c r="DE20" s="217"/>
      <c r="DF20" s="217"/>
      <c r="DG20" s="217"/>
      <c r="DH20" s="217"/>
      <c r="DI20" s="217"/>
      <c r="DJ20" s="217"/>
      <c r="DK20" s="217"/>
      <c r="DL20" s="217"/>
      <c r="DM20" s="217"/>
      <c r="DN20" s="217"/>
      <c r="DO20" s="217"/>
      <c r="DP20" s="122"/>
      <c r="DQ20" s="122"/>
      <c r="DR20" s="122"/>
      <c r="DS20" s="122"/>
      <c r="DT20" s="122"/>
      <c r="DU20" s="122"/>
      <c r="DV20" s="122"/>
      <c r="DW20" s="122"/>
      <c r="DX20" s="122"/>
      <c r="DY20" s="122"/>
    </row>
    <row r="21" spans="1:129" s="79" customFormat="1" ht="24.6" customHeight="1">
      <c r="A21" s="2313" t="str">
        <f>IF(B27="→",Basisdaten!R6,"")</f>
        <v/>
      </c>
      <c r="B21" s="68"/>
      <c r="C21" s="2303"/>
      <c r="D21" s="2305"/>
      <c r="E21" s="769" t="str">
        <f>E7</f>
        <v>Betrag</v>
      </c>
      <c r="F21" s="1880" t="str">
        <f>F7</f>
        <v>Auszahlung in Monat</v>
      </c>
      <c r="G21" s="770" t="str">
        <f>G7</f>
        <v>Zinssatz</v>
      </c>
      <c r="H21" s="771" t="str">
        <f>H7</f>
        <v>tilgungsfrei (M)</v>
      </c>
      <c r="I21" s="772" t="str">
        <f>I7</f>
        <v>Tilgung Jahre</v>
      </c>
      <c r="J21" s="773" t="str">
        <f>E7</f>
        <v>Betrag</v>
      </c>
      <c r="K21" s="1880" t="str">
        <f>P7</f>
        <v>Auszahlung in Monat</v>
      </c>
      <c r="L21" s="774" t="str">
        <f>G7</f>
        <v>Zinssatz</v>
      </c>
      <c r="M21" s="771" t="str">
        <f>$CV$11</f>
        <v>tilgungsfrei (M)</v>
      </c>
      <c r="N21" s="772" t="str">
        <f>$CV$12</f>
        <v>Tilgung Jahre</v>
      </c>
      <c r="O21" s="773" t="str">
        <f>E7</f>
        <v>Betrag</v>
      </c>
      <c r="P21" s="1880" t="str">
        <f>$F$7</f>
        <v>Auszahlung in Monat</v>
      </c>
      <c r="Q21" s="770" t="str">
        <f>$CV$10</f>
        <v>Zinssatz</v>
      </c>
      <c r="R21" s="771" t="str">
        <f>$CV$11</f>
        <v>tilgungsfrei (M)</v>
      </c>
      <c r="S21" s="775" t="str">
        <f>$CV$12</f>
        <v>Tilgung Jahre</v>
      </c>
      <c r="U21" s="342" t="str">
        <f>U7</f>
        <v>Aufgaben und/oder Kommentar</v>
      </c>
      <c r="V21" s="1446"/>
      <c r="W21" s="1446"/>
      <c r="X21" s="1446"/>
      <c r="Y21" s="1446"/>
      <c r="Z21" s="1452"/>
      <c r="AA21" s="1446"/>
      <c r="AB21" s="1446"/>
      <c r="AC21" s="1446"/>
      <c r="AD21" s="1446"/>
      <c r="AE21" s="1446"/>
      <c r="AF21" s="1446"/>
      <c r="AG21" s="1446"/>
      <c r="AH21" s="1446"/>
      <c r="AI21" s="1446"/>
      <c r="AJ21" s="1446"/>
      <c r="AK21" s="1446"/>
      <c r="AL21" s="1446"/>
      <c r="AM21" s="1446"/>
      <c r="AN21" s="1446"/>
      <c r="AO21" s="1446"/>
      <c r="AP21" s="1446"/>
      <c r="AQ21" s="1446"/>
      <c r="AR21" s="1446"/>
      <c r="AS21" s="1446"/>
      <c r="AT21" s="1446"/>
      <c r="AU21" s="1446"/>
      <c r="AV21" s="1446"/>
      <c r="AW21" s="1446"/>
      <c r="AX21" s="1446"/>
      <c r="AY21" s="1446"/>
      <c r="AZ21" s="1446"/>
      <c r="BA21" s="1446"/>
      <c r="BB21" s="1446"/>
      <c r="BC21" s="1446"/>
      <c r="BD21" s="1446"/>
      <c r="BE21" s="1446"/>
      <c r="BF21" s="1446"/>
      <c r="BG21" s="1446"/>
      <c r="BH21" s="1446"/>
      <c r="BI21" s="1446"/>
      <c r="BJ21" s="1446"/>
      <c r="BK21" s="1446"/>
      <c r="BL21" s="1446"/>
      <c r="BM21" s="1446"/>
      <c r="BN21" s="1446"/>
      <c r="BO21" s="1446"/>
      <c r="BP21" s="1446"/>
      <c r="BQ21" s="1446"/>
      <c r="BR21" s="1446"/>
      <c r="BS21" s="1446"/>
      <c r="BT21" s="1446"/>
      <c r="BU21" s="1446"/>
      <c r="BV21" s="1453"/>
      <c r="BW21" s="1446"/>
      <c r="BX21" s="1446"/>
      <c r="BY21" s="1446"/>
      <c r="BZ21" s="1446"/>
      <c r="CA21" s="1454"/>
      <c r="CB21" s="1454"/>
      <c r="CC21" s="1454"/>
      <c r="CD21" s="1454"/>
      <c r="CE21" s="1454"/>
      <c r="CF21" s="1454"/>
      <c r="CG21" s="1454"/>
      <c r="CH21" s="1454"/>
      <c r="CI21" s="1455"/>
      <c r="CJ21" s="499"/>
      <c r="CK21" s="499"/>
      <c r="CL21" s="499"/>
      <c r="CM21" s="499"/>
      <c r="CN21" s="499"/>
      <c r="CO21" s="499"/>
      <c r="CP21" s="499"/>
      <c r="CQ21" s="499"/>
      <c r="CR21" s="499"/>
      <c r="CS21" s="1762" t="str">
        <f ca="1">CS20+1 &amp;" - "&amp; CS20+3</f>
        <v>2028 - 2030</v>
      </c>
      <c r="CT21" s="1760">
        <f>IF(OR(D28=CV18,D28=CV19,D28=CV20,D28=CV21,D28=CV22,D28=CV23,D28=CV24),0,1)</f>
        <v>0</v>
      </c>
      <c r="CU21" s="1760">
        <f>IF(OR(D27=CV18,D27=CV19,D27=CV20,D27=CV21,D27=CV22,D27=CV23,D27=CV24),0,1)</f>
        <v>0</v>
      </c>
      <c r="CV21" s="621" t="str">
        <f>IF(Basisdaten!$B$15="English",CX21,CW21)</f>
        <v>L - Bank-Darlehen</v>
      </c>
      <c r="CW21" s="305" t="s">
        <v>54</v>
      </c>
      <c r="CX21" s="117" t="s">
        <v>221</v>
      </c>
      <c r="CY21" s="133"/>
      <c r="CZ21" s="123"/>
      <c r="DA21" s="123"/>
      <c r="DB21" s="217"/>
      <c r="DC21" s="217"/>
      <c r="DD21" s="217"/>
      <c r="DE21" s="217"/>
      <c r="DF21" s="217"/>
      <c r="DG21" s="217"/>
      <c r="DH21" s="217"/>
      <c r="DI21" s="217"/>
      <c r="DJ21" s="217"/>
      <c r="DK21" s="217"/>
      <c r="DL21" s="217"/>
      <c r="DM21" s="217"/>
      <c r="DN21" s="217"/>
      <c r="DO21" s="217"/>
      <c r="DP21" s="122"/>
      <c r="DQ21" s="122"/>
      <c r="DR21" s="122"/>
      <c r="DS21" s="122"/>
      <c r="DT21" s="122"/>
      <c r="DU21" s="122"/>
      <c r="DV21" s="122"/>
      <c r="DW21" s="122"/>
      <c r="DX21" s="122"/>
      <c r="DY21" s="122"/>
    </row>
    <row r="22" spans="1:129" s="79" customFormat="1" ht="13.8" hidden="1" customHeight="1">
      <c r="A22" s="2314"/>
      <c r="B22" s="68"/>
      <c r="C22" s="68"/>
      <c r="D22" s="68"/>
      <c r="E22" s="68"/>
      <c r="F22" s="68"/>
      <c r="G22" s="68"/>
      <c r="H22" s="68"/>
      <c r="I22" s="68"/>
      <c r="J22" s="68"/>
      <c r="K22" s="68"/>
      <c r="L22" s="68"/>
      <c r="M22" s="68"/>
      <c r="N22" s="68"/>
      <c r="O22" s="68"/>
      <c r="P22" s="68"/>
      <c r="Q22" s="68"/>
      <c r="R22" s="68"/>
      <c r="S22" s="68"/>
      <c r="V22" s="1446"/>
      <c r="W22" s="1446"/>
      <c r="X22" s="1446"/>
      <c r="Y22" s="1446"/>
      <c r="Z22" s="1452"/>
      <c r="AA22" s="1446"/>
      <c r="AB22" s="1446"/>
      <c r="AC22" s="1446"/>
      <c r="AD22" s="1446"/>
      <c r="AE22" s="1446"/>
      <c r="AF22" s="1446"/>
      <c r="AG22" s="1446"/>
      <c r="AH22" s="1446"/>
      <c r="AI22" s="1446"/>
      <c r="AJ22" s="1446"/>
      <c r="AK22" s="1446"/>
      <c r="AL22" s="1446"/>
      <c r="AM22" s="1446"/>
      <c r="AN22" s="1446"/>
      <c r="AO22" s="1446"/>
      <c r="AP22" s="1446"/>
      <c r="AQ22" s="1446"/>
      <c r="AR22" s="1446"/>
      <c r="AS22" s="1446"/>
      <c r="AT22" s="1446"/>
      <c r="AU22" s="1446"/>
      <c r="AV22" s="1446"/>
      <c r="AW22" s="1446"/>
      <c r="AX22" s="1446"/>
      <c r="AY22" s="1446"/>
      <c r="AZ22" s="1446"/>
      <c r="BA22" s="1446"/>
      <c r="BB22" s="1446"/>
      <c r="BC22" s="1446"/>
      <c r="BD22" s="1446"/>
      <c r="BE22" s="1446"/>
      <c r="BF22" s="1446"/>
      <c r="BG22" s="1446"/>
      <c r="BH22" s="1446"/>
      <c r="BI22" s="1446"/>
      <c r="BJ22" s="1446"/>
      <c r="BK22" s="1446"/>
      <c r="BL22" s="1446"/>
      <c r="BM22" s="1446"/>
      <c r="BN22" s="1446"/>
      <c r="BO22" s="1446"/>
      <c r="BP22" s="1446"/>
      <c r="BQ22" s="1446"/>
      <c r="BR22" s="1446"/>
      <c r="BS22" s="1446"/>
      <c r="BT22" s="1446"/>
      <c r="BU22" s="1446"/>
      <c r="BV22" s="1453"/>
      <c r="BW22" s="1446"/>
      <c r="BX22" s="1446"/>
      <c r="BY22" s="1446"/>
      <c r="BZ22" s="1446"/>
      <c r="CA22" s="1454"/>
      <c r="CB22" s="1454"/>
      <c r="CC22" s="1454"/>
      <c r="CD22" s="1454"/>
      <c r="CE22" s="1454"/>
      <c r="CF22" s="1454"/>
      <c r="CG22" s="1454"/>
      <c r="CH22" s="1454"/>
      <c r="CI22" s="1455"/>
      <c r="CJ22" s="499"/>
      <c r="CK22" s="499"/>
      <c r="CL22" s="499"/>
      <c r="CM22" s="499"/>
      <c r="CN22" s="499"/>
      <c r="CO22" s="499"/>
      <c r="CP22" s="499"/>
      <c r="CQ22" s="499"/>
      <c r="CR22" s="499"/>
      <c r="CS22" s="1761"/>
      <c r="CU22" s="499"/>
      <c r="CV22" s="621" t="str">
        <f>IF(Basisdaten!$B$15="English",CX22,CW22)</f>
        <v xml:space="preserve">Bürgschaftsbank- Darlehen </v>
      </c>
      <c r="CW22" s="305" t="s">
        <v>55</v>
      </c>
      <c r="CX22" s="117" t="s">
        <v>222</v>
      </c>
      <c r="CY22" s="133"/>
      <c r="CZ22" s="123"/>
      <c r="DA22" s="123"/>
      <c r="DB22" s="217"/>
      <c r="DC22" s="217"/>
      <c r="DD22" s="217"/>
      <c r="DE22" s="217"/>
      <c r="DF22" s="217"/>
      <c r="DG22" s="217"/>
      <c r="DH22" s="217"/>
      <c r="DI22" s="217"/>
      <c r="DJ22" s="217"/>
      <c r="DK22" s="217"/>
      <c r="DL22" s="217"/>
      <c r="DM22" s="217"/>
      <c r="DN22" s="217"/>
      <c r="DO22" s="217"/>
      <c r="DP22" s="122"/>
      <c r="DQ22" s="122"/>
      <c r="DR22" s="122"/>
      <c r="DS22" s="122"/>
      <c r="DT22" s="122"/>
      <c r="DU22" s="122"/>
      <c r="DV22" s="122"/>
      <c r="DW22" s="122"/>
      <c r="DX22" s="122"/>
      <c r="DY22" s="122"/>
    </row>
    <row r="23" spans="1:129" s="79" customFormat="1" ht="13.8" hidden="1" customHeight="1">
      <c r="A23" s="2314"/>
      <c r="B23" s="68"/>
      <c r="C23" s="68"/>
      <c r="D23" s="68"/>
      <c r="E23" s="68"/>
      <c r="F23" s="68"/>
      <c r="G23" s="68"/>
      <c r="H23" s="68"/>
      <c r="I23" s="68"/>
      <c r="J23" s="68"/>
      <c r="K23" s="68"/>
      <c r="L23" s="68"/>
      <c r="M23" s="68"/>
      <c r="N23" s="68"/>
      <c r="O23" s="68"/>
      <c r="P23" s="68"/>
      <c r="Q23" s="68"/>
      <c r="R23" s="68"/>
      <c r="S23" s="68"/>
      <c r="V23" s="1446"/>
      <c r="W23" s="1446"/>
      <c r="X23" s="1446"/>
      <c r="Y23" s="1446"/>
      <c r="Z23" s="1452"/>
      <c r="AA23" s="1446"/>
      <c r="AB23" s="1446"/>
      <c r="AC23" s="1446"/>
      <c r="AD23" s="1446"/>
      <c r="AE23" s="1446"/>
      <c r="AF23" s="1446"/>
      <c r="AG23" s="1446"/>
      <c r="AH23" s="1446"/>
      <c r="AI23" s="1446"/>
      <c r="AJ23" s="1446"/>
      <c r="AK23" s="1446"/>
      <c r="AL23" s="1446"/>
      <c r="AM23" s="1446"/>
      <c r="AN23" s="1446"/>
      <c r="AO23" s="1446"/>
      <c r="AP23" s="1446"/>
      <c r="AQ23" s="1446"/>
      <c r="AR23" s="1446"/>
      <c r="AS23" s="1446"/>
      <c r="AT23" s="1446"/>
      <c r="AU23" s="1446"/>
      <c r="AV23" s="1446"/>
      <c r="AW23" s="1446"/>
      <c r="AX23" s="1446"/>
      <c r="AY23" s="1446"/>
      <c r="AZ23" s="1446"/>
      <c r="BA23" s="1446"/>
      <c r="BB23" s="1446"/>
      <c r="BC23" s="1446"/>
      <c r="BD23" s="1446"/>
      <c r="BE23" s="1446"/>
      <c r="BF23" s="1446"/>
      <c r="BG23" s="1446"/>
      <c r="BH23" s="1446"/>
      <c r="BI23" s="1446"/>
      <c r="BJ23" s="1446"/>
      <c r="BK23" s="1446"/>
      <c r="BL23" s="1446"/>
      <c r="BM23" s="1446"/>
      <c r="BN23" s="1446"/>
      <c r="BO23" s="1446"/>
      <c r="BP23" s="1446"/>
      <c r="BQ23" s="1446"/>
      <c r="BR23" s="1446"/>
      <c r="BS23" s="1446"/>
      <c r="BT23" s="1446"/>
      <c r="BU23" s="1446"/>
      <c r="BV23" s="1453"/>
      <c r="BW23" s="1446"/>
      <c r="BX23" s="1446"/>
      <c r="BY23" s="1446"/>
      <c r="BZ23" s="1446"/>
      <c r="CA23" s="1454"/>
      <c r="CB23" s="1454"/>
      <c r="CC23" s="1454"/>
      <c r="CD23" s="1454"/>
      <c r="CE23" s="1454"/>
      <c r="CF23" s="1454"/>
      <c r="CG23" s="1454"/>
      <c r="CH23" s="1454"/>
      <c r="CI23" s="1455"/>
      <c r="CJ23" s="499"/>
      <c r="CK23" s="499"/>
      <c r="CL23" s="499"/>
      <c r="CM23" s="499"/>
      <c r="CN23" s="499"/>
      <c r="CO23" s="499"/>
      <c r="CP23" s="499"/>
      <c r="CQ23" s="499"/>
      <c r="CR23" s="499"/>
      <c r="CS23" s="1761"/>
      <c r="CU23" s="499"/>
      <c r="CV23" s="621" t="str">
        <f>IF(Basisdaten!$B$15="English",CX23,CW23)</f>
        <v>Haus -  Bank-Darlehen</v>
      </c>
      <c r="CW23" s="305" t="s">
        <v>56</v>
      </c>
      <c r="CX23" s="117" t="s">
        <v>223</v>
      </c>
      <c r="CY23" s="133"/>
      <c r="CZ23" s="123"/>
      <c r="DA23" s="123"/>
      <c r="DB23" s="217"/>
      <c r="DC23" s="217"/>
      <c r="DD23" s="217"/>
      <c r="DE23" s="217"/>
      <c r="DF23" s="217"/>
      <c r="DG23" s="217"/>
      <c r="DH23" s="217"/>
      <c r="DI23" s="217"/>
      <c r="DJ23" s="217"/>
      <c r="DK23" s="217"/>
      <c r="DL23" s="217"/>
      <c r="DM23" s="217"/>
      <c r="DN23" s="217"/>
      <c r="DO23" s="217"/>
      <c r="DP23" s="122"/>
      <c r="DQ23" s="122"/>
      <c r="DR23" s="122"/>
      <c r="DS23" s="122"/>
      <c r="DT23" s="122"/>
      <c r="DU23" s="122"/>
      <c r="DV23" s="122"/>
      <c r="DW23" s="122"/>
      <c r="DX23" s="122"/>
      <c r="DY23" s="122"/>
    </row>
    <row r="24" spans="1:129" s="79" customFormat="1" ht="13.8" hidden="1" customHeight="1">
      <c r="A24" s="2314"/>
      <c r="B24" s="68"/>
      <c r="C24" s="68"/>
      <c r="D24" s="68"/>
      <c r="E24" s="68"/>
      <c r="F24" s="68"/>
      <c r="G24" s="68"/>
      <c r="H24" s="68"/>
      <c r="I24" s="68"/>
      <c r="J24" s="68"/>
      <c r="K24" s="68"/>
      <c r="L24" s="68"/>
      <c r="M24" s="68"/>
      <c r="N24" s="68"/>
      <c r="O24" s="68"/>
      <c r="P24" s="68"/>
      <c r="Q24" s="68"/>
      <c r="R24" s="68"/>
      <c r="S24" s="68"/>
      <c r="V24" s="1446"/>
      <c r="W24" s="1446"/>
      <c r="X24" s="1446"/>
      <c r="Y24" s="1446"/>
      <c r="Z24" s="1452"/>
      <c r="AA24" s="1446"/>
      <c r="AB24" s="1446"/>
      <c r="AC24" s="1446"/>
      <c r="AD24" s="1446"/>
      <c r="AE24" s="1446"/>
      <c r="AF24" s="1446"/>
      <c r="AG24" s="1446"/>
      <c r="AH24" s="1446"/>
      <c r="AI24" s="1446"/>
      <c r="AJ24" s="1446"/>
      <c r="AK24" s="1446"/>
      <c r="AL24" s="1446"/>
      <c r="AM24" s="1446"/>
      <c r="AN24" s="1446"/>
      <c r="AO24" s="1446"/>
      <c r="AP24" s="1446"/>
      <c r="AQ24" s="1446"/>
      <c r="AR24" s="1446"/>
      <c r="AS24" s="1446"/>
      <c r="AT24" s="1446"/>
      <c r="AU24" s="1446"/>
      <c r="AV24" s="1446"/>
      <c r="AW24" s="1446"/>
      <c r="AX24" s="1446"/>
      <c r="AY24" s="1446"/>
      <c r="AZ24" s="1446"/>
      <c r="BA24" s="1446"/>
      <c r="BB24" s="1446"/>
      <c r="BC24" s="1446"/>
      <c r="BD24" s="1446"/>
      <c r="BE24" s="1446"/>
      <c r="BF24" s="1446"/>
      <c r="BG24" s="1446"/>
      <c r="BH24" s="1446"/>
      <c r="BI24" s="1446"/>
      <c r="BJ24" s="1446"/>
      <c r="BK24" s="1446"/>
      <c r="BL24" s="1446"/>
      <c r="BM24" s="1446"/>
      <c r="BN24" s="1446"/>
      <c r="BO24" s="1446"/>
      <c r="BP24" s="1446"/>
      <c r="BQ24" s="1446"/>
      <c r="BR24" s="1446"/>
      <c r="BS24" s="1446"/>
      <c r="BT24" s="1446"/>
      <c r="BU24" s="1446"/>
      <c r="BV24" s="1453"/>
      <c r="BW24" s="1446"/>
      <c r="BX24" s="1446"/>
      <c r="BY24" s="1446"/>
      <c r="BZ24" s="1446"/>
      <c r="CA24" s="1454"/>
      <c r="CB24" s="1454"/>
      <c r="CC24" s="1454"/>
      <c r="CD24" s="1454"/>
      <c r="CE24" s="1454"/>
      <c r="CF24" s="1454"/>
      <c r="CG24" s="1454"/>
      <c r="CH24" s="1454"/>
      <c r="CI24" s="1455"/>
      <c r="CJ24" s="499"/>
      <c r="CK24" s="499"/>
      <c r="CL24" s="499"/>
      <c r="CM24" s="499"/>
      <c r="CN24" s="499"/>
      <c r="CO24" s="499"/>
      <c r="CP24" s="499"/>
      <c r="CQ24" s="499"/>
      <c r="CR24" s="499"/>
      <c r="CS24" s="1761"/>
      <c r="CU24" s="499"/>
      <c r="CV24" s="621" t="str">
        <f>IF(Basisdaten!$B$15="English",CX24,CW24)</f>
        <v>Privat -  Darlehen</v>
      </c>
      <c r="CW24" s="305" t="s">
        <v>57</v>
      </c>
      <c r="CX24" s="117" t="s">
        <v>224</v>
      </c>
      <c r="CY24" s="133"/>
      <c r="CZ24" s="123"/>
      <c r="DA24" s="123"/>
      <c r="DB24" s="217"/>
      <c r="DC24" s="217"/>
      <c r="DD24" s="217"/>
      <c r="DE24" s="217"/>
      <c r="DF24" s="217"/>
      <c r="DG24" s="217"/>
      <c r="DH24" s="217"/>
      <c r="DI24" s="217"/>
      <c r="DJ24" s="217"/>
      <c r="DK24" s="217"/>
      <c r="DL24" s="217"/>
      <c r="DM24" s="217"/>
      <c r="DN24" s="217"/>
      <c r="DO24" s="217"/>
      <c r="DP24" s="122"/>
      <c r="DQ24" s="122"/>
      <c r="DR24" s="122"/>
      <c r="DS24" s="122"/>
      <c r="DT24" s="122"/>
      <c r="DU24" s="122"/>
      <c r="DV24" s="122"/>
      <c r="DW24" s="122"/>
      <c r="DX24" s="122"/>
      <c r="DY24" s="122"/>
    </row>
    <row r="25" spans="1:129" s="79" customFormat="1">
      <c r="A25" s="2314"/>
      <c r="B25" s="68"/>
      <c r="C25" s="743">
        <v>3</v>
      </c>
      <c r="D25" s="744" t="str">
        <f>L10</f>
        <v>Drittmittel</v>
      </c>
      <c r="E25" s="745"/>
      <c r="F25" s="746"/>
      <c r="G25" s="747"/>
      <c r="H25" s="748"/>
      <c r="I25" s="825"/>
      <c r="J25" s="826"/>
      <c r="K25" s="746"/>
      <c r="L25" s="747"/>
      <c r="M25" s="748"/>
      <c r="N25" s="2027"/>
      <c r="O25" s="2024"/>
      <c r="P25" s="746"/>
      <c r="Q25" s="747"/>
      <c r="R25" s="748"/>
      <c r="S25" s="748"/>
      <c r="U25" s="734"/>
      <c r="V25" s="1446"/>
      <c r="W25" s="1446"/>
      <c r="X25" s="1446"/>
      <c r="Y25" s="1446"/>
      <c r="Z25" s="1452"/>
      <c r="AA25" s="1446"/>
      <c r="AB25" s="1446"/>
      <c r="AC25" s="1446"/>
      <c r="AD25" s="1446"/>
      <c r="AE25" s="1446"/>
      <c r="AF25" s="1446"/>
      <c r="AG25" s="1446"/>
      <c r="AH25" s="1446"/>
      <c r="AI25" s="1446"/>
      <c r="AJ25" s="1446"/>
      <c r="AK25" s="1446"/>
      <c r="AL25" s="1446"/>
      <c r="AM25" s="1446"/>
      <c r="AN25" s="1446"/>
      <c r="AO25" s="1446"/>
      <c r="AP25" s="1446"/>
      <c r="AQ25" s="1446"/>
      <c r="AR25" s="1446"/>
      <c r="AS25" s="1446"/>
      <c r="AT25" s="1446"/>
      <c r="AU25" s="1446"/>
      <c r="AV25" s="1446"/>
      <c r="AW25" s="1446"/>
      <c r="AX25" s="1446"/>
      <c r="AY25" s="1446"/>
      <c r="AZ25" s="1446"/>
      <c r="BA25" s="1446"/>
      <c r="BB25" s="1446"/>
      <c r="BC25" s="1446"/>
      <c r="BD25" s="1446"/>
      <c r="BE25" s="1446"/>
      <c r="BF25" s="1446"/>
      <c r="BG25" s="1446"/>
      <c r="BH25" s="1446"/>
      <c r="BI25" s="1446"/>
      <c r="BJ25" s="1446"/>
      <c r="BK25" s="1446"/>
      <c r="BL25" s="1446"/>
      <c r="BM25" s="1446"/>
      <c r="BN25" s="1446"/>
      <c r="BO25" s="1446"/>
      <c r="BP25" s="1446"/>
      <c r="BQ25" s="1446"/>
      <c r="BR25" s="1446"/>
      <c r="BS25" s="1446"/>
      <c r="BT25" s="1446"/>
      <c r="BU25" s="1446"/>
      <c r="BV25" s="1453"/>
      <c r="BW25" s="1446"/>
      <c r="BX25" s="1446"/>
      <c r="BY25" s="1446"/>
      <c r="BZ25" s="1446"/>
      <c r="CA25" s="1454"/>
      <c r="CB25" s="1454"/>
      <c r="CC25" s="1454"/>
      <c r="CD25" s="1454"/>
      <c r="CE25" s="1454"/>
      <c r="CF25" s="1454"/>
      <c r="CG25" s="1454"/>
      <c r="CH25" s="1454"/>
      <c r="CI25" s="1455"/>
      <c r="CJ25" s="499"/>
      <c r="CK25" s="499"/>
      <c r="CL25" s="499"/>
      <c r="CM25" s="499"/>
      <c r="CN25" s="499"/>
      <c r="CO25" s="499"/>
      <c r="CP25" s="499"/>
      <c r="CQ25" s="499"/>
      <c r="CR25" s="499"/>
      <c r="CS25" s="1761"/>
      <c r="CU25" s="499"/>
      <c r="CV25" s="621" t="str">
        <f>IF(Basisdaten!$B$15="English",CX25,CW25)</f>
        <v>Eigenkapital, -Leistung</v>
      </c>
      <c r="CW25" s="305" t="s">
        <v>674</v>
      </c>
      <c r="CX25" s="117" t="s">
        <v>675</v>
      </c>
      <c r="CY25" s="133"/>
      <c r="CZ25" s="123"/>
      <c r="DA25" s="123"/>
      <c r="DB25" s="217"/>
      <c r="DC25" s="217"/>
      <c r="DD25" s="217"/>
      <c r="DE25" s="217"/>
      <c r="DF25" s="217"/>
      <c r="DG25" s="217"/>
      <c r="DH25" s="217"/>
      <c r="DI25" s="217"/>
      <c r="DJ25" s="217"/>
      <c r="DK25" s="217"/>
      <c r="DL25" s="217"/>
      <c r="DM25" s="217"/>
      <c r="DN25" s="217"/>
      <c r="DO25" s="217"/>
      <c r="DP25" s="122"/>
      <c r="DQ25" s="122"/>
      <c r="DR25" s="122"/>
      <c r="DS25" s="122"/>
      <c r="DT25" s="122"/>
      <c r="DU25" s="122"/>
      <c r="DV25" s="122"/>
      <c r="DW25" s="122"/>
      <c r="DX25" s="122"/>
      <c r="DY25" s="122"/>
    </row>
    <row r="26" spans="1:129" s="79" customFormat="1">
      <c r="A26" s="2314"/>
      <c r="B26" s="68"/>
      <c r="C26" s="749">
        <v>4</v>
      </c>
      <c r="D26" s="728" t="str">
        <f>L11</f>
        <v>Kontokorrent</v>
      </c>
      <c r="E26" s="745"/>
      <c r="F26" s="746"/>
      <c r="G26" s="747"/>
      <c r="H26" s="748"/>
      <c r="I26" s="825"/>
      <c r="J26" s="826"/>
      <c r="K26" s="746"/>
      <c r="L26" s="747"/>
      <c r="M26" s="748"/>
      <c r="N26" s="2027"/>
      <c r="O26" s="2024"/>
      <c r="P26" s="746"/>
      <c r="Q26" s="747"/>
      <c r="R26" s="748"/>
      <c r="S26" s="748"/>
      <c r="U26" s="734"/>
      <c r="V26" s="1446"/>
      <c r="W26" s="1446"/>
      <c r="X26" s="1446"/>
      <c r="Y26" s="1446"/>
      <c r="Z26" s="1452"/>
      <c r="AA26" s="1446"/>
      <c r="AB26" s="1446"/>
      <c r="AC26" s="1446"/>
      <c r="AD26" s="1446"/>
      <c r="AE26" s="1446"/>
      <c r="AF26" s="1446"/>
      <c r="AG26" s="1446"/>
      <c r="AH26" s="1446"/>
      <c r="AI26" s="1446"/>
      <c r="AJ26" s="1446"/>
      <c r="AK26" s="1446"/>
      <c r="AL26" s="1446"/>
      <c r="AM26" s="1446"/>
      <c r="AN26" s="1446"/>
      <c r="AO26" s="1446"/>
      <c r="AP26" s="1446"/>
      <c r="AQ26" s="1446"/>
      <c r="AR26" s="1446"/>
      <c r="AS26" s="1446"/>
      <c r="AT26" s="1446"/>
      <c r="AU26" s="1446"/>
      <c r="AV26" s="1446"/>
      <c r="AW26" s="1446"/>
      <c r="AX26" s="1446"/>
      <c r="AY26" s="1446"/>
      <c r="AZ26" s="1446"/>
      <c r="BA26" s="1446"/>
      <c r="BB26" s="1446"/>
      <c r="BC26" s="1446"/>
      <c r="BD26" s="1446"/>
      <c r="BE26" s="1446"/>
      <c r="BF26" s="1446"/>
      <c r="BG26" s="1446"/>
      <c r="BH26" s="1446"/>
      <c r="BI26" s="1446"/>
      <c r="BJ26" s="1446"/>
      <c r="BK26" s="1446"/>
      <c r="BL26" s="1446"/>
      <c r="BM26" s="1446"/>
      <c r="BN26" s="1446"/>
      <c r="BO26" s="1446"/>
      <c r="BP26" s="1446"/>
      <c r="BQ26" s="1446"/>
      <c r="BR26" s="1446"/>
      <c r="BS26" s="1446"/>
      <c r="BT26" s="1446"/>
      <c r="BU26" s="1446"/>
      <c r="BV26" s="1453"/>
      <c r="BW26" s="1446"/>
      <c r="BX26" s="1446"/>
      <c r="BY26" s="1446"/>
      <c r="BZ26" s="1446"/>
      <c r="CA26" s="1454"/>
      <c r="CB26" s="1454"/>
      <c r="CC26" s="1454"/>
      <c r="CD26" s="1454"/>
      <c r="CE26" s="1454"/>
      <c r="CF26" s="1454"/>
      <c r="CG26" s="1454"/>
      <c r="CH26" s="1454"/>
      <c r="CI26" s="1455"/>
      <c r="CJ26" s="499"/>
      <c r="CK26" s="499"/>
      <c r="CL26" s="499"/>
      <c r="CM26" s="499"/>
      <c r="CN26" s="499"/>
      <c r="CO26" s="499"/>
      <c r="CP26" s="499"/>
      <c r="CQ26" s="499"/>
      <c r="CR26" s="499"/>
      <c r="CS26" s="1761"/>
      <c r="CU26" s="499"/>
      <c r="CY26" s="133"/>
      <c r="CZ26" s="123"/>
      <c r="DA26" s="123"/>
      <c r="DB26" s="217"/>
      <c r="DC26" s="217"/>
      <c r="DD26" s="217"/>
      <c r="DE26" s="217"/>
      <c r="DF26" s="217"/>
      <c r="DG26" s="217"/>
      <c r="DH26" s="217"/>
      <c r="DI26" s="217"/>
      <c r="DJ26" s="217"/>
      <c r="DK26" s="217"/>
      <c r="DL26" s="217"/>
      <c r="DM26" s="217"/>
      <c r="DN26" s="217"/>
      <c r="DO26" s="217"/>
      <c r="DP26" s="122"/>
      <c r="DQ26" s="122"/>
      <c r="DR26" s="122"/>
      <c r="DS26" s="122"/>
      <c r="DT26" s="122"/>
      <c r="DU26" s="122"/>
      <c r="DV26" s="122"/>
      <c r="DW26" s="122"/>
      <c r="DX26" s="122"/>
      <c r="DY26" s="122"/>
    </row>
    <row r="27" spans="1:129" s="79" customFormat="1" ht="14.4" customHeight="1">
      <c r="A27" s="2314"/>
      <c r="B27" s="68" t="str">
        <f>IF(CU21=1,"→","")</f>
        <v/>
      </c>
      <c r="C27" s="751" t="s">
        <v>668</v>
      </c>
      <c r="D27" s="1616" t="s">
        <v>1050</v>
      </c>
      <c r="E27" s="2019"/>
      <c r="F27" s="2020"/>
      <c r="G27" s="2021"/>
      <c r="H27" s="750"/>
      <c r="I27" s="2022"/>
      <c r="J27" s="2016"/>
      <c r="K27" s="2020"/>
      <c r="L27" s="2021"/>
      <c r="M27" s="750"/>
      <c r="N27" s="2028"/>
      <c r="O27" s="2025"/>
      <c r="P27" s="2020"/>
      <c r="Q27" s="2021"/>
      <c r="R27" s="750"/>
      <c r="S27" s="750"/>
      <c r="U27" s="734"/>
      <c r="V27" s="1446"/>
      <c r="W27" s="1446"/>
      <c r="X27" s="1446"/>
      <c r="Y27" s="1446"/>
      <c r="Z27" s="1452"/>
      <c r="AA27" s="1446"/>
      <c r="AB27" s="1446"/>
      <c r="AC27" s="1446"/>
      <c r="AD27" s="1446"/>
      <c r="AE27" s="1446"/>
      <c r="AF27" s="1446"/>
      <c r="AG27" s="1446"/>
      <c r="AH27" s="1446"/>
      <c r="AI27" s="1446"/>
      <c r="AJ27" s="1446"/>
      <c r="AK27" s="1446"/>
      <c r="AL27" s="1446"/>
      <c r="AM27" s="1446"/>
      <c r="AN27" s="1446"/>
      <c r="AO27" s="1446"/>
      <c r="AP27" s="1446"/>
      <c r="AQ27" s="1446"/>
      <c r="AR27" s="1446"/>
      <c r="AS27" s="1446"/>
      <c r="AT27" s="1446"/>
      <c r="AU27" s="1446"/>
      <c r="AV27" s="1446"/>
      <c r="AW27" s="1446"/>
      <c r="AX27" s="1446"/>
      <c r="AY27" s="1446"/>
      <c r="AZ27" s="1446"/>
      <c r="BA27" s="1446"/>
      <c r="BB27" s="1446"/>
      <c r="BC27" s="1446"/>
      <c r="BD27" s="1446"/>
      <c r="BE27" s="1446"/>
      <c r="BF27" s="1446"/>
      <c r="BG27" s="1446"/>
      <c r="BH27" s="1446"/>
      <c r="BI27" s="1446"/>
      <c r="BJ27" s="1446"/>
      <c r="BK27" s="1446"/>
      <c r="BL27" s="1446"/>
      <c r="BM27" s="1446"/>
      <c r="BN27" s="1446"/>
      <c r="BO27" s="1446"/>
      <c r="BP27" s="1446"/>
      <c r="BQ27" s="1446"/>
      <c r="BR27" s="1446"/>
      <c r="BS27" s="1446"/>
      <c r="BT27" s="1446"/>
      <c r="BU27" s="1446"/>
      <c r="BV27" s="1453"/>
      <c r="BW27" s="1446"/>
      <c r="BX27" s="1446"/>
      <c r="BY27" s="1446"/>
      <c r="BZ27" s="1446"/>
      <c r="CA27" s="1454"/>
      <c r="CB27" s="1454"/>
      <c r="CC27" s="1454"/>
      <c r="CD27" s="1454"/>
      <c r="CE27" s="1454"/>
      <c r="CF27" s="1454"/>
      <c r="CG27" s="1454"/>
      <c r="CH27" s="1454"/>
      <c r="CI27" s="1455"/>
      <c r="CJ27" s="499"/>
      <c r="CK27" s="499"/>
      <c r="CL27" s="499"/>
      <c r="CM27" s="499"/>
      <c r="CN27" s="499"/>
      <c r="CO27" s="499"/>
      <c r="CP27" s="499"/>
      <c r="CQ27" s="499"/>
      <c r="CR27" s="499"/>
      <c r="CS27" s="499"/>
      <c r="CT27" s="499"/>
      <c r="CU27" s="499"/>
      <c r="CY27" s="133"/>
      <c r="CZ27" s="123"/>
      <c r="DA27" s="123"/>
      <c r="DB27" s="217"/>
      <c r="DC27" s="217"/>
      <c r="DD27" s="217"/>
      <c r="DE27" s="217"/>
      <c r="DF27" s="217"/>
      <c r="DG27" s="217"/>
      <c r="DH27" s="217"/>
      <c r="DI27" s="217"/>
      <c r="DJ27" s="217"/>
      <c r="DK27" s="217"/>
      <c r="DL27" s="217"/>
      <c r="DM27" s="217"/>
      <c r="DN27" s="217"/>
      <c r="DO27" s="217"/>
      <c r="DP27" s="122"/>
      <c r="DQ27" s="122"/>
      <c r="DR27" s="122"/>
      <c r="DS27" s="122"/>
      <c r="DT27" s="122"/>
      <c r="DU27" s="122"/>
      <c r="DV27" s="122"/>
      <c r="DW27" s="122"/>
      <c r="DX27" s="122"/>
      <c r="DY27" s="122"/>
    </row>
    <row r="28" spans="1:129" s="79" customFormat="1" ht="14.25" customHeight="1">
      <c r="A28" s="2315" t="str">
        <f>IF(B27="→",Basisdaten!R6,"")</f>
        <v/>
      </c>
      <c r="B28" s="68" t="str">
        <f>IF(CT21=1,"→","")</f>
        <v/>
      </c>
      <c r="C28" s="1326" t="s">
        <v>671</v>
      </c>
      <c r="D28" s="1616" t="s">
        <v>1050</v>
      </c>
      <c r="E28" s="737"/>
      <c r="F28" s="738"/>
      <c r="G28" s="753"/>
      <c r="H28" s="754"/>
      <c r="I28" s="2023"/>
      <c r="J28" s="776"/>
      <c r="K28" s="738"/>
      <c r="L28" s="753"/>
      <c r="M28" s="754"/>
      <c r="N28" s="1329"/>
      <c r="O28" s="2026"/>
      <c r="P28" s="738"/>
      <c r="Q28" s="753"/>
      <c r="R28" s="754"/>
      <c r="S28" s="754"/>
      <c r="U28" s="734"/>
      <c r="V28" s="1446"/>
      <c r="W28" s="1446"/>
      <c r="X28" s="1446"/>
      <c r="Y28" s="1446"/>
      <c r="Z28" s="1452"/>
      <c r="AA28" s="1446"/>
      <c r="AB28" s="1446"/>
      <c r="AC28" s="1446"/>
      <c r="AD28" s="1446"/>
      <c r="AE28" s="1446"/>
      <c r="AF28" s="1446"/>
      <c r="AG28" s="1446"/>
      <c r="AH28" s="1446"/>
      <c r="AI28" s="1446"/>
      <c r="AJ28" s="1446"/>
      <c r="AK28" s="1446"/>
      <c r="AL28" s="1446"/>
      <c r="AM28" s="1446"/>
      <c r="AN28" s="1446"/>
      <c r="AO28" s="1446"/>
      <c r="AP28" s="1446"/>
      <c r="AQ28" s="1446"/>
      <c r="AR28" s="1446"/>
      <c r="AS28" s="1446"/>
      <c r="AT28" s="1446"/>
      <c r="AU28" s="1446"/>
      <c r="AV28" s="1446"/>
      <c r="AW28" s="1446"/>
      <c r="AX28" s="1446"/>
      <c r="AY28" s="1446"/>
      <c r="AZ28" s="1446"/>
      <c r="BA28" s="1446"/>
      <c r="BB28" s="1446"/>
      <c r="BC28" s="1446"/>
      <c r="BD28" s="1446"/>
      <c r="BE28" s="1446"/>
      <c r="BF28" s="1446"/>
      <c r="BG28" s="1446"/>
      <c r="BH28" s="1446"/>
      <c r="BI28" s="1446"/>
      <c r="BJ28" s="1446"/>
      <c r="BK28" s="1446"/>
      <c r="BL28" s="1446"/>
      <c r="BM28" s="1446"/>
      <c r="BN28" s="1446"/>
      <c r="BO28" s="1446"/>
      <c r="BP28" s="1446"/>
      <c r="BQ28" s="1446"/>
      <c r="BR28" s="1446"/>
      <c r="BS28" s="1446"/>
      <c r="BT28" s="1446"/>
      <c r="BU28" s="1446"/>
      <c r="BV28" s="1453"/>
      <c r="BW28" s="1446"/>
      <c r="BX28" s="1446"/>
      <c r="BY28" s="1446"/>
      <c r="BZ28" s="1446"/>
      <c r="CA28" s="1454"/>
      <c r="CB28" s="1454"/>
      <c r="CC28" s="1454"/>
      <c r="CD28" s="1454"/>
      <c r="CE28" s="1454"/>
      <c r="CF28" s="1454"/>
      <c r="CG28" s="1454"/>
      <c r="CH28" s="1454"/>
      <c r="CI28" s="1455"/>
      <c r="CJ28" s="499"/>
      <c r="CK28" s="499"/>
      <c r="CL28" s="499"/>
      <c r="CM28" s="499"/>
      <c r="CN28" s="499"/>
      <c r="CO28" s="499"/>
      <c r="CP28" s="499"/>
      <c r="CQ28" s="499"/>
      <c r="CR28" s="499"/>
      <c r="CS28" s="499"/>
      <c r="CT28" s="499"/>
      <c r="CU28" s="499"/>
      <c r="CY28" s="133"/>
      <c r="CZ28" s="123"/>
      <c r="DA28" s="123"/>
      <c r="DB28" s="217"/>
      <c r="DC28" s="217"/>
      <c r="DD28" s="217"/>
      <c r="DE28" s="217"/>
      <c r="DF28" s="217"/>
      <c r="DG28" s="217"/>
      <c r="DH28" s="217"/>
      <c r="DI28" s="217"/>
      <c r="DJ28" s="217"/>
      <c r="DK28" s="217"/>
      <c r="DL28" s="217"/>
      <c r="DM28" s="217"/>
      <c r="DN28" s="217"/>
      <c r="DO28" s="217"/>
      <c r="DP28" s="122"/>
      <c r="DQ28" s="122"/>
      <c r="DR28" s="122"/>
      <c r="DS28" s="122"/>
      <c r="DT28" s="122"/>
      <c r="DU28" s="122"/>
      <c r="DV28" s="122"/>
      <c r="DW28" s="122"/>
      <c r="DX28" s="122"/>
      <c r="DY28" s="122"/>
    </row>
    <row r="29" spans="1:129" s="79" customFormat="1" ht="14.25" hidden="1" customHeight="1">
      <c r="A29" s="2316"/>
      <c r="B29" s="777"/>
      <c r="C29" s="1325">
        <v>6</v>
      </c>
      <c r="D29" s="752" t="str">
        <f>$CV$29</f>
        <v>für Nachhaltigkeit</v>
      </c>
      <c r="E29" s="737"/>
      <c r="F29" s="1322"/>
      <c r="G29" s="1323"/>
      <c r="H29" s="1324"/>
      <c r="I29" s="1328"/>
      <c r="J29" s="1330"/>
      <c r="K29" s="1322"/>
      <c r="L29" s="1323"/>
      <c r="M29" s="1324"/>
      <c r="N29" s="1328"/>
      <c r="O29" s="776"/>
      <c r="P29" s="738"/>
      <c r="Q29" s="753"/>
      <c r="R29" s="754"/>
      <c r="S29" s="754"/>
      <c r="U29" s="734"/>
      <c r="V29" s="1446"/>
      <c r="W29" s="1446"/>
      <c r="X29" s="1446"/>
      <c r="Y29" s="1446"/>
      <c r="Z29" s="1452"/>
      <c r="AA29" s="1446"/>
      <c r="AB29" s="1446"/>
      <c r="AC29" s="1446"/>
      <c r="AD29" s="1446"/>
      <c r="AE29" s="1446"/>
      <c r="AF29" s="1446"/>
      <c r="AG29" s="1446"/>
      <c r="AH29" s="1446"/>
      <c r="AI29" s="1446"/>
      <c r="AJ29" s="1446"/>
      <c r="AK29" s="1446"/>
      <c r="AL29" s="1446"/>
      <c r="AM29" s="1446"/>
      <c r="AN29" s="1446"/>
      <c r="AO29" s="1446"/>
      <c r="AP29" s="1446"/>
      <c r="AQ29" s="1446"/>
      <c r="AR29" s="1446"/>
      <c r="AS29" s="1446"/>
      <c r="AT29" s="1446"/>
      <c r="AU29" s="1446"/>
      <c r="AV29" s="1446"/>
      <c r="AW29" s="1446"/>
      <c r="AX29" s="1446"/>
      <c r="AY29" s="1446"/>
      <c r="AZ29" s="1446"/>
      <c r="BA29" s="1446"/>
      <c r="BB29" s="1446"/>
      <c r="BC29" s="1446"/>
      <c r="BD29" s="1446"/>
      <c r="BE29" s="1446"/>
      <c r="BF29" s="1446"/>
      <c r="BG29" s="1446"/>
      <c r="BH29" s="1446"/>
      <c r="BI29" s="1446"/>
      <c r="BJ29" s="1446"/>
      <c r="BK29" s="1446"/>
      <c r="BL29" s="1446"/>
      <c r="BM29" s="1446"/>
      <c r="BN29" s="1446"/>
      <c r="BO29" s="1446"/>
      <c r="BP29" s="1446"/>
      <c r="BQ29" s="1446"/>
      <c r="BR29" s="1446"/>
      <c r="BS29" s="1446"/>
      <c r="BT29" s="1446"/>
      <c r="BU29" s="1446"/>
      <c r="BV29" s="1453"/>
      <c r="BW29" s="1446"/>
      <c r="BX29" s="1446"/>
      <c r="BY29" s="1446"/>
      <c r="BZ29" s="1446"/>
      <c r="CA29" s="1454"/>
      <c r="CB29" s="1454"/>
      <c r="CC29" s="1454"/>
      <c r="CD29" s="1454"/>
      <c r="CE29" s="1454"/>
      <c r="CF29" s="1454"/>
      <c r="CG29" s="1454"/>
      <c r="CH29" s="1454"/>
      <c r="CI29" s="1455"/>
      <c r="CJ29" s="499"/>
      <c r="CK29" s="499"/>
      <c r="CL29" s="499"/>
      <c r="CM29" s="499"/>
      <c r="CN29" s="499"/>
      <c r="CO29" s="499"/>
      <c r="CP29" s="499"/>
      <c r="CQ29" s="499"/>
      <c r="CR29" s="499"/>
      <c r="CS29" s="499"/>
      <c r="CT29" s="499"/>
      <c r="CU29" s="499"/>
      <c r="CV29" s="621" t="str">
        <f>IF(Basisdaten!$B$15="English",CX29,CW29)</f>
        <v>für Nachhaltigkeit</v>
      </c>
      <c r="CW29" s="305" t="s">
        <v>676</v>
      </c>
      <c r="CX29" s="117" t="s">
        <v>677</v>
      </c>
      <c r="CY29" s="133"/>
      <c r="CZ29" s="123"/>
      <c r="DA29" s="123"/>
      <c r="DB29" s="217"/>
      <c r="DC29" s="217"/>
      <c r="DD29" s="217"/>
      <c r="DE29" s="217"/>
      <c r="DF29" s="217"/>
      <c r="DG29" s="217"/>
      <c r="DH29" s="217"/>
      <c r="DI29" s="217"/>
      <c r="DJ29" s="217"/>
      <c r="DK29" s="217"/>
      <c r="DL29" s="217"/>
      <c r="DM29" s="217"/>
      <c r="DN29" s="217"/>
      <c r="DO29" s="217"/>
      <c r="DP29" s="122"/>
      <c r="DQ29" s="122"/>
      <c r="DR29" s="122"/>
      <c r="DS29" s="122"/>
      <c r="DT29" s="122"/>
      <c r="DU29" s="122"/>
      <c r="DV29" s="122"/>
      <c r="DW29" s="122"/>
      <c r="DX29" s="122"/>
      <c r="DY29" s="122"/>
    </row>
    <row r="30" spans="1:129" s="79" customFormat="1">
      <c r="A30" s="2316"/>
      <c r="B30" s="68"/>
      <c r="C30" s="759"/>
      <c r="D30" s="778" t="str">
        <f>L16</f>
        <v>Summe Fremdfinanzierung</v>
      </c>
      <c r="E30" s="419">
        <f>SUM(E26:E29)</f>
        <v>0</v>
      </c>
      <c r="F30" s="779"/>
      <c r="G30" s="758"/>
      <c r="H30" s="758"/>
      <c r="I30" s="758"/>
      <c r="J30" s="780">
        <f>SUM(J26:J29)</f>
        <v>0</v>
      </c>
      <c r="K30" s="779"/>
      <c r="L30" s="758"/>
      <c r="M30" s="758"/>
      <c r="N30" s="758"/>
      <c r="O30" s="780">
        <f>SUM(O26:O29)</f>
        <v>0</v>
      </c>
      <c r="P30" s="779"/>
      <c r="Q30" s="758"/>
      <c r="V30" s="1446"/>
      <c r="W30" s="1446"/>
      <c r="X30" s="1446"/>
      <c r="Y30" s="1446"/>
      <c r="Z30" s="1452"/>
      <c r="AA30" s="1446"/>
      <c r="AB30" s="1446"/>
      <c r="AC30" s="1446"/>
      <c r="AD30" s="1446"/>
      <c r="AE30" s="1446"/>
      <c r="AF30" s="1446"/>
      <c r="AG30" s="1446"/>
      <c r="AH30" s="1446"/>
      <c r="AI30" s="1446"/>
      <c r="AJ30" s="1446"/>
      <c r="AK30" s="1446"/>
      <c r="AL30" s="1446"/>
      <c r="AM30" s="1446"/>
      <c r="AN30" s="1446"/>
      <c r="AO30" s="1446"/>
      <c r="AP30" s="1446"/>
      <c r="AQ30" s="1446"/>
      <c r="AR30" s="1446"/>
      <c r="AS30" s="1446"/>
      <c r="AT30" s="1446"/>
      <c r="AU30" s="1446"/>
      <c r="AV30" s="1446"/>
      <c r="AW30" s="1446"/>
      <c r="AX30" s="1446"/>
      <c r="AY30" s="1446"/>
      <c r="AZ30" s="1446"/>
      <c r="BA30" s="1446"/>
      <c r="BB30" s="1446"/>
      <c r="BC30" s="1446"/>
      <c r="BD30" s="1446"/>
      <c r="BE30" s="1446"/>
      <c r="BF30" s="1446"/>
      <c r="BG30" s="1446"/>
      <c r="BH30" s="1446"/>
      <c r="BI30" s="1446"/>
      <c r="BJ30" s="1446"/>
      <c r="BK30" s="1446"/>
      <c r="BL30" s="1446"/>
      <c r="BM30" s="1446"/>
      <c r="BN30" s="1446"/>
      <c r="BO30" s="1446"/>
      <c r="BP30" s="1446"/>
      <c r="BQ30" s="1446"/>
      <c r="BR30" s="1446"/>
      <c r="BS30" s="1446"/>
      <c r="BT30" s="1446"/>
      <c r="BU30" s="1446"/>
      <c r="BV30" s="1453"/>
      <c r="BW30" s="1446"/>
      <c r="BX30" s="1446"/>
      <c r="BY30" s="1446"/>
      <c r="BZ30" s="1446"/>
      <c r="CA30" s="1454"/>
      <c r="CB30" s="1454"/>
      <c r="CC30" s="1454"/>
      <c r="CD30" s="1454"/>
      <c r="CE30" s="1454"/>
      <c r="CF30" s="1454"/>
      <c r="CG30" s="1454"/>
      <c r="CH30" s="1454"/>
      <c r="CI30" s="1455"/>
      <c r="CJ30" s="499"/>
      <c r="CK30" s="499"/>
      <c r="CL30" s="499"/>
      <c r="CM30" s="499"/>
      <c r="CN30" s="499"/>
      <c r="CO30" s="499"/>
      <c r="CP30" s="499"/>
      <c r="CQ30" s="499"/>
      <c r="CR30" s="499"/>
      <c r="CS30" s="499"/>
      <c r="CT30" s="499"/>
      <c r="CU30" s="499"/>
      <c r="CV30" s="621">
        <f>IF(Basisdaten!$B$15="English",CX30,CW30)</f>
        <v>0</v>
      </c>
      <c r="CW30" s="305"/>
      <c r="CX30" s="117"/>
      <c r="CY30" s="133"/>
      <c r="CZ30" s="123"/>
      <c r="DA30" s="123"/>
      <c r="DB30" s="217"/>
      <c r="DC30" s="217"/>
      <c r="DD30" s="217"/>
      <c r="DE30" s="217"/>
      <c r="DF30" s="217"/>
      <c r="DG30" s="217"/>
      <c r="DH30" s="217"/>
      <c r="DI30" s="217"/>
      <c r="DJ30" s="217"/>
      <c r="DK30" s="217"/>
      <c r="DL30" s="217"/>
      <c r="DM30" s="217"/>
      <c r="DN30" s="217"/>
      <c r="DO30" s="217"/>
      <c r="DP30" s="122"/>
      <c r="DQ30" s="122"/>
      <c r="DR30" s="122"/>
      <c r="DS30" s="122"/>
      <c r="DT30" s="122"/>
      <c r="DU30" s="122"/>
      <c r="DV30" s="122"/>
      <c r="DW30" s="122"/>
      <c r="DX30" s="122"/>
      <c r="DY30" s="122"/>
    </row>
    <row r="31" spans="1:129" s="68" customFormat="1">
      <c r="A31" s="2316"/>
      <c r="C31" s="131"/>
      <c r="D31" s="131"/>
      <c r="E31" s="781"/>
      <c r="F31" s="242"/>
      <c r="G31" s="242"/>
      <c r="H31" s="242"/>
      <c r="I31" s="242"/>
      <c r="J31" s="242"/>
      <c r="K31" s="242"/>
      <c r="L31" s="242"/>
      <c r="M31" s="242"/>
      <c r="N31" s="242"/>
      <c r="O31" s="242"/>
      <c r="P31" s="242"/>
      <c r="Q31" s="242"/>
      <c r="R31" s="182"/>
      <c r="S31" s="182"/>
      <c r="T31" s="191"/>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1447"/>
      <c r="BW31" s="74"/>
      <c r="BX31" s="74"/>
      <c r="BY31" s="74"/>
      <c r="BZ31" s="74"/>
      <c r="CA31" s="74"/>
      <c r="CB31" s="74"/>
      <c r="CC31" s="74"/>
      <c r="CD31" s="74"/>
      <c r="CE31" s="74"/>
      <c r="CF31" s="74"/>
      <c r="CG31" s="74"/>
      <c r="CH31" s="74"/>
      <c r="CI31" s="1169"/>
      <c r="CJ31" s="160"/>
      <c r="CK31" s="160"/>
      <c r="CL31" s="160"/>
      <c r="CM31" s="160"/>
      <c r="CN31" s="160"/>
      <c r="CO31" s="160"/>
      <c r="CP31" s="160"/>
      <c r="CQ31" s="160"/>
      <c r="CR31" s="160"/>
      <c r="CS31" s="160"/>
      <c r="CT31" s="160"/>
      <c r="CU31" s="160"/>
      <c r="CV31" s="621">
        <f>IF(Basisdaten!$B$15="English",CX31,CW31)</f>
        <v>0</v>
      </c>
      <c r="CW31" s="383"/>
      <c r="CX31" s="295"/>
      <c r="CY31" s="136"/>
      <c r="CZ31" s="136"/>
      <c r="DA31" s="80"/>
      <c r="DB31" s="80"/>
      <c r="DC31" s="80"/>
      <c r="DD31" s="80"/>
      <c r="DE31" s="80"/>
      <c r="DF31" s="80"/>
      <c r="DG31" s="80"/>
      <c r="DH31" s="80"/>
      <c r="DI31" s="80"/>
      <c r="DJ31" s="80"/>
      <c r="DK31" s="80"/>
      <c r="DL31" s="80"/>
      <c r="DM31" s="80"/>
      <c r="DN31" s="80"/>
      <c r="DO31" s="80"/>
      <c r="DP31" s="80"/>
      <c r="DQ31" s="80"/>
      <c r="DR31" s="80"/>
      <c r="DS31" s="80"/>
      <c r="DT31" s="80"/>
      <c r="DU31" s="80"/>
      <c r="DV31" s="80"/>
      <c r="DW31" s="80"/>
      <c r="DX31" s="80"/>
      <c r="DY31" s="80"/>
    </row>
    <row r="32" spans="1:129" s="68" customFormat="1">
      <c r="A32" s="2316"/>
      <c r="C32" s="131"/>
      <c r="D32" s="131"/>
      <c r="E32" s="781"/>
      <c r="F32" s="242"/>
      <c r="G32" s="242"/>
      <c r="H32" s="242"/>
      <c r="I32" s="242"/>
      <c r="J32" s="242"/>
      <c r="K32" s="242"/>
      <c r="L32" s="242"/>
      <c r="M32" s="242"/>
      <c r="N32" s="242"/>
      <c r="O32" s="242"/>
      <c r="P32" s="242"/>
      <c r="Q32" s="242"/>
      <c r="R32" s="182"/>
      <c r="S32" s="182"/>
      <c r="T32" s="191"/>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1447"/>
      <c r="BW32" s="74"/>
      <c r="BX32" s="74"/>
      <c r="BY32" s="74"/>
      <c r="BZ32" s="74"/>
      <c r="CA32" s="74"/>
      <c r="CB32" s="74"/>
      <c r="CC32" s="74"/>
      <c r="CD32" s="74"/>
      <c r="CE32" s="74"/>
      <c r="CF32" s="74"/>
      <c r="CG32" s="74"/>
      <c r="CH32" s="74"/>
      <c r="CI32" s="1169"/>
      <c r="CJ32" s="160"/>
      <c r="CK32" s="160"/>
      <c r="CL32" s="160"/>
      <c r="CM32" s="160"/>
      <c r="CN32" s="160"/>
      <c r="CO32" s="160"/>
      <c r="CP32" s="160"/>
      <c r="CQ32" s="160"/>
      <c r="CR32" s="160"/>
      <c r="CS32" s="160"/>
      <c r="CT32" s="160"/>
      <c r="CU32" s="160"/>
      <c r="CV32" s="621">
        <f>IF(Basisdaten!$B$15="English",CX32,CW32)</f>
        <v>0</v>
      </c>
      <c r="CW32" s="383"/>
      <c r="CX32" s="295"/>
      <c r="CY32" s="136"/>
      <c r="CZ32" s="136"/>
      <c r="DA32" s="80"/>
      <c r="DB32" s="80"/>
      <c r="DC32" s="80"/>
      <c r="DD32" s="80"/>
      <c r="DE32" s="80"/>
      <c r="DF32" s="80"/>
      <c r="DG32" s="80"/>
      <c r="DH32" s="80"/>
      <c r="DI32" s="80"/>
      <c r="DJ32" s="80"/>
      <c r="DK32" s="80"/>
      <c r="DL32" s="80"/>
      <c r="DM32" s="80"/>
      <c r="DN32" s="80"/>
      <c r="DO32" s="80"/>
      <c r="DP32" s="80"/>
      <c r="DQ32" s="80"/>
      <c r="DR32" s="80"/>
      <c r="DS32" s="80"/>
      <c r="DT32" s="80"/>
      <c r="DU32" s="80"/>
      <c r="DV32" s="80"/>
      <c r="DW32" s="80"/>
      <c r="DX32" s="80"/>
      <c r="DY32" s="80"/>
    </row>
    <row r="33" spans="1:129" s="68" customFormat="1" ht="13.5" customHeight="1">
      <c r="A33" s="2316"/>
      <c r="C33" s="131"/>
      <c r="D33" s="131"/>
      <c r="E33" s="781"/>
      <c r="F33" s="242"/>
      <c r="G33" s="242"/>
      <c r="H33" s="242"/>
      <c r="I33" s="242"/>
      <c r="J33" s="242"/>
      <c r="K33" s="242"/>
      <c r="L33" s="242"/>
      <c r="M33" s="242"/>
      <c r="N33" s="242"/>
      <c r="O33" s="242"/>
      <c r="P33" s="242"/>
      <c r="Q33" s="242"/>
      <c r="R33" s="182"/>
      <c r="S33" s="182"/>
      <c r="T33" s="191"/>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1447"/>
      <c r="BW33" s="74"/>
      <c r="BX33" s="74"/>
      <c r="BY33" s="74"/>
      <c r="BZ33" s="74"/>
      <c r="CA33" s="74"/>
      <c r="CB33" s="74"/>
      <c r="CC33" s="74"/>
      <c r="CD33" s="74"/>
      <c r="CE33" s="74"/>
      <c r="CF33" s="74"/>
      <c r="CG33" s="74"/>
      <c r="CH33" s="74"/>
      <c r="CI33" s="1169"/>
      <c r="CJ33" s="160"/>
      <c r="CK33" s="160"/>
      <c r="CL33" s="160"/>
      <c r="CM33" s="160"/>
      <c r="CN33" s="160"/>
      <c r="CO33" s="160"/>
      <c r="CP33" s="160"/>
      <c r="CQ33" s="160"/>
      <c r="CR33" s="160"/>
      <c r="CS33" s="160"/>
      <c r="CT33" s="160"/>
      <c r="CU33" s="160"/>
      <c r="CV33" s="621">
        <f>IF(Basisdaten!$B$15="English",CX33,CW33)</f>
        <v>0</v>
      </c>
      <c r="CW33" s="383"/>
      <c r="CX33" s="295"/>
      <c r="CY33" s="136"/>
      <c r="CZ33" s="136"/>
      <c r="DA33" s="80"/>
      <c r="DB33" s="80"/>
      <c r="DC33" s="80"/>
      <c r="DD33" s="80"/>
      <c r="DE33" s="80"/>
      <c r="DF33" s="80"/>
      <c r="DG33" s="80"/>
      <c r="DH33" s="80"/>
      <c r="DI33" s="80"/>
      <c r="DJ33" s="80"/>
      <c r="DK33" s="80"/>
      <c r="DL33" s="80"/>
      <c r="DM33" s="80"/>
      <c r="DN33" s="80"/>
      <c r="DO33" s="80"/>
      <c r="DP33" s="80"/>
      <c r="DQ33" s="80"/>
      <c r="DR33" s="80"/>
      <c r="DS33" s="80"/>
      <c r="DT33" s="80"/>
      <c r="DU33" s="80"/>
      <c r="DV33" s="80"/>
      <c r="DW33" s="80"/>
      <c r="DX33" s="80"/>
      <c r="DY33" s="80"/>
    </row>
    <row r="34" spans="1:129" s="68" customFormat="1">
      <c r="C34" s="131"/>
      <c r="D34" s="131"/>
      <c r="E34" s="781"/>
      <c r="F34" s="242"/>
      <c r="G34" s="242"/>
      <c r="H34" s="242"/>
      <c r="I34" s="242"/>
      <c r="J34" s="242"/>
      <c r="K34" s="242"/>
      <c r="L34" s="242"/>
      <c r="M34" s="242"/>
      <c r="N34" s="242"/>
      <c r="O34" s="242"/>
      <c r="P34" s="242"/>
      <c r="Q34" s="242"/>
      <c r="R34" s="182"/>
      <c r="S34" s="182"/>
      <c r="T34" s="191"/>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1447"/>
      <c r="BW34" s="74"/>
      <c r="BX34" s="74"/>
      <c r="BY34" s="74"/>
      <c r="BZ34" s="74"/>
      <c r="CA34" s="74"/>
      <c r="CB34" s="74"/>
      <c r="CC34" s="74"/>
      <c r="CD34" s="74"/>
      <c r="CE34" s="74"/>
      <c r="CF34" s="74"/>
      <c r="CG34" s="74"/>
      <c r="CH34" s="74"/>
      <c r="CI34" s="1169"/>
      <c r="CJ34" s="160"/>
      <c r="CK34" s="160"/>
      <c r="CL34" s="160"/>
      <c r="CM34" s="160"/>
      <c r="CN34" s="160"/>
      <c r="CO34" s="160"/>
      <c r="CP34" s="160"/>
      <c r="CQ34" s="160"/>
      <c r="CR34" s="160"/>
      <c r="CS34" s="160"/>
      <c r="CT34" s="160"/>
      <c r="CU34" s="160"/>
      <c r="CV34" s="621">
        <f>IF(Basisdaten!$B$15="English",CX34,CW34)</f>
        <v>0</v>
      </c>
      <c r="CW34" s="383"/>
      <c r="CX34" s="295"/>
      <c r="CY34" s="136"/>
      <c r="CZ34" s="136"/>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row>
    <row r="35" spans="1:129" s="68" customFormat="1">
      <c r="C35" s="131"/>
      <c r="D35" s="131"/>
      <c r="E35" s="781"/>
      <c r="F35" s="242"/>
      <c r="G35" s="242"/>
      <c r="H35" s="242"/>
      <c r="I35" s="242"/>
      <c r="J35" s="242"/>
      <c r="K35" s="242"/>
      <c r="L35" s="242"/>
      <c r="M35" s="242"/>
      <c r="N35" s="242"/>
      <c r="O35" s="242"/>
      <c r="P35" s="242"/>
      <c r="Q35" s="242"/>
      <c r="R35" s="182"/>
      <c r="S35" s="182"/>
      <c r="T35" s="191"/>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1447"/>
      <c r="BW35" s="74"/>
      <c r="BX35" s="74"/>
      <c r="BY35" s="74"/>
      <c r="BZ35" s="74"/>
      <c r="CA35" s="74"/>
      <c r="CB35" s="74"/>
      <c r="CC35" s="74"/>
      <c r="CD35" s="74"/>
      <c r="CE35" s="74"/>
      <c r="CF35" s="74"/>
      <c r="CG35" s="74"/>
      <c r="CH35" s="74"/>
      <c r="CI35" s="1169"/>
      <c r="CJ35" s="160"/>
      <c r="CK35" s="160"/>
      <c r="CL35" s="160"/>
      <c r="CM35" s="160"/>
      <c r="CN35" s="160"/>
      <c r="CO35" s="160"/>
      <c r="CP35" s="160"/>
      <c r="CQ35" s="160"/>
      <c r="CR35" s="160"/>
      <c r="CS35" s="160"/>
      <c r="CT35" s="160"/>
      <c r="CU35" s="160"/>
      <c r="CV35" s="621">
        <f>IF(Basisdaten!$B$15="English",CX35,CW35)</f>
        <v>0</v>
      </c>
      <c r="CW35" s="383"/>
      <c r="CX35" s="295"/>
      <c r="CY35" s="136"/>
      <c r="CZ35" s="136"/>
      <c r="DA35" s="80"/>
      <c r="DB35" s="80"/>
      <c r="DC35" s="80"/>
      <c r="DD35" s="80"/>
      <c r="DE35" s="80"/>
      <c r="DF35" s="80"/>
      <c r="DG35" s="80"/>
      <c r="DH35" s="80"/>
      <c r="DI35" s="80"/>
      <c r="DJ35" s="80"/>
      <c r="DK35" s="80"/>
      <c r="DL35" s="80"/>
      <c r="DM35" s="80"/>
      <c r="DN35" s="80"/>
      <c r="DO35" s="80"/>
      <c r="DP35" s="80"/>
      <c r="DQ35" s="80"/>
      <c r="DR35" s="80"/>
      <c r="DS35" s="80"/>
      <c r="DT35" s="80"/>
      <c r="DU35" s="80"/>
      <c r="DV35" s="80"/>
      <c r="DW35" s="80"/>
      <c r="DX35" s="80"/>
      <c r="DY35" s="80"/>
    </row>
    <row r="36" spans="1:129" s="68" customFormat="1">
      <c r="C36" s="131"/>
      <c r="D36" s="131"/>
      <c r="E36" s="781"/>
      <c r="F36" s="242"/>
      <c r="G36" s="242"/>
      <c r="H36" s="242"/>
      <c r="I36" s="242"/>
      <c r="J36" s="242"/>
      <c r="K36" s="242"/>
      <c r="L36" s="242"/>
      <c r="M36" s="242"/>
      <c r="N36" s="242"/>
      <c r="O36" s="242"/>
      <c r="P36" s="242"/>
      <c r="Q36" s="242"/>
      <c r="R36" s="182"/>
      <c r="S36" s="182"/>
      <c r="T36" s="191"/>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1447"/>
      <c r="BW36" s="74"/>
      <c r="BX36" s="74"/>
      <c r="BY36" s="74"/>
      <c r="BZ36" s="74"/>
      <c r="CA36" s="74"/>
      <c r="CB36" s="74"/>
      <c r="CC36" s="74"/>
      <c r="CD36" s="74"/>
      <c r="CE36" s="74"/>
      <c r="CF36" s="74"/>
      <c r="CG36" s="74"/>
      <c r="CH36" s="74"/>
      <c r="CI36" s="1169"/>
      <c r="CJ36" s="160"/>
      <c r="CK36" s="160"/>
      <c r="CL36" s="160"/>
      <c r="CM36" s="160"/>
      <c r="CN36" s="160"/>
      <c r="CO36" s="160"/>
      <c r="CP36" s="160"/>
      <c r="CQ36" s="160"/>
      <c r="CR36" s="160"/>
      <c r="CS36" s="160"/>
      <c r="CT36" s="160"/>
      <c r="CU36" s="160"/>
      <c r="CV36" s="621">
        <f>IF(Basisdaten!$B$15="English",CX36,CW36)</f>
        <v>0</v>
      </c>
      <c r="CW36" s="383"/>
      <c r="CX36" s="295"/>
      <c r="CY36" s="136"/>
      <c r="CZ36" s="136"/>
      <c r="DA36" s="80"/>
      <c r="DB36" s="80"/>
      <c r="DC36" s="80"/>
      <c r="DD36" s="80"/>
      <c r="DE36" s="80"/>
      <c r="DF36" s="80"/>
      <c r="DG36" s="80"/>
      <c r="DH36" s="80"/>
      <c r="DI36" s="80"/>
      <c r="DJ36" s="80"/>
      <c r="DK36" s="80"/>
      <c r="DL36" s="80"/>
      <c r="DM36" s="80"/>
      <c r="DN36" s="80"/>
      <c r="DO36" s="80"/>
      <c r="DP36" s="80"/>
      <c r="DQ36" s="80"/>
      <c r="DR36" s="80"/>
      <c r="DS36" s="80"/>
      <c r="DT36" s="80"/>
      <c r="DU36" s="80"/>
      <c r="DV36" s="80"/>
      <c r="DW36" s="80"/>
      <c r="DX36" s="80"/>
      <c r="DY36" s="80"/>
    </row>
    <row r="37" spans="1:129" s="68" customFormat="1">
      <c r="C37" s="131"/>
      <c r="D37" s="131"/>
      <c r="E37" s="781"/>
      <c r="F37" s="242"/>
      <c r="G37" s="242"/>
      <c r="H37" s="242"/>
      <c r="I37" s="242"/>
      <c r="J37" s="242"/>
      <c r="K37" s="242"/>
      <c r="L37" s="242"/>
      <c r="M37" s="242"/>
      <c r="N37" s="242"/>
      <c r="O37" s="242"/>
      <c r="P37" s="242"/>
      <c r="Q37" s="242"/>
      <c r="R37" s="182"/>
      <c r="S37" s="182"/>
      <c r="T37" s="191"/>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1447"/>
      <c r="BW37" s="74"/>
      <c r="BX37" s="74"/>
      <c r="BY37" s="74"/>
      <c r="BZ37" s="74"/>
      <c r="CA37" s="74"/>
      <c r="CB37" s="74"/>
      <c r="CC37" s="74"/>
      <c r="CD37" s="74"/>
      <c r="CE37" s="74"/>
      <c r="CF37" s="74"/>
      <c r="CG37" s="74"/>
      <c r="CH37" s="74"/>
      <c r="CI37" s="1169"/>
      <c r="CJ37" s="160"/>
      <c r="CK37" s="160"/>
      <c r="CL37" s="160"/>
      <c r="CM37" s="160"/>
      <c r="CN37" s="160"/>
      <c r="CO37" s="160"/>
      <c r="CP37" s="160"/>
      <c r="CQ37" s="160"/>
      <c r="CR37" s="160"/>
      <c r="CS37" s="160"/>
      <c r="CT37" s="160"/>
      <c r="CU37" s="160"/>
      <c r="CV37" s="621">
        <f>IF(Basisdaten!$B$15="English",CX37,CW37)</f>
        <v>0</v>
      </c>
      <c r="CW37" s="383"/>
      <c r="CX37" s="295"/>
      <c r="CY37" s="136"/>
      <c r="CZ37" s="136"/>
      <c r="DA37" s="80"/>
      <c r="DB37" s="80"/>
      <c r="DC37" s="80"/>
      <c r="DD37" s="80"/>
      <c r="DE37" s="80"/>
      <c r="DF37" s="80"/>
      <c r="DG37" s="80"/>
      <c r="DH37" s="80"/>
      <c r="DI37" s="80"/>
      <c r="DJ37" s="80"/>
      <c r="DK37" s="80"/>
      <c r="DL37" s="80"/>
      <c r="DM37" s="80"/>
      <c r="DN37" s="80"/>
      <c r="DO37" s="80"/>
      <c r="DP37" s="80"/>
      <c r="DQ37" s="80"/>
      <c r="DR37" s="80"/>
      <c r="DS37" s="80"/>
      <c r="DT37" s="80"/>
      <c r="DU37" s="80"/>
      <c r="DV37" s="80"/>
      <c r="DW37" s="80"/>
      <c r="DX37" s="80"/>
      <c r="DY37" s="80"/>
    </row>
    <row r="38" spans="1:129" s="68" customFormat="1">
      <c r="C38" s="131"/>
      <c r="D38" s="131"/>
      <c r="E38" s="781"/>
      <c r="F38" s="242"/>
      <c r="G38" s="242"/>
      <c r="H38" s="242"/>
      <c r="I38" s="242"/>
      <c r="J38" s="242"/>
      <c r="K38" s="242"/>
      <c r="L38" s="242"/>
      <c r="M38" s="242"/>
      <c r="N38" s="242"/>
      <c r="O38" s="242"/>
      <c r="P38" s="242"/>
      <c r="Q38" s="242"/>
      <c r="R38" s="182"/>
      <c r="S38" s="182"/>
      <c r="T38" s="191"/>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1447"/>
      <c r="BW38" s="74"/>
      <c r="BX38" s="74"/>
      <c r="BY38" s="74"/>
      <c r="BZ38" s="74"/>
      <c r="CA38" s="74"/>
      <c r="CB38" s="74"/>
      <c r="CC38" s="74"/>
      <c r="CD38" s="74"/>
      <c r="CE38" s="74"/>
      <c r="CF38" s="74"/>
      <c r="CG38" s="74"/>
      <c r="CH38" s="74"/>
      <c r="CI38" s="1169"/>
      <c r="CJ38" s="160"/>
      <c r="CK38" s="160"/>
      <c r="CL38" s="160"/>
      <c r="CM38" s="160"/>
      <c r="CN38" s="160"/>
      <c r="CO38" s="160"/>
      <c r="CP38" s="160"/>
      <c r="CQ38" s="160"/>
      <c r="CR38" s="160"/>
      <c r="CS38" s="160"/>
      <c r="CT38" s="160"/>
      <c r="CU38" s="160"/>
      <c r="CV38" s="621">
        <f>IF(Basisdaten!$B$15="English",CX38,CW38)</f>
        <v>0</v>
      </c>
      <c r="CW38" s="383"/>
      <c r="CX38" s="295"/>
      <c r="CY38" s="136"/>
      <c r="CZ38" s="136"/>
      <c r="DA38" s="80"/>
      <c r="DB38" s="80"/>
      <c r="DC38" s="80"/>
      <c r="DD38" s="80"/>
      <c r="DE38" s="80"/>
      <c r="DF38" s="80"/>
      <c r="DG38" s="80"/>
      <c r="DH38" s="80"/>
      <c r="DI38" s="80"/>
      <c r="DJ38" s="80"/>
      <c r="DK38" s="80"/>
      <c r="DL38" s="80"/>
      <c r="DM38" s="80"/>
      <c r="DN38" s="80"/>
      <c r="DO38" s="80"/>
      <c r="DP38" s="80"/>
      <c r="DQ38" s="80"/>
      <c r="DR38" s="80"/>
      <c r="DS38" s="80"/>
      <c r="DT38" s="80"/>
      <c r="DU38" s="80"/>
      <c r="DV38" s="80"/>
      <c r="DW38" s="80"/>
      <c r="DX38" s="80"/>
      <c r="DY38" s="80"/>
    </row>
    <row r="39" spans="1:129" s="68" customFormat="1">
      <c r="C39" s="131"/>
      <c r="D39" s="131"/>
      <c r="E39" s="781"/>
      <c r="F39" s="242"/>
      <c r="G39" s="242"/>
      <c r="H39" s="242"/>
      <c r="I39" s="242"/>
      <c r="J39" s="242"/>
      <c r="K39" s="242"/>
      <c r="L39" s="242"/>
      <c r="M39" s="242"/>
      <c r="N39" s="242"/>
      <c r="O39" s="242"/>
      <c r="P39" s="242"/>
      <c r="Q39" s="242"/>
      <c r="R39" s="182"/>
      <c r="S39" s="182"/>
      <c r="T39" s="191"/>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1447"/>
      <c r="BW39" s="74"/>
      <c r="BX39" s="74"/>
      <c r="BY39" s="74"/>
      <c r="BZ39" s="74"/>
      <c r="CA39" s="74"/>
      <c r="CB39" s="74"/>
      <c r="CC39" s="74"/>
      <c r="CD39" s="74"/>
      <c r="CE39" s="74"/>
      <c r="CF39" s="74"/>
      <c r="CG39" s="74"/>
      <c r="CH39" s="74"/>
      <c r="CI39" s="1169"/>
      <c r="CJ39" s="160"/>
      <c r="CK39" s="160"/>
      <c r="CL39" s="160"/>
      <c r="CM39" s="160"/>
      <c r="CN39" s="160"/>
      <c r="CO39" s="160"/>
      <c r="CP39" s="160"/>
      <c r="CQ39" s="160"/>
      <c r="CR39" s="160"/>
      <c r="CS39" s="160"/>
      <c r="CT39" s="160"/>
      <c r="CU39" s="160"/>
      <c r="CV39" s="621">
        <f>IF(Basisdaten!$B$15="English",CX39,CW39)</f>
        <v>0</v>
      </c>
      <c r="CW39" s="383"/>
      <c r="CX39" s="295"/>
      <c r="CY39" s="136"/>
      <c r="CZ39" s="136"/>
      <c r="DA39" s="80"/>
      <c r="DB39" s="80"/>
      <c r="DC39" s="80"/>
      <c r="DD39" s="80"/>
      <c r="DE39" s="80"/>
      <c r="DF39" s="80"/>
      <c r="DG39" s="80"/>
      <c r="DH39" s="80"/>
      <c r="DI39" s="80"/>
      <c r="DJ39" s="80"/>
      <c r="DK39" s="80"/>
      <c r="DL39" s="80"/>
      <c r="DM39" s="80"/>
      <c r="DN39" s="80"/>
      <c r="DO39" s="80"/>
      <c r="DP39" s="80"/>
      <c r="DQ39" s="80"/>
      <c r="DR39" s="80"/>
      <c r="DS39" s="80"/>
      <c r="DT39" s="80"/>
      <c r="DU39" s="80"/>
      <c r="DV39" s="80"/>
      <c r="DW39" s="80"/>
      <c r="DX39" s="80"/>
      <c r="DY39" s="80"/>
    </row>
    <row r="40" spans="1:129" s="68" customFormat="1">
      <c r="C40" s="131"/>
      <c r="D40" s="131"/>
      <c r="E40" s="781"/>
      <c r="F40" s="242"/>
      <c r="G40" s="242"/>
      <c r="H40" s="242"/>
      <c r="I40" s="242"/>
      <c r="J40" s="242"/>
      <c r="K40" s="242"/>
      <c r="L40" s="242"/>
      <c r="M40" s="242"/>
      <c r="N40" s="242"/>
      <c r="O40" s="242"/>
      <c r="P40" s="242"/>
      <c r="Q40" s="242"/>
      <c r="R40" s="182"/>
      <c r="S40" s="182"/>
      <c r="T40" s="191"/>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1447"/>
      <c r="BW40" s="74"/>
      <c r="BX40" s="74"/>
      <c r="BY40" s="74"/>
      <c r="BZ40" s="74"/>
      <c r="CA40" s="74"/>
      <c r="CB40" s="74"/>
      <c r="CC40" s="74"/>
      <c r="CD40" s="74"/>
      <c r="CE40" s="74"/>
      <c r="CF40" s="74"/>
      <c r="CG40" s="74"/>
      <c r="CH40" s="74"/>
      <c r="CI40" s="1169"/>
      <c r="CJ40" s="160"/>
      <c r="CK40" s="160"/>
      <c r="CL40" s="160"/>
      <c r="CM40" s="160"/>
      <c r="CN40" s="160"/>
      <c r="CO40" s="160"/>
      <c r="CP40" s="160"/>
      <c r="CQ40" s="160"/>
      <c r="CR40" s="160"/>
      <c r="CS40" s="160"/>
      <c r="CT40" s="160"/>
      <c r="CU40" s="160"/>
      <c r="CV40" s="621">
        <f>IF(Basisdaten!$B$15="English",CX40,CW40)</f>
        <v>0</v>
      </c>
      <c r="CW40" s="383"/>
      <c r="CX40" s="295"/>
      <c r="CY40" s="136"/>
      <c r="CZ40" s="136"/>
      <c r="DA40" s="80"/>
      <c r="DB40" s="80"/>
      <c r="DC40" s="80"/>
      <c r="DD40" s="80"/>
      <c r="DE40" s="80"/>
      <c r="DF40" s="80"/>
      <c r="DG40" s="80"/>
      <c r="DH40" s="80"/>
      <c r="DI40" s="80"/>
      <c r="DJ40" s="80"/>
      <c r="DK40" s="80"/>
      <c r="DL40" s="80"/>
      <c r="DM40" s="80"/>
      <c r="DN40" s="80"/>
      <c r="DO40" s="80"/>
      <c r="DP40" s="80"/>
      <c r="DQ40" s="80"/>
      <c r="DR40" s="80"/>
      <c r="DS40" s="80"/>
      <c r="DT40" s="80"/>
      <c r="DU40" s="80"/>
      <c r="DV40" s="80"/>
      <c r="DW40" s="80"/>
      <c r="DX40" s="80"/>
      <c r="DY40" s="80"/>
    </row>
    <row r="41" spans="1:129" s="68" customFormat="1">
      <c r="C41" s="131"/>
      <c r="D41" s="131"/>
      <c r="E41" s="781"/>
      <c r="F41" s="242"/>
      <c r="G41" s="242"/>
      <c r="H41" s="242"/>
      <c r="I41" s="242"/>
      <c r="J41" s="242"/>
      <c r="K41" s="242"/>
      <c r="L41" s="242"/>
      <c r="M41" s="242"/>
      <c r="N41" s="242"/>
      <c r="O41" s="242"/>
      <c r="P41" s="242"/>
      <c r="Q41" s="242"/>
      <c r="R41" s="182"/>
      <c r="S41" s="182"/>
      <c r="T41" s="191"/>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1447"/>
      <c r="BW41" s="74"/>
      <c r="BX41" s="74"/>
      <c r="BY41" s="74"/>
      <c r="BZ41" s="74"/>
      <c r="CA41" s="74"/>
      <c r="CB41" s="74"/>
      <c r="CC41" s="74"/>
      <c r="CD41" s="74"/>
      <c r="CE41" s="74"/>
      <c r="CF41" s="74"/>
      <c r="CG41" s="74"/>
      <c r="CH41" s="74"/>
      <c r="CI41" s="1169"/>
      <c r="CJ41" s="160"/>
      <c r="CK41" s="160"/>
      <c r="CL41" s="160"/>
      <c r="CM41" s="160"/>
      <c r="CN41" s="160"/>
      <c r="CO41" s="160"/>
      <c r="CP41" s="160"/>
      <c r="CQ41" s="160"/>
      <c r="CR41" s="160"/>
      <c r="CS41" s="160"/>
      <c r="CT41" s="160"/>
      <c r="CU41" s="160"/>
      <c r="CV41" s="621">
        <f>IF(Basisdaten!$B$15="English",CX41,CW41)</f>
        <v>0</v>
      </c>
      <c r="CW41" s="383"/>
      <c r="CX41" s="295"/>
      <c r="CY41" s="136"/>
      <c r="CZ41" s="136"/>
      <c r="DA41" s="80"/>
      <c r="DB41" s="80"/>
      <c r="DC41" s="80"/>
      <c r="DD41" s="80"/>
      <c r="DE41" s="80"/>
      <c r="DF41" s="80"/>
      <c r="DG41" s="80"/>
      <c r="DH41" s="80"/>
      <c r="DI41" s="80"/>
      <c r="DJ41" s="80"/>
      <c r="DK41" s="80"/>
      <c r="DL41" s="80"/>
      <c r="DM41" s="80"/>
      <c r="DN41" s="80"/>
      <c r="DO41" s="80"/>
      <c r="DP41" s="80"/>
      <c r="DQ41" s="80"/>
      <c r="DR41" s="80"/>
      <c r="DS41" s="80"/>
      <c r="DT41" s="80"/>
      <c r="DU41" s="80"/>
      <c r="DV41" s="80"/>
      <c r="DW41" s="80"/>
      <c r="DX41" s="80"/>
      <c r="DY41" s="80"/>
    </row>
    <row r="42" spans="1:129" s="68" customFormat="1">
      <c r="C42" s="131"/>
      <c r="D42" s="131"/>
      <c r="E42" s="781"/>
      <c r="F42" s="242"/>
      <c r="G42" s="242"/>
      <c r="H42" s="242"/>
      <c r="I42" s="242"/>
      <c r="J42" s="242"/>
      <c r="K42" s="242"/>
      <c r="L42" s="242"/>
      <c r="M42" s="242"/>
      <c r="N42" s="242"/>
      <c r="O42" s="242"/>
      <c r="P42" s="242"/>
      <c r="Q42" s="242"/>
      <c r="R42" s="182"/>
      <c r="S42" s="182"/>
      <c r="T42" s="191"/>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1447"/>
      <c r="BW42" s="74"/>
      <c r="BX42" s="74"/>
      <c r="BY42" s="74"/>
      <c r="BZ42" s="74"/>
      <c r="CA42" s="74"/>
      <c r="CB42" s="74"/>
      <c r="CC42" s="74"/>
      <c r="CD42" s="74"/>
      <c r="CE42" s="74"/>
      <c r="CF42" s="74"/>
      <c r="CG42" s="74"/>
      <c r="CH42" s="74"/>
      <c r="CI42" s="1169"/>
      <c r="CJ42" s="160"/>
      <c r="CK42" s="160"/>
      <c r="CL42" s="160"/>
      <c r="CM42" s="160"/>
      <c r="CN42" s="160"/>
      <c r="CO42" s="160"/>
      <c r="CP42" s="160"/>
      <c r="CQ42" s="160"/>
      <c r="CR42" s="160"/>
      <c r="CS42" s="160"/>
      <c r="CT42" s="160"/>
      <c r="CU42" s="160"/>
      <c r="CV42" s="621">
        <f>IF(Basisdaten!$B$15="English",CX42,CW42)</f>
        <v>0</v>
      </c>
      <c r="CW42" s="383"/>
      <c r="CX42" s="295"/>
      <c r="CY42" s="136"/>
      <c r="CZ42" s="136"/>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row>
    <row r="43" spans="1:129" s="68" customFormat="1">
      <c r="C43" s="131"/>
      <c r="D43" s="131"/>
      <c r="E43" s="781"/>
      <c r="F43" s="242"/>
      <c r="G43" s="242"/>
      <c r="H43" s="242"/>
      <c r="I43" s="242"/>
      <c r="J43" s="242"/>
      <c r="K43" s="242"/>
      <c r="L43" s="242"/>
      <c r="M43" s="242"/>
      <c r="N43" s="242"/>
      <c r="O43" s="242"/>
      <c r="P43" s="242"/>
      <c r="Q43" s="242"/>
      <c r="R43" s="182"/>
      <c r="S43" s="182"/>
      <c r="T43" s="191"/>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1447"/>
      <c r="BW43" s="74"/>
      <c r="BX43" s="74"/>
      <c r="BY43" s="74"/>
      <c r="BZ43" s="74"/>
      <c r="CA43" s="74"/>
      <c r="CB43" s="74"/>
      <c r="CC43" s="74"/>
      <c r="CD43" s="74"/>
      <c r="CE43" s="74"/>
      <c r="CF43" s="74"/>
      <c r="CG43" s="74"/>
      <c r="CH43" s="74"/>
      <c r="CI43" s="1169"/>
      <c r="CJ43" s="160"/>
      <c r="CK43" s="160"/>
      <c r="CL43" s="160"/>
      <c r="CM43" s="160"/>
      <c r="CN43" s="160"/>
      <c r="CO43" s="160"/>
      <c r="CP43" s="160"/>
      <c r="CQ43" s="160"/>
      <c r="CR43" s="160"/>
      <c r="CS43" s="160"/>
      <c r="CT43" s="160"/>
      <c r="CU43" s="160"/>
      <c r="CV43" s="621">
        <f>IF(Basisdaten!$B$15="English",CX43,CW43)</f>
        <v>0</v>
      </c>
      <c r="CW43" s="383"/>
      <c r="CX43" s="295"/>
      <c r="CY43" s="136"/>
      <c r="CZ43" s="136"/>
      <c r="DA43" s="80"/>
      <c r="DB43" s="80"/>
      <c r="DC43" s="80"/>
      <c r="DD43" s="80"/>
      <c r="DE43" s="80"/>
      <c r="DF43" s="80"/>
      <c r="DG43" s="80"/>
      <c r="DH43" s="80"/>
      <c r="DI43" s="80"/>
      <c r="DJ43" s="80"/>
      <c r="DK43" s="80"/>
      <c r="DL43" s="80"/>
      <c r="DM43" s="80"/>
      <c r="DN43" s="80"/>
      <c r="DO43" s="80"/>
      <c r="DP43" s="80"/>
      <c r="DQ43" s="80"/>
      <c r="DR43" s="80"/>
      <c r="DS43" s="80"/>
      <c r="DT43" s="80"/>
      <c r="DU43" s="80"/>
      <c r="DV43" s="80"/>
      <c r="DW43" s="80"/>
      <c r="DX43" s="80"/>
      <c r="DY43" s="80"/>
    </row>
    <row r="44" spans="1:129" s="68" customFormat="1">
      <c r="C44" s="131"/>
      <c r="D44" s="131"/>
      <c r="E44" s="781"/>
      <c r="F44" s="242"/>
      <c r="G44" s="242"/>
      <c r="H44" s="242"/>
      <c r="I44" s="242"/>
      <c r="J44" s="242"/>
      <c r="K44" s="242"/>
      <c r="L44" s="242"/>
      <c r="M44" s="242"/>
      <c r="N44" s="242"/>
      <c r="O44" s="242"/>
      <c r="P44" s="242"/>
      <c r="Q44" s="242"/>
      <c r="R44" s="182"/>
      <c r="S44" s="182"/>
      <c r="T44" s="191"/>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1447"/>
      <c r="BW44" s="74"/>
      <c r="BX44" s="74"/>
      <c r="BY44" s="74"/>
      <c r="BZ44" s="74"/>
      <c r="CA44" s="74"/>
      <c r="CB44" s="74"/>
      <c r="CC44" s="74"/>
      <c r="CD44" s="74"/>
      <c r="CE44" s="74"/>
      <c r="CF44" s="74"/>
      <c r="CG44" s="74"/>
      <c r="CH44" s="74"/>
      <c r="CI44" s="1169"/>
      <c r="CJ44" s="160"/>
      <c r="CK44" s="160"/>
      <c r="CL44" s="160"/>
      <c r="CM44" s="160"/>
      <c r="CN44" s="160"/>
      <c r="CO44" s="160"/>
      <c r="CP44" s="160"/>
      <c r="CQ44" s="160"/>
      <c r="CR44" s="160"/>
      <c r="CS44" s="160"/>
      <c r="CT44" s="160"/>
      <c r="CU44" s="160"/>
      <c r="CV44" s="621">
        <f>IF(Basisdaten!$B$15="English",CX44,CW44)</f>
        <v>0</v>
      </c>
      <c r="CW44" s="383"/>
      <c r="CX44" s="295"/>
      <c r="CY44" s="136"/>
      <c r="CZ44" s="136"/>
      <c r="DA44" s="80"/>
      <c r="DB44" s="80"/>
      <c r="DC44" s="80"/>
      <c r="DD44" s="80"/>
      <c r="DE44" s="80"/>
      <c r="DF44" s="80"/>
      <c r="DG44" s="80"/>
      <c r="DH44" s="80"/>
      <c r="DI44" s="80"/>
      <c r="DJ44" s="80"/>
      <c r="DK44" s="80"/>
      <c r="DL44" s="80"/>
      <c r="DM44" s="80"/>
      <c r="DN44" s="80"/>
      <c r="DO44" s="80"/>
      <c r="DP44" s="80"/>
      <c r="DQ44" s="80"/>
      <c r="DR44" s="80"/>
      <c r="DS44" s="80"/>
      <c r="DT44" s="80"/>
      <c r="DU44" s="80"/>
      <c r="DV44" s="80"/>
      <c r="DW44" s="80"/>
      <c r="DX44" s="80"/>
      <c r="DY44" s="80"/>
    </row>
    <row r="45" spans="1:129" s="68" customFormat="1">
      <c r="C45" s="131"/>
      <c r="D45" s="131"/>
      <c r="E45" s="781"/>
      <c r="F45" s="242"/>
      <c r="G45" s="242"/>
      <c r="H45" s="242"/>
      <c r="I45" s="242"/>
      <c r="J45" s="242"/>
      <c r="K45" s="242"/>
      <c r="L45" s="242"/>
      <c r="M45" s="242"/>
      <c r="N45" s="242"/>
      <c r="O45" s="242"/>
      <c r="P45" s="242"/>
      <c r="Q45" s="242"/>
      <c r="R45" s="182"/>
      <c r="S45" s="182"/>
      <c r="T45" s="191"/>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1447"/>
      <c r="BW45" s="74"/>
      <c r="BX45" s="74"/>
      <c r="BY45" s="74"/>
      <c r="BZ45" s="74"/>
      <c r="CA45" s="74"/>
      <c r="CB45" s="74"/>
      <c r="CC45" s="74"/>
      <c r="CD45" s="74"/>
      <c r="CE45" s="74"/>
      <c r="CF45" s="74"/>
      <c r="CG45" s="74"/>
      <c r="CH45" s="74"/>
      <c r="CI45" s="1169"/>
      <c r="CJ45" s="160"/>
      <c r="CK45" s="160"/>
      <c r="CL45" s="160"/>
      <c r="CM45" s="160"/>
      <c r="CN45" s="160"/>
      <c r="CO45" s="160"/>
      <c r="CP45" s="160"/>
      <c r="CQ45" s="160"/>
      <c r="CR45" s="160"/>
      <c r="CS45" s="160"/>
      <c r="CT45" s="160"/>
      <c r="CU45" s="160"/>
      <c r="CV45" s="621">
        <f>IF(Basisdaten!$B$15="English",CX45,CW45)</f>
        <v>0</v>
      </c>
      <c r="CW45" s="383"/>
      <c r="CX45" s="295"/>
      <c r="CY45" s="136"/>
      <c r="CZ45" s="136"/>
      <c r="DA45" s="80"/>
      <c r="DB45" s="80"/>
      <c r="DC45" s="80"/>
      <c r="DD45" s="80"/>
      <c r="DE45" s="80"/>
      <c r="DF45" s="80"/>
      <c r="DG45" s="80"/>
      <c r="DH45" s="80"/>
      <c r="DI45" s="80"/>
      <c r="DJ45" s="80"/>
      <c r="DK45" s="80"/>
      <c r="DL45" s="80"/>
      <c r="DM45" s="80"/>
      <c r="DN45" s="80"/>
      <c r="DO45" s="80"/>
      <c r="DP45" s="80"/>
      <c r="DQ45" s="80"/>
      <c r="DR45" s="80"/>
      <c r="DS45" s="80"/>
      <c r="DT45" s="80"/>
      <c r="DU45" s="80"/>
      <c r="DV45" s="80"/>
      <c r="DW45" s="80"/>
      <c r="DX45" s="80"/>
      <c r="DY45" s="80"/>
    </row>
    <row r="46" spans="1:129" s="68" customFormat="1">
      <c r="C46" s="131"/>
      <c r="D46" s="131"/>
      <c r="E46" s="781"/>
      <c r="F46" s="242"/>
      <c r="G46" s="242"/>
      <c r="H46" s="242"/>
      <c r="I46" s="242"/>
      <c r="J46" s="242"/>
      <c r="K46" s="242"/>
      <c r="L46" s="242"/>
      <c r="M46" s="242"/>
      <c r="N46" s="242"/>
      <c r="O46" s="242"/>
      <c r="P46" s="242"/>
      <c r="Q46" s="242"/>
      <c r="R46" s="182"/>
      <c r="S46" s="182"/>
      <c r="T46" s="191"/>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1447"/>
      <c r="BW46" s="74"/>
      <c r="BX46" s="74"/>
      <c r="BY46" s="74"/>
      <c r="BZ46" s="74"/>
      <c r="CA46" s="74"/>
      <c r="CB46" s="74"/>
      <c r="CC46" s="74"/>
      <c r="CD46" s="74"/>
      <c r="CE46" s="74"/>
      <c r="CF46" s="74"/>
      <c r="CG46" s="74"/>
      <c r="CH46" s="74"/>
      <c r="CI46" s="1169"/>
      <c r="CJ46" s="160"/>
      <c r="CK46" s="160"/>
      <c r="CL46" s="160"/>
      <c r="CM46" s="160"/>
      <c r="CN46" s="160"/>
      <c r="CO46" s="160"/>
      <c r="CP46" s="160"/>
      <c r="CQ46" s="160"/>
      <c r="CR46" s="160"/>
      <c r="CS46" s="160"/>
      <c r="CT46" s="160"/>
      <c r="CU46" s="160"/>
      <c r="CV46" s="621">
        <f>IF(Basisdaten!$B$15="English",CX46,CW46)</f>
        <v>0</v>
      </c>
      <c r="CW46" s="383"/>
      <c r="CX46" s="295"/>
      <c r="CY46" s="136"/>
      <c r="CZ46" s="136"/>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row>
    <row r="47" spans="1:129" s="68" customFormat="1" ht="12.75" customHeight="1">
      <c r="C47" s="131"/>
      <c r="D47" s="131"/>
      <c r="E47" s="781"/>
      <c r="F47" s="242"/>
      <c r="G47" s="242"/>
      <c r="H47" s="242"/>
      <c r="I47" s="242"/>
      <c r="J47" s="242"/>
      <c r="K47" s="242"/>
      <c r="L47" s="242"/>
      <c r="M47" s="242"/>
      <c r="N47" s="242"/>
      <c r="O47" s="242"/>
      <c r="P47" s="242"/>
      <c r="Q47" s="242"/>
      <c r="R47" s="182"/>
      <c r="S47" s="182"/>
      <c r="T47" s="191"/>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1447"/>
      <c r="BW47" s="74"/>
      <c r="BX47" s="74"/>
      <c r="BY47" s="74"/>
      <c r="BZ47" s="74"/>
      <c r="CA47" s="74"/>
      <c r="CB47" s="74"/>
      <c r="CC47" s="74"/>
      <c r="CD47" s="74"/>
      <c r="CE47" s="74"/>
      <c r="CF47" s="74"/>
      <c r="CG47" s="74"/>
      <c r="CH47" s="74"/>
      <c r="CI47" s="1169"/>
      <c r="CJ47" s="160"/>
      <c r="CK47" s="160"/>
      <c r="CL47" s="160"/>
      <c r="CM47" s="160"/>
      <c r="CN47" s="160"/>
      <c r="CO47" s="160"/>
      <c r="CP47" s="160"/>
      <c r="CQ47" s="160"/>
      <c r="CR47" s="160"/>
      <c r="CS47" s="160"/>
      <c r="CT47" s="160"/>
      <c r="CU47" s="160"/>
      <c r="CV47" s="621">
        <f>IF(Basisdaten!$B$15="English",CX47,CW47)</f>
        <v>0</v>
      </c>
      <c r="CW47" s="383"/>
      <c r="CX47" s="295"/>
      <c r="CY47" s="136"/>
      <c r="CZ47" s="136"/>
      <c r="DA47" s="80"/>
      <c r="DB47" s="80"/>
      <c r="DC47" s="80"/>
      <c r="DD47" s="80"/>
      <c r="DE47" s="80"/>
      <c r="DF47" s="80"/>
      <c r="DG47" s="80"/>
      <c r="DH47" s="80"/>
      <c r="DI47" s="80"/>
      <c r="DJ47" s="80"/>
      <c r="DK47" s="80"/>
      <c r="DL47" s="80"/>
      <c r="DM47" s="80"/>
      <c r="DN47" s="80"/>
      <c r="DO47" s="80"/>
      <c r="DP47" s="80"/>
      <c r="DQ47" s="80"/>
      <c r="DR47" s="80"/>
      <c r="DS47" s="80"/>
      <c r="DT47" s="80"/>
      <c r="DU47" s="80"/>
      <c r="DV47" s="80"/>
      <c r="DW47" s="80"/>
      <c r="DX47" s="80"/>
      <c r="DY47" s="80"/>
    </row>
    <row r="48" spans="1:129" s="68" customFormat="1" ht="15" customHeight="1">
      <c r="C48" s="131"/>
      <c r="D48" s="131"/>
      <c r="E48" s="781"/>
      <c r="F48" s="242"/>
      <c r="G48" s="242"/>
      <c r="H48" s="242"/>
      <c r="I48" s="242"/>
      <c r="J48" s="242"/>
      <c r="K48" s="242"/>
      <c r="L48" s="242"/>
      <c r="M48" s="242"/>
      <c r="N48" s="242"/>
      <c r="O48" s="242"/>
      <c r="P48" s="242"/>
      <c r="Q48" s="242"/>
      <c r="R48" s="182"/>
      <c r="S48" s="182"/>
      <c r="T48" s="191"/>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1447"/>
      <c r="BW48" s="74"/>
      <c r="BX48" s="74"/>
      <c r="BY48" s="74"/>
      <c r="BZ48" s="74"/>
      <c r="CA48" s="74"/>
      <c r="CB48" s="74"/>
      <c r="CC48" s="74"/>
      <c r="CD48" s="74"/>
      <c r="CE48" s="74"/>
      <c r="CF48" s="74"/>
      <c r="CG48" s="74"/>
      <c r="CH48" s="74"/>
      <c r="CI48" s="1169"/>
      <c r="CJ48" s="160"/>
      <c r="CK48" s="160"/>
      <c r="CL48" s="160"/>
      <c r="CM48" s="160"/>
      <c r="CN48" s="160"/>
      <c r="CO48" s="160"/>
      <c r="CP48" s="160"/>
      <c r="CQ48" s="160"/>
      <c r="CR48" s="160"/>
      <c r="CS48" s="160"/>
      <c r="CT48" s="160"/>
      <c r="CU48" s="160"/>
      <c r="CV48" s="621">
        <f>IF(Basisdaten!$B$15="English",CX48,CW48)</f>
        <v>0</v>
      </c>
      <c r="CW48" s="383"/>
      <c r="CX48" s="295"/>
      <c r="CY48" s="136"/>
      <c r="CZ48" s="136"/>
      <c r="DA48" s="80"/>
      <c r="DB48" s="80"/>
      <c r="DC48" s="80"/>
      <c r="DD48" s="80"/>
      <c r="DE48" s="80"/>
      <c r="DF48" s="80"/>
      <c r="DG48" s="80"/>
      <c r="DH48" s="80"/>
      <c r="DI48" s="80"/>
      <c r="DJ48" s="80"/>
      <c r="DK48" s="80"/>
      <c r="DL48" s="80"/>
      <c r="DM48" s="80"/>
      <c r="DN48" s="80"/>
      <c r="DO48" s="80"/>
      <c r="DP48" s="80"/>
      <c r="DQ48" s="80"/>
      <c r="DR48" s="80"/>
      <c r="DS48" s="80"/>
      <c r="DT48" s="80"/>
      <c r="DU48" s="80"/>
      <c r="DV48" s="80"/>
      <c r="DW48" s="80"/>
      <c r="DX48" s="80"/>
      <c r="DY48" s="80"/>
    </row>
    <row r="49" spans="3:129" s="68" customFormat="1">
      <c r="C49" s="131"/>
      <c r="D49" s="131"/>
      <c r="E49" s="781"/>
      <c r="F49" s="242"/>
      <c r="G49" s="242"/>
      <c r="H49" s="242"/>
      <c r="I49" s="242"/>
      <c r="J49" s="242"/>
      <c r="K49" s="242"/>
      <c r="L49" s="242"/>
      <c r="M49" s="242"/>
      <c r="N49" s="242"/>
      <c r="O49" s="242"/>
      <c r="P49" s="242"/>
      <c r="Q49" s="242"/>
      <c r="R49" s="182"/>
      <c r="S49" s="182"/>
      <c r="T49" s="191"/>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1447"/>
      <c r="BW49" s="74"/>
      <c r="BX49" s="74"/>
      <c r="BY49" s="74"/>
      <c r="BZ49" s="74"/>
      <c r="CA49" s="74"/>
      <c r="CB49" s="74"/>
      <c r="CC49" s="74"/>
      <c r="CD49" s="74"/>
      <c r="CE49" s="74"/>
      <c r="CF49" s="74"/>
      <c r="CG49" s="74"/>
      <c r="CH49" s="74"/>
      <c r="CI49" s="1169"/>
      <c r="CJ49" s="160"/>
      <c r="CK49" s="160"/>
      <c r="CL49" s="160"/>
      <c r="CM49" s="160"/>
      <c r="CN49" s="160"/>
      <c r="CO49" s="160"/>
      <c r="CP49" s="160"/>
      <c r="CQ49" s="160"/>
      <c r="CR49" s="160"/>
      <c r="CS49" s="160"/>
      <c r="CT49" s="160"/>
      <c r="CU49" s="160"/>
      <c r="CV49" s="621">
        <f>IF(Basisdaten!$B$15="English",CX49,CW49)</f>
        <v>0</v>
      </c>
      <c r="CW49" s="383"/>
      <c r="CX49" s="295"/>
      <c r="CY49" s="136"/>
      <c r="CZ49" s="136"/>
      <c r="DA49" s="80"/>
      <c r="DB49" s="80"/>
      <c r="DC49" s="80"/>
      <c r="DD49" s="80"/>
      <c r="DE49" s="80"/>
      <c r="DF49" s="80"/>
      <c r="DG49" s="80"/>
      <c r="DH49" s="80"/>
      <c r="DI49" s="80"/>
      <c r="DJ49" s="80"/>
      <c r="DK49" s="80"/>
      <c r="DL49" s="80"/>
      <c r="DM49" s="80"/>
      <c r="DN49" s="80"/>
      <c r="DO49" s="80"/>
      <c r="DP49" s="80"/>
      <c r="DQ49" s="80"/>
      <c r="DR49" s="80"/>
      <c r="DS49" s="80"/>
      <c r="DT49" s="80"/>
      <c r="DU49" s="80"/>
      <c r="DV49" s="80"/>
      <c r="DW49" s="80"/>
      <c r="DX49" s="80"/>
      <c r="DY49" s="80"/>
    </row>
    <row r="50" spans="3:129" s="68" customFormat="1">
      <c r="J50" s="196"/>
      <c r="K50" s="196"/>
      <c r="L50" s="196"/>
      <c r="M50" s="196"/>
      <c r="N50" s="196"/>
      <c r="O50" s="196"/>
      <c r="P50" s="196"/>
      <c r="Q50" s="196"/>
      <c r="R50" s="197"/>
      <c r="S50" s="197"/>
      <c r="T50" s="191"/>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1456"/>
      <c r="BF50" s="1456"/>
      <c r="BG50" s="1456"/>
      <c r="BH50" s="1456"/>
      <c r="BI50" s="1456"/>
      <c r="BJ50" s="1456"/>
      <c r="BK50" s="1456"/>
      <c r="BL50" s="1456"/>
      <c r="BM50" s="1456"/>
      <c r="BN50" s="1456"/>
      <c r="BO50" s="74"/>
      <c r="BP50" s="74"/>
      <c r="BQ50" s="74"/>
      <c r="BR50" s="74"/>
      <c r="BS50" s="74"/>
      <c r="BT50" s="74"/>
      <c r="BU50" s="74"/>
      <c r="BV50" s="74"/>
      <c r="BW50" s="74"/>
      <c r="BX50" s="74"/>
      <c r="BY50" s="74"/>
      <c r="BZ50" s="74"/>
      <c r="CA50" s="1448"/>
      <c r="CB50" s="1448"/>
      <c r="CC50" s="1448"/>
      <c r="CD50" s="1448"/>
      <c r="CE50" s="1448"/>
      <c r="CF50" s="1448"/>
      <c r="CG50" s="1448"/>
      <c r="CH50" s="1448"/>
      <c r="CI50" s="1444"/>
      <c r="CJ50" s="446"/>
      <c r="CK50" s="446"/>
      <c r="CL50" s="446"/>
      <c r="CM50" s="446"/>
      <c r="CN50" s="446"/>
      <c r="CO50" s="446"/>
      <c r="CP50" s="446"/>
      <c r="CQ50" s="446"/>
      <c r="CR50" s="446"/>
      <c r="CS50" s="446"/>
      <c r="CT50" s="446"/>
      <c r="CU50" s="446"/>
      <c r="CV50" s="621" t="str">
        <f>IF(Basisdaten!$B$15="English",CX50,CW50)</f>
        <v>Zins Fremdkapital</v>
      </c>
      <c r="CW50" s="117" t="s">
        <v>81</v>
      </c>
      <c r="CX50" s="117" t="str">
        <f>CX397</f>
        <v>Interest outside capital</v>
      </c>
      <c r="CY50" s="123"/>
      <c r="CZ50" s="123"/>
      <c r="DA50" s="123"/>
      <c r="DB50" s="123"/>
      <c r="DC50" s="123"/>
      <c r="DD50" s="123"/>
      <c r="DE50" s="123"/>
      <c r="DF50" s="123"/>
      <c r="DG50" s="123"/>
      <c r="DH50" s="123"/>
      <c r="DI50" s="123"/>
      <c r="DJ50" s="123"/>
      <c r="DK50" s="123"/>
      <c r="DL50" s="123"/>
      <c r="DM50" s="123"/>
      <c r="DN50" s="123"/>
      <c r="DO50" s="123"/>
      <c r="DP50" s="80"/>
      <c r="DQ50" s="80"/>
      <c r="DR50" s="80"/>
      <c r="DS50" s="80"/>
      <c r="DT50" s="80"/>
      <c r="DU50" s="80"/>
      <c r="DV50" s="80"/>
      <c r="DW50" s="80"/>
      <c r="DX50" s="80"/>
      <c r="DY50" s="80"/>
    </row>
    <row r="51" spans="3:129" s="68" customFormat="1">
      <c r="T51" s="191"/>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1448"/>
      <c r="CB51" s="1448"/>
      <c r="CC51" s="1448"/>
      <c r="CD51" s="1448"/>
      <c r="CE51" s="1448"/>
      <c r="CF51" s="1448"/>
      <c r="CG51" s="1448"/>
      <c r="CH51" s="1448"/>
      <c r="CI51" s="1444"/>
      <c r="CJ51" s="446"/>
      <c r="CK51" s="446"/>
      <c r="CL51" s="446"/>
      <c r="CM51" s="446"/>
      <c r="CN51" s="446"/>
      <c r="CO51" s="446"/>
      <c r="CP51" s="446"/>
      <c r="CQ51" s="446"/>
      <c r="CR51" s="446"/>
      <c r="CS51" s="446"/>
      <c r="CT51" s="446"/>
      <c r="CU51" s="446"/>
      <c r="CV51" s="621" t="str">
        <f>IF(Basisdaten!$B$15="English",CX51,CW51)</f>
        <v>Tilgung Fremdkapital</v>
      </c>
      <c r="CW51" s="117" t="s">
        <v>82</v>
      </c>
      <c r="CX51" s="117" t="str">
        <f>CX398</f>
        <v>Repayment outside capital</v>
      </c>
      <c r="CY51" s="123"/>
      <c r="CZ51" s="123"/>
      <c r="DA51" s="123"/>
      <c r="DB51" s="123"/>
      <c r="DC51" s="123"/>
      <c r="DD51" s="123"/>
      <c r="DE51" s="123"/>
      <c r="DF51" s="123"/>
      <c r="DG51" s="123"/>
      <c r="DH51" s="123"/>
      <c r="DI51" s="123"/>
      <c r="DJ51" s="123"/>
      <c r="DK51" s="123"/>
      <c r="DL51" s="123"/>
      <c r="DM51" s="123"/>
      <c r="DN51" s="123"/>
      <c r="DO51" s="123"/>
      <c r="DP51" s="80"/>
      <c r="DQ51" s="80"/>
      <c r="DR51" s="80"/>
      <c r="DS51" s="80"/>
      <c r="DT51" s="80"/>
      <c r="DU51" s="80"/>
      <c r="DV51" s="80"/>
      <c r="DW51" s="80"/>
      <c r="DX51" s="80"/>
      <c r="DY51" s="80"/>
    </row>
    <row r="52" spans="3:129" s="68" customFormat="1">
      <c r="J52" s="196"/>
      <c r="K52" s="196"/>
      <c r="L52" s="196"/>
      <c r="M52" s="196"/>
      <c r="N52" s="196"/>
      <c r="O52" s="196"/>
      <c r="P52" s="196"/>
      <c r="Q52" s="196"/>
      <c r="R52" s="198"/>
      <c r="S52" s="198"/>
      <c r="T52" s="191"/>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1456"/>
      <c r="BF52" s="1456"/>
      <c r="BG52" s="1456"/>
      <c r="BH52" s="1456"/>
      <c r="BI52" s="1456"/>
      <c r="BJ52" s="1456"/>
      <c r="BK52" s="1456"/>
      <c r="BL52" s="1456"/>
      <c r="BM52" s="1456"/>
      <c r="BN52" s="1456"/>
      <c r="BO52" s="1456"/>
      <c r="BP52" s="74"/>
      <c r="BQ52" s="74"/>
      <c r="BR52" s="74"/>
      <c r="BS52" s="74"/>
      <c r="BT52" s="74"/>
      <c r="BU52" s="74"/>
      <c r="BV52" s="74"/>
      <c r="BW52" s="74"/>
      <c r="BX52" s="74"/>
      <c r="BY52" s="74"/>
      <c r="BZ52" s="74"/>
      <c r="CA52" s="1448"/>
      <c r="CB52" s="1448"/>
      <c r="CC52" s="1448"/>
      <c r="CD52" s="1448"/>
      <c r="CE52" s="1448"/>
      <c r="CF52" s="1448"/>
      <c r="CG52" s="1448"/>
      <c r="CH52" s="1448"/>
      <c r="CI52" s="1444"/>
      <c r="CJ52" s="446"/>
      <c r="CK52" s="446"/>
      <c r="CL52" s="446"/>
      <c r="CM52" s="446"/>
      <c r="CN52" s="446"/>
      <c r="CO52" s="446"/>
      <c r="CP52" s="446"/>
      <c r="CQ52" s="446"/>
      <c r="CR52" s="446"/>
      <c r="CS52" s="446"/>
      <c r="CT52" s="446"/>
      <c r="CU52" s="446"/>
      <c r="CV52" s="621" t="str">
        <f>IF(Basisdaten!$B$15="English",CX52,CW52)</f>
        <v>Belastung gesamt</v>
      </c>
      <c r="CW52" s="305" t="s">
        <v>83</v>
      </c>
      <c r="CX52" s="117" t="str">
        <f>CX399</f>
        <v>Total load</v>
      </c>
      <c r="CY52" s="123"/>
      <c r="CZ52" s="123"/>
      <c r="DA52" s="123"/>
      <c r="DB52" s="123"/>
      <c r="DC52" s="123"/>
      <c r="DD52" s="123"/>
      <c r="DE52" s="123"/>
      <c r="DF52" s="123"/>
      <c r="DG52" s="123"/>
      <c r="DH52" s="123"/>
      <c r="DI52" s="123"/>
      <c r="DJ52" s="123"/>
      <c r="DK52" s="123"/>
      <c r="DL52" s="123"/>
      <c r="DM52" s="123"/>
      <c r="DN52" s="123"/>
      <c r="DO52" s="123"/>
      <c r="DP52" s="80"/>
      <c r="DQ52" s="80"/>
      <c r="DR52" s="80"/>
      <c r="DS52" s="80"/>
      <c r="DT52" s="80"/>
      <c r="DU52" s="80"/>
      <c r="DV52" s="80"/>
      <c r="DW52" s="80"/>
      <c r="DX52" s="80"/>
      <c r="DY52" s="80"/>
    </row>
    <row r="53" spans="3:129" s="68" customFormat="1">
      <c r="E53" s="712"/>
      <c r="F53" s="76"/>
      <c r="G53" s="76"/>
      <c r="H53" s="76"/>
      <c r="I53" s="76"/>
      <c r="J53" s="76"/>
      <c r="K53" s="76"/>
      <c r="L53" s="76"/>
      <c r="M53" s="76"/>
      <c r="N53" s="76"/>
      <c r="O53" s="78"/>
      <c r="P53" s="76"/>
      <c r="Q53" s="76"/>
      <c r="R53" s="182"/>
      <c r="S53" s="182"/>
      <c r="T53" s="191"/>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1447"/>
      <c r="BW53" s="74"/>
      <c r="BX53" s="74"/>
      <c r="BY53" s="74"/>
      <c r="BZ53" s="74"/>
      <c r="CA53" s="1448"/>
      <c r="CB53" s="1448"/>
      <c r="CC53" s="1448"/>
      <c r="CD53" s="1448"/>
      <c r="CE53" s="1448"/>
      <c r="CF53" s="1448"/>
      <c r="CG53" s="1448"/>
      <c r="CH53" s="1448"/>
      <c r="CI53" s="1444"/>
      <c r="CJ53" s="446"/>
      <c r="CK53" s="446"/>
      <c r="CL53" s="446"/>
      <c r="CM53" s="446"/>
      <c r="CN53" s="446"/>
      <c r="CO53" s="446"/>
      <c r="CP53" s="446"/>
      <c r="CQ53" s="446"/>
      <c r="CR53" s="446"/>
      <c r="CS53" s="446"/>
      <c r="CT53" s="446"/>
      <c r="CU53" s="446"/>
      <c r="CV53" s="621" t="str">
        <f>IF(Basisdaten!$B$15="English",CX53,CW53)</f>
        <v>Zins</v>
      </c>
      <c r="CW53" s="160" t="s">
        <v>74</v>
      </c>
      <c r="CX53" s="445" t="s">
        <v>678</v>
      </c>
      <c r="CY53" s="123"/>
      <c r="CZ53" s="123"/>
      <c r="DA53" s="123"/>
      <c r="DB53" s="123"/>
      <c r="DC53" s="123"/>
      <c r="DD53" s="123"/>
      <c r="DE53" s="123"/>
      <c r="DF53" s="123"/>
      <c r="DG53" s="123"/>
      <c r="DH53" s="123"/>
      <c r="DI53" s="123"/>
      <c r="DJ53" s="123"/>
      <c r="DK53" s="123"/>
      <c r="DL53" s="123"/>
      <c r="DM53" s="123"/>
      <c r="DN53" s="123"/>
      <c r="DO53" s="123"/>
      <c r="DP53" s="80"/>
      <c r="DQ53" s="80"/>
      <c r="DR53" s="80"/>
      <c r="DS53" s="80"/>
      <c r="DT53" s="80"/>
      <c r="DU53" s="80"/>
      <c r="DV53" s="80"/>
      <c r="DW53" s="80"/>
      <c r="DX53" s="80"/>
      <c r="DY53" s="80"/>
    </row>
    <row r="54" spans="3:129" s="68" customFormat="1">
      <c r="J54" s="37"/>
      <c r="K54" s="37"/>
      <c r="L54" s="37"/>
      <c r="M54" s="37"/>
      <c r="N54" s="37"/>
      <c r="O54" s="37"/>
      <c r="P54" s="37"/>
      <c r="Q54" s="37"/>
      <c r="R54" s="182"/>
      <c r="S54" s="182"/>
      <c r="T54" s="191"/>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1447"/>
      <c r="BW54" s="74"/>
      <c r="BX54" s="74"/>
      <c r="BY54" s="74"/>
      <c r="BZ54" s="74"/>
      <c r="CA54" s="1448"/>
      <c r="CB54" s="1448"/>
      <c r="CC54" s="1448"/>
      <c r="CD54" s="1448"/>
      <c r="CE54" s="1448"/>
      <c r="CF54" s="1448"/>
      <c r="CG54" s="1448"/>
      <c r="CH54" s="1448"/>
      <c r="CI54" s="1444"/>
      <c r="CJ54" s="446"/>
      <c r="CK54" s="446"/>
      <c r="CL54" s="446"/>
      <c r="CM54" s="446"/>
      <c r="CN54" s="446"/>
      <c r="CO54" s="446"/>
      <c r="CP54" s="446"/>
      <c r="CQ54" s="446"/>
      <c r="CR54" s="446"/>
      <c r="CS54" s="446"/>
      <c r="CT54" s="446"/>
      <c r="CU54" s="446"/>
      <c r="CV54" s="621" t="str">
        <f>IF(Basisdaten!$B$15="English",CX54,CW54)</f>
        <v>Tilgung</v>
      </c>
      <c r="CW54" s="160" t="s">
        <v>679</v>
      </c>
      <c r="CX54" s="445" t="s">
        <v>680</v>
      </c>
      <c r="CY54" s="123"/>
      <c r="CZ54" s="123"/>
      <c r="DA54" s="123"/>
      <c r="DB54" s="123"/>
      <c r="DC54" s="123"/>
      <c r="DD54" s="123"/>
      <c r="DE54" s="123"/>
      <c r="DF54" s="123"/>
      <c r="DG54" s="123"/>
      <c r="DH54" s="123"/>
      <c r="DI54" s="123"/>
      <c r="DJ54" s="123"/>
      <c r="DK54" s="123"/>
      <c r="DL54" s="123"/>
      <c r="DM54" s="123"/>
      <c r="DN54" s="123"/>
      <c r="DO54" s="123"/>
      <c r="DP54" s="80"/>
      <c r="DQ54" s="80"/>
      <c r="DR54" s="80"/>
      <c r="DS54" s="80"/>
      <c r="DT54" s="80"/>
      <c r="DU54" s="80"/>
      <c r="DV54" s="80"/>
      <c r="DW54" s="80"/>
      <c r="DX54" s="80"/>
      <c r="DY54" s="80"/>
    </row>
    <row r="55" spans="3:129" s="68" customFormat="1" ht="14.25" customHeight="1">
      <c r="J55" s="37"/>
      <c r="K55" s="37"/>
      <c r="L55" s="37"/>
      <c r="M55" s="37"/>
      <c r="N55" s="37"/>
      <c r="O55" s="37"/>
      <c r="P55" s="37"/>
      <c r="Q55" s="37"/>
      <c r="R55" s="182"/>
      <c r="S55" s="182"/>
      <c r="T55" s="191"/>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1447"/>
      <c r="BW55" s="74"/>
      <c r="BX55" s="74"/>
      <c r="BY55" s="74"/>
      <c r="BZ55" s="74"/>
      <c r="CA55" s="1448"/>
      <c r="CB55" s="1448"/>
      <c r="CC55" s="1448"/>
      <c r="CD55" s="1448"/>
      <c r="CE55" s="1448"/>
      <c r="CF55" s="1448"/>
      <c r="CG55" s="1448"/>
      <c r="CH55" s="1448"/>
      <c r="CI55" s="1444"/>
      <c r="CJ55" s="446"/>
      <c r="CK55" s="446"/>
      <c r="CL55" s="446"/>
      <c r="CM55" s="446"/>
      <c r="CN55" s="446"/>
      <c r="CO55" s="446"/>
      <c r="CP55" s="446"/>
      <c r="CQ55" s="446"/>
      <c r="CR55" s="446"/>
      <c r="CS55" s="446"/>
      <c r="CT55" s="446"/>
      <c r="CU55" s="446"/>
      <c r="CV55" s="621" t="str">
        <f>IF(Basisdaten!$B$15="English",CX55,CW55)</f>
        <v>Fremdmittel</v>
      </c>
      <c r="CW55" s="117" t="s">
        <v>681</v>
      </c>
      <c r="CX55" s="445" t="s">
        <v>682</v>
      </c>
      <c r="CY55" s="123"/>
      <c r="CZ55" s="123"/>
      <c r="DA55" s="123"/>
      <c r="DB55" s="123"/>
      <c r="DC55" s="123"/>
      <c r="DD55" s="123"/>
      <c r="DE55" s="123"/>
      <c r="DF55" s="123"/>
      <c r="DG55" s="123"/>
      <c r="DH55" s="123"/>
      <c r="DI55" s="123"/>
      <c r="DJ55" s="123"/>
      <c r="DK55" s="123"/>
      <c r="DL55" s="123"/>
      <c r="DM55" s="123"/>
      <c r="DN55" s="123"/>
      <c r="DO55" s="123"/>
      <c r="DP55" s="80"/>
      <c r="DQ55" s="80"/>
      <c r="DR55" s="80"/>
      <c r="DS55" s="80"/>
      <c r="DT55" s="80"/>
      <c r="DU55" s="80"/>
      <c r="DV55" s="80"/>
      <c r="DW55" s="80"/>
      <c r="DX55" s="80"/>
      <c r="DY55" s="80"/>
    </row>
    <row r="56" spans="3:129" s="68" customFormat="1" ht="14.25" customHeight="1">
      <c r="J56" s="782"/>
      <c r="K56" s="76"/>
      <c r="L56" s="76"/>
      <c r="M56" s="76"/>
      <c r="N56" s="76"/>
      <c r="O56" s="78"/>
      <c r="P56" s="76"/>
      <c r="Q56" s="76"/>
      <c r="R56" s="182"/>
      <c r="S56" s="182"/>
      <c r="T56" s="191"/>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1447"/>
      <c r="BW56" s="74"/>
      <c r="BX56" s="74"/>
      <c r="BY56" s="74"/>
      <c r="BZ56" s="74"/>
      <c r="CA56" s="1448"/>
      <c r="CB56" s="1448"/>
      <c r="CC56" s="1448"/>
      <c r="CD56" s="1448"/>
      <c r="CE56" s="1448"/>
      <c r="CF56" s="1448"/>
      <c r="CG56" s="1448"/>
      <c r="CH56" s="1448"/>
      <c r="CI56" s="1444"/>
      <c r="CJ56" s="446"/>
      <c r="CK56" s="446"/>
      <c r="CL56" s="446"/>
      <c r="CM56" s="446"/>
      <c r="CN56" s="446"/>
      <c r="CO56" s="446"/>
      <c r="CP56" s="446"/>
      <c r="CQ56" s="446"/>
      <c r="CR56" s="446"/>
      <c r="CS56" s="446"/>
      <c r="CT56" s="446"/>
      <c r="CU56" s="446"/>
      <c r="CV56" s="621" t="str">
        <f>IF(Basisdaten!$B$15="English",CX56,CW56)</f>
        <v>Drittmittel</v>
      </c>
      <c r="CW56" s="16" t="str">
        <f>CW16</f>
        <v>Drittmittel</v>
      </c>
      <c r="CX56" s="295" t="str">
        <f>CX16</f>
        <v>Third-party funds</v>
      </c>
      <c r="CZ56" s="123"/>
      <c r="DA56" s="123"/>
      <c r="DB56" s="123"/>
      <c r="DC56" s="123"/>
      <c r="DD56" s="123"/>
      <c r="DE56" s="123"/>
      <c r="DF56" s="123"/>
      <c r="DG56" s="123"/>
      <c r="DH56" s="123"/>
      <c r="DI56" s="123"/>
      <c r="DJ56" s="123"/>
      <c r="DK56" s="123"/>
      <c r="DL56" s="123"/>
      <c r="DM56" s="123"/>
      <c r="DN56" s="123"/>
      <c r="DO56" s="123"/>
      <c r="DP56" s="80"/>
      <c r="DQ56" s="80"/>
      <c r="DR56" s="80"/>
      <c r="DS56" s="80"/>
      <c r="DT56" s="80"/>
      <c r="DU56" s="80"/>
      <c r="DV56" s="80"/>
      <c r="DW56" s="80"/>
      <c r="DX56" s="80"/>
      <c r="DY56" s="80"/>
    </row>
    <row r="57" spans="3:129" s="68" customFormat="1">
      <c r="J57" s="76"/>
      <c r="K57" s="76"/>
      <c r="L57" s="76"/>
      <c r="M57" s="76"/>
      <c r="N57" s="76"/>
      <c r="O57" s="78"/>
      <c r="P57" s="76"/>
      <c r="Q57" s="76"/>
      <c r="R57" s="182"/>
      <c r="S57" s="182"/>
      <c r="T57" s="191"/>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1447"/>
      <c r="BW57" s="74"/>
      <c r="BX57" s="74"/>
      <c r="BY57" s="74"/>
      <c r="BZ57" s="74"/>
      <c r="CA57" s="1448"/>
      <c r="CB57" s="1448"/>
      <c r="CC57" s="1448"/>
      <c r="CD57" s="1448"/>
      <c r="CE57" s="1448"/>
      <c r="CF57" s="1448"/>
      <c r="CG57" s="1448"/>
      <c r="CH57" s="1448"/>
      <c r="CI57" s="1444"/>
      <c r="CJ57" s="446"/>
      <c r="CK57" s="446"/>
      <c r="CL57" s="446"/>
      <c r="CM57" s="446"/>
      <c r="CN57" s="446"/>
      <c r="CO57" s="446"/>
      <c r="CP57" s="446"/>
      <c r="CQ57" s="446"/>
      <c r="CR57" s="446"/>
      <c r="CS57" s="446"/>
      <c r="CT57" s="446"/>
      <c r="CU57" s="446"/>
      <c r="CV57" s="621" t="str">
        <f ca="1">IF(Basisdaten!$B$15="English",CX57,CW57)</f>
        <v>Kapitalbeschaffung für die Monate der Jahre 2026 - 2027</v>
      </c>
      <c r="CW57" s="117" t="str">
        <f ca="1">"Kapitalbeschaffung für die Monate der Jahre " &amp;Basisdaten!C15&amp;" - "&amp;Basisdaten!C15+1</f>
        <v>Kapitalbeschaffung für die Monate der Jahre 2026 - 2027</v>
      </c>
      <c r="CX57" s="445" t="str">
        <f ca="1">"Capital raising for the Months of the Years " &amp;Basisdaten!C15&amp;" - "&amp;Basisdaten!$C$15+1</f>
        <v>Capital raising for the Months of the Years 2026 - 2027</v>
      </c>
      <c r="CY57" s="123"/>
      <c r="CZ57" s="123"/>
      <c r="DA57" s="123"/>
      <c r="DB57" s="123"/>
      <c r="DC57" s="123"/>
      <c r="DD57" s="123"/>
      <c r="DE57" s="123"/>
      <c r="DF57" s="123"/>
      <c r="DG57" s="123"/>
      <c r="DH57" s="123"/>
      <c r="DI57" s="123"/>
      <c r="DJ57" s="123"/>
      <c r="DK57" s="123"/>
      <c r="DL57" s="123"/>
      <c r="DM57" s="123"/>
      <c r="DN57" s="123"/>
      <c r="DO57" s="123"/>
      <c r="DP57" s="80"/>
      <c r="DQ57" s="80"/>
      <c r="DR57" s="80"/>
      <c r="DS57" s="80"/>
      <c r="DT57" s="80"/>
      <c r="DU57" s="80"/>
      <c r="DV57" s="80"/>
      <c r="DW57" s="80"/>
      <c r="DX57" s="80"/>
      <c r="DY57" s="80"/>
    </row>
    <row r="58" spans="3:129">
      <c r="C58" s="68"/>
      <c r="D58" s="68"/>
      <c r="E58" s="712"/>
      <c r="F58" s="76"/>
      <c r="G58" s="76"/>
      <c r="H58" s="76"/>
      <c r="I58" s="76"/>
      <c r="J58" s="76"/>
      <c r="K58" s="76"/>
      <c r="L58" s="76"/>
      <c r="M58" s="76"/>
      <c r="N58" s="76"/>
      <c r="O58" s="783"/>
      <c r="P58" s="76"/>
      <c r="Q58" s="76"/>
      <c r="AA58" s="74"/>
      <c r="AB58" s="74"/>
      <c r="AC58" s="74"/>
      <c r="AD58" s="74"/>
      <c r="AE58" s="1447"/>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1448"/>
      <c r="BN58" s="1448"/>
      <c r="BO58" s="1448"/>
      <c r="BP58" s="1448"/>
      <c r="BQ58" s="1448"/>
      <c r="BR58" s="1448"/>
      <c r="BS58" s="1448"/>
      <c r="BT58" s="1448"/>
      <c r="BU58" s="1448"/>
      <c r="BV58" s="1449"/>
      <c r="BW58" s="1448"/>
      <c r="BX58" s="1448"/>
      <c r="BY58" s="1448"/>
      <c r="BZ58" s="1448"/>
      <c r="CA58" s="1448"/>
      <c r="CB58" s="1448"/>
      <c r="CC58" s="1448"/>
      <c r="CD58" s="1448"/>
      <c r="CE58" s="1448"/>
      <c r="CF58" s="1448"/>
      <c r="CG58" s="1448"/>
      <c r="CH58" s="1448"/>
      <c r="CI58" s="1444"/>
      <c r="CV58" s="621" t="str">
        <f>IF(Basisdaten!$B$15="English",CX58,CW58)</f>
        <v>Zins und Tilgung</v>
      </c>
      <c r="CW58" s="117" t="str">
        <f>CW53&amp;" und "&amp;CW54</f>
        <v>Zins und Tilgung</v>
      </c>
      <c r="CX58" s="117" t="str">
        <f>CX53&amp;" and "&amp;CX54</f>
        <v>Interest and Repayment</v>
      </c>
    </row>
    <row r="59" spans="3:129" ht="24.6">
      <c r="C59" s="128" t="str">
        <f ca="1">CV59</f>
        <v>7.1  Monatlicher Kapitaldienst im Jahr 2026 (EUR)</v>
      </c>
      <c r="D59" s="68"/>
      <c r="E59" s="712"/>
      <c r="F59" s="76"/>
      <c r="G59" s="76"/>
      <c r="H59" s="76"/>
      <c r="I59" s="76"/>
      <c r="J59" s="76"/>
      <c r="K59" s="76"/>
      <c r="L59" s="76"/>
      <c r="M59" s="76"/>
      <c r="N59" s="76"/>
      <c r="O59" s="78"/>
      <c r="P59" s="76"/>
      <c r="Q59" s="76"/>
      <c r="AA59" s="74"/>
      <c r="AB59" s="74"/>
      <c r="AC59" s="74"/>
      <c r="AD59" s="74"/>
      <c r="AE59" s="1447"/>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1448"/>
      <c r="BN59" s="1448"/>
      <c r="BO59" s="1448"/>
      <c r="BP59" s="1448"/>
      <c r="BQ59" s="1448"/>
      <c r="BR59" s="1448"/>
      <c r="BS59" s="1448"/>
      <c r="BT59" s="1448"/>
      <c r="BU59" s="1448"/>
      <c r="BV59" s="1449"/>
      <c r="BW59" s="1448"/>
      <c r="BX59" s="1448"/>
      <c r="BY59" s="1448"/>
      <c r="BZ59" s="1448"/>
      <c r="CA59" s="1448"/>
      <c r="CB59" s="1448"/>
      <c r="CC59" s="1448"/>
      <c r="CD59" s="1448"/>
      <c r="CE59" s="1448"/>
      <c r="CF59" s="1448"/>
      <c r="CG59" s="1448"/>
      <c r="CH59" s="1448"/>
      <c r="CI59" s="1444"/>
      <c r="CV59" s="621" t="str">
        <f ca="1">IF(Basisdaten!$B$15="English",CX59,CW59)</f>
        <v>7.1  Monatlicher Kapitaldienst im Jahr 2026 (EUR)</v>
      </c>
      <c r="CW59" s="305" t="str">
        <f ca="1">"7.1  Monatlicher Kapitaldienst im Jahr " &amp; $E$6 &amp; " (EUR)"</f>
        <v>7.1  Monatlicher Kapitaldienst im Jahr 2026 (EUR)</v>
      </c>
      <c r="CX59" s="117" t="str">
        <f ca="1">"7.1 Monthly Interest and repayment for the year " &amp; $E$6 &amp; " (EUR)"</f>
        <v>7.1 Monthly Interest and repayment for the year 2026 (EUR)</v>
      </c>
    </row>
    <row r="60" spans="3:129" s="68" customFormat="1">
      <c r="E60" s="69">
        <v>1</v>
      </c>
      <c r="F60" s="120">
        <v>2</v>
      </c>
      <c r="G60" s="120">
        <v>3</v>
      </c>
      <c r="H60" s="120">
        <v>4</v>
      </c>
      <c r="I60" s="120">
        <v>5</v>
      </c>
      <c r="J60" s="120">
        <v>6</v>
      </c>
      <c r="K60" s="120">
        <v>7</v>
      </c>
      <c r="L60" s="120">
        <v>8</v>
      </c>
      <c r="M60" s="120">
        <v>9</v>
      </c>
      <c r="N60" s="120">
        <v>10</v>
      </c>
      <c r="O60" s="120">
        <v>11</v>
      </c>
      <c r="P60" s="120">
        <v>12</v>
      </c>
      <c r="R60" s="198"/>
      <c r="S60" s="198"/>
      <c r="T60" s="183"/>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1456"/>
      <c r="BF60" s="1456"/>
      <c r="BG60" s="1456"/>
      <c r="BH60" s="1456"/>
      <c r="BI60" s="1456"/>
      <c r="BJ60" s="1456"/>
      <c r="BK60" s="1456"/>
      <c r="BL60" s="1456"/>
      <c r="BM60" s="1456"/>
      <c r="BN60" s="1456"/>
      <c r="BO60" s="1456"/>
      <c r="BP60" s="74"/>
      <c r="BQ60" s="74"/>
      <c r="BR60" s="74"/>
      <c r="BS60" s="74"/>
      <c r="BT60" s="74"/>
      <c r="BU60" s="74"/>
      <c r="BV60" s="74"/>
      <c r="BW60" s="74"/>
      <c r="BX60" s="74"/>
      <c r="BY60" s="74"/>
      <c r="BZ60" s="74"/>
      <c r="CA60" s="1448"/>
      <c r="CB60" s="1448"/>
      <c r="CC60" s="1448"/>
      <c r="CD60" s="1448"/>
      <c r="CE60" s="1448"/>
      <c r="CF60" s="1448"/>
      <c r="CG60" s="1448"/>
      <c r="CH60" s="1448"/>
      <c r="CI60" s="1444"/>
      <c r="CJ60" s="446"/>
      <c r="CK60" s="446"/>
      <c r="CL60" s="446"/>
      <c r="CM60" s="446"/>
      <c r="CN60" s="446"/>
      <c r="CO60" s="446"/>
      <c r="CP60" s="446"/>
      <c r="CQ60" s="446"/>
      <c r="CR60" s="446"/>
      <c r="CS60" s="446"/>
      <c r="CT60" s="446"/>
      <c r="CU60" s="446"/>
      <c r="CV60" s="621" t="str">
        <f ca="1">IF(Basisdaten!$B$15="English",CX60,CW60)</f>
        <v>Kapitalbeschaffung für die Jahre 2026 - 2030</v>
      </c>
      <c r="CW60" s="117" t="str">
        <f ca="1">"Kapitalbeschaffung für die Jahre " &amp;Basisdaten!O18</f>
        <v>Kapitalbeschaffung für die Jahre 2026 - 2030</v>
      </c>
      <c r="CX60" s="445" t="str">
        <f ca="1">"Capital raising for the years " &amp;Basisdaten!O18</f>
        <v>Capital raising for the years 2026 - 2030</v>
      </c>
      <c r="CY60" s="123"/>
      <c r="CZ60" s="123"/>
      <c r="DA60" s="123"/>
      <c r="DB60" s="123"/>
      <c r="DC60" s="123"/>
      <c r="DD60" s="123"/>
      <c r="DE60" s="123"/>
      <c r="DF60" s="123"/>
      <c r="DG60" s="123"/>
      <c r="DH60" s="123"/>
      <c r="DI60" s="123"/>
      <c r="DJ60" s="123"/>
      <c r="DK60" s="123"/>
      <c r="DL60" s="123"/>
      <c r="DM60" s="123"/>
      <c r="DN60" s="123"/>
      <c r="DO60" s="123"/>
      <c r="DP60" s="80"/>
      <c r="DQ60" s="80"/>
      <c r="DR60" s="80"/>
      <c r="DS60" s="80"/>
      <c r="DT60" s="80"/>
      <c r="DU60" s="80"/>
      <c r="DV60" s="80"/>
      <c r="DW60" s="80"/>
      <c r="DX60" s="80"/>
      <c r="DY60" s="80"/>
    </row>
    <row r="61" spans="3:129" s="68" customFormat="1" ht="16.2">
      <c r="C61" s="784" t="str">
        <f>CV396</f>
        <v>Monatsbeträge für 2025</v>
      </c>
      <c r="D61" s="785"/>
      <c r="E61" s="786" t="str">
        <f t="shared" ref="E61:P61" si="1">CI4</f>
        <v>Jan</v>
      </c>
      <c r="F61" s="786" t="str">
        <f t="shared" si="1"/>
        <v>Feb</v>
      </c>
      <c r="G61" s="786" t="str">
        <f t="shared" si="1"/>
        <v>Mrz</v>
      </c>
      <c r="H61" s="786" t="str">
        <f t="shared" si="1"/>
        <v>Apr</v>
      </c>
      <c r="I61" s="786" t="str">
        <f t="shared" si="1"/>
        <v>Mai</v>
      </c>
      <c r="J61" s="786" t="str">
        <f t="shared" si="1"/>
        <v>Jun</v>
      </c>
      <c r="K61" s="786" t="str">
        <f t="shared" si="1"/>
        <v>Jul</v>
      </c>
      <c r="L61" s="786" t="str">
        <f t="shared" si="1"/>
        <v>Aug</v>
      </c>
      <c r="M61" s="786" t="str">
        <f t="shared" si="1"/>
        <v>Sep</v>
      </c>
      <c r="N61" s="786" t="str">
        <f t="shared" si="1"/>
        <v>Okt</v>
      </c>
      <c r="O61" s="786" t="str">
        <f t="shared" si="1"/>
        <v>Nov</v>
      </c>
      <c r="P61" s="786" t="str">
        <f t="shared" si="1"/>
        <v>Dez</v>
      </c>
      <c r="Q61" s="787" t="s">
        <v>808</v>
      </c>
      <c r="R61" s="198"/>
      <c r="S61" s="198"/>
      <c r="T61" s="183"/>
      <c r="U61" s="196"/>
      <c r="V61" s="1457"/>
      <c r="W61" s="1457"/>
      <c r="X61" s="1457"/>
      <c r="Y61" s="1457"/>
      <c r="Z61" s="1457"/>
      <c r="AA61" s="1457"/>
      <c r="AB61" s="1458"/>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1456"/>
      <c r="BF61" s="1456"/>
      <c r="BG61" s="1456"/>
      <c r="BH61" s="1456"/>
      <c r="BI61" s="1456"/>
      <c r="BJ61" s="1456"/>
      <c r="BK61" s="1456"/>
      <c r="BL61" s="1456"/>
      <c r="BM61" s="1456"/>
      <c r="BN61" s="1456"/>
      <c r="BO61" s="1456"/>
      <c r="BP61" s="74"/>
      <c r="BQ61" s="74"/>
      <c r="BR61" s="74"/>
      <c r="BS61" s="74"/>
      <c r="BT61" s="74"/>
      <c r="BU61" s="74"/>
      <c r="BV61" s="74"/>
      <c r="BW61" s="74"/>
      <c r="BX61" s="74"/>
      <c r="BY61" s="74"/>
      <c r="BZ61" s="74"/>
      <c r="CA61" s="1448"/>
      <c r="CB61" s="1448"/>
      <c r="CC61" s="1448"/>
      <c r="CD61" s="1448"/>
      <c r="CE61" s="1448"/>
      <c r="CF61" s="1448"/>
      <c r="CG61" s="1448"/>
      <c r="CH61" s="1448"/>
      <c r="CI61" s="1444"/>
      <c r="CJ61" s="446"/>
      <c r="CK61" s="446"/>
      <c r="CL61" s="446"/>
      <c r="CM61" s="446"/>
      <c r="CN61" s="446"/>
      <c r="CO61" s="446"/>
      <c r="CP61" s="446"/>
      <c r="CQ61" s="446"/>
      <c r="CR61" s="446"/>
      <c r="CS61" s="446"/>
      <c r="CT61" s="446"/>
      <c r="CU61" s="446"/>
      <c r="CV61" s="621" t="str">
        <f>IF(Basisdaten!$B$15="English",CX61,CW61)</f>
        <v>Kapitalzugang</v>
      </c>
      <c r="CW61" s="117" t="s">
        <v>874</v>
      </c>
      <c r="CX61" s="445" t="s">
        <v>875</v>
      </c>
      <c r="CY61" s="123"/>
      <c r="CZ61" s="123"/>
      <c r="DA61" s="123"/>
      <c r="DB61" s="123"/>
      <c r="DC61" s="123"/>
      <c r="DD61" s="123"/>
      <c r="DE61" s="123"/>
      <c r="DF61" s="123"/>
      <c r="DG61" s="123"/>
      <c r="DH61" s="123"/>
      <c r="DI61" s="123"/>
      <c r="DJ61" s="123"/>
      <c r="DK61" s="123"/>
      <c r="DL61" s="123"/>
      <c r="DM61" s="123"/>
      <c r="DN61" s="123"/>
      <c r="DO61" s="123"/>
      <c r="DP61" s="80"/>
      <c r="DQ61" s="80"/>
      <c r="DR61" s="80"/>
      <c r="DS61" s="80"/>
      <c r="DT61" s="80"/>
      <c r="DU61" s="80"/>
      <c r="DV61" s="80"/>
      <c r="DW61" s="80"/>
      <c r="DX61" s="80"/>
      <c r="DY61" s="80"/>
    </row>
    <row r="62" spans="3:129" s="68" customFormat="1">
      <c r="C62" s="788" t="str">
        <f>CV397</f>
        <v>Zins Fremdkapital</v>
      </c>
      <c r="D62" s="788"/>
      <c r="E62" s="421">
        <f t="shared" ref="E62:P62" si="2">E124</f>
        <v>0</v>
      </c>
      <c r="F62" s="595">
        <f t="shared" si="2"/>
        <v>0</v>
      </c>
      <c r="G62" s="595">
        <f t="shared" si="2"/>
        <v>0</v>
      </c>
      <c r="H62" s="595">
        <f t="shared" si="2"/>
        <v>0</v>
      </c>
      <c r="I62" s="595">
        <f t="shared" si="2"/>
        <v>0</v>
      </c>
      <c r="J62" s="595">
        <f t="shared" si="2"/>
        <v>0</v>
      </c>
      <c r="K62" s="595">
        <f t="shared" si="2"/>
        <v>0</v>
      </c>
      <c r="L62" s="595">
        <f t="shared" si="2"/>
        <v>0</v>
      </c>
      <c r="M62" s="595">
        <f t="shared" si="2"/>
        <v>0</v>
      </c>
      <c r="N62" s="595">
        <f t="shared" si="2"/>
        <v>0</v>
      </c>
      <c r="O62" s="595">
        <f t="shared" si="2"/>
        <v>0</v>
      </c>
      <c r="P62" s="595">
        <f t="shared" si="2"/>
        <v>0</v>
      </c>
      <c r="Q62" s="792">
        <f>SUM(E62:P62)</f>
        <v>0</v>
      </c>
      <c r="R62" s="198"/>
      <c r="S62" s="198"/>
      <c r="T62" s="197"/>
      <c r="U62" s="196"/>
      <c r="V62" s="1457"/>
      <c r="W62" s="1457"/>
      <c r="X62" s="1457"/>
      <c r="Y62" s="1457"/>
      <c r="Z62" s="1457"/>
      <c r="AA62" s="1457"/>
      <c r="AB62" s="1458"/>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1456"/>
      <c r="BF62" s="1456"/>
      <c r="BG62" s="1456"/>
      <c r="BH62" s="1456"/>
      <c r="BI62" s="1456"/>
      <c r="BJ62" s="1456"/>
      <c r="BK62" s="1456"/>
      <c r="BL62" s="1456"/>
      <c r="BM62" s="1456"/>
      <c r="BN62" s="1456"/>
      <c r="BO62" s="1456"/>
      <c r="BP62" s="74"/>
      <c r="BQ62" s="74"/>
      <c r="BR62" s="74"/>
      <c r="BS62" s="74"/>
      <c r="BT62" s="74"/>
      <c r="BU62" s="74"/>
      <c r="BV62" s="74"/>
      <c r="BW62" s="74"/>
      <c r="BX62" s="74"/>
      <c r="BY62" s="74"/>
      <c r="BZ62" s="74"/>
      <c r="CA62" s="1448"/>
      <c r="CB62" s="1448"/>
      <c r="CC62" s="1448"/>
      <c r="CD62" s="1448"/>
      <c r="CE62" s="1448"/>
      <c r="CF62" s="1448"/>
      <c r="CG62" s="1448"/>
      <c r="CH62" s="1448"/>
      <c r="CI62" s="1444"/>
      <c r="CJ62" s="446"/>
      <c r="CK62" s="446"/>
      <c r="CL62" s="446"/>
      <c r="CM62" s="446"/>
      <c r="CN62" s="446"/>
      <c r="CO62" s="446"/>
      <c r="CP62" s="446"/>
      <c r="CQ62" s="446"/>
      <c r="CR62" s="446"/>
      <c r="CS62" s="446"/>
      <c r="CT62" s="446"/>
      <c r="CU62" s="446"/>
      <c r="CV62" s="621">
        <f>IF(Basisdaten!$B$15="English",CX62,CW62)</f>
        <v>0</v>
      </c>
      <c r="CW62" s="117"/>
      <c r="CX62" s="445"/>
      <c r="CY62" s="123"/>
      <c r="CZ62" s="123"/>
      <c r="DA62" s="123"/>
      <c r="DB62" s="123"/>
      <c r="DC62" s="123"/>
      <c r="DD62" s="123"/>
      <c r="DE62" s="123"/>
      <c r="DF62" s="123"/>
      <c r="DG62" s="123"/>
      <c r="DH62" s="123"/>
      <c r="DI62" s="123"/>
      <c r="DJ62" s="123"/>
      <c r="DK62" s="123"/>
      <c r="DL62" s="123"/>
      <c r="DM62" s="123"/>
      <c r="DN62" s="123"/>
      <c r="DO62" s="123"/>
      <c r="DP62" s="80"/>
      <c r="DQ62" s="80"/>
      <c r="DR62" s="80"/>
      <c r="DS62" s="80"/>
      <c r="DT62" s="80"/>
      <c r="DU62" s="80"/>
      <c r="DV62" s="80"/>
      <c r="DW62" s="80"/>
      <c r="DX62" s="80"/>
      <c r="DY62" s="80"/>
    </row>
    <row r="63" spans="3:129" s="68" customFormat="1" ht="14.4" thickBot="1">
      <c r="C63" s="270" t="str">
        <f>CV398</f>
        <v>Tilgung Fremdkapital</v>
      </c>
      <c r="D63" s="270"/>
      <c r="E63" s="421">
        <f t="shared" ref="E63:P63" si="3">E125</f>
        <v>0</v>
      </c>
      <c r="F63" s="595">
        <f t="shared" si="3"/>
        <v>0</v>
      </c>
      <c r="G63" s="595">
        <f t="shared" si="3"/>
        <v>0</v>
      </c>
      <c r="H63" s="595">
        <f t="shared" si="3"/>
        <v>0</v>
      </c>
      <c r="I63" s="595">
        <f t="shared" si="3"/>
        <v>0</v>
      </c>
      <c r="J63" s="595">
        <f t="shared" si="3"/>
        <v>0</v>
      </c>
      <c r="K63" s="595">
        <f t="shared" si="3"/>
        <v>0</v>
      </c>
      <c r="L63" s="595">
        <f t="shared" si="3"/>
        <v>0</v>
      </c>
      <c r="M63" s="595">
        <f t="shared" si="3"/>
        <v>0</v>
      </c>
      <c r="N63" s="595">
        <f t="shared" si="3"/>
        <v>0</v>
      </c>
      <c r="O63" s="595">
        <f t="shared" si="3"/>
        <v>0</v>
      </c>
      <c r="P63" s="595">
        <f t="shared" si="3"/>
        <v>0</v>
      </c>
      <c r="Q63" s="793">
        <f>SUM(E63:P63)</f>
        <v>0</v>
      </c>
      <c r="R63" s="198"/>
      <c r="S63" s="198"/>
      <c r="T63" s="197"/>
      <c r="U63" s="196"/>
      <c r="V63" s="1457"/>
      <c r="W63" s="1457"/>
      <c r="X63" s="1457"/>
      <c r="Y63" s="1457"/>
      <c r="Z63" s="1457"/>
      <c r="AA63" s="1457"/>
      <c r="AB63" s="1458"/>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1456"/>
      <c r="BF63" s="1456"/>
      <c r="BG63" s="1456"/>
      <c r="BH63" s="1456"/>
      <c r="BI63" s="1456"/>
      <c r="BJ63" s="1456"/>
      <c r="BK63" s="1456"/>
      <c r="BL63" s="1456"/>
      <c r="BM63" s="1456"/>
      <c r="BN63" s="1456"/>
      <c r="BO63" s="1456"/>
      <c r="BP63" s="74"/>
      <c r="BQ63" s="74"/>
      <c r="BR63" s="74"/>
      <c r="BS63" s="74"/>
      <c r="BT63" s="74"/>
      <c r="BU63" s="74"/>
      <c r="BV63" s="74"/>
      <c r="BW63" s="74"/>
      <c r="BX63" s="74"/>
      <c r="BY63" s="74"/>
      <c r="BZ63" s="74"/>
      <c r="CA63" s="1448"/>
      <c r="CB63" s="1448"/>
      <c r="CC63" s="1448"/>
      <c r="CD63" s="1448"/>
      <c r="CE63" s="1448"/>
      <c r="CF63" s="1448"/>
      <c r="CG63" s="1448"/>
      <c r="CH63" s="1448"/>
      <c r="CI63" s="1444"/>
      <c r="CJ63" s="446"/>
      <c r="CK63" s="446"/>
      <c r="CL63" s="446"/>
      <c r="CM63" s="446"/>
      <c r="CN63" s="446"/>
      <c r="CO63" s="446"/>
      <c r="CP63" s="446"/>
      <c r="CQ63" s="446"/>
      <c r="CR63" s="446"/>
      <c r="CS63" s="446"/>
      <c r="CT63" s="446"/>
      <c r="CU63" s="446"/>
      <c r="CV63" s="621" t="str">
        <f>IF(Basisdaten!$B$15="English",CX63,CW63)</f>
        <v>Kapitalbeschaffung (EUR)</v>
      </c>
      <c r="CW63" s="117" t="s">
        <v>947</v>
      </c>
      <c r="CX63" s="445" t="s">
        <v>948</v>
      </c>
      <c r="CY63" s="123"/>
      <c r="CZ63" s="123"/>
      <c r="DA63" s="123"/>
      <c r="DB63" s="123"/>
      <c r="DC63" s="123"/>
      <c r="DD63" s="123"/>
      <c r="DE63" s="123"/>
      <c r="DF63" s="123"/>
      <c r="DG63" s="123"/>
      <c r="DH63" s="123"/>
      <c r="DI63" s="123"/>
      <c r="DJ63" s="123"/>
      <c r="DK63" s="123"/>
      <c r="DL63" s="123"/>
      <c r="DM63" s="123"/>
      <c r="DN63" s="123"/>
      <c r="DO63" s="123"/>
      <c r="DP63" s="80"/>
      <c r="DQ63" s="80"/>
      <c r="DR63" s="80"/>
      <c r="DS63" s="80"/>
      <c r="DT63" s="80"/>
      <c r="DU63" s="80"/>
      <c r="DV63" s="80"/>
      <c r="DW63" s="80"/>
      <c r="DX63" s="80"/>
      <c r="DY63" s="80"/>
    </row>
    <row r="64" spans="3:129" s="68" customFormat="1" ht="14.4" thickTop="1">
      <c r="C64" s="789" t="str">
        <f>CV399</f>
        <v>Belastung gesamt</v>
      </c>
      <c r="D64" s="789"/>
      <c r="E64" s="418">
        <f>E62+E63</f>
        <v>0</v>
      </c>
      <c r="F64" s="418">
        <f t="shared" ref="F64:P64" si="4">F62+F63</f>
        <v>0</v>
      </c>
      <c r="G64" s="418">
        <f t="shared" si="4"/>
        <v>0</v>
      </c>
      <c r="H64" s="418">
        <f t="shared" si="4"/>
        <v>0</v>
      </c>
      <c r="I64" s="418">
        <f t="shared" si="4"/>
        <v>0</v>
      </c>
      <c r="J64" s="418">
        <f t="shared" si="4"/>
        <v>0</v>
      </c>
      <c r="K64" s="418">
        <f t="shared" si="4"/>
        <v>0</v>
      </c>
      <c r="L64" s="418">
        <f t="shared" si="4"/>
        <v>0</v>
      </c>
      <c r="M64" s="418">
        <f t="shared" si="4"/>
        <v>0</v>
      </c>
      <c r="N64" s="418">
        <f t="shared" si="4"/>
        <v>0</v>
      </c>
      <c r="O64" s="418">
        <f t="shared" si="4"/>
        <v>0</v>
      </c>
      <c r="P64" s="418">
        <f t="shared" si="4"/>
        <v>0</v>
      </c>
      <c r="Q64" s="795">
        <f>SUM(E64:P64)</f>
        <v>0</v>
      </c>
      <c r="T64" s="197"/>
      <c r="U64" s="196"/>
      <c r="V64" s="1457"/>
      <c r="W64" s="1457"/>
      <c r="X64" s="1457"/>
      <c r="Y64" s="1457"/>
      <c r="Z64" s="1457"/>
      <c r="AA64" s="1457"/>
      <c r="AB64" s="1458"/>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1456"/>
      <c r="BF64" s="1456"/>
      <c r="BG64" s="1456"/>
      <c r="BH64" s="1456"/>
      <c r="BI64" s="1456"/>
      <c r="BJ64" s="1456"/>
      <c r="BK64" s="1456"/>
      <c r="BL64" s="1456"/>
      <c r="BM64" s="1456"/>
      <c r="BN64" s="1456"/>
      <c r="BO64" s="1456"/>
      <c r="BP64" s="74"/>
      <c r="BQ64" s="74"/>
      <c r="BR64" s="74"/>
      <c r="BS64" s="74"/>
      <c r="BT64" s="74"/>
      <c r="BU64" s="74"/>
      <c r="BV64" s="74"/>
      <c r="BW64" s="74"/>
      <c r="BX64" s="74"/>
      <c r="BY64" s="74"/>
      <c r="BZ64" s="74"/>
      <c r="CA64" s="1448"/>
      <c r="CB64" s="1448"/>
      <c r="CC64" s="1448"/>
      <c r="CD64" s="1448"/>
      <c r="CE64" s="1448"/>
      <c r="CF64" s="1448"/>
      <c r="CG64" s="1448"/>
      <c r="CH64" s="1448"/>
      <c r="CI64" s="1444"/>
      <c r="CJ64" s="446"/>
      <c r="CK64" s="446"/>
      <c r="CL64" s="446"/>
      <c r="CM64" s="446"/>
      <c r="CN64" s="446"/>
      <c r="CO64" s="446"/>
      <c r="CP64" s="446"/>
      <c r="CQ64" s="446"/>
      <c r="CR64" s="446"/>
      <c r="CS64" s="446"/>
      <c r="CT64" s="446"/>
      <c r="CU64" s="446"/>
      <c r="CV64" s="621">
        <f>IF(Basisdaten!$B$15="English",CX64,CW64)</f>
        <v>0</v>
      </c>
      <c r="CW64" s="117"/>
      <c r="CX64" s="445"/>
      <c r="CY64" s="123"/>
      <c r="CZ64" s="123"/>
      <c r="DA64" s="123"/>
      <c r="DB64" s="123"/>
      <c r="DC64" s="123"/>
      <c r="DD64" s="123"/>
      <c r="DE64" s="123"/>
      <c r="DF64" s="123"/>
      <c r="DG64" s="123"/>
      <c r="DH64" s="123"/>
      <c r="DI64" s="123"/>
      <c r="DJ64" s="123"/>
      <c r="DK64" s="123"/>
      <c r="DL64" s="123"/>
      <c r="DM64" s="123"/>
      <c r="DN64" s="123"/>
      <c r="DO64" s="123"/>
      <c r="DP64" s="80"/>
      <c r="DQ64" s="80"/>
      <c r="DR64" s="80"/>
      <c r="DS64" s="80"/>
      <c r="DT64" s="80"/>
      <c r="DU64" s="80"/>
      <c r="DV64" s="80"/>
      <c r="DW64" s="80"/>
      <c r="DX64" s="80"/>
      <c r="DY64" s="80"/>
    </row>
    <row r="65" spans="3:129" s="68" customFormat="1">
      <c r="C65" s="79"/>
      <c r="D65" s="79"/>
      <c r="E65" s="79"/>
      <c r="F65" s="79"/>
      <c r="G65" s="79"/>
      <c r="H65" s="79"/>
      <c r="I65" s="79"/>
      <c r="J65" s="79"/>
      <c r="K65" s="79"/>
      <c r="L65" s="79"/>
      <c r="M65" s="79"/>
      <c r="N65" s="79"/>
      <c r="O65" s="79"/>
      <c r="P65" s="79"/>
      <c r="Q65" s="79"/>
      <c r="R65" s="198"/>
      <c r="S65" s="198"/>
      <c r="T65" s="197"/>
      <c r="U65" s="196"/>
      <c r="V65" s="1457"/>
      <c r="W65" s="1457"/>
      <c r="X65" s="1457"/>
      <c r="Y65" s="1457"/>
      <c r="Z65" s="1457"/>
      <c r="AA65" s="1457"/>
      <c r="AB65" s="1458"/>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1456"/>
      <c r="BF65" s="1456"/>
      <c r="BG65" s="1456"/>
      <c r="BH65" s="1456"/>
      <c r="BI65" s="1456"/>
      <c r="BJ65" s="1456"/>
      <c r="BK65" s="1456"/>
      <c r="BL65" s="1456"/>
      <c r="BM65" s="1456"/>
      <c r="BN65" s="1456"/>
      <c r="BO65" s="1456"/>
      <c r="BP65" s="74"/>
      <c r="BQ65" s="74"/>
      <c r="BR65" s="74"/>
      <c r="BS65" s="74"/>
      <c r="BT65" s="74"/>
      <c r="BU65" s="74"/>
      <c r="BV65" s="74"/>
      <c r="BW65" s="74"/>
      <c r="BX65" s="74"/>
      <c r="BY65" s="74"/>
      <c r="BZ65" s="74"/>
      <c r="CA65" s="1448"/>
      <c r="CB65" s="1448"/>
      <c r="CC65" s="1448"/>
      <c r="CD65" s="1448"/>
      <c r="CE65" s="1448"/>
      <c r="CF65" s="1448"/>
      <c r="CG65" s="1448"/>
      <c r="CH65" s="1448"/>
      <c r="CI65" s="1444"/>
      <c r="CJ65" s="446"/>
      <c r="CK65" s="446"/>
      <c r="CL65" s="446"/>
      <c r="CM65" s="446"/>
      <c r="CN65" s="446"/>
      <c r="CO65" s="446"/>
      <c r="CP65" s="446"/>
      <c r="CQ65" s="446"/>
      <c r="CR65" s="446"/>
      <c r="CS65" s="446"/>
      <c r="CT65" s="446"/>
      <c r="CU65" s="446"/>
      <c r="CV65" s="621">
        <f>IF(Basisdaten!$B$15="English",CX65,CW65)</f>
        <v>0</v>
      </c>
      <c r="CW65" s="117"/>
      <c r="CX65" s="445"/>
      <c r="CY65" s="123"/>
      <c r="CZ65" s="123"/>
      <c r="DA65" s="123"/>
      <c r="DB65" s="123"/>
      <c r="DC65" s="123"/>
      <c r="DD65" s="123"/>
      <c r="DE65" s="123"/>
      <c r="DF65" s="123"/>
      <c r="DG65" s="123"/>
      <c r="DH65" s="123"/>
      <c r="DI65" s="123"/>
      <c r="DJ65" s="123"/>
      <c r="DK65" s="123"/>
      <c r="DL65" s="123"/>
      <c r="DM65" s="123"/>
      <c r="DN65" s="123"/>
      <c r="DO65" s="123"/>
      <c r="DP65" s="80"/>
      <c r="DQ65" s="80"/>
      <c r="DR65" s="80"/>
      <c r="DS65" s="80"/>
      <c r="DT65" s="80"/>
      <c r="DU65" s="80"/>
      <c r="DV65" s="80"/>
      <c r="DW65" s="80"/>
      <c r="DX65" s="80"/>
      <c r="DY65" s="80"/>
    </row>
    <row r="66" spans="3:129" s="68" customFormat="1">
      <c r="C66" s="79"/>
      <c r="D66" s="79"/>
      <c r="E66" s="79"/>
      <c r="F66" s="79"/>
      <c r="G66" s="79"/>
      <c r="H66" s="79"/>
      <c r="I66" s="79"/>
      <c r="J66" s="79"/>
      <c r="K66" s="79"/>
      <c r="L66" s="79"/>
      <c r="M66" s="79"/>
      <c r="N66" s="79"/>
      <c r="O66" s="79"/>
      <c r="P66" s="79"/>
      <c r="Q66" s="79"/>
      <c r="R66" s="182"/>
      <c r="S66" s="182"/>
      <c r="T66" s="77"/>
      <c r="U66" s="76"/>
      <c r="V66" s="1445"/>
      <c r="W66" s="1445"/>
      <c r="X66" s="1445"/>
      <c r="Y66" s="1445"/>
      <c r="Z66" s="1446"/>
      <c r="AA66" s="74"/>
      <c r="AB66" s="74"/>
      <c r="AC66" s="74"/>
      <c r="AD66" s="74"/>
      <c r="AE66" s="1447"/>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1447"/>
      <c r="BW66" s="74"/>
      <c r="BX66" s="74"/>
      <c r="BY66" s="74"/>
      <c r="BZ66" s="74"/>
      <c r="CA66" s="1448"/>
      <c r="CB66" s="1448"/>
      <c r="CC66" s="1448"/>
      <c r="CD66" s="1448"/>
      <c r="CE66" s="1448"/>
      <c r="CF66" s="1448"/>
      <c r="CG66" s="1448"/>
      <c r="CH66" s="1448"/>
      <c r="CI66" s="1444"/>
      <c r="CJ66" s="446"/>
      <c r="CK66" s="446"/>
      <c r="CL66" s="446"/>
      <c r="CM66" s="446"/>
      <c r="CN66" s="446"/>
      <c r="CO66" s="446"/>
      <c r="CP66" s="446"/>
      <c r="CQ66" s="446"/>
      <c r="CR66" s="446"/>
      <c r="CS66" s="446"/>
      <c r="CT66" s="446"/>
      <c r="CU66" s="446"/>
      <c r="CV66" s="621">
        <f>IF(Basisdaten!$B$15="English",CX66,CW66)</f>
        <v>0</v>
      </c>
      <c r="CW66" s="117"/>
      <c r="CX66" s="445"/>
      <c r="CY66" s="123"/>
      <c r="CZ66" s="123"/>
      <c r="DA66" s="123"/>
      <c r="DB66" s="123"/>
      <c r="DC66" s="123"/>
      <c r="DD66" s="123"/>
      <c r="DE66" s="123"/>
      <c r="DF66" s="123"/>
      <c r="DG66" s="123"/>
      <c r="DH66" s="123"/>
      <c r="DI66" s="123"/>
      <c r="DJ66" s="123"/>
      <c r="DK66" s="123"/>
      <c r="DL66" s="123"/>
      <c r="DM66" s="123"/>
      <c r="DN66" s="123"/>
      <c r="DO66" s="123"/>
      <c r="DP66" s="80"/>
      <c r="DQ66" s="80"/>
      <c r="DR66" s="80"/>
      <c r="DS66" s="80"/>
      <c r="DT66" s="80"/>
      <c r="DU66" s="80"/>
      <c r="DV66" s="80"/>
      <c r="DW66" s="80"/>
      <c r="DX66" s="80"/>
      <c r="DY66" s="80"/>
    </row>
    <row r="67" spans="3:129" s="68" customFormat="1" ht="24.6">
      <c r="C67" s="128" t="str">
        <f ca="1">CV67</f>
        <v>7.2 Monatlicher Kapitaldienst im Jahr 2027 (EUR)</v>
      </c>
      <c r="D67" s="131"/>
      <c r="E67" s="790"/>
      <c r="F67" s="195"/>
      <c r="G67" s="195"/>
      <c r="H67" s="195"/>
      <c r="I67" s="195"/>
      <c r="J67" s="195"/>
      <c r="K67" s="195"/>
      <c r="L67" s="195"/>
      <c r="M67" s="195"/>
      <c r="N67" s="195"/>
      <c r="O67" s="195"/>
      <c r="P67" s="195"/>
      <c r="Q67" s="195"/>
      <c r="R67" s="182"/>
      <c r="S67" s="182"/>
      <c r="T67" s="77"/>
      <c r="U67" s="76"/>
      <c r="V67" s="1445"/>
      <c r="W67" s="1445"/>
      <c r="X67" s="1445"/>
      <c r="Y67" s="1445"/>
      <c r="Z67" s="1446"/>
      <c r="AA67" s="74"/>
      <c r="AB67" s="74"/>
      <c r="AC67" s="74"/>
      <c r="AD67" s="74"/>
      <c r="AE67" s="1447"/>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1447"/>
      <c r="BW67" s="74"/>
      <c r="BX67" s="74"/>
      <c r="BY67" s="74"/>
      <c r="BZ67" s="74"/>
      <c r="CA67" s="1448"/>
      <c r="CB67" s="1448"/>
      <c r="CC67" s="1448"/>
      <c r="CD67" s="1448"/>
      <c r="CE67" s="1448"/>
      <c r="CF67" s="1448"/>
      <c r="CG67" s="1448"/>
      <c r="CH67" s="1448"/>
      <c r="CI67" s="1444"/>
      <c r="CJ67" s="446"/>
      <c r="CK67" s="446"/>
      <c r="CL67" s="446"/>
      <c r="CM67" s="446"/>
      <c r="CN67" s="446"/>
      <c r="CO67" s="446"/>
      <c r="CP67" s="446"/>
      <c r="CQ67" s="446"/>
      <c r="CR67" s="446"/>
      <c r="CS67" s="446"/>
      <c r="CT67" s="446"/>
      <c r="CU67" s="446"/>
      <c r="CV67" s="621" t="str">
        <f ca="1">IF(Basisdaten!$B$15="English",CX67,CW67)</f>
        <v>7.2 Monatlicher Kapitaldienst im Jahr 2027 (EUR)</v>
      </c>
      <c r="CW67" s="305" t="str">
        <f ca="1">"7.2 Monatlicher Kapitaldienst im Jahr " &amp; $E$6+1 &amp; " (EUR)"</f>
        <v>7.2 Monatlicher Kapitaldienst im Jahr 2027 (EUR)</v>
      </c>
      <c r="CX67" s="117" t="str">
        <f ca="1">"7.2 Monthly Interest and repayment for the year "  &amp; $E$6+1 &amp; " (EUR)"</f>
        <v>7.2 Monthly Interest and repayment for the year 2027 (EUR)</v>
      </c>
      <c r="CY67" s="123"/>
      <c r="CZ67" s="123"/>
      <c r="DA67" s="123"/>
      <c r="DB67" s="123"/>
      <c r="DC67" s="123"/>
      <c r="DD67" s="123"/>
      <c r="DE67" s="123"/>
      <c r="DF67" s="123"/>
      <c r="DG67" s="123"/>
      <c r="DH67" s="123"/>
      <c r="DI67" s="123"/>
      <c r="DJ67" s="123"/>
      <c r="DK67" s="123"/>
      <c r="DL67" s="123"/>
      <c r="DM67" s="123"/>
      <c r="DN67" s="123"/>
      <c r="DO67" s="123"/>
      <c r="DP67" s="80"/>
      <c r="DQ67" s="80"/>
      <c r="DR67" s="80"/>
      <c r="DS67" s="80"/>
      <c r="DT67" s="80"/>
      <c r="DU67" s="80"/>
      <c r="DV67" s="80"/>
      <c r="DW67" s="80"/>
      <c r="DX67" s="80"/>
      <c r="DY67" s="80"/>
    </row>
    <row r="68" spans="3:129" s="68" customFormat="1">
      <c r="E68" s="69">
        <v>1</v>
      </c>
      <c r="F68" s="120">
        <v>2</v>
      </c>
      <c r="G68" s="120">
        <v>3</v>
      </c>
      <c r="H68" s="120">
        <v>4</v>
      </c>
      <c r="I68" s="120">
        <v>5</v>
      </c>
      <c r="J68" s="120">
        <v>6</v>
      </c>
      <c r="K68" s="120">
        <v>7</v>
      </c>
      <c r="L68" s="120">
        <v>8</v>
      </c>
      <c r="M68" s="120">
        <v>9</v>
      </c>
      <c r="N68" s="120">
        <v>10</v>
      </c>
      <c r="O68" s="120">
        <v>11</v>
      </c>
      <c r="P68" s="120">
        <v>12</v>
      </c>
      <c r="Q68" s="199"/>
      <c r="R68" s="182"/>
      <c r="S68" s="182"/>
      <c r="T68" s="77"/>
      <c r="U68" s="76"/>
      <c r="V68" s="1445"/>
      <c r="W68" s="1445"/>
      <c r="X68" s="1445"/>
      <c r="Y68" s="1445"/>
      <c r="Z68" s="1446"/>
      <c r="AA68" s="74"/>
      <c r="AB68" s="74"/>
      <c r="AC68" s="74"/>
      <c r="AD68" s="74"/>
      <c r="AE68" s="1447"/>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1447"/>
      <c r="BW68" s="74"/>
      <c r="BX68" s="74"/>
      <c r="BY68" s="74"/>
      <c r="BZ68" s="74"/>
      <c r="CA68" s="1448"/>
      <c r="CB68" s="1448"/>
      <c r="CC68" s="1448"/>
      <c r="CD68" s="1448"/>
      <c r="CE68" s="1448"/>
      <c r="CF68" s="1448"/>
      <c r="CG68" s="1448"/>
      <c r="CH68" s="1448"/>
      <c r="CI68" s="1444"/>
      <c r="CJ68" s="446"/>
      <c r="CK68" s="446"/>
      <c r="CL68" s="446"/>
      <c r="CM68" s="446"/>
      <c r="CN68" s="446"/>
      <c r="CO68" s="446"/>
      <c r="CP68" s="446"/>
      <c r="CQ68" s="446"/>
      <c r="CR68" s="446"/>
      <c r="CS68" s="446"/>
      <c r="CT68" s="446"/>
      <c r="CU68" s="446"/>
      <c r="CV68" s="621">
        <f>IF(Basisdaten!$B$15="English",CX68,CW68)</f>
        <v>0</v>
      </c>
      <c r="CW68" s="117"/>
      <c r="CX68" s="445"/>
      <c r="CY68" s="123"/>
      <c r="CZ68" s="123"/>
      <c r="DA68" s="123"/>
      <c r="DB68" s="123"/>
      <c r="DC68" s="123"/>
      <c r="DD68" s="123"/>
      <c r="DE68" s="123"/>
      <c r="DF68" s="123"/>
      <c r="DG68" s="123"/>
      <c r="DH68" s="123"/>
      <c r="DI68" s="123"/>
      <c r="DJ68" s="123"/>
      <c r="DK68" s="123"/>
      <c r="DL68" s="123"/>
      <c r="DM68" s="123"/>
      <c r="DN68" s="123"/>
      <c r="DO68" s="123"/>
      <c r="DP68" s="80"/>
      <c r="DQ68" s="80"/>
      <c r="DR68" s="80"/>
      <c r="DS68" s="80"/>
      <c r="DT68" s="80"/>
      <c r="DU68" s="80"/>
      <c r="DV68" s="80"/>
      <c r="DW68" s="80"/>
      <c r="DX68" s="80"/>
      <c r="DY68" s="80"/>
    </row>
    <row r="69" spans="3:129" s="68" customFormat="1" ht="16.2">
      <c r="C69" s="784" t="str">
        <f>CV402</f>
        <v>Monatsbeträge für 2026</v>
      </c>
      <c r="D69" s="785"/>
      <c r="E69" s="541" t="str">
        <f>E61</f>
        <v>Jan</v>
      </c>
      <c r="F69" s="541" t="str">
        <f t="shared" ref="F69:P69" si="5">F61</f>
        <v>Feb</v>
      </c>
      <c r="G69" s="541" t="str">
        <f t="shared" si="5"/>
        <v>Mrz</v>
      </c>
      <c r="H69" s="541" t="str">
        <f t="shared" si="5"/>
        <v>Apr</v>
      </c>
      <c r="I69" s="541" t="str">
        <f t="shared" si="5"/>
        <v>Mai</v>
      </c>
      <c r="J69" s="541" t="str">
        <f t="shared" si="5"/>
        <v>Jun</v>
      </c>
      <c r="K69" s="541" t="str">
        <f t="shared" si="5"/>
        <v>Jul</v>
      </c>
      <c r="L69" s="541" t="str">
        <f t="shared" si="5"/>
        <v>Aug</v>
      </c>
      <c r="M69" s="541" t="str">
        <f t="shared" si="5"/>
        <v>Sep</v>
      </c>
      <c r="N69" s="541" t="str">
        <f t="shared" si="5"/>
        <v>Okt</v>
      </c>
      <c r="O69" s="541" t="str">
        <f t="shared" si="5"/>
        <v>Nov</v>
      </c>
      <c r="P69" s="541" t="str">
        <f t="shared" si="5"/>
        <v>Dez</v>
      </c>
      <c r="Q69" s="791" t="s">
        <v>809</v>
      </c>
      <c r="R69" s="182"/>
      <c r="S69" s="182"/>
      <c r="T69" s="77"/>
      <c r="U69" s="76"/>
      <c r="V69" s="1445"/>
      <c r="W69" s="1445"/>
      <c r="X69" s="1445"/>
      <c r="Y69" s="1445"/>
      <c r="Z69" s="1446"/>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1447"/>
      <c r="BW69" s="74"/>
      <c r="BX69" s="74"/>
      <c r="BY69" s="74"/>
      <c r="BZ69" s="74"/>
      <c r="CA69" s="1448"/>
      <c r="CB69" s="1448"/>
      <c r="CC69" s="1448"/>
      <c r="CD69" s="1448"/>
      <c r="CE69" s="1448"/>
      <c r="CF69" s="1448"/>
      <c r="CG69" s="1448"/>
      <c r="CH69" s="1448"/>
      <c r="CI69" s="1444"/>
      <c r="CJ69" s="446"/>
      <c r="CK69" s="446"/>
      <c r="CL69" s="446"/>
      <c r="CM69" s="446"/>
      <c r="CN69" s="446"/>
      <c r="CO69" s="446"/>
      <c r="CP69" s="446"/>
      <c r="CQ69" s="446"/>
      <c r="CR69" s="446"/>
      <c r="CS69" s="446"/>
      <c r="CT69" s="446"/>
      <c r="CU69" s="446"/>
      <c r="CV69" s="621">
        <f>IF(Basisdaten!$B$15="English",CX69,CW69)</f>
        <v>0</v>
      </c>
      <c r="CW69" s="117"/>
      <c r="CX69" s="445"/>
      <c r="CY69" s="123"/>
      <c r="CZ69" s="123"/>
      <c r="DA69" s="123"/>
      <c r="DB69" s="123"/>
      <c r="DC69" s="123"/>
      <c r="DD69" s="123"/>
      <c r="DE69" s="123"/>
      <c r="DF69" s="123"/>
      <c r="DG69" s="123"/>
      <c r="DH69" s="123"/>
      <c r="DI69" s="123"/>
      <c r="DJ69" s="123"/>
      <c r="DK69" s="123"/>
      <c r="DL69" s="123"/>
      <c r="DM69" s="123"/>
      <c r="DN69" s="123"/>
      <c r="DO69" s="123"/>
      <c r="DP69" s="80"/>
      <c r="DQ69" s="80"/>
      <c r="DR69" s="80"/>
      <c r="DS69" s="80"/>
      <c r="DT69" s="80"/>
      <c r="DU69" s="80"/>
      <c r="DV69" s="80"/>
      <c r="DW69" s="80"/>
      <c r="DX69" s="80"/>
      <c r="DY69" s="80"/>
    </row>
    <row r="70" spans="3:129" s="68" customFormat="1">
      <c r="C70" s="788" t="str">
        <f>C62</f>
        <v>Zins Fremdkapital</v>
      </c>
      <c r="D70" s="788"/>
      <c r="E70" s="421">
        <f t="shared" ref="E70:P71" si="6">Q124</f>
        <v>0</v>
      </c>
      <c r="F70" s="421">
        <f t="shared" si="6"/>
        <v>0</v>
      </c>
      <c r="G70" s="421">
        <f t="shared" si="6"/>
        <v>0</v>
      </c>
      <c r="H70" s="421">
        <f t="shared" si="6"/>
        <v>0</v>
      </c>
      <c r="I70" s="421">
        <f t="shared" si="6"/>
        <v>0</v>
      </c>
      <c r="J70" s="421">
        <f t="shared" si="6"/>
        <v>0</v>
      </c>
      <c r="K70" s="421">
        <f t="shared" si="6"/>
        <v>0</v>
      </c>
      <c r="L70" s="421">
        <f t="shared" si="6"/>
        <v>0</v>
      </c>
      <c r="M70" s="421">
        <f t="shared" si="6"/>
        <v>0</v>
      </c>
      <c r="N70" s="421">
        <f t="shared" si="6"/>
        <v>0</v>
      </c>
      <c r="O70" s="421">
        <f t="shared" si="6"/>
        <v>0</v>
      </c>
      <c r="P70" s="421">
        <f t="shared" si="6"/>
        <v>0</v>
      </c>
      <c r="Q70" s="792">
        <f>SUM(E70:P70)</f>
        <v>0</v>
      </c>
      <c r="R70" s="182"/>
      <c r="S70" s="182"/>
      <c r="T70" s="77"/>
      <c r="U70" s="76"/>
      <c r="V70" s="1445"/>
      <c r="W70" s="1445"/>
      <c r="X70" s="1445"/>
      <c r="Y70" s="1445"/>
      <c r="Z70" s="1446"/>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1447"/>
      <c r="BW70" s="74"/>
      <c r="BX70" s="74"/>
      <c r="BY70" s="74"/>
      <c r="BZ70" s="74"/>
      <c r="CA70" s="1448"/>
      <c r="CB70" s="1448"/>
      <c r="CC70" s="1448"/>
      <c r="CD70" s="1448"/>
      <c r="CE70" s="1448"/>
      <c r="CF70" s="1448"/>
      <c r="CG70" s="1448"/>
      <c r="CH70" s="1448"/>
      <c r="CI70" s="1444"/>
      <c r="CJ70" s="446"/>
      <c r="CK70" s="446"/>
      <c r="CL70" s="446"/>
      <c r="CM70" s="446"/>
      <c r="CN70" s="446"/>
      <c r="CO70" s="446"/>
      <c r="CP70" s="446"/>
      <c r="CQ70" s="446"/>
      <c r="CR70" s="446"/>
      <c r="CS70" s="446"/>
      <c r="CT70" s="446"/>
      <c r="CU70" s="446"/>
      <c r="CV70" s="621"/>
      <c r="CW70" s="117"/>
      <c r="CX70" s="445"/>
      <c r="CY70" s="123"/>
      <c r="CZ70" s="123"/>
      <c r="DA70" s="123"/>
      <c r="DB70" s="123"/>
      <c r="DC70" s="123"/>
      <c r="DD70" s="123"/>
      <c r="DE70" s="123"/>
      <c r="DF70" s="123"/>
      <c r="DG70" s="123"/>
      <c r="DH70" s="123"/>
      <c r="DI70" s="123"/>
      <c r="DJ70" s="123"/>
      <c r="DK70" s="123"/>
      <c r="DL70" s="123"/>
      <c r="DM70" s="123"/>
      <c r="DN70" s="123"/>
      <c r="DO70" s="123"/>
      <c r="DP70" s="80"/>
      <c r="DQ70" s="80"/>
      <c r="DR70" s="80"/>
      <c r="DS70" s="80"/>
      <c r="DT70" s="80"/>
      <c r="DU70" s="80"/>
      <c r="DV70" s="80"/>
      <c r="DW70" s="80"/>
      <c r="DX70" s="80"/>
      <c r="DY70" s="80"/>
    </row>
    <row r="71" spans="3:129" s="68" customFormat="1" ht="14.4" thickBot="1">
      <c r="C71" s="270" t="str">
        <f>C63</f>
        <v>Tilgung Fremdkapital</v>
      </c>
      <c r="D71" s="270"/>
      <c r="E71" s="421">
        <f t="shared" si="6"/>
        <v>0</v>
      </c>
      <c r="F71" s="595">
        <f t="shared" si="6"/>
        <v>0</v>
      </c>
      <c r="G71" s="595">
        <f t="shared" si="6"/>
        <v>0</v>
      </c>
      <c r="H71" s="595">
        <f t="shared" si="6"/>
        <v>0</v>
      </c>
      <c r="I71" s="595">
        <f t="shared" si="6"/>
        <v>0</v>
      </c>
      <c r="J71" s="595">
        <f t="shared" si="6"/>
        <v>0</v>
      </c>
      <c r="K71" s="595">
        <f t="shared" si="6"/>
        <v>0</v>
      </c>
      <c r="L71" s="595">
        <f t="shared" si="6"/>
        <v>0</v>
      </c>
      <c r="M71" s="595">
        <f t="shared" si="6"/>
        <v>0</v>
      </c>
      <c r="N71" s="595">
        <f t="shared" si="6"/>
        <v>0</v>
      </c>
      <c r="O71" s="595">
        <f t="shared" si="6"/>
        <v>0</v>
      </c>
      <c r="P71" s="595">
        <f t="shared" si="6"/>
        <v>0</v>
      </c>
      <c r="Q71" s="793">
        <f>SUM(E71:P71)</f>
        <v>0</v>
      </c>
      <c r="R71" s="182"/>
      <c r="S71" s="182"/>
      <c r="T71" s="77"/>
      <c r="U71" s="76"/>
      <c r="V71" s="1445"/>
      <c r="W71" s="1445"/>
      <c r="X71" s="1445"/>
      <c r="Y71" s="1445"/>
      <c r="Z71" s="1446"/>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1447"/>
      <c r="BW71" s="74"/>
      <c r="BX71" s="74"/>
      <c r="BY71" s="74"/>
      <c r="BZ71" s="74"/>
      <c r="CA71" s="1448"/>
      <c r="CB71" s="1448"/>
      <c r="CC71" s="1448"/>
      <c r="CD71" s="1448"/>
      <c r="CE71" s="1448"/>
      <c r="CF71" s="1448"/>
      <c r="CG71" s="1448"/>
      <c r="CH71" s="1448"/>
      <c r="CI71" s="1444"/>
      <c r="CJ71" s="446"/>
      <c r="CK71" s="446"/>
      <c r="CL71" s="446"/>
      <c r="CM71" s="446"/>
      <c r="CN71" s="446"/>
      <c r="CO71" s="446"/>
      <c r="CP71" s="446"/>
      <c r="CQ71" s="446"/>
      <c r="CR71" s="446"/>
      <c r="CS71" s="446"/>
      <c r="CT71" s="446"/>
      <c r="CU71" s="446"/>
      <c r="CV71" s="621"/>
      <c r="CW71" s="117"/>
      <c r="CX71" s="445"/>
      <c r="CY71" s="123"/>
      <c r="CZ71" s="123"/>
      <c r="DA71" s="123"/>
      <c r="DB71" s="123"/>
      <c r="DC71" s="123"/>
      <c r="DD71" s="123"/>
      <c r="DE71" s="123"/>
      <c r="DF71" s="123"/>
      <c r="DG71" s="123"/>
      <c r="DH71" s="123"/>
      <c r="DI71" s="123"/>
      <c r="DJ71" s="123"/>
      <c r="DK71" s="123"/>
      <c r="DL71" s="123"/>
      <c r="DM71" s="123"/>
      <c r="DN71" s="123"/>
      <c r="DO71" s="123"/>
      <c r="DP71" s="80"/>
      <c r="DQ71" s="80"/>
      <c r="DR71" s="80"/>
      <c r="DS71" s="80"/>
      <c r="DT71" s="80"/>
      <c r="DU71" s="80"/>
      <c r="DV71" s="80"/>
      <c r="DW71" s="80"/>
      <c r="DX71" s="80"/>
      <c r="DY71" s="80"/>
    </row>
    <row r="72" spans="3:129" s="68" customFormat="1" ht="14.4" thickTop="1">
      <c r="C72" s="789" t="str">
        <f>C64</f>
        <v>Belastung gesamt</v>
      </c>
      <c r="D72" s="789"/>
      <c r="E72" s="418">
        <f t="shared" ref="E72:P72" si="7">E71+E70</f>
        <v>0</v>
      </c>
      <c r="F72" s="794">
        <f t="shared" si="7"/>
        <v>0</v>
      </c>
      <c r="G72" s="794">
        <f t="shared" si="7"/>
        <v>0</v>
      </c>
      <c r="H72" s="794">
        <f t="shared" si="7"/>
        <v>0</v>
      </c>
      <c r="I72" s="794">
        <f t="shared" si="7"/>
        <v>0</v>
      </c>
      <c r="J72" s="794">
        <f t="shared" si="7"/>
        <v>0</v>
      </c>
      <c r="K72" s="794">
        <f t="shared" si="7"/>
        <v>0</v>
      </c>
      <c r="L72" s="794">
        <f t="shared" si="7"/>
        <v>0</v>
      </c>
      <c r="M72" s="794">
        <f t="shared" si="7"/>
        <v>0</v>
      </c>
      <c r="N72" s="794">
        <f t="shared" si="7"/>
        <v>0</v>
      </c>
      <c r="O72" s="794">
        <f t="shared" si="7"/>
        <v>0</v>
      </c>
      <c r="P72" s="794">
        <f t="shared" si="7"/>
        <v>0</v>
      </c>
      <c r="Q72" s="795">
        <f>SUM(E72:P72)</f>
        <v>0</v>
      </c>
      <c r="R72" s="182"/>
      <c r="S72" s="182"/>
      <c r="T72" s="77"/>
      <c r="U72" s="76"/>
      <c r="V72" s="1445"/>
      <c r="W72" s="1445"/>
      <c r="X72" s="1445"/>
      <c r="Y72" s="1445"/>
      <c r="Z72" s="1446"/>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1447"/>
      <c r="BW72" s="74"/>
      <c r="BX72" s="74"/>
      <c r="BY72" s="74"/>
      <c r="BZ72" s="74"/>
      <c r="CA72" s="1448"/>
      <c r="CB72" s="1448"/>
      <c r="CC72" s="1448"/>
      <c r="CD72" s="1448"/>
      <c r="CE72" s="1448"/>
      <c r="CF72" s="1448"/>
      <c r="CG72" s="1448"/>
      <c r="CH72" s="1448"/>
      <c r="CI72" s="1444"/>
      <c r="CJ72" s="446"/>
      <c r="CK72" s="446"/>
      <c r="CL72" s="446"/>
      <c r="CM72" s="446"/>
      <c r="CN72" s="446"/>
      <c r="CO72" s="446"/>
      <c r="CP72" s="446"/>
      <c r="CQ72" s="446"/>
      <c r="CR72" s="446"/>
      <c r="CS72" s="446"/>
      <c r="CT72" s="446"/>
      <c r="CU72" s="446"/>
      <c r="CV72" s="621"/>
      <c r="CW72" s="117"/>
      <c r="CX72" s="445"/>
      <c r="CY72" s="123"/>
      <c r="CZ72" s="123"/>
      <c r="DA72" s="123"/>
      <c r="DB72" s="123"/>
      <c r="DC72" s="123"/>
      <c r="DD72" s="123"/>
      <c r="DE72" s="123"/>
      <c r="DF72" s="123"/>
      <c r="DG72" s="123"/>
      <c r="DH72" s="123"/>
      <c r="DI72" s="123"/>
      <c r="DJ72" s="123"/>
      <c r="DK72" s="123"/>
      <c r="DL72" s="123"/>
      <c r="DM72" s="123"/>
      <c r="DN72" s="123"/>
      <c r="DO72" s="123"/>
      <c r="DP72" s="80"/>
      <c r="DQ72" s="80"/>
      <c r="DR72" s="80"/>
      <c r="DS72" s="80"/>
      <c r="DT72" s="80"/>
      <c r="DU72" s="80"/>
      <c r="DV72" s="80"/>
      <c r="DW72" s="80"/>
      <c r="DX72" s="80"/>
      <c r="DY72" s="80"/>
    </row>
    <row r="73" spans="3:129" s="68" customFormat="1">
      <c r="C73" s="131"/>
      <c r="D73" s="131"/>
      <c r="E73" s="781"/>
      <c r="F73" s="242"/>
      <c r="G73" s="242"/>
      <c r="H73" s="242"/>
      <c r="I73" s="242"/>
      <c r="J73" s="242"/>
      <c r="K73" s="242"/>
      <c r="L73" s="242"/>
      <c r="M73" s="242"/>
      <c r="N73" s="242"/>
      <c r="O73" s="242"/>
      <c r="P73" s="242"/>
      <c r="Q73" s="242"/>
      <c r="R73" s="182"/>
      <c r="S73" s="182"/>
      <c r="T73" s="77"/>
      <c r="U73" s="76"/>
      <c r="V73" s="1445"/>
      <c r="W73" s="1445"/>
      <c r="X73" s="1445"/>
      <c r="Y73" s="1445"/>
      <c r="Z73" s="1446"/>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1447"/>
      <c r="BW73" s="74"/>
      <c r="BX73" s="74"/>
      <c r="BY73" s="74"/>
      <c r="BZ73" s="74"/>
      <c r="CA73" s="1448"/>
      <c r="CB73" s="1448"/>
      <c r="CC73" s="1448"/>
      <c r="CD73" s="1448"/>
      <c r="CE73" s="1448"/>
      <c r="CF73" s="1448"/>
      <c r="CG73" s="1448"/>
      <c r="CH73" s="1448"/>
      <c r="CI73" s="1444"/>
      <c r="CJ73" s="446"/>
      <c r="CK73" s="446"/>
      <c r="CL73" s="446"/>
      <c r="CM73" s="446"/>
      <c r="CN73" s="446"/>
      <c r="CO73" s="446"/>
      <c r="CP73" s="446"/>
      <c r="CQ73" s="446"/>
      <c r="CR73" s="446"/>
      <c r="CS73" s="446"/>
      <c r="CT73" s="446"/>
      <c r="CU73" s="446"/>
      <c r="CV73" s="621"/>
      <c r="CW73" s="117"/>
      <c r="CX73" s="445"/>
      <c r="CY73" s="123"/>
      <c r="CZ73" s="123"/>
      <c r="DA73" s="123"/>
      <c r="DB73" s="123"/>
      <c r="DC73" s="123"/>
      <c r="DD73" s="123"/>
      <c r="DE73" s="123"/>
      <c r="DF73" s="123"/>
      <c r="DG73" s="123"/>
      <c r="DH73" s="123"/>
      <c r="DI73" s="123"/>
      <c r="DJ73" s="123"/>
      <c r="DK73" s="123"/>
      <c r="DL73" s="123"/>
      <c r="DM73" s="123"/>
      <c r="DN73" s="123"/>
      <c r="DO73" s="123"/>
      <c r="DP73" s="80"/>
      <c r="DQ73" s="80"/>
      <c r="DR73" s="80"/>
      <c r="DS73" s="80"/>
      <c r="DT73" s="80"/>
      <c r="DU73" s="80"/>
      <c r="DV73" s="80"/>
      <c r="DW73" s="80"/>
      <c r="DX73" s="80"/>
      <c r="DY73" s="80"/>
    </row>
    <row r="74" spans="3:129" s="68" customFormat="1">
      <c r="C74" s="247"/>
      <c r="D74" s="796"/>
      <c r="E74" s="797"/>
      <c r="F74" s="796"/>
      <c r="G74" s="796"/>
      <c r="H74" s="796"/>
      <c r="I74" s="796"/>
      <c r="J74" s="796"/>
      <c r="K74" s="796"/>
      <c r="L74" s="796"/>
      <c r="M74" s="796"/>
      <c r="N74" s="796"/>
      <c r="O74" s="796"/>
      <c r="P74" s="796"/>
      <c r="Q74" s="796"/>
      <c r="R74" s="182"/>
      <c r="S74" s="182"/>
      <c r="T74" s="77"/>
      <c r="U74" s="76"/>
      <c r="V74" s="1445"/>
      <c r="W74" s="1445"/>
      <c r="X74" s="1445"/>
      <c r="Y74" s="1445"/>
      <c r="Z74" s="1446"/>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1447"/>
      <c r="BW74" s="74"/>
      <c r="BX74" s="74"/>
      <c r="BY74" s="74"/>
      <c r="BZ74" s="74"/>
      <c r="CA74" s="1448"/>
      <c r="CB74" s="1448"/>
      <c r="CC74" s="1448"/>
      <c r="CD74" s="1448"/>
      <c r="CE74" s="1448"/>
      <c r="CF74" s="1448"/>
      <c r="CG74" s="1448"/>
      <c r="CH74" s="1448"/>
      <c r="CI74" s="1444"/>
      <c r="CJ74" s="446"/>
      <c r="CK74" s="446"/>
      <c r="CL74" s="446"/>
      <c r="CM74" s="446"/>
      <c r="CN74" s="446"/>
      <c r="CO74" s="446"/>
      <c r="CP74" s="446"/>
      <c r="CQ74" s="446"/>
      <c r="CR74" s="446"/>
      <c r="CS74" s="446"/>
      <c r="CT74" s="446"/>
      <c r="CU74" s="446"/>
      <c r="CV74" s="621"/>
      <c r="CW74" s="117"/>
      <c r="CX74" s="445"/>
      <c r="CY74" s="123"/>
      <c r="CZ74" s="123"/>
      <c r="DA74" s="123"/>
      <c r="DB74" s="123"/>
      <c r="DC74" s="123"/>
      <c r="DD74" s="123"/>
      <c r="DE74" s="123"/>
      <c r="DF74" s="123"/>
      <c r="DG74" s="123"/>
      <c r="DH74" s="123"/>
      <c r="DI74" s="123"/>
      <c r="DJ74" s="123"/>
      <c r="DK74" s="123"/>
      <c r="DL74" s="123"/>
      <c r="DM74" s="123"/>
      <c r="DN74" s="123"/>
      <c r="DO74" s="123"/>
      <c r="DP74" s="80"/>
      <c r="DQ74" s="80"/>
      <c r="DR74" s="80"/>
      <c r="DS74" s="80"/>
      <c r="DT74" s="80"/>
      <c r="DU74" s="80"/>
      <c r="DV74" s="80"/>
      <c r="DW74" s="80"/>
      <c r="DX74" s="80"/>
      <c r="DY74" s="80"/>
    </row>
    <row r="75" spans="3:129" s="68" customFormat="1">
      <c r="C75" s="131"/>
      <c r="D75" s="131"/>
      <c r="E75" s="781"/>
      <c r="F75" s="242"/>
      <c r="G75" s="242"/>
      <c r="H75" s="242"/>
      <c r="I75" s="242"/>
      <c r="J75" s="242"/>
      <c r="K75" s="242"/>
      <c r="L75" s="242"/>
      <c r="M75" s="242"/>
      <c r="N75" s="242"/>
      <c r="O75" s="242"/>
      <c r="P75" s="242"/>
      <c r="Q75" s="242"/>
      <c r="R75" s="182"/>
      <c r="S75" s="182"/>
      <c r="T75" s="77"/>
      <c r="U75" s="76"/>
      <c r="V75" s="1445"/>
      <c r="W75" s="1445"/>
      <c r="X75" s="1445"/>
      <c r="Y75" s="1445"/>
      <c r="Z75" s="1446"/>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1447"/>
      <c r="BW75" s="74"/>
      <c r="BX75" s="74"/>
      <c r="BY75" s="74"/>
      <c r="BZ75" s="74"/>
      <c r="CA75" s="1448"/>
      <c r="CB75" s="1448"/>
      <c r="CC75" s="1448"/>
      <c r="CD75" s="1448"/>
      <c r="CE75" s="1448"/>
      <c r="CF75" s="1448"/>
      <c r="CG75" s="1448"/>
      <c r="CH75" s="1448"/>
      <c r="CI75" s="1444"/>
      <c r="CJ75" s="446"/>
      <c r="CK75" s="446"/>
      <c r="CL75" s="446"/>
      <c r="CM75" s="446"/>
      <c r="CN75" s="446"/>
      <c r="CO75" s="446"/>
      <c r="CP75" s="446"/>
      <c r="CQ75" s="446"/>
      <c r="CR75" s="446"/>
      <c r="CS75" s="446"/>
      <c r="CT75" s="446"/>
      <c r="CU75" s="446"/>
      <c r="CV75" s="621"/>
      <c r="CW75" s="117"/>
      <c r="CX75" s="445"/>
      <c r="CY75" s="123"/>
      <c r="CZ75" s="123"/>
      <c r="DA75" s="123"/>
      <c r="DB75" s="123"/>
      <c r="DC75" s="123"/>
      <c r="DD75" s="123"/>
      <c r="DE75" s="123"/>
      <c r="DF75" s="123"/>
      <c r="DG75" s="123"/>
      <c r="DH75" s="123"/>
      <c r="DI75" s="123"/>
      <c r="DJ75" s="123"/>
      <c r="DK75" s="123"/>
      <c r="DL75" s="123"/>
      <c r="DM75" s="123"/>
      <c r="DN75" s="123"/>
      <c r="DO75" s="123"/>
      <c r="DP75" s="80"/>
      <c r="DQ75" s="80"/>
      <c r="DR75" s="80"/>
      <c r="DS75" s="80"/>
      <c r="DT75" s="80"/>
      <c r="DU75" s="80"/>
      <c r="DV75" s="80"/>
      <c r="DW75" s="80"/>
      <c r="DX75" s="80"/>
      <c r="DY75" s="80"/>
    </row>
    <row r="76" spans="3:129" s="68" customFormat="1" ht="24.6">
      <c r="C76" s="128" t="str">
        <f ca="1">CV76</f>
        <v>7.3  Kapitaldienst für die Jahre 2026 - 2030 (EUR)</v>
      </c>
      <c r="D76" s="131"/>
      <c r="E76" s="790"/>
      <c r="F76" s="195"/>
      <c r="G76" s="195"/>
      <c r="H76" s="195"/>
      <c r="I76" s="195"/>
      <c r="J76" s="242"/>
      <c r="K76" s="242"/>
      <c r="L76" s="242"/>
      <c r="M76" s="242"/>
      <c r="N76" s="798"/>
      <c r="O76" s="242"/>
      <c r="P76" s="242"/>
      <c r="Q76" s="242"/>
      <c r="R76" s="182"/>
      <c r="S76" s="182"/>
      <c r="T76" s="77"/>
      <c r="U76" s="76"/>
      <c r="V76" s="1445"/>
      <c r="W76" s="1445"/>
      <c r="X76" s="1445"/>
      <c r="Y76" s="1445"/>
      <c r="Z76" s="1446"/>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1447"/>
      <c r="BW76" s="74"/>
      <c r="BX76" s="74"/>
      <c r="BY76" s="74"/>
      <c r="BZ76" s="74"/>
      <c r="CA76" s="1448"/>
      <c r="CB76" s="1448"/>
      <c r="CC76" s="1448"/>
      <c r="CD76" s="1448"/>
      <c r="CE76" s="1448"/>
      <c r="CF76" s="1448"/>
      <c r="CG76" s="1448"/>
      <c r="CH76" s="1448"/>
      <c r="CI76" s="1444"/>
      <c r="CJ76" s="446"/>
      <c r="CK76" s="446"/>
      <c r="CL76" s="446"/>
      <c r="CM76" s="446"/>
      <c r="CN76" s="446"/>
      <c r="CO76" s="446"/>
      <c r="CP76" s="446"/>
      <c r="CQ76" s="446"/>
      <c r="CR76" s="446"/>
      <c r="CS76" s="446"/>
      <c r="CT76" s="446"/>
      <c r="CU76" s="446"/>
      <c r="CV76" s="621" t="str">
        <f ca="1">IF(Basisdaten!$B$15="English",CX76,CW76)</f>
        <v>7.3  Kapitaldienst für die Jahre 2026 - 2030 (EUR)</v>
      </c>
      <c r="CW76" s="305" t="str">
        <f ca="1">"7.3  Kapitaldienst für die Jahre " &amp;$E$6 &amp; " - " &amp; $O$20 &amp; " (EUR)"</f>
        <v>7.3  Kapitaldienst für die Jahre 2026 - 2030 (EUR)</v>
      </c>
      <c r="CX76" s="117" t="str">
        <f ca="1">"7.3 Interest and repayment for the year " &amp;$E$6 &amp; " - " &amp; $O$20 &amp; " (EUR)"</f>
        <v>7.3 Interest and repayment for the year 2026 - 2030 (EUR)</v>
      </c>
      <c r="CY76" s="123"/>
      <c r="CZ76" s="123"/>
      <c r="DA76" s="123"/>
      <c r="DB76" s="123"/>
      <c r="DC76" s="123"/>
      <c r="DD76" s="123"/>
      <c r="DE76" s="123"/>
      <c r="DF76" s="123"/>
      <c r="DG76" s="123"/>
      <c r="DH76" s="123"/>
      <c r="DI76" s="123"/>
      <c r="DJ76" s="123"/>
      <c r="DK76" s="123"/>
      <c r="DL76" s="123"/>
      <c r="DM76" s="123"/>
      <c r="DN76" s="123"/>
      <c r="DO76" s="123"/>
      <c r="DP76" s="80"/>
      <c r="DQ76" s="80"/>
      <c r="DR76" s="80"/>
      <c r="DS76" s="80"/>
      <c r="DT76" s="80"/>
      <c r="DU76" s="80"/>
      <c r="DV76" s="80"/>
      <c r="DW76" s="80"/>
      <c r="DX76" s="80"/>
      <c r="DY76" s="80"/>
    </row>
    <row r="77" spans="3:129" s="68" customFormat="1">
      <c r="R77" s="182"/>
      <c r="S77" s="182"/>
      <c r="T77" s="77"/>
      <c r="U77" s="76"/>
      <c r="V77" s="1445"/>
      <c r="W77" s="1445"/>
      <c r="X77" s="1445"/>
      <c r="Y77" s="1445"/>
      <c r="Z77" s="1446"/>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1447"/>
      <c r="BW77" s="74"/>
      <c r="BX77" s="74"/>
      <c r="BY77" s="74"/>
      <c r="BZ77" s="74"/>
      <c r="CA77" s="1448"/>
      <c r="CB77" s="1448"/>
      <c r="CC77" s="1448"/>
      <c r="CD77" s="1448"/>
      <c r="CE77" s="1448"/>
      <c r="CF77" s="1448"/>
      <c r="CG77" s="1448"/>
      <c r="CH77" s="1448"/>
      <c r="CI77" s="1444"/>
      <c r="CJ77" s="446"/>
      <c r="CK77" s="446"/>
      <c r="CL77" s="446"/>
      <c r="CM77" s="446"/>
      <c r="CN77" s="446"/>
      <c r="CO77" s="446"/>
      <c r="CP77" s="446"/>
      <c r="CQ77" s="446"/>
      <c r="CR77" s="446"/>
      <c r="CS77" s="446"/>
      <c r="CT77" s="446"/>
      <c r="CU77" s="446"/>
      <c r="CV77" s="621"/>
      <c r="CW77" s="117"/>
      <c r="CX77" s="445"/>
      <c r="CY77" s="123"/>
      <c r="CZ77" s="123"/>
      <c r="DA77" s="123"/>
      <c r="DB77" s="123"/>
      <c r="DC77" s="123"/>
      <c r="DD77" s="123"/>
      <c r="DE77" s="123"/>
      <c r="DF77" s="123"/>
      <c r="DG77" s="123"/>
      <c r="DH77" s="123"/>
      <c r="DI77" s="123"/>
      <c r="DJ77" s="123"/>
      <c r="DK77" s="123"/>
      <c r="DL77" s="123"/>
      <c r="DM77" s="123"/>
      <c r="DN77" s="123"/>
      <c r="DO77" s="123"/>
      <c r="DP77" s="80"/>
      <c r="DQ77" s="80"/>
      <c r="DR77" s="80"/>
      <c r="DS77" s="80"/>
      <c r="DT77" s="80"/>
      <c r="DU77" s="80"/>
      <c r="DV77" s="80"/>
      <c r="DW77" s="80"/>
      <c r="DX77" s="80"/>
      <c r="DY77" s="80"/>
    </row>
    <row r="78" spans="3:129" s="68" customFormat="1" ht="16.2">
      <c r="C78" s="799" t="str">
        <f>CV415</f>
        <v>durchschn. Jahresbeträge</v>
      </c>
      <c r="D78" s="800"/>
      <c r="E78" s="541">
        <f ca="1">$E$6</f>
        <v>2026</v>
      </c>
      <c r="F78" s="541">
        <f ca="1">E78+1</f>
        <v>2027</v>
      </c>
      <c r="G78" s="541">
        <f ca="1">F78+1</f>
        <v>2028</v>
      </c>
      <c r="H78" s="541">
        <f ca="1">G78+1</f>
        <v>2029</v>
      </c>
      <c r="I78" s="541">
        <f ca="1">H78+1</f>
        <v>2030</v>
      </c>
      <c r="R78" s="182"/>
      <c r="S78" s="182"/>
      <c r="T78" s="77"/>
      <c r="U78" s="76"/>
      <c r="V78" s="1445"/>
      <c r="W78" s="1445"/>
      <c r="X78" s="1445"/>
      <c r="Y78" s="1445"/>
      <c r="Z78" s="1446"/>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1447"/>
      <c r="BW78" s="74"/>
      <c r="BX78" s="74"/>
      <c r="BY78" s="74"/>
      <c r="BZ78" s="74"/>
      <c r="CA78" s="1448"/>
      <c r="CB78" s="1448"/>
      <c r="CC78" s="1448"/>
      <c r="CD78" s="1448"/>
      <c r="CE78" s="1448"/>
      <c r="CF78" s="1448"/>
      <c r="CG78" s="1448"/>
      <c r="CH78" s="1448"/>
      <c r="CI78" s="1444"/>
      <c r="CJ78" s="446"/>
      <c r="CK78" s="446"/>
      <c r="CL78" s="446"/>
      <c r="CM78" s="446"/>
      <c r="CN78" s="446"/>
      <c r="CO78" s="446"/>
      <c r="CP78" s="446"/>
      <c r="CQ78" s="446"/>
      <c r="CR78" s="446"/>
      <c r="CS78" s="446"/>
      <c r="CT78" s="446"/>
      <c r="CU78" s="446"/>
      <c r="CV78" s="621"/>
      <c r="CW78" s="117"/>
      <c r="CX78" s="445"/>
      <c r="CY78" s="123"/>
      <c r="CZ78" s="123"/>
      <c r="DA78" s="123"/>
      <c r="DB78" s="123"/>
      <c r="DC78" s="123"/>
      <c r="DD78" s="123"/>
      <c r="DE78" s="123"/>
      <c r="DF78" s="123"/>
      <c r="DG78" s="123"/>
      <c r="DH78" s="123"/>
      <c r="DI78" s="123"/>
      <c r="DJ78" s="123"/>
      <c r="DK78" s="123"/>
      <c r="DL78" s="123"/>
      <c r="DM78" s="123"/>
      <c r="DN78" s="123"/>
      <c r="DO78" s="123"/>
      <c r="DP78" s="80"/>
      <c r="DQ78" s="80"/>
      <c r="DR78" s="80"/>
      <c r="DS78" s="80"/>
      <c r="DT78" s="80"/>
      <c r="DU78" s="80"/>
      <c r="DV78" s="80"/>
      <c r="DW78" s="80"/>
      <c r="DX78" s="80"/>
      <c r="DY78" s="80"/>
    </row>
    <row r="79" spans="3:129" s="68" customFormat="1" ht="15.75" customHeight="1">
      <c r="C79" s="788" t="str">
        <f>C70</f>
        <v>Zins Fremdkapital</v>
      </c>
      <c r="D79" s="788"/>
      <c r="E79" s="801">
        <f>E113</f>
        <v>0</v>
      </c>
      <c r="F79" s="802">
        <f>G113</f>
        <v>0</v>
      </c>
      <c r="G79" s="802">
        <f>I113</f>
        <v>0</v>
      </c>
      <c r="H79" s="802">
        <f ca="1">K113</f>
        <v>0</v>
      </c>
      <c r="I79" s="802">
        <f ca="1">M113</f>
        <v>0</v>
      </c>
      <c r="J79" s="37"/>
      <c r="K79" s="37"/>
      <c r="L79" s="37"/>
      <c r="M79" s="37"/>
      <c r="N79" s="37"/>
      <c r="O79" s="37"/>
      <c r="P79" s="37"/>
      <c r="Q79" s="37"/>
      <c r="R79" s="182"/>
      <c r="S79" s="182"/>
      <c r="T79" s="77"/>
      <c r="U79" s="76"/>
      <c r="V79" s="1445"/>
      <c r="W79" s="1445"/>
      <c r="X79" s="1445"/>
      <c r="Y79" s="1445"/>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1447"/>
      <c r="BW79" s="74"/>
      <c r="BX79" s="74"/>
      <c r="BY79" s="74"/>
      <c r="BZ79" s="74"/>
      <c r="CA79" s="1448"/>
      <c r="CB79" s="1448"/>
      <c r="CC79" s="1448"/>
      <c r="CD79" s="1448"/>
      <c r="CE79" s="1448"/>
      <c r="CF79" s="1448"/>
      <c r="CG79" s="1448"/>
      <c r="CH79" s="1448"/>
      <c r="CI79" s="1444"/>
      <c r="CJ79" s="446"/>
      <c r="CK79" s="446"/>
      <c r="CL79" s="446"/>
      <c r="CM79" s="446"/>
      <c r="CN79" s="446"/>
      <c r="CO79" s="446"/>
      <c r="CP79" s="446"/>
      <c r="CQ79" s="446"/>
      <c r="CR79" s="446"/>
      <c r="CS79" s="446"/>
      <c r="CT79" s="446"/>
      <c r="CU79" s="446"/>
      <c r="CV79" s="621"/>
      <c r="CW79" s="117"/>
      <c r="CX79" s="445"/>
      <c r="CY79" s="123"/>
      <c r="CZ79" s="123"/>
      <c r="DA79" s="123"/>
      <c r="DB79" s="123"/>
      <c r="DC79" s="123"/>
      <c r="DD79" s="123"/>
      <c r="DE79" s="123"/>
      <c r="DF79" s="123"/>
      <c r="DG79" s="123"/>
      <c r="DH79" s="123"/>
      <c r="DI79" s="123"/>
      <c r="DJ79" s="123"/>
      <c r="DK79" s="123"/>
      <c r="DL79" s="123"/>
      <c r="DM79" s="123"/>
      <c r="DN79" s="123"/>
      <c r="DO79" s="123"/>
      <c r="DP79" s="80"/>
      <c r="DQ79" s="80"/>
      <c r="DR79" s="80"/>
      <c r="DS79" s="80"/>
      <c r="DT79" s="80"/>
      <c r="DU79" s="80"/>
      <c r="DV79" s="80"/>
      <c r="DW79" s="80"/>
      <c r="DX79" s="80"/>
      <c r="DY79" s="80"/>
    </row>
    <row r="80" spans="3:129" s="68" customFormat="1" ht="15.75" customHeight="1" thickBot="1">
      <c r="C80" s="270" t="str">
        <f>C71</f>
        <v>Tilgung Fremdkapital</v>
      </c>
      <c r="D80" s="270"/>
      <c r="E80" s="801">
        <f>E114</f>
        <v>0</v>
      </c>
      <c r="F80" s="802">
        <f>G114</f>
        <v>0</v>
      </c>
      <c r="G80" s="802">
        <f>I114</f>
        <v>0</v>
      </c>
      <c r="H80" s="802">
        <f>K114</f>
        <v>0</v>
      </c>
      <c r="I80" s="802">
        <f>M114</f>
        <v>0</v>
      </c>
      <c r="J80" s="76"/>
      <c r="K80" s="76"/>
      <c r="L80" s="80"/>
      <c r="M80" s="80"/>
      <c r="N80" s="80"/>
      <c r="O80" s="80"/>
      <c r="P80" s="80"/>
      <c r="Q80" s="80"/>
      <c r="R80" s="182"/>
      <c r="S80" s="182"/>
      <c r="T80" s="77"/>
      <c r="U80" s="76"/>
      <c r="V80" s="1445"/>
      <c r="W80" s="1445"/>
      <c r="X80" s="1445"/>
      <c r="Y80" s="1445"/>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1447"/>
      <c r="BW80" s="74"/>
      <c r="BX80" s="74"/>
      <c r="BY80" s="74"/>
      <c r="BZ80" s="74"/>
      <c r="CA80" s="1448"/>
      <c r="CB80" s="1448"/>
      <c r="CC80" s="1448"/>
      <c r="CD80" s="1448"/>
      <c r="CE80" s="1448"/>
      <c r="CF80" s="1448"/>
      <c r="CG80" s="1448"/>
      <c r="CH80" s="1448"/>
      <c r="CI80" s="1444"/>
      <c r="CJ80" s="446"/>
      <c r="CK80" s="446"/>
      <c r="CL80" s="446"/>
      <c r="CM80" s="446"/>
      <c r="CN80" s="446"/>
      <c r="CO80" s="446"/>
      <c r="CP80" s="446"/>
      <c r="CQ80" s="446"/>
      <c r="CR80" s="446"/>
      <c r="CS80" s="446"/>
      <c r="CT80" s="446"/>
      <c r="CU80" s="446"/>
      <c r="CV80" s="621"/>
      <c r="CW80" s="117"/>
      <c r="CX80" s="445"/>
      <c r="CY80" s="123"/>
      <c r="CZ80" s="123"/>
      <c r="DA80" s="123"/>
      <c r="DB80" s="123"/>
      <c r="DC80" s="123"/>
      <c r="DD80" s="123"/>
      <c r="DE80" s="123"/>
      <c r="DF80" s="123"/>
      <c r="DG80" s="123"/>
      <c r="DH80" s="123"/>
      <c r="DI80" s="123"/>
      <c r="DJ80" s="123"/>
      <c r="DK80" s="123"/>
      <c r="DL80" s="123"/>
      <c r="DM80" s="123"/>
      <c r="DN80" s="123"/>
      <c r="DO80" s="123"/>
      <c r="DP80" s="80"/>
      <c r="DQ80" s="80"/>
      <c r="DR80" s="80"/>
      <c r="DS80" s="80"/>
      <c r="DT80" s="80"/>
      <c r="DU80" s="80"/>
      <c r="DV80" s="80"/>
      <c r="DW80" s="80"/>
      <c r="DX80" s="80"/>
      <c r="DY80" s="80"/>
    </row>
    <row r="81" spans="3:129" s="68" customFormat="1" ht="15.75" customHeight="1" thickTop="1">
      <c r="C81" s="2310" t="str">
        <f>C72</f>
        <v>Belastung gesamt</v>
      </c>
      <c r="D81" s="2310"/>
      <c r="E81" s="803">
        <f>E80+E79</f>
        <v>0</v>
      </c>
      <c r="F81" s="804">
        <f>F80+F79</f>
        <v>0</v>
      </c>
      <c r="G81" s="804">
        <f>G80+G79</f>
        <v>0</v>
      </c>
      <c r="H81" s="804">
        <f ca="1">H80+H79</f>
        <v>0</v>
      </c>
      <c r="I81" s="804">
        <f ca="1">I80+I79</f>
        <v>0</v>
      </c>
      <c r="J81" s="76"/>
      <c r="K81" s="76"/>
      <c r="L81" s="80"/>
      <c r="M81" s="80"/>
      <c r="N81" s="80"/>
      <c r="O81" s="80"/>
      <c r="P81" s="80"/>
      <c r="Q81" s="80"/>
      <c r="R81" s="182"/>
      <c r="S81" s="182"/>
      <c r="T81" s="77"/>
      <c r="U81" s="76"/>
      <c r="V81" s="1445"/>
      <c r="W81" s="1445"/>
      <c r="X81" s="1445"/>
      <c r="Y81" s="1445"/>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1447"/>
      <c r="BW81" s="74"/>
      <c r="BX81" s="74"/>
      <c r="BY81" s="74"/>
      <c r="BZ81" s="74"/>
      <c r="CA81" s="1448"/>
      <c r="CB81" s="1448"/>
      <c r="CC81" s="1448"/>
      <c r="CD81" s="1448"/>
      <c r="CE81" s="1448"/>
      <c r="CF81" s="1448"/>
      <c r="CG81" s="1448"/>
      <c r="CH81" s="1448"/>
      <c r="CI81" s="1444"/>
      <c r="CJ81" s="446"/>
      <c r="CK81" s="446"/>
      <c r="CL81" s="446"/>
      <c r="CM81" s="446"/>
      <c r="CN81" s="446"/>
      <c r="CO81" s="446"/>
      <c r="CP81" s="446"/>
      <c r="CQ81" s="446"/>
      <c r="CR81" s="446"/>
      <c r="CS81" s="446"/>
      <c r="CT81" s="446"/>
      <c r="CU81" s="446"/>
      <c r="CV81" s="621"/>
      <c r="CW81" s="117"/>
      <c r="CX81" s="445"/>
      <c r="CY81" s="123"/>
      <c r="CZ81" s="123"/>
      <c r="DA81" s="123"/>
      <c r="DB81" s="123"/>
      <c r="DC81" s="123"/>
      <c r="DD81" s="123"/>
      <c r="DE81" s="123"/>
      <c r="DF81" s="123"/>
      <c r="DG81" s="123"/>
      <c r="DH81" s="123"/>
      <c r="DI81" s="123"/>
      <c r="DJ81" s="123"/>
      <c r="DK81" s="123"/>
      <c r="DL81" s="123"/>
      <c r="DM81" s="123"/>
      <c r="DN81" s="123"/>
      <c r="DO81" s="123"/>
      <c r="DP81" s="80"/>
      <c r="DQ81" s="80"/>
      <c r="DR81" s="80"/>
      <c r="DS81" s="80"/>
      <c r="DT81" s="80"/>
      <c r="DU81" s="80"/>
      <c r="DV81" s="80"/>
      <c r="DW81" s="80"/>
      <c r="DX81" s="80"/>
      <c r="DY81" s="80"/>
    </row>
    <row r="82" spans="3:129" s="68" customFormat="1" ht="15.75" customHeight="1">
      <c r="J82" s="76"/>
      <c r="K82" s="76"/>
      <c r="L82" s="80"/>
      <c r="M82" s="80"/>
      <c r="N82" s="80"/>
      <c r="O82" s="80"/>
      <c r="P82" s="80"/>
      <c r="Q82" s="80"/>
      <c r="R82" s="182"/>
      <c r="S82" s="182"/>
      <c r="T82" s="77"/>
      <c r="U82" s="76"/>
      <c r="V82" s="1445"/>
      <c r="W82" s="1445"/>
      <c r="X82" s="1445"/>
      <c r="Y82" s="1445"/>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1447"/>
      <c r="BW82" s="74"/>
      <c r="BX82" s="74"/>
      <c r="BY82" s="74"/>
      <c r="BZ82" s="74"/>
      <c r="CA82" s="1448"/>
      <c r="CB82" s="1448"/>
      <c r="CC82" s="1448"/>
      <c r="CD82" s="1448"/>
      <c r="CE82" s="1448"/>
      <c r="CF82" s="1448"/>
      <c r="CG82" s="1448"/>
      <c r="CH82" s="1448"/>
      <c r="CI82" s="1444"/>
      <c r="CJ82" s="446"/>
      <c r="CK82" s="446"/>
      <c r="CL82" s="446"/>
      <c r="CM82" s="446"/>
      <c r="CN82" s="446"/>
      <c r="CO82" s="446"/>
      <c r="CP82" s="446"/>
      <c r="CQ82" s="446"/>
      <c r="CR82" s="446"/>
      <c r="CS82" s="446"/>
      <c r="CT82" s="446"/>
      <c r="CU82" s="446"/>
      <c r="CV82" s="621"/>
      <c r="CW82" s="117"/>
      <c r="CX82" s="445"/>
      <c r="CY82" s="123"/>
      <c r="CZ82" s="123"/>
      <c r="DA82" s="123"/>
      <c r="DB82" s="123"/>
      <c r="DC82" s="123"/>
      <c r="DD82" s="123"/>
      <c r="DE82" s="123"/>
      <c r="DF82" s="123"/>
      <c r="DG82" s="123"/>
      <c r="DH82" s="123"/>
      <c r="DI82" s="123"/>
      <c r="DJ82" s="123"/>
      <c r="DK82" s="123"/>
      <c r="DL82" s="123"/>
      <c r="DM82" s="123"/>
      <c r="DN82" s="123"/>
      <c r="DO82" s="123"/>
      <c r="DP82" s="80"/>
      <c r="DQ82" s="80"/>
      <c r="DR82" s="80"/>
      <c r="DS82" s="80"/>
      <c r="DT82" s="80"/>
      <c r="DU82" s="80"/>
      <c r="DV82" s="80"/>
      <c r="DW82" s="80"/>
      <c r="DX82" s="80"/>
      <c r="DY82" s="80"/>
    </row>
    <row r="83" spans="3:129" s="68" customFormat="1" ht="15.75" customHeight="1">
      <c r="E83" s="712"/>
      <c r="F83" s="76"/>
      <c r="G83" s="76"/>
      <c r="H83" s="76"/>
      <c r="I83" s="76"/>
      <c r="J83" s="76"/>
      <c r="K83" s="76"/>
      <c r="L83" s="76"/>
      <c r="M83" s="76"/>
      <c r="N83" s="76"/>
      <c r="O83" s="78"/>
      <c r="P83" s="76"/>
      <c r="Q83" s="76"/>
      <c r="R83" s="182"/>
      <c r="S83" s="182"/>
      <c r="T83" s="77"/>
      <c r="U83" s="76"/>
      <c r="V83" s="1445"/>
      <c r="W83" s="1445"/>
      <c r="X83" s="1445"/>
      <c r="Y83" s="1445"/>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1447"/>
      <c r="BW83" s="74"/>
      <c r="BX83" s="74"/>
      <c r="BY83" s="74"/>
      <c r="BZ83" s="74"/>
      <c r="CA83" s="1448"/>
      <c r="CB83" s="1448"/>
      <c r="CC83" s="1448"/>
      <c r="CD83" s="1448"/>
      <c r="CE83" s="1448"/>
      <c r="CF83" s="1448"/>
      <c r="CG83" s="1448"/>
      <c r="CH83" s="1448"/>
      <c r="CI83" s="1444"/>
      <c r="CJ83" s="446"/>
      <c r="CK83" s="446"/>
      <c r="CL83" s="446"/>
      <c r="CM83" s="446"/>
      <c r="CN83" s="446"/>
      <c r="CO83" s="446"/>
      <c r="CP83" s="446"/>
      <c r="CQ83" s="446"/>
      <c r="CR83" s="446"/>
      <c r="CS83" s="446"/>
      <c r="CT83" s="446"/>
      <c r="CU83" s="446"/>
      <c r="CV83" s="621"/>
      <c r="CW83" s="117"/>
      <c r="CX83" s="445"/>
      <c r="CY83" s="123"/>
      <c r="CZ83" s="123"/>
      <c r="DA83" s="123"/>
      <c r="DB83" s="123"/>
      <c r="DC83" s="123"/>
      <c r="DD83" s="123"/>
      <c r="DE83" s="123"/>
      <c r="DF83" s="123"/>
      <c r="DG83" s="123"/>
      <c r="DH83" s="123"/>
      <c r="DI83" s="123"/>
      <c r="DJ83" s="123"/>
      <c r="DK83" s="123"/>
      <c r="DL83" s="123"/>
      <c r="DM83" s="123"/>
      <c r="DN83" s="123"/>
      <c r="DO83" s="123"/>
      <c r="DP83" s="80"/>
      <c r="DQ83" s="80"/>
      <c r="DR83" s="80"/>
      <c r="DS83" s="80"/>
      <c r="DT83" s="80"/>
      <c r="DU83" s="80"/>
      <c r="DV83" s="80"/>
      <c r="DW83" s="80"/>
      <c r="DX83" s="80"/>
      <c r="DY83" s="80"/>
    </row>
    <row r="84" spans="3:129" s="68" customFormat="1" ht="15.75" customHeight="1">
      <c r="E84" s="712"/>
      <c r="F84" s="76"/>
      <c r="G84" s="76"/>
      <c r="H84" s="76"/>
      <c r="I84" s="76"/>
      <c r="J84" s="76"/>
      <c r="K84" s="76"/>
      <c r="L84" s="76"/>
      <c r="M84" s="76"/>
      <c r="N84" s="76"/>
      <c r="O84" s="78"/>
      <c r="P84" s="76"/>
      <c r="Q84" s="76"/>
      <c r="R84" s="182"/>
      <c r="S84" s="182"/>
      <c r="T84" s="77"/>
      <c r="U84" s="76"/>
      <c r="V84" s="1445"/>
      <c r="W84" s="1445"/>
      <c r="X84" s="1445"/>
      <c r="Y84" s="1445"/>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1447"/>
      <c r="BW84" s="74"/>
      <c r="BX84" s="74"/>
      <c r="BY84" s="74"/>
      <c r="BZ84" s="74"/>
      <c r="CA84" s="1448"/>
      <c r="CB84" s="1448"/>
      <c r="CC84" s="1448"/>
      <c r="CD84" s="1448"/>
      <c r="CE84" s="1448"/>
      <c r="CF84" s="1448"/>
      <c r="CG84" s="1448"/>
      <c r="CH84" s="1448"/>
      <c r="CI84" s="1444"/>
      <c r="CJ84" s="446"/>
      <c r="CK84" s="446"/>
      <c r="CL84" s="446"/>
      <c r="CM84" s="446"/>
      <c r="CN84" s="446"/>
      <c r="CO84" s="446"/>
      <c r="CP84" s="446"/>
      <c r="CQ84" s="446"/>
      <c r="CR84" s="446"/>
      <c r="CS84" s="446"/>
      <c r="CT84" s="446"/>
      <c r="CU84" s="446"/>
      <c r="CV84" s="621"/>
      <c r="CW84" s="117"/>
      <c r="CX84" s="445"/>
      <c r="CY84" s="123"/>
      <c r="CZ84" s="123"/>
      <c r="DA84" s="123"/>
      <c r="DB84" s="123"/>
      <c r="DC84" s="123"/>
      <c r="DD84" s="123"/>
      <c r="DE84" s="123"/>
      <c r="DF84" s="123"/>
      <c r="DG84" s="123"/>
      <c r="DH84" s="123"/>
      <c r="DI84" s="123"/>
      <c r="DJ84" s="123"/>
      <c r="DK84" s="123"/>
      <c r="DL84" s="123"/>
      <c r="DM84" s="123"/>
      <c r="DN84" s="123"/>
      <c r="DO84" s="123"/>
      <c r="DP84" s="80"/>
      <c r="DQ84" s="80"/>
      <c r="DR84" s="80"/>
      <c r="DS84" s="80"/>
      <c r="DT84" s="80"/>
      <c r="DU84" s="80"/>
      <c r="DV84" s="80"/>
      <c r="DW84" s="80"/>
      <c r="DX84" s="80"/>
      <c r="DY84" s="80"/>
    </row>
    <row r="85" spans="3:129" s="68" customFormat="1" ht="15.75" customHeight="1">
      <c r="E85" s="712"/>
      <c r="F85" s="76"/>
      <c r="G85" s="76"/>
      <c r="H85" s="76"/>
      <c r="I85" s="76"/>
      <c r="J85" s="76"/>
      <c r="K85" s="76"/>
      <c r="L85" s="76"/>
      <c r="M85" s="76"/>
      <c r="N85" s="76"/>
      <c r="O85" s="78"/>
      <c r="P85" s="76"/>
      <c r="Q85" s="76"/>
      <c r="R85" s="182"/>
      <c r="S85" s="182"/>
      <c r="T85" s="77"/>
      <c r="U85" s="76"/>
      <c r="V85" s="1445"/>
      <c r="W85" s="1445"/>
      <c r="X85" s="1445"/>
      <c r="Y85" s="1445"/>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1447"/>
      <c r="BW85" s="74"/>
      <c r="BX85" s="74"/>
      <c r="BY85" s="74"/>
      <c r="BZ85" s="74"/>
      <c r="CA85" s="1448"/>
      <c r="CB85" s="1448"/>
      <c r="CC85" s="1448"/>
      <c r="CD85" s="1448"/>
      <c r="CE85" s="1448"/>
      <c r="CF85" s="1448"/>
      <c r="CG85" s="1448"/>
      <c r="CH85" s="1448"/>
      <c r="CI85" s="1444"/>
      <c r="CJ85" s="446"/>
      <c r="CK85" s="446"/>
      <c r="CL85" s="446"/>
      <c r="CM85" s="446"/>
      <c r="CN85" s="446"/>
      <c r="CO85" s="446"/>
      <c r="CP85" s="446"/>
      <c r="CQ85" s="446"/>
      <c r="CR85" s="446"/>
      <c r="CS85" s="446"/>
      <c r="CT85" s="446"/>
      <c r="CU85" s="446"/>
      <c r="CV85" s="621"/>
      <c r="CW85" s="117"/>
      <c r="CX85" s="445"/>
      <c r="CY85" s="123"/>
      <c r="CZ85" s="123"/>
      <c r="DA85" s="123"/>
      <c r="DB85" s="123"/>
      <c r="DC85" s="123"/>
      <c r="DD85" s="123"/>
      <c r="DE85" s="123"/>
      <c r="DF85" s="123"/>
      <c r="DG85" s="123"/>
      <c r="DH85" s="123"/>
      <c r="DI85" s="123"/>
      <c r="DJ85" s="123"/>
      <c r="DK85" s="123"/>
      <c r="DL85" s="123"/>
      <c r="DM85" s="123"/>
      <c r="DN85" s="123"/>
      <c r="DO85" s="123"/>
      <c r="DP85" s="80"/>
      <c r="DQ85" s="80"/>
      <c r="DR85" s="80"/>
      <c r="DS85" s="80"/>
      <c r="DT85" s="80"/>
      <c r="DU85" s="80"/>
      <c r="DV85" s="80"/>
      <c r="DW85" s="80"/>
      <c r="DX85" s="80"/>
      <c r="DY85" s="80"/>
    </row>
    <row r="86" spans="3:129" s="68" customFormat="1" ht="15.75" customHeight="1">
      <c r="E86" s="712"/>
      <c r="F86" s="76"/>
      <c r="G86" s="76"/>
      <c r="H86" s="76"/>
      <c r="I86" s="76"/>
      <c r="J86" s="76"/>
      <c r="K86" s="76"/>
      <c r="L86" s="76"/>
      <c r="M86" s="76"/>
      <c r="N86" s="76"/>
      <c r="O86" s="78"/>
      <c r="P86" s="76"/>
      <c r="Q86" s="76"/>
      <c r="R86" s="182"/>
      <c r="S86" s="182"/>
      <c r="T86" s="77"/>
      <c r="U86" s="76"/>
      <c r="V86" s="1445"/>
      <c r="W86" s="1445"/>
      <c r="X86" s="1445"/>
      <c r="Y86" s="1445"/>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1447"/>
      <c r="BW86" s="74"/>
      <c r="BX86" s="74"/>
      <c r="BY86" s="74"/>
      <c r="BZ86" s="74"/>
      <c r="CA86" s="1448"/>
      <c r="CB86" s="1448"/>
      <c r="CC86" s="1448"/>
      <c r="CD86" s="1448"/>
      <c r="CE86" s="1448"/>
      <c r="CF86" s="1448"/>
      <c r="CG86" s="1448"/>
      <c r="CH86" s="1448"/>
      <c r="CI86" s="1444"/>
      <c r="CJ86" s="446"/>
      <c r="CK86" s="446"/>
      <c r="CL86" s="446"/>
      <c r="CM86" s="446"/>
      <c r="CN86" s="446"/>
      <c r="CO86" s="446"/>
      <c r="CP86" s="446"/>
      <c r="CQ86" s="446"/>
      <c r="CR86" s="446"/>
      <c r="CS86" s="446"/>
      <c r="CT86" s="446"/>
      <c r="CU86" s="446"/>
      <c r="CV86" s="621"/>
      <c r="CW86" s="117"/>
      <c r="CX86" s="445"/>
      <c r="CY86" s="123"/>
      <c r="CZ86" s="123"/>
      <c r="DA86" s="123"/>
      <c r="DB86" s="123"/>
      <c r="DC86" s="123"/>
      <c r="DD86" s="123"/>
      <c r="DE86" s="123"/>
      <c r="DF86" s="123"/>
      <c r="DG86" s="123"/>
      <c r="DH86" s="123"/>
      <c r="DI86" s="123"/>
      <c r="DJ86" s="123"/>
      <c r="DK86" s="123"/>
      <c r="DL86" s="123"/>
      <c r="DM86" s="123"/>
      <c r="DN86" s="123"/>
      <c r="DO86" s="123"/>
      <c r="DP86" s="80"/>
      <c r="DQ86" s="80"/>
      <c r="DR86" s="80"/>
      <c r="DS86" s="80"/>
      <c r="DT86" s="80"/>
      <c r="DU86" s="80"/>
      <c r="DV86" s="80"/>
      <c r="DW86" s="80"/>
      <c r="DX86" s="80"/>
      <c r="DY86" s="80"/>
    </row>
    <row r="87" spans="3:129" s="68" customFormat="1">
      <c r="C87" s="712"/>
      <c r="D87" s="712"/>
      <c r="E87" s="712"/>
      <c r="F87" s="712"/>
      <c r="G87" s="712"/>
      <c r="H87" s="712"/>
      <c r="I87" s="712"/>
      <c r="J87" s="712"/>
      <c r="K87" s="712"/>
      <c r="L87" s="712"/>
      <c r="M87" s="712"/>
      <c r="N87" s="712"/>
      <c r="O87" s="712"/>
      <c r="P87" s="78"/>
      <c r="Q87" s="783"/>
      <c r="R87" s="78"/>
      <c r="S87" s="78"/>
      <c r="T87" s="78"/>
      <c r="U87" s="78"/>
      <c r="V87" s="1459"/>
      <c r="W87" s="1459"/>
      <c r="X87" s="1459"/>
      <c r="Y87" s="1459"/>
      <c r="Z87" s="1459"/>
      <c r="AA87" s="1459"/>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1447"/>
      <c r="BW87" s="74"/>
      <c r="BX87" s="74"/>
      <c r="BY87" s="74"/>
      <c r="BZ87" s="74"/>
      <c r="CA87" s="1448"/>
      <c r="CB87" s="1448"/>
      <c r="CC87" s="1448"/>
      <c r="CD87" s="1448"/>
      <c r="CE87" s="1448"/>
      <c r="CF87" s="1448"/>
      <c r="CG87" s="1448"/>
      <c r="CH87" s="1448"/>
      <c r="CI87" s="1444"/>
      <c r="CJ87" s="446"/>
      <c r="CK87" s="446"/>
      <c r="CL87" s="446"/>
      <c r="CM87" s="446"/>
      <c r="CN87" s="446"/>
      <c r="CO87" s="446"/>
      <c r="CP87" s="446"/>
      <c r="CQ87" s="446"/>
      <c r="CR87" s="446"/>
      <c r="CS87" s="446"/>
      <c r="CT87" s="446"/>
      <c r="CU87" s="446"/>
      <c r="CV87" s="621"/>
      <c r="CW87" s="716"/>
      <c r="CX87" s="445"/>
      <c r="CY87" s="123"/>
      <c r="CZ87" s="123"/>
      <c r="DA87" s="123"/>
      <c r="DB87" s="123"/>
      <c r="DC87" s="123"/>
      <c r="DD87" s="123"/>
      <c r="DE87" s="123"/>
      <c r="DF87" s="123"/>
      <c r="DG87" s="123"/>
      <c r="DH87" s="123"/>
      <c r="DI87" s="123"/>
      <c r="DJ87" s="123"/>
      <c r="DK87" s="123"/>
      <c r="DL87" s="123"/>
      <c r="DM87" s="123"/>
      <c r="DN87" s="123"/>
      <c r="DO87" s="123"/>
      <c r="DP87" s="80"/>
      <c r="DQ87" s="80"/>
      <c r="DR87" s="80"/>
      <c r="DS87" s="80"/>
      <c r="DT87" s="80"/>
      <c r="DU87" s="80"/>
      <c r="DV87" s="80"/>
      <c r="DW87" s="80"/>
      <c r="DX87" s="80"/>
      <c r="DY87" s="80"/>
    </row>
    <row r="88" spans="3:129" s="68" customFormat="1">
      <c r="C88" s="712"/>
      <c r="D88" s="712"/>
      <c r="E88" s="712"/>
      <c r="F88" s="712"/>
      <c r="G88" s="712"/>
      <c r="H88" s="712"/>
      <c r="I88" s="712"/>
      <c r="J88" s="712"/>
      <c r="K88" s="712"/>
      <c r="L88" s="712"/>
      <c r="M88" s="712"/>
      <c r="N88" s="712"/>
      <c r="O88" s="712"/>
      <c r="P88" s="78"/>
      <c r="Q88" s="783"/>
      <c r="R88" s="78"/>
      <c r="S88" s="78"/>
      <c r="T88" s="78"/>
      <c r="U88" s="78"/>
      <c r="V88" s="1459"/>
      <c r="W88" s="1459"/>
      <c r="X88" s="1459"/>
      <c r="Y88" s="1459"/>
      <c r="Z88" s="1459"/>
      <c r="AA88" s="1459"/>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74"/>
      <c r="BR88" s="74"/>
      <c r="BS88" s="74"/>
      <c r="BT88" s="74"/>
      <c r="BU88" s="74"/>
      <c r="BV88" s="1447"/>
      <c r="BW88" s="74"/>
      <c r="BX88" s="74"/>
      <c r="BY88" s="74"/>
      <c r="BZ88" s="74"/>
      <c r="CA88" s="1448"/>
      <c r="CB88" s="1448"/>
      <c r="CC88" s="1448"/>
      <c r="CD88" s="1448"/>
      <c r="CE88" s="1448"/>
      <c r="CF88" s="1448"/>
      <c r="CG88" s="1448"/>
      <c r="CH88" s="1448"/>
      <c r="CI88" s="1444"/>
      <c r="CJ88" s="446"/>
      <c r="CK88" s="446"/>
      <c r="CL88" s="446"/>
      <c r="CM88" s="446"/>
      <c r="CN88" s="446"/>
      <c r="CO88" s="446"/>
      <c r="CP88" s="446"/>
      <c r="CQ88" s="446"/>
      <c r="CR88" s="446"/>
      <c r="CS88" s="446"/>
      <c r="CT88" s="446"/>
      <c r="CU88" s="446"/>
      <c r="CV88" s="621"/>
      <c r="CW88" s="716"/>
      <c r="CX88" s="445"/>
      <c r="CY88" s="123"/>
      <c r="CZ88" s="123"/>
      <c r="DA88" s="123"/>
      <c r="DB88" s="123"/>
      <c r="DC88" s="123"/>
      <c r="DD88" s="123"/>
      <c r="DE88" s="123"/>
      <c r="DF88" s="123"/>
      <c r="DG88" s="123"/>
      <c r="DH88" s="123"/>
      <c r="DI88" s="123"/>
      <c r="DJ88" s="123"/>
      <c r="DK88" s="123"/>
      <c r="DL88" s="123"/>
      <c r="DM88" s="123"/>
      <c r="DN88" s="123"/>
      <c r="DO88" s="123"/>
      <c r="DP88" s="80"/>
      <c r="DQ88" s="80"/>
      <c r="DR88" s="80"/>
      <c r="DS88" s="80"/>
      <c r="DT88" s="80"/>
      <c r="DU88" s="80"/>
      <c r="DV88" s="80"/>
      <c r="DW88" s="80"/>
      <c r="DX88" s="80"/>
      <c r="DY88" s="80"/>
    </row>
    <row r="89" spans="3:129" s="68" customFormat="1">
      <c r="C89" s="712"/>
      <c r="D89" s="712"/>
      <c r="E89" s="712"/>
      <c r="F89" s="712"/>
      <c r="G89" s="712"/>
      <c r="H89" s="712"/>
      <c r="I89" s="712"/>
      <c r="J89" s="712"/>
      <c r="K89" s="712"/>
      <c r="L89" s="712"/>
      <c r="M89" s="712"/>
      <c r="N89" s="712"/>
      <c r="O89" s="712"/>
      <c r="P89" s="78"/>
      <c r="Q89" s="783"/>
      <c r="R89" s="78"/>
      <c r="S89" s="78"/>
      <c r="T89" s="78"/>
      <c r="U89" s="78"/>
      <c r="V89" s="1459"/>
      <c r="W89" s="1459"/>
      <c r="X89" s="1459"/>
      <c r="Y89" s="1459"/>
      <c r="Z89" s="1459"/>
      <c r="AA89" s="1459"/>
      <c r="AB89" s="74"/>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74"/>
      <c r="BO89" s="74"/>
      <c r="BP89" s="74"/>
      <c r="BQ89" s="74"/>
      <c r="BR89" s="74"/>
      <c r="BS89" s="74"/>
      <c r="BT89" s="74"/>
      <c r="BU89" s="74"/>
      <c r="BV89" s="1447"/>
      <c r="BW89" s="74"/>
      <c r="BX89" s="74"/>
      <c r="BY89" s="74"/>
      <c r="BZ89" s="74"/>
      <c r="CA89" s="1448"/>
      <c r="CB89" s="1448"/>
      <c r="CC89" s="1448"/>
      <c r="CD89" s="1448"/>
      <c r="CE89" s="1448"/>
      <c r="CF89" s="1448"/>
      <c r="CG89" s="1448"/>
      <c r="CH89" s="1448"/>
      <c r="CI89" s="1444"/>
      <c r="CJ89" s="446"/>
      <c r="CK89" s="446"/>
      <c r="CL89" s="446"/>
      <c r="CM89" s="446"/>
      <c r="CN89" s="446"/>
      <c r="CO89" s="446"/>
      <c r="CP89" s="446"/>
      <c r="CQ89" s="446"/>
      <c r="CR89" s="446"/>
      <c r="CS89" s="446"/>
      <c r="CT89" s="446"/>
      <c r="CU89" s="446"/>
      <c r="CV89" s="621"/>
      <c r="CW89" s="716"/>
      <c r="CX89" s="445"/>
      <c r="CY89" s="123"/>
      <c r="CZ89" s="123"/>
      <c r="DA89" s="123"/>
      <c r="DB89" s="123"/>
      <c r="DC89" s="123"/>
      <c r="DD89" s="123"/>
      <c r="DE89" s="123"/>
      <c r="DF89" s="123"/>
      <c r="DG89" s="123"/>
      <c r="DH89" s="123"/>
      <c r="DI89" s="123"/>
      <c r="DJ89" s="123"/>
      <c r="DK89" s="123"/>
      <c r="DL89" s="123"/>
      <c r="DM89" s="123"/>
      <c r="DN89" s="123"/>
      <c r="DO89" s="123"/>
      <c r="DP89" s="80"/>
      <c r="DQ89" s="80"/>
      <c r="DR89" s="80"/>
      <c r="DS89" s="80"/>
      <c r="DT89" s="80"/>
      <c r="DU89" s="80"/>
      <c r="DV89" s="80"/>
      <c r="DW89" s="80"/>
      <c r="DX89" s="80"/>
      <c r="DY89" s="80"/>
    </row>
    <row r="90" spans="3:129" s="68" customFormat="1">
      <c r="C90" s="712"/>
      <c r="D90" s="712"/>
      <c r="F90" s="712"/>
      <c r="G90" s="712"/>
      <c r="H90" s="712"/>
      <c r="I90" s="712"/>
      <c r="J90" s="712"/>
      <c r="K90" s="712"/>
      <c r="L90" s="712"/>
      <c r="M90" s="712"/>
      <c r="N90" s="712"/>
      <c r="O90" s="712"/>
      <c r="P90" s="78"/>
      <c r="Q90" s="783"/>
      <c r="R90" s="78"/>
      <c r="S90" s="78"/>
      <c r="T90" s="78"/>
      <c r="U90" s="78"/>
      <c r="V90" s="1459"/>
      <c r="W90" s="1459"/>
      <c r="X90" s="1459"/>
      <c r="Y90" s="1459"/>
      <c r="Z90" s="1459"/>
      <c r="AA90" s="1459"/>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c r="BP90" s="74"/>
      <c r="BQ90" s="74"/>
      <c r="BR90" s="74"/>
      <c r="BS90" s="74"/>
      <c r="BT90" s="74"/>
      <c r="BU90" s="74"/>
      <c r="BV90" s="1447"/>
      <c r="BW90" s="74"/>
      <c r="BX90" s="74"/>
      <c r="BY90" s="74"/>
      <c r="BZ90" s="74"/>
      <c r="CA90" s="1448"/>
      <c r="CB90" s="1448"/>
      <c r="CC90" s="1448"/>
      <c r="CD90" s="1448"/>
      <c r="CE90" s="1448"/>
      <c r="CF90" s="1448"/>
      <c r="CG90" s="1448"/>
      <c r="CH90" s="1448"/>
      <c r="CI90" s="1444"/>
      <c r="CJ90" s="446"/>
      <c r="CK90" s="446"/>
      <c r="CL90" s="446"/>
      <c r="CM90" s="446"/>
      <c r="CN90" s="446"/>
      <c r="CO90" s="446"/>
      <c r="CP90" s="446"/>
      <c r="CQ90" s="446"/>
      <c r="CR90" s="446"/>
      <c r="CS90" s="446"/>
      <c r="CT90" s="446"/>
      <c r="CU90" s="446"/>
      <c r="CV90" s="621"/>
      <c r="CW90" s="716"/>
      <c r="CX90" s="445"/>
      <c r="CY90" s="123"/>
      <c r="CZ90" s="123"/>
      <c r="DA90" s="123"/>
      <c r="DB90" s="123"/>
      <c r="DC90" s="123"/>
      <c r="DD90" s="123"/>
      <c r="DE90" s="123"/>
      <c r="DF90" s="123"/>
      <c r="DG90" s="123"/>
      <c r="DH90" s="123"/>
      <c r="DI90" s="123"/>
      <c r="DJ90" s="123"/>
      <c r="DK90" s="123"/>
      <c r="DL90" s="123"/>
      <c r="DM90" s="123"/>
      <c r="DN90" s="123"/>
      <c r="DO90" s="123"/>
      <c r="DP90" s="80"/>
      <c r="DQ90" s="80"/>
      <c r="DR90" s="80"/>
      <c r="DS90" s="80"/>
      <c r="DT90" s="80"/>
      <c r="DU90" s="80"/>
      <c r="DV90" s="80"/>
      <c r="DW90" s="80"/>
      <c r="DX90" s="80"/>
      <c r="DY90" s="80"/>
    </row>
    <row r="91" spans="3:129" s="80" customFormat="1" ht="15.75" customHeight="1">
      <c r="F91" s="807"/>
      <c r="G91" s="200"/>
      <c r="H91" s="807"/>
      <c r="I91" s="200"/>
      <c r="J91" s="807"/>
      <c r="K91" s="200"/>
      <c r="L91" s="807"/>
      <c r="M91" s="200"/>
      <c r="N91" s="807"/>
      <c r="O91" s="808"/>
      <c r="P91" s="200"/>
      <c r="Q91" s="200"/>
      <c r="R91" s="182"/>
      <c r="S91" s="182"/>
      <c r="T91" s="1435"/>
      <c r="U91" s="200"/>
      <c r="V91" s="1445"/>
      <c r="W91" s="1445"/>
      <c r="X91" s="1445"/>
      <c r="Y91" s="1445"/>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74"/>
      <c r="BR91" s="74"/>
      <c r="BS91" s="74"/>
      <c r="BT91" s="74"/>
      <c r="BU91" s="74"/>
      <c r="BV91" s="1447"/>
      <c r="BW91" s="74"/>
      <c r="BX91" s="74"/>
      <c r="BY91" s="74"/>
      <c r="BZ91" s="74"/>
      <c r="CA91" s="1448"/>
      <c r="CB91" s="1448"/>
      <c r="CC91" s="1448"/>
      <c r="CD91" s="1448"/>
      <c r="CE91" s="1448"/>
      <c r="CF91" s="1448"/>
      <c r="CG91" s="1448"/>
      <c r="CH91" s="1448"/>
      <c r="CI91" s="1444"/>
      <c r="CJ91" s="446"/>
      <c r="CK91" s="446"/>
      <c r="CL91" s="446"/>
      <c r="CM91" s="446"/>
      <c r="CN91" s="446"/>
      <c r="CO91" s="446"/>
      <c r="CP91" s="446"/>
      <c r="CQ91" s="446"/>
      <c r="CR91" s="446"/>
      <c r="CS91" s="446"/>
      <c r="CT91" s="446"/>
      <c r="CU91" s="446"/>
      <c r="CV91" s="621"/>
      <c r="CW91" s="445"/>
      <c r="CX91" s="445"/>
      <c r="CY91" s="123"/>
      <c r="CZ91" s="123"/>
      <c r="DA91" s="123"/>
      <c r="DB91" s="123"/>
      <c r="DC91" s="123"/>
      <c r="DD91" s="123"/>
      <c r="DE91" s="123"/>
      <c r="DF91" s="123"/>
      <c r="DG91" s="123"/>
      <c r="DH91" s="123"/>
      <c r="DI91" s="123"/>
      <c r="DJ91" s="123"/>
      <c r="DK91" s="123"/>
      <c r="DL91" s="123"/>
      <c r="DM91" s="123"/>
      <c r="DN91" s="123"/>
      <c r="DO91" s="123"/>
    </row>
    <row r="92" spans="3:129" s="80" customFormat="1" ht="15.75" customHeight="1">
      <c r="F92" s="200"/>
      <c r="G92" s="807"/>
      <c r="H92" s="200"/>
      <c r="I92" s="807"/>
      <c r="J92" s="200"/>
      <c r="K92" s="807"/>
      <c r="L92" s="200"/>
      <c r="M92" s="807"/>
      <c r="N92" s="200"/>
      <c r="O92" s="807"/>
      <c r="P92" s="200"/>
      <c r="Q92" s="200"/>
      <c r="R92" s="182"/>
      <c r="S92" s="182"/>
      <c r="T92" s="1435"/>
      <c r="U92" s="200"/>
      <c r="V92" s="1445"/>
      <c r="W92" s="1445"/>
      <c r="X92" s="1445"/>
      <c r="Y92" s="1445"/>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1447"/>
      <c r="BW92" s="74"/>
      <c r="BX92" s="74"/>
      <c r="BY92" s="74"/>
      <c r="BZ92" s="74"/>
      <c r="CA92" s="1448"/>
      <c r="CB92" s="1448"/>
      <c r="CC92" s="1448"/>
      <c r="CD92" s="1448"/>
      <c r="CE92" s="1448"/>
      <c r="CF92" s="1448"/>
      <c r="CG92" s="1448"/>
      <c r="CH92" s="1448"/>
      <c r="CI92" s="1444"/>
      <c r="CJ92" s="446"/>
      <c r="CK92" s="446"/>
      <c r="CL92" s="446"/>
      <c r="CM92" s="446"/>
      <c r="CN92" s="446"/>
      <c r="CO92" s="446"/>
      <c r="CP92" s="446"/>
      <c r="CQ92" s="446"/>
      <c r="CR92" s="446"/>
      <c r="CS92" s="446"/>
      <c r="CT92" s="446"/>
      <c r="CU92" s="446"/>
      <c r="CV92" s="621"/>
      <c r="CW92" s="445"/>
      <c r="CX92" s="445"/>
      <c r="CY92" s="123"/>
      <c r="CZ92" s="123"/>
      <c r="DA92" s="123"/>
      <c r="DB92" s="123"/>
      <c r="DC92" s="123"/>
      <c r="DD92" s="123"/>
      <c r="DE92" s="123"/>
      <c r="DF92" s="123"/>
      <c r="DG92" s="123"/>
      <c r="DH92" s="123"/>
      <c r="DI92" s="123"/>
      <c r="DJ92" s="123"/>
      <c r="DK92" s="123"/>
      <c r="DL92" s="123"/>
      <c r="DM92" s="123"/>
      <c r="DN92" s="123"/>
      <c r="DO92" s="123"/>
    </row>
    <row r="93" spans="3:129" s="80" customFormat="1">
      <c r="F93" s="200"/>
      <c r="G93" s="807"/>
      <c r="H93" s="200"/>
      <c r="I93" s="807"/>
      <c r="J93" s="200"/>
      <c r="K93" s="807"/>
      <c r="L93" s="200"/>
      <c r="M93" s="807"/>
      <c r="N93" s="200"/>
      <c r="O93" s="807"/>
      <c r="P93" s="200"/>
      <c r="Q93" s="200"/>
      <c r="R93" s="182"/>
      <c r="S93" s="182"/>
      <c r="T93" s="1435"/>
      <c r="U93" s="200"/>
      <c r="V93" s="1445"/>
      <c r="W93" s="1445"/>
      <c r="X93" s="1445"/>
      <c r="Y93" s="1445"/>
      <c r="Z93" s="74"/>
      <c r="AA93" s="74"/>
      <c r="AB93" s="74"/>
      <c r="AC93" s="74"/>
      <c r="AD93" s="74"/>
      <c r="AE93" s="1447"/>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1447"/>
      <c r="BW93" s="74"/>
      <c r="BX93" s="74"/>
      <c r="BY93" s="74"/>
      <c r="BZ93" s="74"/>
      <c r="CA93" s="1448"/>
      <c r="CB93" s="1448"/>
      <c r="CC93" s="1448"/>
      <c r="CD93" s="1448"/>
      <c r="CE93" s="1448"/>
      <c r="CF93" s="1448"/>
      <c r="CG93" s="1448"/>
      <c r="CH93" s="1448"/>
      <c r="CI93" s="1444"/>
      <c r="CJ93" s="446"/>
      <c r="CK93" s="446"/>
      <c r="CL93" s="446"/>
      <c r="CM93" s="446"/>
      <c r="CN93" s="446"/>
      <c r="CO93" s="446"/>
      <c r="CP93" s="446"/>
      <c r="CQ93" s="446"/>
      <c r="CR93" s="446"/>
      <c r="CS93" s="446"/>
      <c r="CT93" s="446"/>
      <c r="CU93" s="446"/>
      <c r="CV93" s="621"/>
      <c r="CW93" s="445"/>
      <c r="CX93" s="445"/>
      <c r="CY93" s="123"/>
      <c r="CZ93" s="123"/>
      <c r="DA93" s="123"/>
      <c r="DB93" s="123"/>
      <c r="DC93" s="123"/>
      <c r="DD93" s="123"/>
      <c r="DE93" s="123"/>
      <c r="DF93" s="123"/>
      <c r="DG93" s="123"/>
      <c r="DH93" s="123"/>
      <c r="DI93" s="123"/>
      <c r="DJ93" s="123"/>
      <c r="DK93" s="123"/>
      <c r="DL93" s="123"/>
      <c r="DM93" s="123"/>
      <c r="DN93" s="123"/>
      <c r="DO93" s="123"/>
    </row>
    <row r="94" spans="3:129" s="80" customFormat="1">
      <c r="E94" s="145"/>
      <c r="F94" s="200"/>
      <c r="G94" s="200"/>
      <c r="H94" s="200"/>
      <c r="I94" s="200"/>
      <c r="J94" s="200"/>
      <c r="K94" s="200"/>
      <c r="L94" s="200"/>
      <c r="M94" s="200"/>
      <c r="N94" s="200"/>
      <c r="O94" s="808"/>
      <c r="P94" s="200"/>
      <c r="Q94" s="200"/>
      <c r="R94" s="182"/>
      <c r="S94" s="182"/>
      <c r="T94" s="1435"/>
      <c r="U94" s="200"/>
      <c r="V94" s="1445"/>
      <c r="W94" s="1445"/>
      <c r="X94" s="1445"/>
      <c r="Y94" s="1445"/>
      <c r="Z94" s="74"/>
      <c r="AA94" s="74"/>
      <c r="AB94" s="74"/>
      <c r="AC94" s="74"/>
      <c r="AD94" s="74"/>
      <c r="AE94" s="1447"/>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1447"/>
      <c r="BW94" s="74"/>
      <c r="BX94" s="74"/>
      <c r="BY94" s="74"/>
      <c r="BZ94" s="74"/>
      <c r="CA94" s="1448"/>
      <c r="CB94" s="1448"/>
      <c r="CC94" s="1448"/>
      <c r="CD94" s="1448"/>
      <c r="CE94" s="1448"/>
      <c r="CF94" s="1448"/>
      <c r="CG94" s="1448"/>
      <c r="CH94" s="1448"/>
      <c r="CI94" s="1444"/>
      <c r="CJ94" s="446"/>
      <c r="CK94" s="446"/>
      <c r="CL94" s="446"/>
      <c r="CM94" s="446"/>
      <c r="CN94" s="446"/>
      <c r="CO94" s="446"/>
      <c r="CP94" s="446"/>
      <c r="CQ94" s="446"/>
      <c r="CR94" s="446"/>
      <c r="CS94" s="446"/>
      <c r="CT94" s="446"/>
      <c r="CU94" s="446"/>
      <c r="CV94" s="621"/>
      <c r="CW94" s="445"/>
      <c r="CX94" s="445"/>
      <c r="CY94" s="123"/>
      <c r="CZ94" s="123"/>
      <c r="DA94" s="123"/>
      <c r="DB94" s="123"/>
      <c r="DC94" s="123"/>
      <c r="DD94" s="123"/>
      <c r="DE94" s="123"/>
      <c r="DF94" s="123"/>
      <c r="DG94" s="123"/>
      <c r="DH94" s="123"/>
      <c r="DI94" s="123"/>
      <c r="DJ94" s="123"/>
      <c r="DK94" s="123"/>
      <c r="DL94" s="123"/>
      <c r="DM94" s="123"/>
      <c r="DN94" s="123"/>
      <c r="DO94" s="123"/>
    </row>
    <row r="95" spans="3:129" s="80" customFormat="1">
      <c r="F95" s="810"/>
      <c r="G95" s="810"/>
      <c r="H95" s="810"/>
      <c r="I95" s="810"/>
      <c r="J95" s="810"/>
      <c r="K95" s="810"/>
      <c r="L95" s="810"/>
      <c r="M95" s="810"/>
      <c r="N95" s="810"/>
      <c r="O95" s="810"/>
      <c r="P95" s="810"/>
      <c r="Q95" s="810"/>
      <c r="R95" s="810"/>
      <c r="S95" s="810"/>
      <c r="T95" s="811"/>
      <c r="U95" s="810"/>
      <c r="V95" s="1460"/>
      <c r="W95" s="1460"/>
      <c r="X95" s="1460"/>
      <c r="Y95" s="1460"/>
      <c r="Z95" s="1461"/>
      <c r="AA95" s="1461"/>
      <c r="AB95" s="1461"/>
      <c r="AC95" s="1461"/>
      <c r="AD95" s="1461"/>
      <c r="AE95" s="1461"/>
      <c r="AF95" s="1461"/>
      <c r="AG95" s="1461"/>
      <c r="AH95" s="1461"/>
      <c r="AI95" s="1461"/>
      <c r="AJ95" s="1461"/>
      <c r="AK95" s="1461"/>
      <c r="AL95" s="1461"/>
      <c r="AM95" s="1461"/>
      <c r="AN95" s="1461"/>
      <c r="AO95" s="1461"/>
      <c r="AP95" s="1461"/>
      <c r="AQ95" s="1461"/>
      <c r="AR95" s="1461"/>
      <c r="AS95" s="1461"/>
      <c r="AT95" s="1461"/>
      <c r="AU95" s="1461"/>
      <c r="AV95" s="1461"/>
      <c r="AW95" s="1461"/>
      <c r="AX95" s="1461"/>
      <c r="AY95" s="1461"/>
      <c r="AZ95" s="1461"/>
      <c r="BA95" s="1461"/>
      <c r="BB95" s="1461"/>
      <c r="BC95" s="74"/>
      <c r="BD95" s="74"/>
      <c r="BE95" s="74"/>
      <c r="BF95" s="74"/>
      <c r="BG95" s="74"/>
      <c r="BH95" s="74"/>
      <c r="BI95" s="74"/>
      <c r="BJ95" s="74"/>
      <c r="BK95" s="74"/>
      <c r="BL95" s="74"/>
      <c r="BM95" s="74"/>
      <c r="BN95" s="74"/>
      <c r="BO95" s="74"/>
      <c r="BP95" s="74"/>
      <c r="BQ95" s="74"/>
      <c r="BR95" s="74"/>
      <c r="BS95" s="74"/>
      <c r="BT95" s="74"/>
      <c r="BU95" s="74"/>
      <c r="BV95" s="1447"/>
      <c r="BW95" s="74"/>
      <c r="BX95" s="74"/>
      <c r="BY95" s="74"/>
      <c r="BZ95" s="74"/>
      <c r="CA95" s="1448"/>
      <c r="CB95" s="1448"/>
      <c r="CC95" s="1448"/>
      <c r="CD95" s="1448"/>
      <c r="CE95" s="1448"/>
      <c r="CF95" s="1448"/>
      <c r="CG95" s="1448"/>
      <c r="CH95" s="1448"/>
      <c r="CI95" s="1444"/>
      <c r="CJ95" s="446"/>
      <c r="CK95" s="446"/>
      <c r="CL95" s="446"/>
      <c r="CM95" s="446"/>
      <c r="CN95" s="446"/>
      <c r="CO95" s="446"/>
      <c r="CP95" s="446"/>
      <c r="CQ95" s="446"/>
      <c r="CR95" s="446"/>
      <c r="CS95" s="446"/>
      <c r="CT95" s="446"/>
      <c r="CU95" s="446"/>
      <c r="CV95" s="621"/>
      <c r="CW95" s="445"/>
      <c r="CX95" s="445"/>
      <c r="CY95" s="123"/>
      <c r="CZ95" s="123"/>
      <c r="DA95" s="123"/>
      <c r="DB95" s="123"/>
      <c r="DC95" s="123"/>
      <c r="DD95" s="123"/>
      <c r="DE95" s="123"/>
      <c r="DF95" s="123"/>
      <c r="DG95" s="123"/>
      <c r="DH95" s="123"/>
      <c r="DI95" s="123"/>
      <c r="DJ95" s="123"/>
      <c r="DK95" s="123"/>
      <c r="DL95" s="123"/>
      <c r="DM95" s="123"/>
      <c r="DN95" s="123"/>
      <c r="DO95" s="123"/>
    </row>
    <row r="96" spans="3:129" s="80" customFormat="1">
      <c r="F96" s="810"/>
      <c r="G96" s="810"/>
      <c r="H96" s="810"/>
      <c r="I96" s="810"/>
      <c r="J96" s="810"/>
      <c r="K96" s="810"/>
      <c r="L96" s="810"/>
      <c r="M96" s="810"/>
      <c r="N96" s="810"/>
      <c r="O96" s="810"/>
      <c r="P96" s="810"/>
      <c r="Q96" s="810"/>
      <c r="R96" s="810"/>
      <c r="S96" s="810"/>
      <c r="T96" s="811"/>
      <c r="U96" s="810"/>
      <c r="V96" s="1460"/>
      <c r="W96" s="1460"/>
      <c r="X96" s="1460"/>
      <c r="Y96" s="1460"/>
      <c r="Z96" s="1461"/>
      <c r="AA96" s="1461"/>
      <c r="AB96" s="1461"/>
      <c r="AC96" s="1461"/>
      <c r="AD96" s="1461"/>
      <c r="AE96" s="1461"/>
      <c r="AF96" s="1461"/>
      <c r="AG96" s="1461"/>
      <c r="AH96" s="1461"/>
      <c r="AI96" s="1461"/>
      <c r="AJ96" s="1461"/>
      <c r="AK96" s="1461"/>
      <c r="AL96" s="1461"/>
      <c r="AM96" s="1461"/>
      <c r="AN96" s="1461"/>
      <c r="AO96" s="1461"/>
      <c r="AP96" s="1461"/>
      <c r="AQ96" s="1461"/>
      <c r="AR96" s="1461"/>
      <c r="AS96" s="1461"/>
      <c r="AT96" s="1461"/>
      <c r="AU96" s="1461"/>
      <c r="AV96" s="1461"/>
      <c r="AW96" s="1461"/>
      <c r="AX96" s="1461"/>
      <c r="AY96" s="1461"/>
      <c r="AZ96" s="1461"/>
      <c r="BA96" s="1461"/>
      <c r="BB96" s="1461"/>
      <c r="BC96" s="74"/>
      <c r="BD96" s="74"/>
      <c r="BE96" s="74"/>
      <c r="BF96" s="74"/>
      <c r="BG96" s="74"/>
      <c r="BH96" s="74"/>
      <c r="BI96" s="74"/>
      <c r="BJ96" s="74"/>
      <c r="BK96" s="74"/>
      <c r="BL96" s="74"/>
      <c r="BM96" s="74"/>
      <c r="BN96" s="74"/>
      <c r="BO96" s="74"/>
      <c r="BP96" s="74"/>
      <c r="BQ96" s="74"/>
      <c r="BR96" s="74"/>
      <c r="BS96" s="74"/>
      <c r="BT96" s="74"/>
      <c r="BU96" s="74"/>
      <c r="BV96" s="1447"/>
      <c r="BW96" s="74"/>
      <c r="BX96" s="74"/>
      <c r="BY96" s="74"/>
      <c r="BZ96" s="74"/>
      <c r="CA96" s="1448"/>
      <c r="CB96" s="1448"/>
      <c r="CC96" s="1448"/>
      <c r="CD96" s="1448"/>
      <c r="CE96" s="1448"/>
      <c r="CF96" s="1448"/>
      <c r="CG96" s="1448"/>
      <c r="CH96" s="1448"/>
      <c r="CI96" s="1444"/>
      <c r="CJ96" s="446"/>
      <c r="CK96" s="446"/>
      <c r="CL96" s="446"/>
      <c r="CM96" s="446"/>
      <c r="CN96" s="446"/>
      <c r="CO96" s="446"/>
      <c r="CP96" s="446"/>
      <c r="CQ96" s="446"/>
      <c r="CR96" s="446"/>
      <c r="CS96" s="446"/>
      <c r="CT96" s="446"/>
      <c r="CU96" s="446"/>
      <c r="CV96" s="621"/>
      <c r="CW96" s="445"/>
      <c r="CX96" s="445"/>
      <c r="CY96" s="123"/>
      <c r="CZ96" s="123"/>
      <c r="DA96" s="123"/>
      <c r="DB96" s="123"/>
      <c r="DC96" s="123"/>
      <c r="DD96" s="123"/>
      <c r="DE96" s="123"/>
      <c r="DF96" s="123"/>
      <c r="DG96" s="123"/>
      <c r="DH96" s="123"/>
      <c r="DI96" s="123"/>
      <c r="DJ96" s="123"/>
      <c r="DK96" s="123"/>
      <c r="DL96" s="123"/>
      <c r="DM96" s="123"/>
      <c r="DN96" s="123"/>
      <c r="DO96" s="123"/>
    </row>
    <row r="97" spans="1:119" s="80" customFormat="1">
      <c r="F97" s="812"/>
      <c r="H97" s="812"/>
      <c r="J97" s="812"/>
      <c r="L97" s="812"/>
      <c r="N97" s="812"/>
      <c r="P97" s="812"/>
      <c r="R97" s="812"/>
      <c r="S97" s="812"/>
      <c r="T97" s="184"/>
      <c r="U97" s="812"/>
      <c r="V97" s="1462"/>
      <c r="W97" s="1462"/>
      <c r="X97" s="74"/>
      <c r="Y97" s="1462"/>
      <c r="Z97" s="74"/>
      <c r="AA97" s="1462"/>
      <c r="AB97" s="74"/>
      <c r="AC97" s="1462"/>
      <c r="AD97" s="74"/>
      <c r="AE97" s="1462"/>
      <c r="AF97" s="74"/>
      <c r="AG97" s="1462"/>
      <c r="AH97" s="74"/>
      <c r="AI97" s="1462"/>
      <c r="AJ97" s="74"/>
      <c r="AK97" s="1462"/>
      <c r="AL97" s="74"/>
      <c r="AM97" s="1462"/>
      <c r="AN97" s="74"/>
      <c r="AO97" s="1462"/>
      <c r="AP97" s="74"/>
      <c r="AQ97" s="1462"/>
      <c r="AR97" s="74"/>
      <c r="AS97" s="1462"/>
      <c r="AT97" s="74"/>
      <c r="AU97" s="1462"/>
      <c r="AV97" s="74"/>
      <c r="AW97" s="1462"/>
      <c r="AX97" s="74"/>
      <c r="AY97" s="1462"/>
      <c r="AZ97" s="74"/>
      <c r="BA97" s="1462"/>
      <c r="BB97" s="74"/>
      <c r="BC97" s="74"/>
      <c r="BD97" s="74"/>
      <c r="BE97" s="74"/>
      <c r="BF97" s="74"/>
      <c r="BG97" s="74"/>
      <c r="BH97" s="74"/>
      <c r="BI97" s="74"/>
      <c r="BJ97" s="74"/>
      <c r="BK97" s="74"/>
      <c r="BL97" s="74"/>
      <c r="BM97" s="74"/>
      <c r="BN97" s="74"/>
      <c r="BO97" s="74"/>
      <c r="BP97" s="74"/>
      <c r="BQ97" s="74"/>
      <c r="BR97" s="74"/>
      <c r="BS97" s="74"/>
      <c r="BT97" s="74"/>
      <c r="BU97" s="74"/>
      <c r="BV97" s="1447"/>
      <c r="BW97" s="74"/>
      <c r="BX97" s="74"/>
      <c r="BY97" s="74"/>
      <c r="BZ97" s="74"/>
      <c r="CA97" s="1448"/>
      <c r="CB97" s="1448"/>
      <c r="CC97" s="1448"/>
      <c r="CD97" s="1448"/>
      <c r="CE97" s="1448"/>
      <c r="CF97" s="1448"/>
      <c r="CG97" s="1448"/>
      <c r="CH97" s="1448"/>
      <c r="CI97" s="1444"/>
      <c r="CJ97" s="446"/>
      <c r="CK97" s="446"/>
      <c r="CL97" s="446"/>
      <c r="CM97" s="446"/>
      <c r="CN97" s="446"/>
      <c r="CO97" s="446"/>
      <c r="CP97" s="446"/>
      <c r="CQ97" s="446"/>
      <c r="CR97" s="446"/>
      <c r="CS97" s="446"/>
      <c r="CT97" s="446"/>
      <c r="CU97" s="446"/>
      <c r="CV97" s="621"/>
      <c r="CW97" s="445"/>
      <c r="CX97" s="445"/>
      <c r="CY97" s="123"/>
      <c r="CZ97" s="123"/>
      <c r="DA97" s="123"/>
      <c r="DB97" s="123"/>
      <c r="DC97" s="123"/>
      <c r="DD97" s="123"/>
      <c r="DE97" s="123"/>
      <c r="DF97" s="123"/>
      <c r="DG97" s="123"/>
      <c r="DH97" s="123"/>
      <c r="DI97" s="123"/>
      <c r="DJ97" s="123"/>
      <c r="DK97" s="123"/>
      <c r="DL97" s="123"/>
      <c r="DM97" s="123"/>
      <c r="DN97" s="123"/>
      <c r="DO97" s="123"/>
    </row>
    <row r="98" spans="1:119" s="80" customFormat="1">
      <c r="F98" s="812"/>
      <c r="H98" s="812"/>
      <c r="J98" s="812"/>
      <c r="L98" s="812"/>
      <c r="N98" s="812"/>
      <c r="P98" s="812"/>
      <c r="R98" s="812"/>
      <c r="S98" s="812"/>
      <c r="T98" s="184"/>
      <c r="U98" s="812"/>
      <c r="V98" s="1462"/>
      <c r="W98" s="1462"/>
      <c r="X98" s="74"/>
      <c r="Y98" s="1462"/>
      <c r="Z98" s="74"/>
      <c r="AA98" s="1462"/>
      <c r="AB98" s="74"/>
      <c r="AC98" s="1462"/>
      <c r="AD98" s="74"/>
      <c r="AE98" s="1462"/>
      <c r="AF98" s="74"/>
      <c r="AG98" s="1462"/>
      <c r="AH98" s="74"/>
      <c r="AI98" s="1462"/>
      <c r="AJ98" s="74"/>
      <c r="AK98" s="1462"/>
      <c r="AL98" s="74"/>
      <c r="AM98" s="1462"/>
      <c r="AN98" s="74"/>
      <c r="AO98" s="1462"/>
      <c r="AP98" s="74"/>
      <c r="AQ98" s="1462"/>
      <c r="AR98" s="74"/>
      <c r="AS98" s="1462"/>
      <c r="AT98" s="74"/>
      <c r="AU98" s="1462"/>
      <c r="AV98" s="74"/>
      <c r="AW98" s="1462"/>
      <c r="AX98" s="74"/>
      <c r="AY98" s="1462"/>
      <c r="AZ98" s="74"/>
      <c r="BA98" s="1462"/>
      <c r="BB98" s="74"/>
      <c r="BC98" s="74"/>
      <c r="BD98" s="74"/>
      <c r="BE98" s="74"/>
      <c r="BF98" s="74"/>
      <c r="BG98" s="74"/>
      <c r="BH98" s="74"/>
      <c r="BI98" s="74"/>
      <c r="BJ98" s="74"/>
      <c r="BK98" s="74"/>
      <c r="BL98" s="74"/>
      <c r="BM98" s="74"/>
      <c r="BN98" s="74"/>
      <c r="BO98" s="74"/>
      <c r="BP98" s="74"/>
      <c r="BQ98" s="74"/>
      <c r="BR98" s="74"/>
      <c r="BS98" s="74"/>
      <c r="BT98" s="74"/>
      <c r="BU98" s="74"/>
      <c r="BV98" s="1447"/>
      <c r="BW98" s="74"/>
      <c r="BX98" s="74"/>
      <c r="BY98" s="74"/>
      <c r="BZ98" s="74"/>
      <c r="CA98" s="1448"/>
      <c r="CB98" s="1448"/>
      <c r="CC98" s="1448"/>
      <c r="CD98" s="1448"/>
      <c r="CE98" s="1448"/>
      <c r="CF98" s="1448"/>
      <c r="CG98" s="1448"/>
      <c r="CH98" s="1448"/>
      <c r="CI98" s="1444"/>
      <c r="CJ98" s="446"/>
      <c r="CK98" s="446"/>
      <c r="CL98" s="446"/>
      <c r="CM98" s="446"/>
      <c r="CN98" s="446"/>
      <c r="CO98" s="446"/>
      <c r="CP98" s="446"/>
      <c r="CQ98" s="446"/>
      <c r="CR98" s="446"/>
      <c r="CS98" s="446"/>
      <c r="CT98" s="446"/>
      <c r="CU98" s="446"/>
      <c r="CV98" s="621"/>
      <c r="CW98" s="445"/>
      <c r="CX98" s="445"/>
      <c r="CY98" s="123"/>
      <c r="CZ98" s="123"/>
      <c r="DA98" s="123"/>
      <c r="DB98" s="123"/>
      <c r="DC98" s="123"/>
      <c r="DD98" s="123"/>
      <c r="DE98" s="123"/>
      <c r="DF98" s="123"/>
      <c r="DG98" s="123"/>
      <c r="DH98" s="123"/>
      <c r="DI98" s="123"/>
      <c r="DJ98" s="123"/>
      <c r="DK98" s="123"/>
      <c r="DL98" s="123"/>
      <c r="DM98" s="123"/>
      <c r="DN98" s="123"/>
      <c r="DO98" s="123"/>
    </row>
    <row r="99" spans="1:119" s="80" customFormat="1">
      <c r="F99" s="812"/>
      <c r="H99" s="812"/>
      <c r="J99" s="812"/>
      <c r="L99" s="812"/>
      <c r="N99" s="812"/>
      <c r="P99" s="812"/>
      <c r="R99" s="812"/>
      <c r="S99" s="812"/>
      <c r="T99" s="184"/>
      <c r="U99" s="812"/>
      <c r="V99" s="1462"/>
      <c r="W99" s="1462"/>
      <c r="X99" s="74"/>
      <c r="Y99" s="1462"/>
      <c r="Z99" s="74"/>
      <c r="AA99" s="1462"/>
      <c r="AB99" s="74"/>
      <c r="AC99" s="1462"/>
      <c r="AD99" s="74"/>
      <c r="AE99" s="1462"/>
      <c r="AF99" s="74"/>
      <c r="AG99" s="1462"/>
      <c r="AH99" s="74"/>
      <c r="AI99" s="1462"/>
      <c r="AJ99" s="74"/>
      <c r="AK99" s="1462"/>
      <c r="AL99" s="74"/>
      <c r="AM99" s="1462"/>
      <c r="AN99" s="74"/>
      <c r="AO99" s="1462"/>
      <c r="AP99" s="74"/>
      <c r="AQ99" s="1462"/>
      <c r="AR99" s="74"/>
      <c r="AS99" s="1462"/>
      <c r="AT99" s="74"/>
      <c r="AU99" s="1462"/>
      <c r="AV99" s="74"/>
      <c r="AW99" s="1462"/>
      <c r="AX99" s="74"/>
      <c r="AY99" s="1462"/>
      <c r="AZ99" s="74"/>
      <c r="BA99" s="1462"/>
      <c r="BB99" s="74"/>
      <c r="BC99" s="74"/>
      <c r="BD99" s="74"/>
      <c r="BE99" s="74"/>
      <c r="BF99" s="74"/>
      <c r="BG99" s="74"/>
      <c r="BH99" s="74"/>
      <c r="BI99" s="74"/>
      <c r="BJ99" s="74"/>
      <c r="BK99" s="74"/>
      <c r="BL99" s="74"/>
      <c r="BM99" s="74"/>
      <c r="BN99" s="74"/>
      <c r="BO99" s="74"/>
      <c r="BP99" s="74"/>
      <c r="BQ99" s="74"/>
      <c r="BR99" s="74"/>
      <c r="BS99" s="74"/>
      <c r="BT99" s="74"/>
      <c r="BU99" s="74"/>
      <c r="BV99" s="1447"/>
      <c r="BW99" s="74"/>
      <c r="BX99" s="74"/>
      <c r="BY99" s="74"/>
      <c r="BZ99" s="74"/>
      <c r="CA99" s="1448"/>
      <c r="CB99" s="1448"/>
      <c r="CC99" s="1448"/>
      <c r="CD99" s="1448"/>
      <c r="CE99" s="1448"/>
      <c r="CF99" s="1448"/>
      <c r="CG99" s="1448"/>
      <c r="CH99" s="1448"/>
      <c r="CI99" s="1444"/>
      <c r="CJ99" s="446"/>
      <c r="CK99" s="446"/>
      <c r="CL99" s="446"/>
      <c r="CM99" s="446"/>
      <c r="CN99" s="446"/>
      <c r="CO99" s="446"/>
      <c r="CP99" s="446"/>
      <c r="CQ99" s="446"/>
      <c r="CR99" s="446"/>
      <c r="CS99" s="446"/>
      <c r="CT99" s="446"/>
      <c r="CU99" s="446"/>
      <c r="CV99" s="621"/>
      <c r="CW99" s="445"/>
      <c r="CX99" s="445"/>
      <c r="CY99" s="123"/>
      <c r="CZ99" s="123"/>
      <c r="DA99" s="123"/>
      <c r="DB99" s="123"/>
      <c r="DC99" s="123"/>
      <c r="DD99" s="123"/>
      <c r="DE99" s="123"/>
      <c r="DF99" s="123"/>
      <c r="DG99" s="123"/>
      <c r="DH99" s="123"/>
      <c r="DI99" s="123"/>
      <c r="DJ99" s="123"/>
      <c r="DK99" s="123"/>
      <c r="DL99" s="123"/>
      <c r="DM99" s="123"/>
      <c r="DN99" s="123"/>
      <c r="DO99" s="123"/>
    </row>
    <row r="100" spans="1:119" s="80" customFormat="1">
      <c r="D100" s="1436"/>
      <c r="E100" s="1436"/>
      <c r="F100" s="1436"/>
      <c r="G100" s="1437"/>
      <c r="H100" s="1436"/>
      <c r="I100" s="1437"/>
      <c r="J100" s="1436"/>
      <c r="K100" s="1437"/>
      <c r="L100" s="1436"/>
      <c r="M100" s="1437"/>
      <c r="N100" s="1436"/>
      <c r="O100" s="1437"/>
      <c r="P100" s="1436"/>
      <c r="Q100" s="1437"/>
      <c r="R100" s="1436"/>
      <c r="S100" s="1436"/>
      <c r="T100" s="1437"/>
      <c r="U100" s="1436"/>
      <c r="V100" s="1586"/>
      <c r="W100" s="1587"/>
      <c r="X100" s="1586"/>
      <c r="Y100" s="1587"/>
      <c r="Z100" s="1586"/>
      <c r="AA100" s="1436"/>
      <c r="AB100" s="1437"/>
      <c r="AC100" s="2005" cm="1">
        <f t="array" aca="1" ref="AC100" ca="1">_xlfn.ANCHORARRAY(Q121)+1</f>
        <v>2028</v>
      </c>
      <c r="AD100" s="1437"/>
      <c r="AE100" s="1436"/>
      <c r="AF100" s="1437"/>
      <c r="AG100" s="1436"/>
      <c r="AH100" s="1437"/>
      <c r="AI100" s="1436"/>
      <c r="AJ100" s="1437"/>
      <c r="AK100" s="1436"/>
      <c r="AL100" s="1437"/>
      <c r="AM100" s="1436"/>
      <c r="AN100" s="1437"/>
      <c r="AO100" s="2005">
        <f ca="1">AC100+1</f>
        <v>2029</v>
      </c>
      <c r="AP100" s="1437"/>
      <c r="AQ100" s="1436"/>
      <c r="AR100" s="1437"/>
      <c r="AS100" s="1436"/>
      <c r="AT100" s="1437"/>
      <c r="AU100" s="1436"/>
      <c r="AV100" s="1437"/>
      <c r="AW100" s="1436"/>
      <c r="AX100" s="1437"/>
      <c r="AY100" s="1436"/>
      <c r="AZ100" s="1437"/>
      <c r="BA100" s="2005">
        <f ca="1">AO100+1</f>
        <v>2030</v>
      </c>
      <c r="BB100" s="1437"/>
      <c r="BC100" s="1436"/>
      <c r="BD100" s="1437"/>
      <c r="BE100" s="1436"/>
      <c r="BF100" s="1437"/>
      <c r="BG100" s="1436"/>
      <c r="BH100" s="1437"/>
      <c r="BI100" s="1436"/>
      <c r="BJ100" s="1437"/>
      <c r="BK100" s="1436"/>
      <c r="BL100" s="1437"/>
      <c r="BV100" s="81"/>
      <c r="CA100" s="123"/>
      <c r="CB100" s="123"/>
      <c r="CC100" s="123"/>
      <c r="CD100" s="123"/>
      <c r="CE100" s="123"/>
      <c r="CF100" s="123"/>
      <c r="CG100" s="123"/>
      <c r="CH100" s="123"/>
      <c r="CI100" s="446"/>
      <c r="CJ100" s="446"/>
      <c r="CK100" s="446"/>
      <c r="CL100" s="446"/>
      <c r="CM100" s="446"/>
      <c r="CN100" s="446"/>
      <c r="CO100" s="446"/>
      <c r="CP100" s="446"/>
      <c r="CQ100" s="446"/>
      <c r="CR100" s="446"/>
      <c r="CS100" s="446"/>
      <c r="CT100" s="446"/>
      <c r="CU100" s="446"/>
      <c r="CV100" s="621"/>
      <c r="CW100" s="445"/>
      <c r="CX100" s="445"/>
      <c r="CY100" s="123"/>
      <c r="CZ100" s="123"/>
      <c r="DA100" s="123"/>
      <c r="DB100" s="123"/>
      <c r="DC100" s="123"/>
      <c r="DD100" s="123"/>
      <c r="DE100" s="123"/>
      <c r="DF100" s="123"/>
      <c r="DG100" s="123"/>
      <c r="DH100" s="123"/>
      <c r="DI100" s="123"/>
      <c r="DJ100" s="123"/>
      <c r="DK100" s="123"/>
      <c r="DL100" s="123"/>
      <c r="DM100" s="123"/>
      <c r="DN100" s="123"/>
      <c r="DO100" s="123"/>
    </row>
    <row r="101" spans="1:119" s="446" customFormat="1" ht="12.6">
      <c r="A101" s="160"/>
      <c r="B101" s="160"/>
      <c r="D101" s="160"/>
      <c r="E101" s="2000"/>
      <c r="F101" s="2000"/>
      <c r="G101" s="2000"/>
      <c r="H101" s="2000"/>
      <c r="I101" s="2000"/>
      <c r="J101" s="2000"/>
      <c r="K101" s="2000"/>
      <c r="L101" s="2000"/>
      <c r="M101" s="2000"/>
      <c r="N101" s="2000"/>
      <c r="O101" s="2000"/>
      <c r="P101" s="2000"/>
      <c r="Q101" s="2000"/>
      <c r="R101" s="2000"/>
      <c r="S101" s="2000"/>
      <c r="T101" s="2000"/>
      <c r="U101" s="2000"/>
      <c r="V101" s="2001"/>
      <c r="W101" s="2001"/>
      <c r="X101" s="2001"/>
      <c r="Y101" s="2001"/>
      <c r="Z101" s="2001"/>
      <c r="AA101" s="2000"/>
      <c r="AB101" s="2000"/>
      <c r="AC101" s="2000"/>
      <c r="AD101" s="2000"/>
      <c r="AE101" s="2000"/>
      <c r="AF101" s="2000"/>
      <c r="AG101" s="2000"/>
      <c r="AH101" s="2000"/>
      <c r="AI101" s="2000"/>
      <c r="AJ101" s="2000"/>
      <c r="AK101" s="2000"/>
      <c r="AL101" s="2000"/>
      <c r="AM101" s="2000"/>
      <c r="AN101" s="2000"/>
      <c r="AO101" s="2000"/>
      <c r="AP101" s="2000"/>
      <c r="AQ101" s="2000"/>
      <c r="AR101" s="2000"/>
      <c r="AS101" s="2000"/>
      <c r="AT101" s="2000"/>
      <c r="AU101" s="2000"/>
      <c r="AV101" s="2000"/>
      <c r="AW101" s="2000"/>
      <c r="AX101" s="2000"/>
      <c r="AY101" s="2000"/>
      <c r="AZ101" s="2000"/>
      <c r="BA101" s="2000"/>
      <c r="BB101" s="2000"/>
      <c r="BC101" s="2000"/>
      <c r="BD101" s="2000"/>
      <c r="BE101" s="2000"/>
      <c r="BF101" s="2000"/>
      <c r="BG101" s="2000"/>
      <c r="BH101" s="2000"/>
      <c r="BI101" s="2000"/>
      <c r="BJ101" s="2000"/>
      <c r="BK101" s="2000"/>
      <c r="BL101" s="2000"/>
      <c r="BV101" s="1225"/>
      <c r="CV101" s="445"/>
      <c r="CW101" s="445"/>
      <c r="CX101" s="445"/>
    </row>
    <row r="102" spans="1:119" s="446" customFormat="1" ht="12.6">
      <c r="A102" s="160"/>
      <c r="B102" s="160"/>
      <c r="D102" s="160"/>
      <c r="E102" s="2000"/>
      <c r="F102" s="2000"/>
      <c r="G102" s="2000"/>
      <c r="H102" s="2000"/>
      <c r="I102" s="2000"/>
      <c r="J102" s="2000"/>
      <c r="K102" s="2000"/>
      <c r="L102" s="2000"/>
      <c r="M102" s="2000"/>
      <c r="N102" s="2000"/>
      <c r="O102" s="2000"/>
      <c r="P102" s="2000"/>
      <c r="Q102" s="2000"/>
      <c r="R102" s="2000"/>
      <c r="S102" s="2000"/>
      <c r="T102" s="2000"/>
      <c r="U102" s="2000"/>
      <c r="V102" s="2001"/>
      <c r="W102" s="2001"/>
      <c r="X102" s="2001"/>
      <c r="Y102" s="2001"/>
      <c r="Z102" s="2001"/>
      <c r="AA102" s="2000"/>
      <c r="AB102" s="2000"/>
      <c r="AC102" s="2000"/>
      <c r="AD102" s="2000"/>
      <c r="AE102" s="2000"/>
      <c r="AF102" s="2000"/>
      <c r="AG102" s="2000"/>
      <c r="AH102" s="2000"/>
      <c r="AI102" s="2000"/>
      <c r="AJ102" s="2000"/>
      <c r="AK102" s="2000"/>
      <c r="AL102" s="2000"/>
      <c r="AM102" s="2000"/>
      <c r="AN102" s="2000"/>
      <c r="AO102" s="2000"/>
      <c r="AP102" s="2000"/>
      <c r="AQ102" s="2000"/>
      <c r="AR102" s="2000"/>
      <c r="AS102" s="2000"/>
      <c r="AT102" s="2000"/>
      <c r="AU102" s="2000"/>
      <c r="AV102" s="2000"/>
      <c r="AW102" s="2000"/>
      <c r="AX102" s="2000"/>
      <c r="AY102" s="2000"/>
      <c r="AZ102" s="2000"/>
      <c r="BA102" s="2000"/>
      <c r="BB102" s="2000"/>
      <c r="BC102" s="2000"/>
      <c r="BD102" s="2000"/>
      <c r="BE102" s="2000"/>
      <c r="BF102" s="2000"/>
      <c r="BG102" s="2000"/>
      <c r="BH102" s="2000"/>
      <c r="BI102" s="2000"/>
      <c r="BJ102" s="2000"/>
      <c r="BK102" s="2000"/>
      <c r="BL102" s="2000"/>
      <c r="BV102" s="1225"/>
      <c r="CV102" s="445"/>
      <c r="CW102" s="445"/>
      <c r="CX102" s="445"/>
    </row>
    <row r="103" spans="1:119" s="2101" customFormat="1" ht="12.6">
      <c r="A103" s="2100"/>
      <c r="B103" s="2100"/>
      <c r="D103" s="2102" t="str">
        <f t="shared" ref="D103:E105" si="8">D123</f>
        <v>Monat</v>
      </c>
      <c r="E103" s="2102" t="str">
        <f t="shared" ca="1" si="8"/>
        <v xml:space="preserve">     1.26</v>
      </c>
      <c r="F103" s="2102" t="str">
        <f ca="1">E103</f>
        <v xml:space="preserve">     1.26</v>
      </c>
      <c r="G103" s="2102" t="str">
        <f ca="1">F123</f>
        <v xml:space="preserve">     2.26</v>
      </c>
      <c r="H103" s="2102" t="str">
        <f ca="1">G103</f>
        <v xml:space="preserve">     2.26</v>
      </c>
      <c r="I103" s="2102" t="str">
        <f ca="1">G123</f>
        <v xml:space="preserve">     3.26</v>
      </c>
      <c r="J103" s="2102" t="str">
        <f ca="1">I103</f>
        <v xml:space="preserve">     3.26</v>
      </c>
      <c r="K103" s="2102" t="str">
        <f ca="1">H123</f>
        <v xml:space="preserve">     4.26</v>
      </c>
      <c r="L103" s="2102" t="str">
        <f ca="1">K103</f>
        <v xml:space="preserve">     4.26</v>
      </c>
      <c r="M103" s="2102" t="str">
        <f ca="1">I123</f>
        <v xml:space="preserve">     5.26</v>
      </c>
      <c r="N103" s="2102" t="str">
        <f ca="1">M103</f>
        <v xml:space="preserve">     5.26</v>
      </c>
      <c r="O103" s="2102" t="str">
        <f ca="1">J123</f>
        <v xml:space="preserve">     6.26</v>
      </c>
      <c r="P103" s="2102" t="str">
        <f ca="1">O103</f>
        <v xml:space="preserve">     6.26</v>
      </c>
      <c r="Q103" s="2102" t="str">
        <f ca="1">K123</f>
        <v xml:space="preserve">     7.26</v>
      </c>
      <c r="R103" s="2102" t="str">
        <f ca="1">Q103</f>
        <v xml:space="preserve">     7.26</v>
      </c>
      <c r="S103" s="2102" t="str">
        <f ca="1">L123</f>
        <v xml:space="preserve">     8.26</v>
      </c>
      <c r="T103" s="2102" t="str">
        <f ca="1">S103</f>
        <v xml:space="preserve">     8.26</v>
      </c>
      <c r="U103" s="2103" t="str">
        <f ca="1">M123</f>
        <v xml:space="preserve">     9.26</v>
      </c>
      <c r="V103" s="2104" t="str">
        <f ca="1">U103</f>
        <v xml:space="preserve">     9.26</v>
      </c>
      <c r="W103" s="2104" t="str">
        <f ca="1">N123</f>
        <v xml:space="preserve">     10.26</v>
      </c>
      <c r="X103" s="2104" t="str">
        <f ca="1">W103</f>
        <v xml:space="preserve">     10.26</v>
      </c>
      <c r="Y103" s="2104" t="str">
        <f ca="1">O123</f>
        <v xml:space="preserve">     11.26</v>
      </c>
      <c r="Z103" s="2104" t="str">
        <f ca="1">Y103</f>
        <v xml:space="preserve">     11.26</v>
      </c>
      <c r="AA103" s="2102" t="str">
        <f ca="1">P123</f>
        <v xml:space="preserve">     12.26</v>
      </c>
      <c r="AB103" s="2102" t="str">
        <f ca="1">AA103</f>
        <v xml:space="preserve">     12.26</v>
      </c>
      <c r="AC103" s="2102" t="str">
        <f ca="1">Q123</f>
        <v xml:space="preserve">     1.27</v>
      </c>
      <c r="AD103" s="2102" t="str">
        <f ca="1">AC103</f>
        <v xml:space="preserve">     1.27</v>
      </c>
      <c r="AE103" s="2102" t="str">
        <f ca="1">R123</f>
        <v xml:space="preserve">     2.27</v>
      </c>
      <c r="AF103" s="2102" t="str">
        <f ca="1">AE103</f>
        <v xml:space="preserve">     2.27</v>
      </c>
      <c r="AG103" s="2102" t="str">
        <f ca="1">S123</f>
        <v xml:space="preserve">     3.27</v>
      </c>
      <c r="AH103" s="2102" t="str">
        <f ca="1">AG103</f>
        <v xml:space="preserve">     3.27</v>
      </c>
      <c r="AI103" s="2102" t="str">
        <f ca="1">T123</f>
        <v xml:space="preserve">     4.27</v>
      </c>
      <c r="AJ103" s="2102" t="str">
        <f ca="1">AI103</f>
        <v xml:space="preserve">     4.27</v>
      </c>
      <c r="AK103" s="2102" t="str">
        <f ca="1">U123</f>
        <v xml:space="preserve">     5.27</v>
      </c>
      <c r="AL103" s="2102" t="str">
        <f ca="1">AK103</f>
        <v xml:space="preserve">     5.27</v>
      </c>
      <c r="AM103" s="2102" t="str">
        <f ca="1">V123</f>
        <v xml:space="preserve">     6.27</v>
      </c>
      <c r="AN103" s="2102" t="str">
        <f ca="1">AM103</f>
        <v xml:space="preserve">     6.27</v>
      </c>
      <c r="AO103" s="2102" t="str">
        <f ca="1">W123</f>
        <v xml:space="preserve">     7.27</v>
      </c>
      <c r="AP103" s="2102" t="str">
        <f ca="1">AO103</f>
        <v xml:space="preserve">     7.27</v>
      </c>
      <c r="AQ103" s="2102" t="str">
        <f ca="1">X123</f>
        <v xml:space="preserve">     8.27</v>
      </c>
      <c r="AR103" s="2102" t="str">
        <f ca="1">AQ103</f>
        <v xml:space="preserve">     8.27</v>
      </c>
      <c r="AS103" s="2102" t="str">
        <f ca="1">Y123</f>
        <v xml:space="preserve">     9.27</v>
      </c>
      <c r="AT103" s="2102" t="str">
        <f ca="1">AS103</f>
        <v xml:space="preserve">     9.27</v>
      </c>
      <c r="AU103" s="2102" t="str">
        <f ca="1">Z123</f>
        <v xml:space="preserve">     10.27</v>
      </c>
      <c r="AV103" s="2102" t="str">
        <f ca="1">AU103</f>
        <v xml:space="preserve">     10.27</v>
      </c>
      <c r="AW103" s="2102" t="str">
        <f ca="1">AA123</f>
        <v xml:space="preserve">     11.27</v>
      </c>
      <c r="AX103" s="2102" t="str">
        <f ca="1">AW103</f>
        <v xml:space="preserve">     11.27</v>
      </c>
      <c r="AY103" s="2102" t="str">
        <f ca="1">AB123</f>
        <v xml:space="preserve">     12.27</v>
      </c>
      <c r="AZ103" s="2102" t="str">
        <f ca="1">AY103</f>
        <v xml:space="preserve">     12.27</v>
      </c>
      <c r="BA103" s="2105"/>
      <c r="BB103" s="2105"/>
      <c r="BC103" s="2105"/>
      <c r="BD103" s="2105"/>
      <c r="BE103" s="2105"/>
      <c r="BF103" s="2105"/>
      <c r="BG103" s="2105"/>
      <c r="BH103" s="2105"/>
      <c r="BI103" s="2105"/>
      <c r="BJ103" s="2105"/>
      <c r="BK103" s="2105"/>
      <c r="BL103" s="2105"/>
      <c r="BV103" s="2106"/>
      <c r="CV103" s="2107"/>
      <c r="CW103" s="2107"/>
      <c r="CX103" s="2107"/>
    </row>
    <row r="104" spans="1:119" s="2101" customFormat="1" ht="12.6">
      <c r="A104" s="2100"/>
      <c r="B104" s="2100"/>
      <c r="D104" s="2102" t="str">
        <f t="shared" ca="1" si="8"/>
        <v/>
      </c>
      <c r="E104" s="2103">
        <f t="shared" si="8"/>
        <v>0</v>
      </c>
      <c r="F104" s="2108"/>
      <c r="G104" s="2103">
        <f>F124</f>
        <v>0</v>
      </c>
      <c r="H104" s="2108"/>
      <c r="I104" s="2103">
        <f>G124</f>
        <v>0</v>
      </c>
      <c r="J104" s="2108"/>
      <c r="K104" s="2103">
        <f>H124</f>
        <v>0</v>
      </c>
      <c r="L104" s="2108"/>
      <c r="M104" s="2103">
        <f>I124</f>
        <v>0</v>
      </c>
      <c r="N104" s="2108"/>
      <c r="O104" s="2103">
        <f>J124</f>
        <v>0</v>
      </c>
      <c r="P104" s="2108"/>
      <c r="Q104" s="2103">
        <f>K124</f>
        <v>0</v>
      </c>
      <c r="R104" s="2108"/>
      <c r="S104" s="2103">
        <f>L124</f>
        <v>0</v>
      </c>
      <c r="T104" s="2108"/>
      <c r="U104" s="2103">
        <f>M124</f>
        <v>0</v>
      </c>
      <c r="V104" s="2109"/>
      <c r="W104" s="2110">
        <f>N124</f>
        <v>0</v>
      </c>
      <c r="X104" s="2109"/>
      <c r="Y104" s="2110">
        <f>O124</f>
        <v>0</v>
      </c>
      <c r="Z104" s="2109"/>
      <c r="AA104" s="2103">
        <f>P124</f>
        <v>0</v>
      </c>
      <c r="AB104" s="2108"/>
      <c r="AC104" s="2103">
        <f>Q124</f>
        <v>0</v>
      </c>
      <c r="AD104" s="2108"/>
      <c r="AE104" s="2103">
        <f>R124</f>
        <v>0</v>
      </c>
      <c r="AF104" s="2108"/>
      <c r="AG104" s="2103">
        <f>S124</f>
        <v>0</v>
      </c>
      <c r="AH104" s="2108"/>
      <c r="AI104" s="2103">
        <f>T124</f>
        <v>0</v>
      </c>
      <c r="AJ104" s="2108"/>
      <c r="AK104" s="2103">
        <f>U124</f>
        <v>0</v>
      </c>
      <c r="AL104" s="2108"/>
      <c r="AM104" s="2103">
        <f>V124</f>
        <v>0</v>
      </c>
      <c r="AN104" s="2108"/>
      <c r="AO104" s="2103">
        <f>W124</f>
        <v>0</v>
      </c>
      <c r="AP104" s="2108"/>
      <c r="AQ104" s="2103">
        <f>X124</f>
        <v>0</v>
      </c>
      <c r="AR104" s="2108"/>
      <c r="AS104" s="2103">
        <f>Y124</f>
        <v>0</v>
      </c>
      <c r="AT104" s="2108"/>
      <c r="AU104" s="2103">
        <f>Z124</f>
        <v>0</v>
      </c>
      <c r="AV104" s="2108"/>
      <c r="AW104" s="2103">
        <f>AA124</f>
        <v>0</v>
      </c>
      <c r="AX104" s="2108"/>
      <c r="AY104" s="2103">
        <f>AB124</f>
        <v>0</v>
      </c>
      <c r="AZ104" s="2103"/>
      <c r="BA104" s="2105"/>
      <c r="BB104" s="2105"/>
      <c r="BC104" s="2105"/>
      <c r="BD104" s="2105"/>
      <c r="BE104" s="2105"/>
      <c r="BF104" s="2105"/>
      <c r="BG104" s="2105"/>
      <c r="BH104" s="2105"/>
      <c r="BI104" s="2105"/>
      <c r="BJ104" s="2105"/>
      <c r="BK104" s="2105"/>
      <c r="BL104" s="2105"/>
      <c r="BV104" s="2106"/>
      <c r="CV104" s="2107"/>
      <c r="CW104" s="2107"/>
      <c r="CX104" s="2107"/>
    </row>
    <row r="105" spans="1:119" s="2101" customFormat="1" ht="12.6">
      <c r="A105" s="2100"/>
      <c r="B105" s="2100"/>
      <c r="D105" s="2102" t="str">
        <f t="shared" si="8"/>
        <v/>
      </c>
      <c r="E105" s="2103">
        <f t="shared" si="8"/>
        <v>0</v>
      </c>
      <c r="F105" s="2108"/>
      <c r="G105" s="2103">
        <f>F125</f>
        <v>0</v>
      </c>
      <c r="H105" s="2108"/>
      <c r="I105" s="2103">
        <f>G125</f>
        <v>0</v>
      </c>
      <c r="J105" s="2108"/>
      <c r="K105" s="2103">
        <f>H125</f>
        <v>0</v>
      </c>
      <c r="L105" s="2108"/>
      <c r="M105" s="2103">
        <f>I125</f>
        <v>0</v>
      </c>
      <c r="N105" s="2108"/>
      <c r="O105" s="2103">
        <f>J125</f>
        <v>0</v>
      </c>
      <c r="P105" s="2108"/>
      <c r="Q105" s="2103">
        <f>K125</f>
        <v>0</v>
      </c>
      <c r="R105" s="2108"/>
      <c r="S105" s="2103">
        <f>L125</f>
        <v>0</v>
      </c>
      <c r="T105" s="2108"/>
      <c r="U105" s="2103">
        <f>M125</f>
        <v>0</v>
      </c>
      <c r="V105" s="2109"/>
      <c r="W105" s="2110">
        <f>N125</f>
        <v>0</v>
      </c>
      <c r="X105" s="2109"/>
      <c r="Y105" s="2110">
        <f>O125</f>
        <v>0</v>
      </c>
      <c r="Z105" s="2109"/>
      <c r="AA105" s="2103">
        <f>P125</f>
        <v>0</v>
      </c>
      <c r="AB105" s="2108"/>
      <c r="AC105" s="2103">
        <f>Q125</f>
        <v>0</v>
      </c>
      <c r="AD105" s="2108"/>
      <c r="AE105" s="2103">
        <f>R125</f>
        <v>0</v>
      </c>
      <c r="AF105" s="2108"/>
      <c r="AG105" s="2103">
        <f>S125</f>
        <v>0</v>
      </c>
      <c r="AH105" s="2108"/>
      <c r="AI105" s="2103">
        <f>T125</f>
        <v>0</v>
      </c>
      <c r="AJ105" s="2108"/>
      <c r="AK105" s="2103">
        <f>U125</f>
        <v>0</v>
      </c>
      <c r="AL105" s="2108"/>
      <c r="AM105" s="2103">
        <f>V125</f>
        <v>0</v>
      </c>
      <c r="AN105" s="2108"/>
      <c r="AO105" s="2103">
        <f>W125</f>
        <v>0</v>
      </c>
      <c r="AP105" s="2108"/>
      <c r="AQ105" s="2103">
        <f>X125</f>
        <v>0</v>
      </c>
      <c r="AR105" s="2108"/>
      <c r="AS105" s="2103">
        <f>Y125</f>
        <v>0</v>
      </c>
      <c r="AT105" s="2108"/>
      <c r="AU105" s="2103">
        <f>Z125</f>
        <v>0</v>
      </c>
      <c r="AV105" s="2108"/>
      <c r="AW105" s="2103">
        <f>AA125</f>
        <v>0</v>
      </c>
      <c r="AX105" s="2108"/>
      <c r="AY105" s="2103">
        <f>AB125</f>
        <v>0</v>
      </c>
      <c r="AZ105" s="2103"/>
      <c r="BA105" s="2105"/>
      <c r="BB105" s="2105"/>
      <c r="BC105" s="2105"/>
      <c r="BD105" s="2105"/>
      <c r="BE105" s="2105"/>
      <c r="BF105" s="2105"/>
      <c r="BG105" s="2105"/>
      <c r="BH105" s="2105"/>
      <c r="BI105" s="2105"/>
      <c r="BJ105" s="2105"/>
      <c r="BK105" s="2105"/>
      <c r="BL105" s="2105"/>
      <c r="BV105" s="2106"/>
      <c r="CV105" s="2107"/>
      <c r="CW105" s="2107"/>
      <c r="CX105" s="2107"/>
    </row>
    <row r="106" spans="1:119" s="2101" customFormat="1" ht="12.6">
      <c r="A106" s="2100"/>
      <c r="B106" s="2100"/>
      <c r="D106" s="2102" t="str">
        <f ca="1">IF(SUM(E106:AY106)=0,"",$D$15)</f>
        <v/>
      </c>
      <c r="E106" s="2103"/>
      <c r="F106" s="2103">
        <f ca="1">E126</f>
        <v>0</v>
      </c>
      <c r="G106" s="2103"/>
      <c r="H106" s="2103">
        <f ca="1">F126</f>
        <v>0</v>
      </c>
      <c r="I106" s="2103"/>
      <c r="J106" s="2103">
        <f ca="1">G126</f>
        <v>0</v>
      </c>
      <c r="K106" s="2103"/>
      <c r="L106" s="2103">
        <f ca="1">H126</f>
        <v>0</v>
      </c>
      <c r="M106" s="2103"/>
      <c r="N106" s="2103">
        <f ca="1">I126</f>
        <v>0</v>
      </c>
      <c r="O106" s="2103"/>
      <c r="P106" s="2103">
        <f ca="1">J126</f>
        <v>0</v>
      </c>
      <c r="Q106" s="2108"/>
      <c r="R106" s="2103">
        <f ca="1">K126</f>
        <v>0</v>
      </c>
      <c r="S106" s="2103"/>
      <c r="T106" s="2103">
        <f ca="1">L126</f>
        <v>0</v>
      </c>
      <c r="U106" s="2103"/>
      <c r="V106" s="2110">
        <f ca="1">M126</f>
        <v>0</v>
      </c>
      <c r="W106" s="2110"/>
      <c r="X106" s="2110">
        <f ca="1">N126</f>
        <v>0</v>
      </c>
      <c r="Y106" s="2110"/>
      <c r="Z106" s="2110">
        <f ca="1">O126</f>
        <v>0</v>
      </c>
      <c r="AA106" s="2103"/>
      <c r="AB106" s="2103">
        <f ca="1">P126</f>
        <v>0</v>
      </c>
      <c r="AC106" s="2103"/>
      <c r="AD106" s="2103">
        <f ca="1">Q126</f>
        <v>0</v>
      </c>
      <c r="AE106" s="2103"/>
      <c r="AF106" s="2103">
        <f ca="1">R126</f>
        <v>0</v>
      </c>
      <c r="AG106" s="2108"/>
      <c r="AH106" s="2103">
        <f ca="1">S126</f>
        <v>0</v>
      </c>
      <c r="AI106" s="2103"/>
      <c r="AJ106" s="2103">
        <f ca="1">T126</f>
        <v>0</v>
      </c>
      <c r="AK106" s="2108"/>
      <c r="AL106" s="2103">
        <f ca="1">U126</f>
        <v>0</v>
      </c>
      <c r="AM106" s="2103"/>
      <c r="AN106" s="2103">
        <f ca="1">V126</f>
        <v>0</v>
      </c>
      <c r="AO106" s="2108"/>
      <c r="AP106" s="2103">
        <f ca="1">W126</f>
        <v>0</v>
      </c>
      <c r="AQ106" s="2103"/>
      <c r="AR106" s="2103">
        <f ca="1">X126</f>
        <v>0</v>
      </c>
      <c r="AS106" s="2103"/>
      <c r="AT106" s="2103">
        <f ca="1">Y126</f>
        <v>0</v>
      </c>
      <c r="AU106" s="2103"/>
      <c r="AV106" s="2103">
        <f ca="1">Z126</f>
        <v>0</v>
      </c>
      <c r="AW106" s="2103"/>
      <c r="AX106" s="2103">
        <f ca="1">AA126</f>
        <v>0</v>
      </c>
      <c r="AY106" s="2103"/>
      <c r="AZ106" s="2103">
        <f ca="1">AB126</f>
        <v>0</v>
      </c>
      <c r="BA106" s="2105"/>
      <c r="BB106" s="2105"/>
      <c r="BC106" s="2105"/>
      <c r="BD106" s="2105"/>
      <c r="BE106" s="2105"/>
      <c r="BF106" s="2105"/>
      <c r="BG106" s="2105"/>
      <c r="BH106" s="2105"/>
      <c r="BI106" s="2105"/>
      <c r="BJ106" s="2105"/>
      <c r="BK106" s="2105"/>
      <c r="BL106" s="2105"/>
      <c r="BV106" s="2106"/>
      <c r="CV106" s="2107"/>
      <c r="CW106" s="2107"/>
      <c r="CX106" s="2107"/>
    </row>
    <row r="107" spans="1:119" s="2101" customFormat="1" ht="12.6">
      <c r="A107" s="2100"/>
      <c r="B107" s="2100"/>
      <c r="D107" s="2102" t="str">
        <f ca="1">IF(SUM(F107:AZ107)=0,"",CV56)</f>
        <v/>
      </c>
      <c r="E107" s="2108"/>
      <c r="F107" s="2103">
        <f ca="1">E127</f>
        <v>0</v>
      </c>
      <c r="G107" s="2108"/>
      <c r="H107" s="2103">
        <f ca="1">F127</f>
        <v>0</v>
      </c>
      <c r="I107" s="2108"/>
      <c r="J107" s="2103">
        <f ca="1">G127</f>
        <v>0</v>
      </c>
      <c r="K107" s="2108"/>
      <c r="L107" s="2103">
        <f ca="1">H127</f>
        <v>0</v>
      </c>
      <c r="M107" s="2108"/>
      <c r="N107" s="2103">
        <f ca="1">I127</f>
        <v>0</v>
      </c>
      <c r="O107" s="2108"/>
      <c r="P107" s="2103">
        <f ca="1">J127</f>
        <v>0</v>
      </c>
      <c r="Q107" s="2108"/>
      <c r="R107" s="2103">
        <f ca="1">K127</f>
        <v>0</v>
      </c>
      <c r="S107" s="2108"/>
      <c r="T107" s="2103">
        <f ca="1">L127</f>
        <v>0</v>
      </c>
      <c r="U107" s="2108"/>
      <c r="V107" s="2110">
        <f ca="1">M127</f>
        <v>0</v>
      </c>
      <c r="W107" s="2109"/>
      <c r="X107" s="2110">
        <f ca="1">N127</f>
        <v>0</v>
      </c>
      <c r="Y107" s="2109"/>
      <c r="Z107" s="2110">
        <f ca="1">O127</f>
        <v>0</v>
      </c>
      <c r="AA107" s="2108"/>
      <c r="AB107" s="2103">
        <f ca="1">P127</f>
        <v>0</v>
      </c>
      <c r="AC107" s="2108"/>
      <c r="AD107" s="2103">
        <f ca="1">Q127</f>
        <v>0</v>
      </c>
      <c r="AE107" s="2103"/>
      <c r="AF107" s="2103">
        <f ca="1">R127</f>
        <v>0</v>
      </c>
      <c r="AG107" s="2108"/>
      <c r="AH107" s="2103">
        <f ca="1">S127</f>
        <v>0</v>
      </c>
      <c r="AI107" s="2108"/>
      <c r="AJ107" s="2103">
        <f ca="1">T127</f>
        <v>0</v>
      </c>
      <c r="AK107" s="2108"/>
      <c r="AL107" s="2103">
        <f ca="1">U127</f>
        <v>0</v>
      </c>
      <c r="AM107" s="2103"/>
      <c r="AN107" s="2103">
        <f ca="1">V127</f>
        <v>0</v>
      </c>
      <c r="AO107" s="2108"/>
      <c r="AP107" s="2103">
        <f ca="1">W127</f>
        <v>0</v>
      </c>
      <c r="AQ107" s="2103"/>
      <c r="AR107" s="2103">
        <f ca="1">X127</f>
        <v>0</v>
      </c>
      <c r="AS107" s="2103"/>
      <c r="AT107" s="2103">
        <f ca="1">Y127</f>
        <v>0</v>
      </c>
      <c r="AU107" s="2103"/>
      <c r="AV107" s="2103">
        <f ca="1">Z127</f>
        <v>0</v>
      </c>
      <c r="AW107" s="2103"/>
      <c r="AX107" s="2103">
        <f ca="1">AA127</f>
        <v>0</v>
      </c>
      <c r="AY107" s="2103"/>
      <c r="AZ107" s="2103">
        <f ca="1">AB127</f>
        <v>0</v>
      </c>
      <c r="BA107" s="2105"/>
      <c r="BB107" s="2105"/>
      <c r="BC107" s="2105"/>
      <c r="BD107" s="2105"/>
      <c r="BE107" s="2105"/>
      <c r="BF107" s="2105"/>
      <c r="BG107" s="2105"/>
      <c r="BH107" s="2105"/>
      <c r="BI107" s="2105"/>
      <c r="BJ107" s="2105"/>
      <c r="BK107" s="2105"/>
      <c r="BL107" s="2105"/>
      <c r="BV107" s="2106"/>
      <c r="CV107" s="2107"/>
      <c r="CW107" s="2107"/>
      <c r="CX107" s="2107"/>
    </row>
    <row r="108" spans="1:119" s="2101" customFormat="1" ht="12.6">
      <c r="A108" s="2100"/>
      <c r="B108" s="2100"/>
      <c r="D108" s="2102" t="str">
        <f ca="1">IF(SUM(F108:AZ108)=0,"",CV55)</f>
        <v/>
      </c>
      <c r="E108" s="2103"/>
      <c r="F108" s="2103">
        <f ca="1">E128</f>
        <v>0</v>
      </c>
      <c r="G108" s="2103"/>
      <c r="H108" s="2103">
        <f ca="1">F128</f>
        <v>0</v>
      </c>
      <c r="I108" s="2103"/>
      <c r="J108" s="2103">
        <f ca="1">G128</f>
        <v>0</v>
      </c>
      <c r="K108" s="2103"/>
      <c r="L108" s="2103">
        <f ca="1">H128</f>
        <v>0</v>
      </c>
      <c r="M108" s="2103"/>
      <c r="N108" s="2103">
        <f ca="1">I128</f>
        <v>0</v>
      </c>
      <c r="O108" s="2103"/>
      <c r="P108" s="2103">
        <f ca="1">J128</f>
        <v>0</v>
      </c>
      <c r="Q108" s="2108"/>
      <c r="R108" s="2103">
        <f ca="1">K128</f>
        <v>0</v>
      </c>
      <c r="S108" s="2108"/>
      <c r="T108" s="2103">
        <f ca="1">L128</f>
        <v>0</v>
      </c>
      <c r="U108" s="2108"/>
      <c r="V108" s="2110">
        <f ca="1">M128</f>
        <v>0</v>
      </c>
      <c r="W108" s="2109"/>
      <c r="X108" s="2110">
        <f ca="1">N128</f>
        <v>0</v>
      </c>
      <c r="Y108" s="2109"/>
      <c r="Z108" s="2110">
        <f ca="1">O128</f>
        <v>0</v>
      </c>
      <c r="AA108" s="2108"/>
      <c r="AB108" s="2103">
        <f ca="1">P128</f>
        <v>0</v>
      </c>
      <c r="AC108" s="2108"/>
      <c r="AD108" s="2103">
        <f ca="1">Q128</f>
        <v>0</v>
      </c>
      <c r="AE108" s="2103"/>
      <c r="AF108" s="2103">
        <f ca="1">R128</f>
        <v>0</v>
      </c>
      <c r="AG108" s="2108"/>
      <c r="AH108" s="2103">
        <f ca="1">S128</f>
        <v>0</v>
      </c>
      <c r="AI108" s="2108"/>
      <c r="AJ108" s="2103">
        <f ca="1">T128</f>
        <v>0</v>
      </c>
      <c r="AK108" s="2108"/>
      <c r="AL108" s="2103">
        <f ca="1">U128</f>
        <v>0</v>
      </c>
      <c r="AM108" s="2103"/>
      <c r="AN108" s="2103">
        <f ca="1">V128</f>
        <v>0</v>
      </c>
      <c r="AO108" s="2108"/>
      <c r="AP108" s="2103">
        <f ca="1">W128</f>
        <v>0</v>
      </c>
      <c r="AQ108" s="2103"/>
      <c r="AR108" s="2103">
        <f ca="1">X128</f>
        <v>0</v>
      </c>
      <c r="AS108" s="2103"/>
      <c r="AT108" s="2103">
        <f ca="1">Y128</f>
        <v>0</v>
      </c>
      <c r="AU108" s="2103"/>
      <c r="AV108" s="2103">
        <f ca="1">Z128</f>
        <v>0</v>
      </c>
      <c r="AW108" s="2103"/>
      <c r="AX108" s="2103">
        <f ca="1">AA128</f>
        <v>0</v>
      </c>
      <c r="AY108" s="2103"/>
      <c r="AZ108" s="2103">
        <f ca="1">AB128</f>
        <v>0</v>
      </c>
      <c r="BA108" s="2105"/>
      <c r="BB108" s="2105"/>
      <c r="BC108" s="2105"/>
      <c r="BD108" s="2105"/>
      <c r="BE108" s="2105"/>
      <c r="BF108" s="2105"/>
      <c r="BG108" s="2105"/>
      <c r="BH108" s="2105"/>
      <c r="BI108" s="2105"/>
      <c r="BJ108" s="2105"/>
      <c r="BK108" s="2105"/>
      <c r="BL108" s="2105"/>
      <c r="BV108" s="2106"/>
      <c r="CV108" s="2107"/>
      <c r="CW108" s="2107"/>
      <c r="CX108" s="2107"/>
    </row>
    <row r="109" spans="1:119" s="2100" customFormat="1" ht="14.25" customHeight="1">
      <c r="E109" s="2111"/>
      <c r="F109" s="2111"/>
      <c r="G109" s="2111"/>
      <c r="H109" s="2103"/>
      <c r="I109" s="2111"/>
      <c r="J109" s="2111"/>
      <c r="K109" s="2111"/>
      <c r="L109" s="2111"/>
      <c r="M109" s="2111"/>
      <c r="N109" s="2111"/>
      <c r="O109" s="2111"/>
      <c r="P109" s="2103"/>
      <c r="Q109" s="2103"/>
      <c r="R109" s="2103"/>
      <c r="S109" s="2103"/>
      <c r="T109" s="2103"/>
      <c r="U109" s="2103"/>
      <c r="V109" s="2110"/>
      <c r="W109" s="2110"/>
      <c r="X109" s="2110"/>
      <c r="Y109" s="2110"/>
      <c r="Z109" s="2112"/>
      <c r="AA109" s="2111"/>
      <c r="AB109" s="2111"/>
      <c r="AC109" s="2111"/>
      <c r="AD109" s="2111"/>
      <c r="AE109" s="2111"/>
      <c r="AF109" s="2111"/>
      <c r="AG109" s="2111"/>
      <c r="AH109" s="2111"/>
      <c r="AI109" s="2111"/>
      <c r="AJ109" s="2111"/>
      <c r="AK109" s="2111"/>
      <c r="AL109" s="2111"/>
      <c r="AM109" s="2111"/>
      <c r="AN109" s="2111"/>
      <c r="AO109" s="2111"/>
      <c r="AP109" s="2111"/>
      <c r="AQ109" s="2111"/>
      <c r="AR109" s="2111"/>
      <c r="AS109" s="2111"/>
      <c r="AT109" s="2111"/>
      <c r="AU109" s="2111"/>
      <c r="AV109" s="2111"/>
      <c r="AW109" s="2111"/>
      <c r="AX109" s="2111"/>
      <c r="AY109" s="2111"/>
      <c r="AZ109" s="2111"/>
      <c r="BV109" s="2113"/>
      <c r="CA109" s="2101"/>
      <c r="CB109" s="2101"/>
      <c r="CC109" s="2101"/>
      <c r="CD109" s="2101"/>
      <c r="CE109" s="2101"/>
      <c r="CF109" s="2101"/>
      <c r="CG109" s="2101"/>
      <c r="CH109" s="2101"/>
      <c r="CI109" s="2101"/>
      <c r="CJ109" s="2101"/>
      <c r="CK109" s="2101"/>
      <c r="CL109" s="2101"/>
      <c r="CM109" s="2101"/>
      <c r="CN109" s="2101"/>
      <c r="CO109" s="2101"/>
      <c r="CP109" s="2101"/>
      <c r="CQ109" s="2101"/>
      <c r="CR109" s="2101"/>
      <c r="CS109" s="2101"/>
      <c r="CT109" s="2101"/>
      <c r="CU109" s="2101"/>
      <c r="CV109" s="2107"/>
      <c r="CW109" s="2107"/>
      <c r="CX109" s="2107"/>
      <c r="CY109" s="2101"/>
      <c r="CZ109" s="2101"/>
      <c r="DA109" s="2101"/>
      <c r="DB109" s="2101"/>
      <c r="DC109" s="2101"/>
      <c r="DD109" s="2101"/>
      <c r="DE109" s="2101"/>
      <c r="DF109" s="2101"/>
      <c r="DG109" s="2101"/>
      <c r="DH109" s="2101"/>
      <c r="DI109" s="2101"/>
      <c r="DJ109" s="2101"/>
      <c r="DK109" s="2101"/>
      <c r="DL109" s="2101"/>
      <c r="DM109" s="2101"/>
      <c r="DN109" s="2101"/>
      <c r="DO109" s="2101"/>
    </row>
    <row r="110" spans="1:119" s="2100" customFormat="1" ht="14.25" customHeight="1">
      <c r="P110" s="2114"/>
      <c r="Q110" s="2114"/>
      <c r="R110" s="2114"/>
      <c r="S110" s="2114"/>
      <c r="T110" s="2114"/>
      <c r="U110" s="2114"/>
      <c r="V110" s="2115"/>
      <c r="W110" s="2115"/>
      <c r="X110" s="2115"/>
      <c r="Y110" s="2115"/>
      <c r="Z110" s="2116"/>
      <c r="AE110" s="2113"/>
      <c r="BV110" s="2113"/>
      <c r="CA110" s="2101"/>
      <c r="CB110" s="2101"/>
      <c r="CC110" s="2101"/>
      <c r="CD110" s="2101"/>
      <c r="CE110" s="2101"/>
      <c r="CF110" s="2101"/>
      <c r="CG110" s="2101"/>
      <c r="CH110" s="2101"/>
      <c r="CI110" s="2101"/>
      <c r="CJ110" s="2101"/>
      <c r="CK110" s="2101"/>
      <c r="CL110" s="2101"/>
      <c r="CM110" s="2101"/>
      <c r="CN110" s="2101"/>
      <c r="CO110" s="2101"/>
      <c r="CP110" s="2101"/>
      <c r="CQ110" s="2101"/>
      <c r="CR110" s="2101"/>
      <c r="CS110" s="2101"/>
      <c r="CT110" s="2101"/>
      <c r="CU110" s="2101"/>
      <c r="CV110" s="2107"/>
      <c r="CW110" s="2107"/>
      <c r="CX110" s="2107"/>
      <c r="CY110" s="2101"/>
      <c r="CZ110" s="2101"/>
      <c r="DA110" s="2101"/>
      <c r="DB110" s="2101"/>
      <c r="DC110" s="2101"/>
      <c r="DD110" s="2101"/>
      <c r="DE110" s="2101"/>
      <c r="DF110" s="2101"/>
      <c r="DG110" s="2101"/>
      <c r="DH110" s="2101"/>
      <c r="DI110" s="2101"/>
      <c r="DJ110" s="2101"/>
      <c r="DK110" s="2101"/>
      <c r="DL110" s="2101"/>
      <c r="DM110" s="2101"/>
      <c r="DN110" s="2101"/>
      <c r="DO110" s="2101"/>
    </row>
    <row r="111" spans="1:119" s="2100" customFormat="1" ht="14.25" customHeight="1">
      <c r="D111" s="2100" t="str">
        <f>CV410&amp;" (EUR)"</f>
        <v>jährliche Zu- und Abgänge (EUR)</v>
      </c>
      <c r="P111" s="2117"/>
      <c r="Q111" s="2114"/>
      <c r="R111" s="2114"/>
      <c r="S111" s="2114"/>
      <c r="T111" s="2114"/>
      <c r="V111" s="2116"/>
      <c r="W111" s="2116"/>
      <c r="X111" s="2116"/>
      <c r="Y111" s="2116"/>
      <c r="Z111" s="2116"/>
      <c r="AB111" s="2117"/>
      <c r="AC111" s="2117"/>
      <c r="AD111" s="2117"/>
      <c r="AE111" s="2117"/>
      <c r="AF111" s="2117"/>
      <c r="AG111" s="2117"/>
      <c r="AH111" s="2117"/>
      <c r="BV111" s="2113"/>
      <c r="CA111" s="2101"/>
      <c r="CB111" s="2101"/>
      <c r="CC111" s="2101"/>
      <c r="CD111" s="2101"/>
      <c r="CE111" s="2101"/>
      <c r="CF111" s="2101"/>
      <c r="CG111" s="2101"/>
      <c r="CH111" s="2101"/>
      <c r="CI111" s="2101"/>
      <c r="CJ111" s="2101"/>
      <c r="CK111" s="2101"/>
      <c r="CL111" s="2101"/>
      <c r="CM111" s="2101"/>
      <c r="CN111" s="2101"/>
      <c r="CO111" s="2101"/>
      <c r="CP111" s="2101"/>
      <c r="CQ111" s="2101"/>
      <c r="CR111" s="2101"/>
      <c r="CS111" s="2101"/>
      <c r="CT111" s="2101"/>
      <c r="CU111" s="2101"/>
      <c r="CV111" s="2107"/>
      <c r="CW111" s="2107"/>
      <c r="CX111" s="2107"/>
      <c r="CY111" s="2101"/>
      <c r="CZ111" s="2101"/>
      <c r="DA111" s="2101"/>
      <c r="DB111" s="2101"/>
      <c r="DC111" s="2101"/>
      <c r="DD111" s="2101"/>
      <c r="DE111" s="2101"/>
      <c r="DF111" s="2101"/>
      <c r="DG111" s="2101"/>
      <c r="DH111" s="2101"/>
      <c r="DI111" s="2101"/>
      <c r="DJ111" s="2101"/>
      <c r="DK111" s="2101"/>
      <c r="DL111" s="2101"/>
      <c r="DM111" s="2101"/>
      <c r="DN111" s="2101"/>
      <c r="DO111" s="2101"/>
    </row>
    <row r="112" spans="1:119" s="2100" customFormat="1" ht="14.25" customHeight="1">
      <c r="E112" s="2103">
        <f ca="1">$E$130</f>
        <v>2026</v>
      </c>
      <c r="F112" s="2103">
        <f ca="1">$E$130</f>
        <v>2026</v>
      </c>
      <c r="G112" s="2103">
        <f ca="1">$Q$159</f>
        <v>2027</v>
      </c>
      <c r="H112" s="2103">
        <f ca="1">$Q$159</f>
        <v>2027</v>
      </c>
      <c r="I112" s="2103">
        <f ca="1">$AC$188</f>
        <v>2028</v>
      </c>
      <c r="J112" s="2103">
        <f ca="1">$AC$188</f>
        <v>2028</v>
      </c>
      <c r="K112" s="2103">
        <f ca="1">$AO$217</f>
        <v>2029</v>
      </c>
      <c r="L112" s="2103">
        <f ca="1">$AO$217</f>
        <v>2029</v>
      </c>
      <c r="M112" s="2103">
        <f ca="1">$BA$246</f>
        <v>2030</v>
      </c>
      <c r="N112" s="2103">
        <f ca="1">$BA$246</f>
        <v>2030</v>
      </c>
      <c r="P112" s="2111"/>
      <c r="Q112" s="2114"/>
      <c r="R112" s="2114"/>
      <c r="S112" s="2114"/>
      <c r="T112" s="2114"/>
      <c r="U112" s="2102"/>
      <c r="V112" s="2104"/>
      <c r="W112" s="2104"/>
      <c r="X112" s="2104"/>
      <c r="Y112" s="2116"/>
      <c r="Z112" s="2116"/>
      <c r="AB112" s="2111"/>
      <c r="AC112" s="2111"/>
      <c r="AD112" s="2111"/>
      <c r="AE112" s="2111"/>
      <c r="AF112" s="2111"/>
      <c r="AG112" s="2111"/>
      <c r="AH112" s="2111"/>
      <c r="BV112" s="2113"/>
      <c r="CA112" s="2101"/>
      <c r="CB112" s="2101"/>
      <c r="CC112" s="2101"/>
      <c r="CD112" s="2101"/>
      <c r="CE112" s="2101"/>
      <c r="CF112" s="2101"/>
      <c r="CG112" s="2101"/>
      <c r="CH112" s="2101"/>
      <c r="CI112" s="2101"/>
      <c r="CJ112" s="2101"/>
      <c r="CK112" s="2101"/>
      <c r="CL112" s="2101"/>
      <c r="CM112" s="2101"/>
      <c r="CN112" s="2101"/>
      <c r="CO112" s="2101"/>
      <c r="CP112" s="2101"/>
      <c r="CQ112" s="2101"/>
      <c r="CR112" s="2101"/>
      <c r="CS112" s="2101"/>
      <c r="CT112" s="2101"/>
      <c r="CU112" s="2101"/>
      <c r="CV112" s="2107"/>
      <c r="CW112" s="2107"/>
      <c r="CX112" s="2107"/>
      <c r="CY112" s="2101"/>
      <c r="CZ112" s="2101"/>
      <c r="DA112" s="2101"/>
      <c r="DB112" s="2101"/>
      <c r="DC112" s="2101"/>
      <c r="DD112" s="2101"/>
      <c r="DE112" s="2101"/>
      <c r="DF112" s="2101"/>
      <c r="DG112" s="2101"/>
      <c r="DH112" s="2101"/>
      <c r="DI112" s="2101"/>
      <c r="DJ112" s="2101"/>
      <c r="DK112" s="2101"/>
      <c r="DL112" s="2101"/>
      <c r="DM112" s="2101"/>
      <c r="DN112" s="2101"/>
      <c r="DO112" s="2101"/>
    </row>
    <row r="113" spans="1:119" s="2100" customFormat="1" ht="14.25" customHeight="1">
      <c r="D113" s="2100" t="str">
        <f ca="1">D124</f>
        <v/>
      </c>
      <c r="E113" s="2118">
        <f>SUM(E124:P124)</f>
        <v>0</v>
      </c>
      <c r="F113" s="2119"/>
      <c r="G113" s="2118">
        <f>SUM(Q124:AB124)</f>
        <v>0</v>
      </c>
      <c r="H113" s="2119"/>
      <c r="I113" s="2118">
        <f>SUM(AC124:AN124)</f>
        <v>0</v>
      </c>
      <c r="J113" s="2119"/>
      <c r="K113" s="2118">
        <f ca="1">SUM(AO124:AZ124)</f>
        <v>0</v>
      </c>
      <c r="L113" s="2119"/>
      <c r="M113" s="2118">
        <f ca="1">SUM(BA124:BL124)</f>
        <v>0</v>
      </c>
      <c r="N113" s="2119"/>
      <c r="O113" s="2114"/>
      <c r="P113" s="2111"/>
      <c r="Q113" s="2114"/>
      <c r="R113" s="2114"/>
      <c r="S113" s="2114"/>
      <c r="T113" s="2114"/>
      <c r="U113" s="2120"/>
      <c r="V113" s="2121"/>
      <c r="W113" s="2121"/>
      <c r="X113" s="2121"/>
      <c r="Y113" s="2116"/>
      <c r="Z113" s="2116"/>
      <c r="AB113" s="2111"/>
      <c r="AC113" s="2111"/>
      <c r="AD113" s="2111"/>
      <c r="AE113" s="2111"/>
      <c r="AF113" s="2111"/>
      <c r="AG113" s="2111"/>
      <c r="AH113" s="2111"/>
      <c r="BV113" s="2113"/>
      <c r="CA113" s="2101"/>
      <c r="CB113" s="2101"/>
      <c r="CC113" s="2101"/>
      <c r="CD113" s="2101"/>
      <c r="CE113" s="2101"/>
      <c r="CF113" s="2101"/>
      <c r="CG113" s="2101"/>
      <c r="CH113" s="2101"/>
      <c r="CI113" s="2101"/>
      <c r="CJ113" s="2101"/>
      <c r="CK113" s="2101"/>
      <c r="CL113" s="2101"/>
      <c r="CM113" s="2101"/>
      <c r="CN113" s="2101"/>
      <c r="CO113" s="2101"/>
      <c r="CP113" s="2101"/>
      <c r="CQ113" s="2101"/>
      <c r="CR113" s="2101"/>
      <c r="CS113" s="2101"/>
      <c r="CT113" s="2101"/>
      <c r="CU113" s="2101"/>
      <c r="CV113" s="2107"/>
      <c r="CW113" s="2107"/>
      <c r="CX113" s="2107"/>
      <c r="CY113" s="2101"/>
      <c r="CZ113" s="2101"/>
      <c r="DA113" s="2101"/>
      <c r="DB113" s="2101"/>
      <c r="DC113" s="2101"/>
      <c r="DD113" s="2101"/>
      <c r="DE113" s="2101"/>
      <c r="DF113" s="2101"/>
      <c r="DG113" s="2101"/>
      <c r="DH113" s="2101"/>
      <c r="DI113" s="2101"/>
      <c r="DJ113" s="2101"/>
      <c r="DK113" s="2101"/>
      <c r="DL113" s="2101"/>
      <c r="DM113" s="2101"/>
      <c r="DN113" s="2101"/>
      <c r="DO113" s="2101"/>
    </row>
    <row r="114" spans="1:119" s="2100" customFormat="1" ht="13.65" customHeight="1">
      <c r="D114" s="2100" t="str">
        <f>D125</f>
        <v/>
      </c>
      <c r="E114" s="2118">
        <f>SUM(E125:P125)</f>
        <v>0</v>
      </c>
      <c r="F114" s="2119"/>
      <c r="G114" s="2118">
        <f>SUM(Q125:AB125)</f>
        <v>0</v>
      </c>
      <c r="H114" s="2119"/>
      <c r="I114" s="2118">
        <f>SUM(AC125:AN125)</f>
        <v>0</v>
      </c>
      <c r="J114" s="2119"/>
      <c r="K114" s="2118">
        <f>SUM(AO125:AZ125)</f>
        <v>0</v>
      </c>
      <c r="L114" s="2119"/>
      <c r="M114" s="2118">
        <f>SUM(BA125:BL125)</f>
        <v>0</v>
      </c>
      <c r="N114" s="2119"/>
      <c r="O114" s="2117"/>
      <c r="P114" s="2117"/>
      <c r="Q114" s="2114"/>
      <c r="R114" s="2114"/>
      <c r="S114" s="2114"/>
      <c r="T114" s="2114"/>
      <c r="U114" s="2120"/>
      <c r="V114" s="2121"/>
      <c r="W114" s="2121"/>
      <c r="X114" s="2121"/>
      <c r="Y114" s="2116"/>
      <c r="Z114" s="2116"/>
      <c r="AB114" s="2122"/>
      <c r="AC114" s="2122"/>
      <c r="AD114" s="2122"/>
      <c r="AE114" s="2122"/>
      <c r="BV114" s="2113"/>
      <c r="CA114" s="2101"/>
      <c r="CB114" s="2101"/>
      <c r="CC114" s="2101"/>
      <c r="CD114" s="2101"/>
      <c r="CE114" s="2101"/>
      <c r="CF114" s="2101"/>
      <c r="CG114" s="2101"/>
      <c r="CH114" s="2101"/>
      <c r="CI114" s="2101"/>
      <c r="CJ114" s="2101"/>
      <c r="CK114" s="2101"/>
      <c r="CL114" s="2101"/>
      <c r="CM114" s="2101"/>
      <c r="CN114" s="2101"/>
      <c r="CO114" s="2101"/>
      <c r="CP114" s="2101"/>
      <c r="CQ114" s="2101"/>
      <c r="CR114" s="2101"/>
      <c r="CS114" s="2101"/>
      <c r="CT114" s="2101"/>
      <c r="CU114" s="2101"/>
      <c r="CV114" s="2107"/>
      <c r="CW114" s="2107"/>
      <c r="CX114" s="2107"/>
      <c r="CY114" s="2101"/>
      <c r="CZ114" s="2101"/>
      <c r="DA114" s="2101"/>
      <c r="DB114" s="2101"/>
      <c r="DC114" s="2101"/>
      <c r="DD114" s="2101"/>
      <c r="DE114" s="2101"/>
      <c r="DF114" s="2101"/>
      <c r="DG114" s="2101"/>
      <c r="DH114" s="2101"/>
      <c r="DI114" s="2101"/>
      <c r="DJ114" s="2101"/>
      <c r="DK114" s="2101"/>
      <c r="DL114" s="2101"/>
      <c r="DM114" s="2101"/>
      <c r="DN114" s="2101"/>
      <c r="DO114" s="2101"/>
    </row>
    <row r="115" spans="1:119" s="2100" customFormat="1" ht="13.65" customHeight="1">
      <c r="D115" s="2102" t="str">
        <f>IF(SUM(F115:AZ115)=0,"",$D$15)</f>
        <v/>
      </c>
      <c r="E115" s="2118"/>
      <c r="F115" s="2118">
        <f>E15</f>
        <v>0</v>
      </c>
      <c r="G115" s="2118"/>
      <c r="H115" s="2118">
        <f>O15</f>
        <v>0</v>
      </c>
      <c r="I115" s="2118"/>
      <c r="J115" s="2118">
        <v>0</v>
      </c>
      <c r="K115" s="2118"/>
      <c r="L115" s="2118">
        <v>0</v>
      </c>
      <c r="M115" s="2118"/>
      <c r="N115" s="2118">
        <v>0</v>
      </c>
      <c r="O115" s="2117"/>
      <c r="P115" s="2117"/>
      <c r="Q115" s="2114"/>
      <c r="R115" s="2114"/>
      <c r="S115" s="2114"/>
      <c r="T115" s="2114"/>
      <c r="U115" s="2120"/>
      <c r="V115" s="2121"/>
      <c r="W115" s="2121"/>
      <c r="X115" s="2121"/>
      <c r="Y115" s="2116"/>
      <c r="Z115" s="2116"/>
      <c r="AB115" s="2122"/>
      <c r="AC115" s="2122"/>
      <c r="AD115" s="2122"/>
      <c r="AE115" s="2122"/>
      <c r="BV115" s="2113"/>
      <c r="CA115" s="2101"/>
      <c r="CB115" s="2101"/>
      <c r="CC115" s="2101"/>
      <c r="CD115" s="2101"/>
      <c r="CE115" s="2101"/>
      <c r="CF115" s="2101"/>
      <c r="CG115" s="2101"/>
      <c r="CH115" s="2101"/>
      <c r="CI115" s="2101"/>
      <c r="CJ115" s="2101"/>
      <c r="CK115" s="2101"/>
      <c r="CL115" s="2101"/>
      <c r="CM115" s="2101"/>
      <c r="CN115" s="2101"/>
      <c r="CO115" s="2101"/>
      <c r="CP115" s="2101"/>
      <c r="CQ115" s="2101"/>
      <c r="CR115" s="2101"/>
      <c r="CS115" s="2101"/>
      <c r="CT115" s="2101"/>
      <c r="CU115" s="2101"/>
      <c r="CV115" s="2107"/>
      <c r="CW115" s="2107"/>
      <c r="CX115" s="2107"/>
      <c r="CY115" s="2101"/>
      <c r="CZ115" s="2101"/>
      <c r="DA115" s="2101"/>
      <c r="DB115" s="2101"/>
      <c r="DC115" s="2101"/>
      <c r="DD115" s="2101"/>
      <c r="DE115" s="2101"/>
      <c r="DF115" s="2101"/>
      <c r="DG115" s="2101"/>
      <c r="DH115" s="2101"/>
      <c r="DI115" s="2101"/>
      <c r="DJ115" s="2101"/>
      <c r="DK115" s="2101"/>
      <c r="DL115" s="2101"/>
      <c r="DM115" s="2101"/>
      <c r="DN115" s="2101"/>
      <c r="DO115" s="2101"/>
    </row>
    <row r="116" spans="1:119" s="2100" customFormat="1" ht="14.25" customHeight="1">
      <c r="D116" s="2102" t="str">
        <f>IF(SUM(F116:AZ116)=0,"",$D$10)</f>
        <v/>
      </c>
      <c r="E116" s="2119"/>
      <c r="F116" s="2118">
        <f>E10</f>
        <v>0</v>
      </c>
      <c r="G116" s="2119"/>
      <c r="H116" s="2118">
        <f>O10</f>
        <v>0</v>
      </c>
      <c r="I116" s="2119"/>
      <c r="J116" s="2118">
        <f>E25</f>
        <v>0</v>
      </c>
      <c r="K116" s="2119"/>
      <c r="L116" s="2118">
        <f>J25</f>
        <v>0</v>
      </c>
      <c r="M116" s="2119"/>
      <c r="N116" s="2118">
        <f>O25</f>
        <v>0</v>
      </c>
      <c r="O116" s="2111"/>
      <c r="P116" s="2111"/>
      <c r="Q116" s="2114"/>
      <c r="R116" s="2114"/>
      <c r="S116" s="2114"/>
      <c r="T116" s="2114"/>
      <c r="V116" s="2116"/>
      <c r="W116" s="2116"/>
      <c r="X116" s="2116"/>
      <c r="Y116" s="2116"/>
      <c r="Z116" s="2116"/>
      <c r="AB116" s="2111"/>
      <c r="AC116" s="2111"/>
      <c r="AD116" s="2111"/>
      <c r="AE116" s="2111"/>
      <c r="BV116" s="2113"/>
      <c r="CA116" s="2101"/>
      <c r="CB116" s="2101"/>
      <c r="CC116" s="2101"/>
      <c r="CD116" s="2101"/>
      <c r="CE116" s="2101"/>
      <c r="CF116" s="2101"/>
      <c r="CG116" s="2101"/>
      <c r="CH116" s="2101"/>
      <c r="CI116" s="2101"/>
      <c r="CJ116" s="2101"/>
      <c r="CK116" s="2101"/>
      <c r="CL116" s="2101"/>
      <c r="CM116" s="2101"/>
      <c r="CN116" s="2101"/>
      <c r="CO116" s="2101"/>
      <c r="CP116" s="2101"/>
      <c r="CQ116" s="2101"/>
      <c r="CR116" s="2101"/>
      <c r="CS116" s="2101"/>
      <c r="CT116" s="2101"/>
      <c r="CU116" s="2101"/>
      <c r="CV116" s="2107"/>
      <c r="CW116" s="2107"/>
      <c r="CX116" s="2107"/>
      <c r="CY116" s="2101"/>
      <c r="CZ116" s="2101"/>
      <c r="DA116" s="2101"/>
      <c r="DB116" s="2101"/>
      <c r="DC116" s="2101"/>
      <c r="DD116" s="2101"/>
      <c r="DE116" s="2101"/>
      <c r="DF116" s="2101"/>
      <c r="DG116" s="2101"/>
      <c r="DH116" s="2101"/>
      <c r="DI116" s="2101"/>
      <c r="DJ116" s="2101"/>
      <c r="DK116" s="2101"/>
      <c r="DL116" s="2101"/>
      <c r="DM116" s="2101"/>
      <c r="DN116" s="2101"/>
      <c r="DO116" s="2101"/>
    </row>
    <row r="117" spans="1:119" s="2100" customFormat="1" ht="14.25" customHeight="1">
      <c r="D117" s="2100" t="str">
        <f>IF(SUM(E117:N117)=0,"",$CV$55)</f>
        <v/>
      </c>
      <c r="E117" s="2118"/>
      <c r="F117" s="2118">
        <f>E16</f>
        <v>0</v>
      </c>
      <c r="G117" s="2118"/>
      <c r="H117" s="2118">
        <f>O16</f>
        <v>0</v>
      </c>
      <c r="I117" s="2118"/>
      <c r="J117" s="2118">
        <f>E30</f>
        <v>0</v>
      </c>
      <c r="K117" s="2118"/>
      <c r="L117" s="2118">
        <f>J30</f>
        <v>0</v>
      </c>
      <c r="M117" s="2118"/>
      <c r="N117" s="2118">
        <f>O30</f>
        <v>0</v>
      </c>
      <c r="O117" s="2111"/>
      <c r="P117" s="2111"/>
      <c r="V117" s="2116"/>
      <c r="W117" s="2116"/>
      <c r="X117" s="2116"/>
      <c r="Y117" s="2116"/>
      <c r="Z117" s="2116"/>
      <c r="AB117" s="2111"/>
      <c r="AC117" s="2111"/>
      <c r="AD117" s="2111"/>
      <c r="AE117" s="2111"/>
      <c r="BV117" s="2113"/>
      <c r="CA117" s="2101"/>
      <c r="CB117" s="2101"/>
      <c r="CC117" s="2101"/>
      <c r="CD117" s="2101"/>
      <c r="CE117" s="2101"/>
      <c r="CF117" s="2101"/>
      <c r="CG117" s="2101"/>
      <c r="CH117" s="2101"/>
      <c r="CI117" s="2101"/>
      <c r="CJ117" s="2101"/>
      <c r="CK117" s="2101"/>
      <c r="CL117" s="2101"/>
      <c r="CM117" s="2101"/>
      <c r="CN117" s="2101"/>
      <c r="CO117" s="2101"/>
      <c r="CP117" s="2101"/>
      <c r="CQ117" s="2101"/>
      <c r="CR117" s="2101"/>
      <c r="CS117" s="2101"/>
      <c r="CT117" s="2101"/>
      <c r="CU117" s="2101"/>
      <c r="CV117" s="2107"/>
      <c r="CW117" s="2107"/>
      <c r="CX117" s="2107"/>
      <c r="CY117" s="2101"/>
      <c r="CZ117" s="2101"/>
      <c r="DA117" s="2101"/>
      <c r="DB117" s="2101"/>
      <c r="DC117" s="2101"/>
      <c r="DD117" s="2101"/>
      <c r="DE117" s="2101"/>
      <c r="DF117" s="2101"/>
      <c r="DG117" s="2101"/>
      <c r="DH117" s="2101"/>
      <c r="DI117" s="2101"/>
      <c r="DJ117" s="2101"/>
      <c r="DK117" s="2101"/>
      <c r="DL117" s="2101"/>
      <c r="DM117" s="2101"/>
      <c r="DN117" s="2101"/>
      <c r="DO117" s="2101"/>
    </row>
    <row r="118" spans="1:119" s="146" customFormat="1" ht="14.25" customHeight="1">
      <c r="E118" s="2033"/>
      <c r="F118" s="2033"/>
      <c r="G118" s="2034"/>
      <c r="H118" s="2033"/>
      <c r="I118" s="2033"/>
      <c r="J118" s="2033"/>
      <c r="K118" s="2033"/>
      <c r="L118" s="2033"/>
      <c r="M118" s="2035"/>
      <c r="N118" s="2033"/>
      <c r="R118" s="1573"/>
      <c r="S118" s="1573"/>
      <c r="T118" s="1573"/>
      <c r="V118" s="148"/>
      <c r="W118" s="148"/>
      <c r="X118" s="148"/>
      <c r="Y118" s="148"/>
      <c r="Z118" s="148"/>
      <c r="BV118" s="2029"/>
      <c r="CA118" s="147"/>
      <c r="CB118" s="147"/>
      <c r="CC118" s="147"/>
      <c r="CD118" s="147"/>
      <c r="CE118" s="147"/>
      <c r="CF118" s="147"/>
      <c r="CG118" s="147"/>
      <c r="CH118" s="147"/>
      <c r="CI118" s="147"/>
      <c r="CJ118" s="147"/>
      <c r="CK118" s="147"/>
      <c r="CL118" s="147"/>
      <c r="CM118" s="147"/>
      <c r="CN118" s="147"/>
      <c r="CO118" s="147"/>
      <c r="CP118" s="147"/>
      <c r="CQ118" s="147"/>
      <c r="CR118" s="147"/>
      <c r="CS118" s="147"/>
      <c r="CT118" s="147"/>
      <c r="CU118" s="147"/>
      <c r="CV118" s="806"/>
      <c r="CW118" s="806"/>
      <c r="CX118" s="806"/>
      <c r="CY118" s="147"/>
      <c r="CZ118" s="147"/>
      <c r="DA118" s="147"/>
      <c r="DB118" s="147"/>
      <c r="DC118" s="147"/>
      <c r="DD118" s="147"/>
      <c r="DE118" s="147"/>
      <c r="DF118" s="147"/>
      <c r="DG118" s="147"/>
      <c r="DH118" s="147"/>
      <c r="DI118" s="147"/>
      <c r="DJ118" s="147"/>
      <c r="DK118" s="147"/>
      <c r="DL118" s="147"/>
      <c r="DM118" s="147"/>
      <c r="DN118" s="147"/>
      <c r="DO118" s="147"/>
    </row>
    <row r="119" spans="1:119" s="160" customFormat="1" ht="12.6" customHeight="1">
      <c r="E119" s="1971"/>
      <c r="F119" s="1971"/>
      <c r="G119" s="1972"/>
      <c r="H119" s="1971"/>
      <c r="I119" s="1971"/>
      <c r="J119" s="1971"/>
      <c r="K119" s="1971"/>
      <c r="L119" s="1971"/>
      <c r="M119" s="1973"/>
      <c r="N119" s="1971"/>
      <c r="R119" s="693"/>
      <c r="S119" s="693"/>
      <c r="T119" s="693"/>
      <c r="V119" s="1169"/>
      <c r="W119" s="1169"/>
      <c r="X119" s="1169"/>
      <c r="Y119" s="1169"/>
      <c r="Z119" s="1169"/>
      <c r="BV119" s="951"/>
      <c r="CA119" s="446"/>
      <c r="CB119" s="446"/>
      <c r="CC119" s="446"/>
      <c r="CD119" s="446"/>
      <c r="CE119" s="446"/>
      <c r="CF119" s="446"/>
      <c r="CG119" s="446"/>
      <c r="CH119" s="446"/>
      <c r="CI119" s="446"/>
      <c r="CJ119" s="446"/>
      <c r="CK119" s="446"/>
      <c r="CL119" s="446"/>
      <c r="CM119" s="446"/>
      <c r="CN119" s="446"/>
      <c r="CO119" s="446"/>
      <c r="CP119" s="446"/>
      <c r="CQ119" s="446"/>
      <c r="CR119" s="446"/>
      <c r="CS119" s="446"/>
      <c r="CT119" s="446"/>
      <c r="CU119" s="446"/>
      <c r="CV119" s="445"/>
      <c r="CW119" s="445"/>
      <c r="CX119" s="445"/>
      <c r="CY119" s="446"/>
      <c r="CZ119" s="446"/>
      <c r="DA119" s="446"/>
      <c r="DB119" s="446"/>
      <c r="DC119" s="446"/>
      <c r="DD119" s="446"/>
      <c r="DE119" s="446"/>
      <c r="DF119" s="446"/>
      <c r="DG119" s="446"/>
      <c r="DH119" s="446"/>
      <c r="DI119" s="446"/>
      <c r="DJ119" s="446"/>
      <c r="DK119" s="446"/>
      <c r="DL119" s="446"/>
      <c r="DM119" s="446"/>
      <c r="DN119" s="446"/>
      <c r="DO119" s="446"/>
    </row>
    <row r="120" spans="1:119" s="160" customFormat="1" ht="14.25" customHeight="1">
      <c r="E120" s="1971"/>
      <c r="F120" s="1971"/>
      <c r="G120" s="1972"/>
      <c r="H120" s="1971"/>
      <c r="I120" s="1971"/>
      <c r="J120" s="1971"/>
      <c r="K120" s="1971"/>
      <c r="L120" s="1971"/>
      <c r="M120" s="1973"/>
      <c r="N120" s="1971"/>
      <c r="R120" s="693"/>
      <c r="S120" s="693"/>
      <c r="T120" s="693"/>
      <c r="V120" s="1169"/>
      <c r="W120" s="1169"/>
      <c r="X120" s="1169"/>
      <c r="Y120" s="1169"/>
      <c r="Z120" s="1169"/>
      <c r="BV120" s="951"/>
      <c r="CA120" s="446"/>
      <c r="CB120" s="446"/>
      <c r="CC120" s="446"/>
      <c r="CD120" s="446"/>
      <c r="CE120" s="446"/>
      <c r="CF120" s="446"/>
      <c r="CG120" s="446"/>
      <c r="CH120" s="446"/>
      <c r="CI120" s="446"/>
      <c r="CJ120" s="446"/>
      <c r="CK120" s="446"/>
      <c r="CL120" s="446"/>
      <c r="CM120" s="446"/>
      <c r="CN120" s="446"/>
      <c r="CO120" s="446"/>
      <c r="CP120" s="446"/>
      <c r="CQ120" s="446"/>
      <c r="CR120" s="446"/>
      <c r="CS120" s="446"/>
      <c r="CT120" s="446"/>
      <c r="CU120" s="446"/>
      <c r="CV120" s="445"/>
      <c r="CW120" s="445"/>
      <c r="CX120" s="445"/>
      <c r="CY120" s="446"/>
      <c r="CZ120" s="446"/>
      <c r="DA120" s="446"/>
      <c r="DB120" s="446"/>
      <c r="DC120" s="446"/>
      <c r="DD120" s="446"/>
      <c r="DE120" s="446"/>
      <c r="DF120" s="446"/>
      <c r="DG120" s="446"/>
      <c r="DH120" s="446"/>
      <c r="DI120" s="446"/>
      <c r="DJ120" s="446"/>
      <c r="DK120" s="446"/>
      <c r="DL120" s="446"/>
      <c r="DM120" s="446"/>
      <c r="DN120" s="446"/>
      <c r="DO120" s="446"/>
    </row>
    <row r="121" spans="1:119" s="80" customFormat="1" ht="12" hidden="1" customHeight="1">
      <c r="D121" s="1436"/>
      <c r="E121" s="1992">
        <f ca="1">E6</f>
        <v>2026</v>
      </c>
      <c r="F121" s="1993"/>
      <c r="G121" s="1993"/>
      <c r="H121" s="1993"/>
      <c r="I121" s="1993"/>
      <c r="J121" s="1993"/>
      <c r="K121" s="1993"/>
      <c r="L121" s="1993"/>
      <c r="M121" s="1993"/>
      <c r="N121" s="1993"/>
      <c r="O121" s="1994"/>
      <c r="P121" s="1993"/>
      <c r="Q121" s="1993">
        <f ca="1">E121+1</f>
        <v>2027</v>
      </c>
      <c r="R121" s="1995"/>
      <c r="S121" s="1995"/>
      <c r="T121" s="1996"/>
      <c r="U121" s="1993"/>
      <c r="V121" s="1997"/>
      <c r="W121" s="1997"/>
      <c r="X121" s="1997"/>
      <c r="Y121" s="1997"/>
      <c r="Z121" s="1587"/>
      <c r="AA121" s="1436"/>
      <c r="AB121" s="1436"/>
      <c r="BV121" s="81"/>
      <c r="CA121" s="123"/>
      <c r="CB121" s="123"/>
      <c r="CC121" s="123"/>
      <c r="CD121" s="123"/>
      <c r="CE121" s="123"/>
      <c r="CF121" s="123"/>
      <c r="CG121" s="123"/>
      <c r="CH121" s="123"/>
      <c r="CI121" s="446"/>
      <c r="CJ121" s="446"/>
      <c r="CK121" s="446"/>
      <c r="CL121" s="446"/>
      <c r="CM121" s="446"/>
      <c r="CN121" s="446"/>
      <c r="CO121" s="446"/>
      <c r="CP121" s="446"/>
      <c r="CQ121" s="446"/>
      <c r="CR121" s="446"/>
      <c r="CS121" s="446"/>
      <c r="CT121" s="446"/>
      <c r="CU121" s="446"/>
      <c r="CV121" s="621"/>
      <c r="CW121" s="445"/>
      <c r="CX121" s="445"/>
      <c r="CY121" s="123"/>
      <c r="CZ121" s="123"/>
      <c r="DA121" s="123"/>
      <c r="DB121" s="123"/>
      <c r="DC121" s="123"/>
      <c r="DD121" s="123"/>
      <c r="DE121" s="123"/>
      <c r="DF121" s="123"/>
      <c r="DG121" s="123"/>
      <c r="DH121" s="123"/>
      <c r="DI121" s="123"/>
      <c r="DJ121" s="123"/>
      <c r="DK121" s="123"/>
      <c r="DL121" s="123"/>
      <c r="DM121" s="123"/>
      <c r="DN121" s="123"/>
      <c r="DO121" s="123"/>
    </row>
    <row r="122" spans="1:119" s="80" customFormat="1" hidden="1">
      <c r="D122" s="1581"/>
      <c r="E122" s="1992">
        <v>1</v>
      </c>
      <c r="F122" s="1992">
        <v>2</v>
      </c>
      <c r="G122" s="1992">
        <v>3</v>
      </c>
      <c r="H122" s="1992">
        <v>4</v>
      </c>
      <c r="I122" s="1992">
        <v>5</v>
      </c>
      <c r="J122" s="1992">
        <v>6</v>
      </c>
      <c r="K122" s="1992">
        <v>7</v>
      </c>
      <c r="L122" s="1992">
        <v>8</v>
      </c>
      <c r="M122" s="1992">
        <v>9</v>
      </c>
      <c r="N122" s="1992">
        <v>10</v>
      </c>
      <c r="O122" s="1992">
        <v>11</v>
      </c>
      <c r="P122" s="1992">
        <v>12</v>
      </c>
      <c r="Q122" s="1992">
        <v>1</v>
      </c>
      <c r="R122" s="1992">
        <v>2</v>
      </c>
      <c r="S122" s="1992">
        <v>3</v>
      </c>
      <c r="T122" s="1992">
        <v>4</v>
      </c>
      <c r="U122" s="1992">
        <v>5</v>
      </c>
      <c r="V122" s="1998">
        <v>6</v>
      </c>
      <c r="W122" s="1998">
        <v>7</v>
      </c>
      <c r="X122" s="1998">
        <v>8</v>
      </c>
      <c r="Y122" s="1998">
        <v>9</v>
      </c>
      <c r="Z122" s="1998">
        <v>10</v>
      </c>
      <c r="AA122" s="1992">
        <v>11</v>
      </c>
      <c r="AB122" s="1992">
        <v>12</v>
      </c>
      <c r="AC122" s="1992">
        <v>1</v>
      </c>
      <c r="AD122" s="1992">
        <v>2</v>
      </c>
      <c r="AE122" s="1992">
        <v>3</v>
      </c>
      <c r="AF122" s="1992">
        <v>4</v>
      </c>
      <c r="AG122" s="1992">
        <v>5</v>
      </c>
      <c r="AH122" s="1998">
        <v>6</v>
      </c>
      <c r="AI122" s="1998">
        <v>7</v>
      </c>
      <c r="AJ122" s="1998">
        <v>8</v>
      </c>
      <c r="AK122" s="1998">
        <v>9</v>
      </c>
      <c r="AL122" s="1998">
        <v>10</v>
      </c>
      <c r="AM122" s="1992">
        <v>11</v>
      </c>
      <c r="AN122" s="1992">
        <v>12</v>
      </c>
      <c r="AO122" s="1992">
        <v>1</v>
      </c>
      <c r="AP122" s="1992">
        <v>2</v>
      </c>
      <c r="AQ122" s="1992">
        <v>3</v>
      </c>
      <c r="AR122" s="1992">
        <v>4</v>
      </c>
      <c r="AS122" s="1992">
        <v>5</v>
      </c>
      <c r="AT122" s="1998">
        <v>6</v>
      </c>
      <c r="AU122" s="1998">
        <v>7</v>
      </c>
      <c r="AV122" s="1998">
        <v>8</v>
      </c>
      <c r="AW122" s="1998">
        <v>9</v>
      </c>
      <c r="AX122" s="1998">
        <v>10</v>
      </c>
      <c r="AY122" s="1992">
        <v>11</v>
      </c>
      <c r="AZ122" s="1992">
        <v>12</v>
      </c>
      <c r="BA122" s="1992">
        <v>1</v>
      </c>
      <c r="BB122" s="1992">
        <v>2</v>
      </c>
      <c r="BC122" s="1992">
        <v>3</v>
      </c>
      <c r="BD122" s="1992">
        <v>4</v>
      </c>
      <c r="BE122" s="1992">
        <v>5</v>
      </c>
      <c r="BF122" s="1998">
        <v>6</v>
      </c>
      <c r="BG122" s="1998">
        <v>7</v>
      </c>
      <c r="BH122" s="1998">
        <v>8</v>
      </c>
      <c r="BI122" s="1998">
        <v>9</v>
      </c>
      <c r="BJ122" s="1998">
        <v>10</v>
      </c>
      <c r="BK122" s="1992">
        <v>11</v>
      </c>
      <c r="BL122" s="1992">
        <v>12</v>
      </c>
      <c r="BV122" s="81"/>
      <c r="CA122" s="123"/>
      <c r="CB122" s="123"/>
      <c r="CC122" s="123"/>
      <c r="CD122" s="123"/>
      <c r="CE122" s="123"/>
      <c r="CF122" s="123"/>
      <c r="CG122" s="123"/>
      <c r="CH122" s="123"/>
      <c r="CI122" s="446"/>
      <c r="CJ122" s="446"/>
      <c r="CK122" s="446"/>
      <c r="CL122" s="446"/>
      <c r="CM122" s="446"/>
      <c r="CN122" s="446"/>
      <c r="CO122" s="446"/>
      <c r="CP122" s="446"/>
      <c r="CQ122" s="446"/>
      <c r="CR122" s="446"/>
      <c r="CS122" s="446"/>
      <c r="CT122" s="446"/>
      <c r="CU122" s="446"/>
      <c r="CV122" s="621"/>
      <c r="CW122" s="445"/>
      <c r="CX122" s="445"/>
      <c r="CY122" s="123"/>
      <c r="CZ122" s="123"/>
      <c r="DA122" s="123"/>
      <c r="DB122" s="123"/>
      <c r="DC122" s="123"/>
      <c r="DD122" s="123"/>
      <c r="DE122" s="123"/>
      <c r="DF122" s="123"/>
      <c r="DG122" s="123"/>
      <c r="DH122" s="123"/>
      <c r="DI122" s="123"/>
      <c r="DJ122" s="123"/>
      <c r="DK122" s="123"/>
      <c r="DL122" s="123"/>
      <c r="DM122" s="123"/>
      <c r="DN122" s="123"/>
      <c r="DO122" s="123"/>
    </row>
    <row r="123" spans="1:119" s="160" customFormat="1" ht="15.75" hidden="1" customHeight="1">
      <c r="D123" s="692" t="s">
        <v>450</v>
      </c>
      <c r="E123" s="692" t="str">
        <f ca="1">"     "&amp;E122&amp;  "." &amp; RIGHT(Basisdaten!$C$15,2)</f>
        <v xml:space="preserve">     1.26</v>
      </c>
      <c r="F123" s="692" t="str">
        <f ca="1">"     "&amp;F122&amp;  "." &amp; RIGHT(Basisdaten!$C$15,2)</f>
        <v xml:space="preserve">     2.26</v>
      </c>
      <c r="G123" s="692" t="str">
        <f ca="1">"     "&amp;G122&amp;  "." &amp; RIGHT(Basisdaten!$C$15,2)</f>
        <v xml:space="preserve">     3.26</v>
      </c>
      <c r="H123" s="692" t="str">
        <f ca="1">"     "&amp;H122&amp;  "." &amp; RIGHT(Basisdaten!$C$15,2)</f>
        <v xml:space="preserve">     4.26</v>
      </c>
      <c r="I123" s="692" t="str">
        <f ca="1">"     "&amp;I122&amp;  "." &amp; RIGHT(Basisdaten!$C$15,2)</f>
        <v xml:space="preserve">     5.26</v>
      </c>
      <c r="J123" s="692" t="str">
        <f ca="1">"     "&amp;J122&amp;  "." &amp; RIGHT(Basisdaten!$C$15,2)</f>
        <v xml:space="preserve">     6.26</v>
      </c>
      <c r="K123" s="692" t="str">
        <f ca="1">"     "&amp;K122&amp;  "." &amp; RIGHT(Basisdaten!$C$15,2)</f>
        <v xml:space="preserve">     7.26</v>
      </c>
      <c r="L123" s="692" t="str">
        <f ca="1">"     "&amp;L122&amp;  "." &amp; RIGHT(Basisdaten!$C$15,2)</f>
        <v xml:space="preserve">     8.26</v>
      </c>
      <c r="M123" s="692" t="str">
        <f ca="1">"     "&amp;M122&amp;  "." &amp; RIGHT(Basisdaten!$C$15,2)</f>
        <v xml:space="preserve">     9.26</v>
      </c>
      <c r="N123" s="692" t="str">
        <f ca="1">"     "&amp;N122&amp;  "." &amp; RIGHT(Basisdaten!$C$15,2)</f>
        <v xml:space="preserve">     10.26</v>
      </c>
      <c r="O123" s="692" t="str">
        <f ca="1">"     "&amp;O122&amp;  "." &amp; RIGHT(Basisdaten!$C$15,2)</f>
        <v xml:space="preserve">     11.26</v>
      </c>
      <c r="P123" s="692" t="str">
        <f ca="1">"     "&amp;P122&amp;  "." &amp; RIGHT(Basisdaten!$C$15,2)</f>
        <v xml:space="preserve">     12.26</v>
      </c>
      <c r="Q123" s="692" t="str">
        <f ca="1">"     "&amp;Q122&amp;  "." &amp; RIGHT(Basisdaten!$C$15+1,2)</f>
        <v xml:space="preserve">     1.27</v>
      </c>
      <c r="R123" s="692" t="str">
        <f ca="1">"     "&amp;R122&amp;  "." &amp; RIGHT(Basisdaten!$C$15+1,2)</f>
        <v xml:space="preserve">     2.27</v>
      </c>
      <c r="S123" s="692" t="str">
        <f ca="1">"     "&amp;S122&amp;  "." &amp; RIGHT(Basisdaten!$C$15+1,2)</f>
        <v xml:space="preserve">     3.27</v>
      </c>
      <c r="T123" s="692" t="str">
        <f ca="1">"     "&amp;T122&amp;  "." &amp; RIGHT(Basisdaten!$C$15+1,2)</f>
        <v xml:space="preserve">     4.27</v>
      </c>
      <c r="U123" s="692" t="str">
        <f ca="1">"     "&amp;U122&amp;  "." &amp; RIGHT(Basisdaten!$C$15+1,2)</f>
        <v xml:space="preserve">     5.27</v>
      </c>
      <c r="V123" s="1999" t="str">
        <f ca="1">"     "&amp;V122&amp;  "." &amp; RIGHT(Basisdaten!$C$15+1,2)</f>
        <v xml:space="preserve">     6.27</v>
      </c>
      <c r="W123" s="1999" t="str">
        <f ca="1">"     "&amp;W122&amp;  "." &amp; RIGHT(Basisdaten!$C$15+1,2)</f>
        <v xml:space="preserve">     7.27</v>
      </c>
      <c r="X123" s="1999" t="str">
        <f ca="1">"     "&amp;X122&amp;  "." &amp; RIGHT(Basisdaten!$C$15+1,2)</f>
        <v xml:space="preserve">     8.27</v>
      </c>
      <c r="Y123" s="1999" t="str">
        <f ca="1">"     "&amp;Y122&amp;  "." &amp; RIGHT(Basisdaten!$C$15+1,2)</f>
        <v xml:space="preserve">     9.27</v>
      </c>
      <c r="Z123" s="1999" t="str">
        <f ca="1">"     "&amp;Z122&amp;  "." &amp; RIGHT(Basisdaten!$C$15+1,2)</f>
        <v xml:space="preserve">     10.27</v>
      </c>
      <c r="AA123" s="692" t="str">
        <f ca="1">"     "&amp;AA122&amp;  "." &amp; RIGHT(Basisdaten!$C$15+1,2)</f>
        <v xml:space="preserve">     11.27</v>
      </c>
      <c r="AB123" s="692" t="str">
        <f ca="1">"     "&amp;AB122&amp;  "." &amp; RIGHT(Basisdaten!$C$15+1,2)</f>
        <v xml:space="preserve">     12.27</v>
      </c>
      <c r="AC123" s="692" t="str">
        <f ca="1">"     "&amp;AC122&amp;  "." &amp; RIGHT(Basisdaten!$C$15+2,2)</f>
        <v xml:space="preserve">     1.28</v>
      </c>
      <c r="AD123" s="692" t="str">
        <f ca="1">"     "&amp;AD122&amp;  "." &amp; RIGHT(Basisdaten!$C$15+2,2)</f>
        <v xml:space="preserve">     2.28</v>
      </c>
      <c r="AE123" s="692" t="str">
        <f ca="1">"     "&amp;AE122&amp;  "." &amp; RIGHT(Basisdaten!$C$15+2,2)</f>
        <v xml:space="preserve">     3.28</v>
      </c>
      <c r="AF123" s="692" t="str">
        <f ca="1">"     "&amp;AF122&amp;  "." &amp; RIGHT(Basisdaten!$C$15+2,2)</f>
        <v xml:space="preserve">     4.28</v>
      </c>
      <c r="AG123" s="692" t="str">
        <f ca="1">"     "&amp;AG122&amp;  "." &amp; RIGHT(Basisdaten!$C$15+2,2)</f>
        <v xml:space="preserve">     5.28</v>
      </c>
      <c r="AH123" s="692" t="str">
        <f ca="1">"     "&amp;AH122&amp;  "." &amp; RIGHT(Basisdaten!$C$15+2,2)</f>
        <v xml:space="preserve">     6.28</v>
      </c>
      <c r="AI123" s="692" t="str">
        <f ca="1">"     "&amp;AI122&amp;  "." &amp; RIGHT(Basisdaten!$C$15+2,2)</f>
        <v xml:space="preserve">     7.28</v>
      </c>
      <c r="AJ123" s="692" t="str">
        <f ca="1">"     "&amp;AJ122&amp;  "." &amp; RIGHT(Basisdaten!$C$15+2,2)</f>
        <v xml:space="preserve">     8.28</v>
      </c>
      <c r="AK123" s="692" t="str">
        <f ca="1">"     "&amp;AK122&amp;  "." &amp; RIGHT(Basisdaten!$C$15+2,2)</f>
        <v xml:space="preserve">     9.28</v>
      </c>
      <c r="AL123" s="692" t="str">
        <f ca="1">"     "&amp;AL122&amp;  "." &amp; RIGHT(Basisdaten!$C$15+2,2)</f>
        <v xml:space="preserve">     10.28</v>
      </c>
      <c r="AM123" s="692" t="str">
        <f ca="1">"     "&amp;AM122&amp;  "." &amp; RIGHT(Basisdaten!$C$15+2,2)</f>
        <v xml:space="preserve">     11.28</v>
      </c>
      <c r="AN123" s="692" t="str">
        <f ca="1">"     "&amp;AN122&amp;  "." &amp; RIGHT(Basisdaten!$C$15+2,2)</f>
        <v xml:space="preserve">     12.28</v>
      </c>
      <c r="AO123" s="692" t="str">
        <f ca="1">"     "&amp;AO122&amp;  "." &amp; RIGHT(Basisdaten!$C$15+3,2)</f>
        <v xml:space="preserve">     1.29</v>
      </c>
      <c r="AP123" s="692" t="str">
        <f ca="1">"     "&amp;AP122&amp;  "." &amp; RIGHT(Basisdaten!$C$15+3,2)</f>
        <v xml:space="preserve">     2.29</v>
      </c>
      <c r="AQ123" s="692" t="str">
        <f ca="1">"     "&amp;AQ122&amp;  "." &amp; RIGHT(Basisdaten!$C$15+3,2)</f>
        <v xml:space="preserve">     3.29</v>
      </c>
      <c r="AR123" s="692" t="str">
        <f ca="1">"     "&amp;AR122&amp;  "." &amp; RIGHT(Basisdaten!$C$15+3,2)</f>
        <v xml:space="preserve">     4.29</v>
      </c>
      <c r="AS123" s="692" t="str">
        <f ca="1">"     "&amp;AS122&amp;  "." &amp; RIGHT(Basisdaten!$C$15+3,2)</f>
        <v xml:space="preserve">     5.29</v>
      </c>
      <c r="AT123" s="692" t="str">
        <f ca="1">"     "&amp;AT122&amp;  "." &amp; RIGHT(Basisdaten!$C$15+3,2)</f>
        <v xml:space="preserve">     6.29</v>
      </c>
      <c r="AU123" s="692" t="str">
        <f ca="1">"     "&amp;AU122&amp;  "." &amp; RIGHT(Basisdaten!$C$15+3,2)</f>
        <v xml:space="preserve">     7.29</v>
      </c>
      <c r="AV123" s="692" t="str">
        <f ca="1">"     "&amp;AV122&amp;  "." &amp; RIGHT(Basisdaten!$C$15+3,2)</f>
        <v xml:space="preserve">     8.29</v>
      </c>
      <c r="AW123" s="692" t="str">
        <f ca="1">"     "&amp;AW122&amp;  "." &amp; RIGHT(Basisdaten!$C$15+3,2)</f>
        <v xml:space="preserve">     9.29</v>
      </c>
      <c r="AX123" s="692" t="str">
        <f ca="1">"     "&amp;AX122&amp;  "." &amp; RIGHT(Basisdaten!$C$15+3,2)</f>
        <v xml:space="preserve">     10.29</v>
      </c>
      <c r="AY123" s="692" t="str">
        <f ca="1">"     "&amp;AY122&amp;  "." &amp; RIGHT(Basisdaten!$C$15+3,2)</f>
        <v xml:space="preserve">     11.29</v>
      </c>
      <c r="AZ123" s="692" t="str">
        <f ca="1">"     "&amp;AZ122&amp;  "." &amp; RIGHT(Basisdaten!$C$15+3,2)</f>
        <v xml:space="preserve">     12.29</v>
      </c>
      <c r="BA123" s="692" t="str">
        <f ca="1">"     "&amp;BA122&amp;  "." &amp; RIGHT(Basisdaten!$C$15+4,2)</f>
        <v xml:space="preserve">     1.30</v>
      </c>
      <c r="BB123" s="692" t="str">
        <f ca="1">"     "&amp;BB122&amp;  "." &amp; RIGHT(Basisdaten!$C$15+4,2)</f>
        <v xml:space="preserve">     2.30</v>
      </c>
      <c r="BC123" s="692" t="str">
        <f ca="1">"     "&amp;BC122&amp;  "." &amp; RIGHT(Basisdaten!$C$15+4,2)</f>
        <v xml:space="preserve">     3.30</v>
      </c>
      <c r="BD123" s="692" t="str">
        <f ca="1">"     "&amp;BD122&amp;  "." &amp; RIGHT(Basisdaten!$C$15+4,2)</f>
        <v xml:space="preserve">     4.30</v>
      </c>
      <c r="BE123" s="692" t="str">
        <f ca="1">"     "&amp;BE122&amp;  "." &amp; RIGHT(Basisdaten!$C$15+4,2)</f>
        <v xml:space="preserve">     5.30</v>
      </c>
      <c r="BF123" s="692" t="str">
        <f ca="1">"     "&amp;BF122&amp;  "." &amp; RIGHT(Basisdaten!$C$15+4,2)</f>
        <v xml:space="preserve">     6.30</v>
      </c>
      <c r="BG123" s="692" t="str">
        <f ca="1">"     "&amp;BG122&amp;  "." &amp; RIGHT(Basisdaten!$C$15+4,2)</f>
        <v xml:space="preserve">     7.30</v>
      </c>
      <c r="BH123" s="692" t="str">
        <f ca="1">"     "&amp;BH122&amp;  "." &amp; RIGHT(Basisdaten!$C$15+4,2)</f>
        <v xml:space="preserve">     8.30</v>
      </c>
      <c r="BI123" s="692" t="str">
        <f ca="1">"     "&amp;BI122&amp;  "." &amp; RIGHT(Basisdaten!$C$15+4,2)</f>
        <v xml:space="preserve">     9.30</v>
      </c>
      <c r="BJ123" s="692" t="str">
        <f ca="1">"     "&amp;BJ122&amp;  "." &amp; RIGHT(Basisdaten!$C$15+4,2)</f>
        <v xml:space="preserve">     10.30</v>
      </c>
      <c r="BK123" s="692" t="str">
        <f ca="1">"     "&amp;BK122&amp;  "." &amp; RIGHT(Basisdaten!$C$15+4,2)</f>
        <v xml:space="preserve">     11.30</v>
      </c>
      <c r="BL123" s="692" t="str">
        <f ca="1">"     "&amp;BL122&amp;  "." &amp; RIGHT(Basisdaten!$C$15+4,2)</f>
        <v xml:space="preserve">     12.30</v>
      </c>
      <c r="BV123" s="951"/>
      <c r="CA123" s="446"/>
      <c r="CB123" s="446"/>
      <c r="CC123" s="446"/>
      <c r="CD123" s="446"/>
      <c r="CE123" s="446"/>
      <c r="CF123" s="446"/>
      <c r="CG123" s="446"/>
      <c r="CH123" s="446"/>
      <c r="CI123" s="446"/>
      <c r="CJ123" s="446"/>
      <c r="CK123" s="446"/>
      <c r="CL123" s="446"/>
      <c r="CM123" s="446"/>
      <c r="CN123" s="446"/>
      <c r="CO123" s="446"/>
      <c r="CP123" s="446"/>
      <c r="CQ123" s="446"/>
      <c r="CR123" s="446"/>
      <c r="CS123" s="446"/>
      <c r="CT123" s="446"/>
      <c r="CU123" s="446"/>
      <c r="CV123" s="445"/>
      <c r="CW123" s="445"/>
      <c r="CX123" s="445"/>
      <c r="CY123" s="446"/>
      <c r="CZ123" s="446"/>
      <c r="DA123" s="446"/>
      <c r="DB123" s="446"/>
      <c r="DC123" s="446"/>
      <c r="DD123" s="446"/>
      <c r="DE123" s="446"/>
      <c r="DF123" s="446"/>
      <c r="DG123" s="446"/>
      <c r="DH123" s="446"/>
      <c r="DI123" s="446"/>
      <c r="DJ123" s="446"/>
      <c r="DK123" s="446"/>
      <c r="DL123" s="446"/>
      <c r="DM123" s="446"/>
      <c r="DN123" s="446"/>
      <c r="DO123" s="446"/>
    </row>
    <row r="124" spans="1:119" s="160" customFormat="1" ht="15.75" hidden="1" customHeight="1">
      <c r="D124" s="160" t="str">
        <f ca="1">IF(SUM(E124:BL124)=0,"",CV53)</f>
        <v/>
      </c>
      <c r="E124" s="2017">
        <f t="shared" ref="E124:P124" si="9">E134+E139+E144+E149+E154</f>
        <v>0</v>
      </c>
      <c r="F124" s="2017">
        <f t="shared" si="9"/>
        <v>0</v>
      </c>
      <c r="G124" s="2017">
        <f t="shared" si="9"/>
        <v>0</v>
      </c>
      <c r="H124" s="2017">
        <f t="shared" si="9"/>
        <v>0</v>
      </c>
      <c r="I124" s="2017">
        <f t="shared" si="9"/>
        <v>0</v>
      </c>
      <c r="J124" s="2017">
        <f t="shared" si="9"/>
        <v>0</v>
      </c>
      <c r="K124" s="2017">
        <f t="shared" si="9"/>
        <v>0</v>
      </c>
      <c r="L124" s="2017">
        <f t="shared" si="9"/>
        <v>0</v>
      </c>
      <c r="M124" s="2017">
        <f t="shared" si="9"/>
        <v>0</v>
      </c>
      <c r="N124" s="2017">
        <f t="shared" si="9"/>
        <v>0</v>
      </c>
      <c r="O124" s="2017">
        <f t="shared" si="9"/>
        <v>0</v>
      </c>
      <c r="P124" s="2017">
        <f t="shared" si="9"/>
        <v>0</v>
      </c>
      <c r="Q124" s="2017">
        <f t="shared" ref="Q124:AB124" si="10">Q134+Q139+Q144+Q149+Q154+Q163+Q168+Q173+Q178+Q183</f>
        <v>0</v>
      </c>
      <c r="R124" s="2017">
        <f t="shared" si="10"/>
        <v>0</v>
      </c>
      <c r="S124" s="2017">
        <f t="shared" si="10"/>
        <v>0</v>
      </c>
      <c r="T124" s="2017">
        <f t="shared" si="10"/>
        <v>0</v>
      </c>
      <c r="U124" s="2017">
        <f t="shared" si="10"/>
        <v>0</v>
      </c>
      <c r="V124" s="2018">
        <f t="shared" si="10"/>
        <v>0</v>
      </c>
      <c r="W124" s="2018">
        <f t="shared" si="10"/>
        <v>0</v>
      </c>
      <c r="X124" s="2018">
        <f t="shared" si="10"/>
        <v>0</v>
      </c>
      <c r="Y124" s="2018">
        <f t="shared" si="10"/>
        <v>0</v>
      </c>
      <c r="Z124" s="2018">
        <f t="shared" si="10"/>
        <v>0</v>
      </c>
      <c r="AA124" s="2017">
        <f t="shared" si="10"/>
        <v>0</v>
      </c>
      <c r="AB124" s="2017">
        <f t="shared" si="10"/>
        <v>0</v>
      </c>
      <c r="AC124" s="2017">
        <f t="shared" ref="AC124:AN124" si="11">AC134+AC139+AC144+AC149+AC154+AC163+AC168+AC173+AC178+AC183+AC192+AC197+AC202+AC207</f>
        <v>0</v>
      </c>
      <c r="AD124" s="2017">
        <f t="shared" si="11"/>
        <v>0</v>
      </c>
      <c r="AE124" s="2017">
        <f t="shared" si="11"/>
        <v>0</v>
      </c>
      <c r="AF124" s="2017">
        <f t="shared" si="11"/>
        <v>0</v>
      </c>
      <c r="AG124" s="2017">
        <f t="shared" si="11"/>
        <v>0</v>
      </c>
      <c r="AH124" s="2017">
        <f t="shared" si="11"/>
        <v>0</v>
      </c>
      <c r="AI124" s="2017">
        <f t="shared" si="11"/>
        <v>0</v>
      </c>
      <c r="AJ124" s="2017">
        <f t="shared" si="11"/>
        <v>0</v>
      </c>
      <c r="AK124" s="2017">
        <f t="shared" si="11"/>
        <v>0</v>
      </c>
      <c r="AL124" s="2017">
        <f t="shared" si="11"/>
        <v>0</v>
      </c>
      <c r="AM124" s="2017">
        <f t="shared" si="11"/>
        <v>0</v>
      </c>
      <c r="AN124" s="2017">
        <f t="shared" si="11"/>
        <v>0</v>
      </c>
      <c r="AO124" s="1967">
        <f t="shared" ref="AO124:AZ124" ca="1" si="12">AO134+AO139+AO144+AO149+AO154+AO163+AO168+AO173+AO178+AO183+AO192+AO196+AO200+AO204+AO208+AO221+AO226+AO231+AO236</f>
        <v>0</v>
      </c>
      <c r="AP124" s="1967">
        <f t="shared" ca="1" si="12"/>
        <v>0</v>
      </c>
      <c r="AQ124" s="1967">
        <f t="shared" ca="1" si="12"/>
        <v>0</v>
      </c>
      <c r="AR124" s="1967">
        <f t="shared" ca="1" si="12"/>
        <v>0</v>
      </c>
      <c r="AS124" s="1967">
        <f t="shared" ca="1" si="12"/>
        <v>0</v>
      </c>
      <c r="AT124" s="1967">
        <f t="shared" ca="1" si="12"/>
        <v>0</v>
      </c>
      <c r="AU124" s="1967">
        <f t="shared" ca="1" si="12"/>
        <v>0</v>
      </c>
      <c r="AV124" s="1967">
        <f t="shared" ca="1" si="12"/>
        <v>0</v>
      </c>
      <c r="AW124" s="1967">
        <f t="shared" ca="1" si="12"/>
        <v>0</v>
      </c>
      <c r="AX124" s="1967">
        <f t="shared" ca="1" si="12"/>
        <v>0</v>
      </c>
      <c r="AY124" s="1967">
        <f t="shared" ca="1" si="12"/>
        <v>0</v>
      </c>
      <c r="AZ124" s="1967">
        <f t="shared" ca="1" si="12"/>
        <v>0</v>
      </c>
      <c r="BA124" s="1967">
        <f t="shared" ref="BA124:BL124" ca="1" si="13">BA134+BA139+BA144+BA149+BA154+BA163+BA168+BA173+BA178+BA183+BA192+BA196+BA200+BA204+BA208+BA221+BA226+BA231+BA236+BA250+BA255+BA260+BA265</f>
        <v>0</v>
      </c>
      <c r="BB124" s="1967">
        <f t="shared" ca="1" si="13"/>
        <v>0</v>
      </c>
      <c r="BC124" s="1967">
        <f t="shared" ca="1" si="13"/>
        <v>0</v>
      </c>
      <c r="BD124" s="1967">
        <f t="shared" ca="1" si="13"/>
        <v>0</v>
      </c>
      <c r="BE124" s="1967">
        <f t="shared" ca="1" si="13"/>
        <v>0</v>
      </c>
      <c r="BF124" s="1967">
        <f t="shared" ca="1" si="13"/>
        <v>0</v>
      </c>
      <c r="BG124" s="1967">
        <f t="shared" ca="1" si="13"/>
        <v>0</v>
      </c>
      <c r="BH124" s="1967">
        <f t="shared" ca="1" si="13"/>
        <v>0</v>
      </c>
      <c r="BI124" s="1967">
        <f t="shared" ca="1" si="13"/>
        <v>0</v>
      </c>
      <c r="BJ124" s="1967">
        <f t="shared" ca="1" si="13"/>
        <v>0</v>
      </c>
      <c r="BK124" s="1967">
        <f t="shared" ca="1" si="13"/>
        <v>0</v>
      </c>
      <c r="BL124" s="1967">
        <f t="shared" ca="1" si="13"/>
        <v>0</v>
      </c>
      <c r="BV124" s="951"/>
      <c r="CA124" s="446"/>
      <c r="CB124" s="446"/>
      <c r="CC124" s="446"/>
      <c r="CD124" s="446"/>
      <c r="CE124" s="446"/>
      <c r="CF124" s="446"/>
      <c r="CG124" s="446"/>
      <c r="CH124" s="446"/>
      <c r="CI124" s="446"/>
      <c r="CJ124" s="446"/>
      <c r="CK124" s="446"/>
      <c r="CL124" s="446"/>
      <c r="CM124" s="446"/>
      <c r="CN124" s="446"/>
      <c r="CO124" s="446"/>
      <c r="CP124" s="446"/>
      <c r="CQ124" s="446"/>
      <c r="CR124" s="446"/>
      <c r="CS124" s="446"/>
      <c r="CT124" s="446"/>
      <c r="CU124" s="446"/>
      <c r="CV124" s="445"/>
      <c r="CW124" s="445"/>
      <c r="CX124" s="445"/>
      <c r="CY124" s="446"/>
      <c r="CZ124" s="446"/>
      <c r="DA124" s="446"/>
      <c r="DB124" s="446"/>
      <c r="DC124" s="446"/>
      <c r="DD124" s="446"/>
      <c r="DE124" s="446"/>
      <c r="DF124" s="446"/>
      <c r="DG124" s="446"/>
      <c r="DH124" s="446"/>
      <c r="DI124" s="446"/>
      <c r="DJ124" s="446"/>
      <c r="DK124" s="446"/>
      <c r="DL124" s="446"/>
      <c r="DM124" s="446"/>
      <c r="DN124" s="446"/>
      <c r="DO124" s="446"/>
    </row>
    <row r="125" spans="1:119" s="160" customFormat="1" ht="14.25" hidden="1" customHeight="1">
      <c r="D125" s="160" t="str">
        <f>IF(SUM(E125:BL125)=0,"",CV54)</f>
        <v/>
      </c>
      <c r="E125" s="1967">
        <f t="shared" ref="E125:P125" si="14">E136+E141+E146+E151+E156</f>
        <v>0</v>
      </c>
      <c r="F125" s="1967">
        <f t="shared" si="14"/>
        <v>0</v>
      </c>
      <c r="G125" s="1967">
        <f t="shared" si="14"/>
        <v>0</v>
      </c>
      <c r="H125" s="1967">
        <f t="shared" si="14"/>
        <v>0</v>
      </c>
      <c r="I125" s="1967">
        <f t="shared" si="14"/>
        <v>0</v>
      </c>
      <c r="J125" s="1967">
        <f t="shared" si="14"/>
        <v>0</v>
      </c>
      <c r="K125" s="1967">
        <f t="shared" si="14"/>
        <v>0</v>
      </c>
      <c r="L125" s="1967">
        <f t="shared" si="14"/>
        <v>0</v>
      </c>
      <c r="M125" s="1967">
        <f t="shared" si="14"/>
        <v>0</v>
      </c>
      <c r="N125" s="1967">
        <f t="shared" si="14"/>
        <v>0</v>
      </c>
      <c r="O125" s="1967">
        <f t="shared" si="14"/>
        <v>0</v>
      </c>
      <c r="P125" s="1967">
        <f t="shared" si="14"/>
        <v>0</v>
      </c>
      <c r="Q125" s="1967">
        <f t="shared" ref="Q125:AB125" si="15">Q136+Q141+Q146+Q151+Q156+Q165+Q170+Q175+Q180+Q185</f>
        <v>0</v>
      </c>
      <c r="R125" s="1967">
        <f t="shared" si="15"/>
        <v>0</v>
      </c>
      <c r="S125" s="1967">
        <f t="shared" si="15"/>
        <v>0</v>
      </c>
      <c r="T125" s="1967">
        <f t="shared" si="15"/>
        <v>0</v>
      </c>
      <c r="U125" s="1967">
        <f t="shared" si="15"/>
        <v>0</v>
      </c>
      <c r="V125" s="1975">
        <f t="shared" si="15"/>
        <v>0</v>
      </c>
      <c r="W125" s="1975">
        <f t="shared" si="15"/>
        <v>0</v>
      </c>
      <c r="X125" s="1975">
        <f t="shared" si="15"/>
        <v>0</v>
      </c>
      <c r="Y125" s="1975">
        <f t="shared" si="15"/>
        <v>0</v>
      </c>
      <c r="Z125" s="1975">
        <f t="shared" si="15"/>
        <v>0</v>
      </c>
      <c r="AA125" s="1967">
        <f t="shared" si="15"/>
        <v>0</v>
      </c>
      <c r="AB125" s="1967">
        <f t="shared" si="15"/>
        <v>0</v>
      </c>
      <c r="AC125" s="1967">
        <f t="shared" ref="AC125:AN125" si="16">AC136+AC141+AC146+AC151+AC156+AC165+AC170+AC175+AC180+AC185+AC194+AC199+AC204+AC209</f>
        <v>0</v>
      </c>
      <c r="AD125" s="1967">
        <f t="shared" si="16"/>
        <v>0</v>
      </c>
      <c r="AE125" s="1967">
        <f t="shared" si="16"/>
        <v>0</v>
      </c>
      <c r="AF125" s="1967">
        <f t="shared" si="16"/>
        <v>0</v>
      </c>
      <c r="AG125" s="1967">
        <f t="shared" si="16"/>
        <v>0</v>
      </c>
      <c r="AH125" s="1967">
        <f t="shared" si="16"/>
        <v>0</v>
      </c>
      <c r="AI125" s="1967">
        <f t="shared" si="16"/>
        <v>0</v>
      </c>
      <c r="AJ125" s="1967">
        <f t="shared" si="16"/>
        <v>0</v>
      </c>
      <c r="AK125" s="1967">
        <f t="shared" si="16"/>
        <v>0</v>
      </c>
      <c r="AL125" s="1967">
        <f t="shared" si="16"/>
        <v>0</v>
      </c>
      <c r="AM125" s="1967">
        <f t="shared" si="16"/>
        <v>0</v>
      </c>
      <c r="AN125" s="1967">
        <f t="shared" si="16"/>
        <v>0</v>
      </c>
      <c r="AO125" s="1967">
        <f t="shared" ref="AO125:AZ125" si="17">AO136+AO141+AO146+AO151+AO156+AO165+AO170+AO175+AO180+AO185+AO194+AO199+AO204+AO209+AO223+AO228+AO233+AO238</f>
        <v>0</v>
      </c>
      <c r="AP125" s="1967">
        <f t="shared" si="17"/>
        <v>0</v>
      </c>
      <c r="AQ125" s="1967">
        <f t="shared" si="17"/>
        <v>0</v>
      </c>
      <c r="AR125" s="1967">
        <f t="shared" si="17"/>
        <v>0</v>
      </c>
      <c r="AS125" s="1967">
        <f t="shared" si="17"/>
        <v>0</v>
      </c>
      <c r="AT125" s="1967">
        <f t="shared" si="17"/>
        <v>0</v>
      </c>
      <c r="AU125" s="1967">
        <f t="shared" si="17"/>
        <v>0</v>
      </c>
      <c r="AV125" s="1967">
        <f t="shared" si="17"/>
        <v>0</v>
      </c>
      <c r="AW125" s="1967">
        <f t="shared" si="17"/>
        <v>0</v>
      </c>
      <c r="AX125" s="1967">
        <f t="shared" si="17"/>
        <v>0</v>
      </c>
      <c r="AY125" s="1967">
        <f t="shared" si="17"/>
        <v>0</v>
      </c>
      <c r="AZ125" s="1967">
        <f t="shared" si="17"/>
        <v>0</v>
      </c>
      <c r="BA125" s="1967">
        <f t="shared" ref="BA125:BL125" si="18">BA136+BA141+BA146+BA151+BA156+BA165+BA170+BA175+BA180+BA185+BA194+BA199+BA204+BA209+BA223+BA228+BA233+BA238+BA252+BA257+BA262+BA267</f>
        <v>0</v>
      </c>
      <c r="BB125" s="1967">
        <f t="shared" si="18"/>
        <v>0</v>
      </c>
      <c r="BC125" s="1967">
        <f t="shared" si="18"/>
        <v>0</v>
      </c>
      <c r="BD125" s="1967">
        <f t="shared" si="18"/>
        <v>0</v>
      </c>
      <c r="BE125" s="1967">
        <f t="shared" si="18"/>
        <v>0</v>
      </c>
      <c r="BF125" s="1967">
        <f t="shared" si="18"/>
        <v>0</v>
      </c>
      <c r="BG125" s="1967">
        <f t="shared" si="18"/>
        <v>0</v>
      </c>
      <c r="BH125" s="1967">
        <f t="shared" si="18"/>
        <v>0</v>
      </c>
      <c r="BI125" s="1967">
        <f t="shared" si="18"/>
        <v>0</v>
      </c>
      <c r="BJ125" s="1967">
        <f t="shared" si="18"/>
        <v>0</v>
      </c>
      <c r="BK125" s="1967">
        <f t="shared" si="18"/>
        <v>0</v>
      </c>
      <c r="BL125" s="1967">
        <f t="shared" si="18"/>
        <v>0</v>
      </c>
      <c r="BV125" s="951"/>
      <c r="CA125" s="446"/>
      <c r="CB125" s="446"/>
      <c r="CC125" s="446"/>
      <c r="CD125" s="446"/>
      <c r="CE125" s="446"/>
      <c r="CF125" s="446"/>
      <c r="CG125" s="446"/>
      <c r="CH125" s="446"/>
      <c r="CI125" s="446"/>
      <c r="CJ125" s="446"/>
      <c r="CK125" s="446"/>
      <c r="CL125" s="446"/>
      <c r="CM125" s="446"/>
      <c r="CN125" s="446"/>
      <c r="CO125" s="446"/>
      <c r="CP125" s="446"/>
      <c r="CQ125" s="446"/>
      <c r="CR125" s="446"/>
      <c r="CS125" s="446"/>
      <c r="CT125" s="446"/>
      <c r="CU125" s="446"/>
      <c r="CV125" s="445"/>
      <c r="CW125" s="445"/>
      <c r="CX125" s="445"/>
      <c r="CY125" s="446"/>
      <c r="CZ125" s="446"/>
      <c r="DA125" s="446"/>
      <c r="DB125" s="446"/>
      <c r="DC125" s="446"/>
      <c r="DD125" s="446"/>
      <c r="DE125" s="446"/>
      <c r="DF125" s="446"/>
      <c r="DG125" s="446"/>
      <c r="DH125" s="446"/>
      <c r="DI125" s="446"/>
      <c r="DJ125" s="446"/>
      <c r="DK125" s="446"/>
      <c r="DL125" s="446"/>
      <c r="DM125" s="446"/>
      <c r="DN125" s="446"/>
      <c r="DO125" s="446"/>
    </row>
    <row r="126" spans="1:119" s="160" customFormat="1" ht="14.25" hidden="1" customHeight="1">
      <c r="C126" s="2000"/>
      <c r="D126" s="160" t="str">
        <f ca="1">IF(SUM(E126:BL126)=0,"",$D$15)</f>
        <v/>
      </c>
      <c r="E126" s="1967">
        <f t="shared" ref="E126:P126" ca="1" si="19">IF($E$121=$E$6,IF(E131=$F$8,$E$8,0),0)+IF(E131=$F$9,$E$9,0)</f>
        <v>0</v>
      </c>
      <c r="F126" s="1967">
        <f t="shared" ca="1" si="19"/>
        <v>0</v>
      </c>
      <c r="G126" s="1967">
        <f t="shared" ca="1" si="19"/>
        <v>0</v>
      </c>
      <c r="H126" s="1967">
        <f t="shared" ca="1" si="19"/>
        <v>0</v>
      </c>
      <c r="I126" s="1967">
        <f t="shared" ca="1" si="19"/>
        <v>0</v>
      </c>
      <c r="J126" s="1967">
        <f t="shared" ca="1" si="19"/>
        <v>0</v>
      </c>
      <c r="K126" s="1967">
        <f t="shared" ca="1" si="19"/>
        <v>0</v>
      </c>
      <c r="L126" s="1967">
        <f t="shared" ca="1" si="19"/>
        <v>0</v>
      </c>
      <c r="M126" s="1967">
        <f t="shared" ca="1" si="19"/>
        <v>0</v>
      </c>
      <c r="N126" s="1967">
        <f t="shared" ca="1" si="19"/>
        <v>0</v>
      </c>
      <c r="O126" s="1967">
        <f t="shared" ca="1" si="19"/>
        <v>0</v>
      </c>
      <c r="P126" s="1967">
        <f t="shared" ca="1" si="19"/>
        <v>0</v>
      </c>
      <c r="Q126" s="1967">
        <f t="shared" ref="Q126:BL126" ca="1" si="20">IF($Q$121=$O$6,IF(E131=$P$8,$O$8,0),0)+IF(E131=$P$9,$O$9,0)</f>
        <v>0</v>
      </c>
      <c r="R126" s="1967">
        <f t="shared" ca="1" si="20"/>
        <v>0</v>
      </c>
      <c r="S126" s="1967">
        <f t="shared" ca="1" si="20"/>
        <v>0</v>
      </c>
      <c r="T126" s="1967">
        <f t="shared" ca="1" si="20"/>
        <v>0</v>
      </c>
      <c r="U126" s="1967">
        <f t="shared" ca="1" si="20"/>
        <v>0</v>
      </c>
      <c r="V126" s="1975">
        <f t="shared" ca="1" si="20"/>
        <v>0</v>
      </c>
      <c r="W126" s="1975">
        <f t="shared" ca="1" si="20"/>
        <v>0</v>
      </c>
      <c r="X126" s="1975">
        <f t="shared" ca="1" si="20"/>
        <v>0</v>
      </c>
      <c r="Y126" s="1975">
        <f t="shared" ca="1" si="20"/>
        <v>0</v>
      </c>
      <c r="Z126" s="1975">
        <f t="shared" ca="1" si="20"/>
        <v>0</v>
      </c>
      <c r="AA126" s="1967">
        <f t="shared" ca="1" si="20"/>
        <v>0</v>
      </c>
      <c r="AB126" s="1967">
        <f t="shared" ca="1" si="20"/>
        <v>0</v>
      </c>
      <c r="AC126" s="1967">
        <f t="shared" ca="1" si="20"/>
        <v>0</v>
      </c>
      <c r="AD126" s="1967">
        <f t="shared" ca="1" si="20"/>
        <v>0</v>
      </c>
      <c r="AE126" s="1967">
        <f t="shared" ca="1" si="20"/>
        <v>0</v>
      </c>
      <c r="AF126" s="1967">
        <f t="shared" ca="1" si="20"/>
        <v>0</v>
      </c>
      <c r="AG126" s="1967">
        <f t="shared" ca="1" si="20"/>
        <v>0</v>
      </c>
      <c r="AH126" s="1967">
        <f t="shared" ca="1" si="20"/>
        <v>0</v>
      </c>
      <c r="AI126" s="1967">
        <f t="shared" ca="1" si="20"/>
        <v>0</v>
      </c>
      <c r="AJ126" s="1967">
        <f t="shared" ca="1" si="20"/>
        <v>0</v>
      </c>
      <c r="AK126" s="1967">
        <f t="shared" ca="1" si="20"/>
        <v>0</v>
      </c>
      <c r="AL126" s="1967">
        <f t="shared" ca="1" si="20"/>
        <v>0</v>
      </c>
      <c r="AM126" s="1967">
        <f t="shared" ca="1" si="20"/>
        <v>0</v>
      </c>
      <c r="AN126" s="1967">
        <f t="shared" ca="1" si="20"/>
        <v>0</v>
      </c>
      <c r="AO126" s="1967">
        <f t="shared" ca="1" si="20"/>
        <v>0</v>
      </c>
      <c r="AP126" s="1967">
        <f t="shared" ca="1" si="20"/>
        <v>0</v>
      </c>
      <c r="AQ126" s="1967">
        <f t="shared" ca="1" si="20"/>
        <v>0</v>
      </c>
      <c r="AR126" s="1967">
        <f t="shared" ca="1" si="20"/>
        <v>0</v>
      </c>
      <c r="AS126" s="1967">
        <f t="shared" ca="1" si="20"/>
        <v>0</v>
      </c>
      <c r="AT126" s="1967">
        <f t="shared" ca="1" si="20"/>
        <v>0</v>
      </c>
      <c r="AU126" s="1967">
        <f t="shared" ca="1" si="20"/>
        <v>0</v>
      </c>
      <c r="AV126" s="1967">
        <f t="shared" ca="1" si="20"/>
        <v>0</v>
      </c>
      <c r="AW126" s="1967">
        <f t="shared" ca="1" si="20"/>
        <v>0</v>
      </c>
      <c r="AX126" s="1967">
        <f t="shared" ca="1" si="20"/>
        <v>0</v>
      </c>
      <c r="AY126" s="1967">
        <f t="shared" ca="1" si="20"/>
        <v>0</v>
      </c>
      <c r="AZ126" s="1967">
        <f t="shared" ca="1" si="20"/>
        <v>0</v>
      </c>
      <c r="BA126" s="1967">
        <f t="shared" ca="1" si="20"/>
        <v>0</v>
      </c>
      <c r="BB126" s="1967">
        <f t="shared" ca="1" si="20"/>
        <v>0</v>
      </c>
      <c r="BC126" s="1967">
        <f t="shared" ca="1" si="20"/>
        <v>0</v>
      </c>
      <c r="BD126" s="1967">
        <f t="shared" ca="1" si="20"/>
        <v>0</v>
      </c>
      <c r="BE126" s="1967">
        <f t="shared" ca="1" si="20"/>
        <v>0</v>
      </c>
      <c r="BF126" s="1967">
        <f t="shared" ca="1" si="20"/>
        <v>0</v>
      </c>
      <c r="BG126" s="1967">
        <f t="shared" ca="1" si="20"/>
        <v>0</v>
      </c>
      <c r="BH126" s="1967">
        <f t="shared" ca="1" si="20"/>
        <v>0</v>
      </c>
      <c r="BI126" s="1967">
        <f t="shared" ca="1" si="20"/>
        <v>0</v>
      </c>
      <c r="BJ126" s="1967">
        <f t="shared" ca="1" si="20"/>
        <v>0</v>
      </c>
      <c r="BK126" s="1967">
        <f t="shared" ca="1" si="20"/>
        <v>0</v>
      </c>
      <c r="BL126" s="1967">
        <f t="shared" ca="1" si="20"/>
        <v>0</v>
      </c>
      <c r="BV126" s="951"/>
      <c r="CA126" s="446"/>
      <c r="CB126" s="446"/>
      <c r="CC126" s="446"/>
      <c r="CD126" s="446"/>
      <c r="CE126" s="446"/>
      <c r="CF126" s="446"/>
      <c r="CG126" s="446"/>
      <c r="CH126" s="446"/>
      <c r="CI126" s="446"/>
      <c r="CJ126" s="446"/>
      <c r="CK126" s="446"/>
      <c r="CL126" s="446"/>
      <c r="CM126" s="446"/>
      <c r="CN126" s="446"/>
      <c r="CO126" s="446"/>
      <c r="CP126" s="446"/>
      <c r="CQ126" s="446"/>
      <c r="CR126" s="446"/>
      <c r="CS126" s="446"/>
      <c r="CT126" s="446"/>
      <c r="CU126" s="446"/>
      <c r="CV126" s="445"/>
      <c r="CW126" s="445"/>
      <c r="CX126" s="445"/>
      <c r="CY126" s="446"/>
      <c r="CZ126" s="446"/>
      <c r="DA126" s="446"/>
      <c r="DB126" s="446"/>
      <c r="DC126" s="446"/>
      <c r="DD126" s="446"/>
      <c r="DE126" s="446"/>
      <c r="DF126" s="446"/>
      <c r="DG126" s="446"/>
      <c r="DH126" s="446"/>
      <c r="DI126" s="446"/>
      <c r="DJ126" s="446"/>
      <c r="DK126" s="446"/>
      <c r="DL126" s="446"/>
      <c r="DM126" s="446"/>
      <c r="DN126" s="446"/>
      <c r="DO126" s="446"/>
    </row>
    <row r="127" spans="1:119" s="446" customFormat="1" ht="12.6" hidden="1">
      <c r="A127" s="160"/>
      <c r="B127" s="160"/>
      <c r="D127" s="160" t="str">
        <f ca="1">IF(SUM(E127:BL127)=0,"",CV56)</f>
        <v/>
      </c>
      <c r="E127" s="1967">
        <f ca="1">E132</f>
        <v>0</v>
      </c>
      <c r="F127" s="1967">
        <f t="shared" ref="F127:P127" ca="1" si="21">IF($E$121=$E$6,IF(F131=$F$10,$E$10,0),0)</f>
        <v>0</v>
      </c>
      <c r="G127" s="1967">
        <f t="shared" ca="1" si="21"/>
        <v>0</v>
      </c>
      <c r="H127" s="1967">
        <f t="shared" ca="1" si="21"/>
        <v>0</v>
      </c>
      <c r="I127" s="1967">
        <f t="shared" ca="1" si="21"/>
        <v>0</v>
      </c>
      <c r="J127" s="1967">
        <f t="shared" ca="1" si="21"/>
        <v>0</v>
      </c>
      <c r="K127" s="1967">
        <f t="shared" ca="1" si="21"/>
        <v>0</v>
      </c>
      <c r="L127" s="1967">
        <f t="shared" ca="1" si="21"/>
        <v>0</v>
      </c>
      <c r="M127" s="1967">
        <f t="shared" ca="1" si="21"/>
        <v>0</v>
      </c>
      <c r="N127" s="1967">
        <f t="shared" ca="1" si="21"/>
        <v>0</v>
      </c>
      <c r="O127" s="1967">
        <f t="shared" ca="1" si="21"/>
        <v>0</v>
      </c>
      <c r="P127" s="1967">
        <f t="shared" ca="1" si="21"/>
        <v>0</v>
      </c>
      <c r="Q127" s="1967">
        <f t="shared" ref="Q127:BL127" ca="1" si="22">IF($Q$121=$O$6,IF(E131=$P$10,$O$10,0),0)</f>
        <v>0</v>
      </c>
      <c r="R127" s="1967">
        <f t="shared" ca="1" si="22"/>
        <v>0</v>
      </c>
      <c r="S127" s="1967">
        <f t="shared" ca="1" si="22"/>
        <v>0</v>
      </c>
      <c r="T127" s="1967">
        <f t="shared" ca="1" si="22"/>
        <v>0</v>
      </c>
      <c r="U127" s="1967">
        <f t="shared" ca="1" si="22"/>
        <v>0</v>
      </c>
      <c r="V127" s="1975">
        <f t="shared" ca="1" si="22"/>
        <v>0</v>
      </c>
      <c r="W127" s="1975">
        <f t="shared" ca="1" si="22"/>
        <v>0</v>
      </c>
      <c r="X127" s="1975">
        <f t="shared" ca="1" si="22"/>
        <v>0</v>
      </c>
      <c r="Y127" s="1975">
        <f t="shared" ca="1" si="22"/>
        <v>0</v>
      </c>
      <c r="Z127" s="1975">
        <f t="shared" ca="1" si="22"/>
        <v>0</v>
      </c>
      <c r="AA127" s="1967">
        <f t="shared" ca="1" si="22"/>
        <v>0</v>
      </c>
      <c r="AB127" s="1967">
        <f t="shared" ca="1" si="22"/>
        <v>0</v>
      </c>
      <c r="AC127" s="1967">
        <f t="shared" ca="1" si="22"/>
        <v>0</v>
      </c>
      <c r="AD127" s="1967">
        <f t="shared" ca="1" si="22"/>
        <v>0</v>
      </c>
      <c r="AE127" s="1967">
        <f t="shared" ca="1" si="22"/>
        <v>0</v>
      </c>
      <c r="AF127" s="1967">
        <f t="shared" ca="1" si="22"/>
        <v>0</v>
      </c>
      <c r="AG127" s="1967">
        <f t="shared" ca="1" si="22"/>
        <v>0</v>
      </c>
      <c r="AH127" s="1967">
        <f t="shared" ca="1" si="22"/>
        <v>0</v>
      </c>
      <c r="AI127" s="1967">
        <f t="shared" ca="1" si="22"/>
        <v>0</v>
      </c>
      <c r="AJ127" s="1967">
        <f t="shared" ca="1" si="22"/>
        <v>0</v>
      </c>
      <c r="AK127" s="1967">
        <f t="shared" ca="1" si="22"/>
        <v>0</v>
      </c>
      <c r="AL127" s="1967">
        <f t="shared" ca="1" si="22"/>
        <v>0</v>
      </c>
      <c r="AM127" s="1967">
        <f t="shared" ca="1" si="22"/>
        <v>0</v>
      </c>
      <c r="AN127" s="1967">
        <f t="shared" ca="1" si="22"/>
        <v>0</v>
      </c>
      <c r="AO127" s="1967">
        <f t="shared" ca="1" si="22"/>
        <v>0</v>
      </c>
      <c r="AP127" s="1967">
        <f t="shared" ca="1" si="22"/>
        <v>0</v>
      </c>
      <c r="AQ127" s="1967">
        <f t="shared" ca="1" si="22"/>
        <v>0</v>
      </c>
      <c r="AR127" s="1967">
        <f t="shared" ca="1" si="22"/>
        <v>0</v>
      </c>
      <c r="AS127" s="1967">
        <f t="shared" ca="1" si="22"/>
        <v>0</v>
      </c>
      <c r="AT127" s="1967">
        <f t="shared" ca="1" si="22"/>
        <v>0</v>
      </c>
      <c r="AU127" s="1967">
        <f t="shared" ca="1" si="22"/>
        <v>0</v>
      </c>
      <c r="AV127" s="1967">
        <f t="shared" ca="1" si="22"/>
        <v>0</v>
      </c>
      <c r="AW127" s="1967">
        <f t="shared" ca="1" si="22"/>
        <v>0</v>
      </c>
      <c r="AX127" s="1967">
        <f t="shared" ca="1" si="22"/>
        <v>0</v>
      </c>
      <c r="AY127" s="1967">
        <f t="shared" ca="1" si="22"/>
        <v>0</v>
      </c>
      <c r="AZ127" s="1967">
        <f t="shared" ca="1" si="22"/>
        <v>0</v>
      </c>
      <c r="BA127" s="1967">
        <f t="shared" ca="1" si="22"/>
        <v>0</v>
      </c>
      <c r="BB127" s="1967">
        <f t="shared" ca="1" si="22"/>
        <v>0</v>
      </c>
      <c r="BC127" s="1967">
        <f t="shared" ca="1" si="22"/>
        <v>0</v>
      </c>
      <c r="BD127" s="1967">
        <f t="shared" ca="1" si="22"/>
        <v>0</v>
      </c>
      <c r="BE127" s="1967">
        <f t="shared" ca="1" si="22"/>
        <v>0</v>
      </c>
      <c r="BF127" s="1967">
        <f t="shared" ca="1" si="22"/>
        <v>0</v>
      </c>
      <c r="BG127" s="1967">
        <f t="shared" ca="1" si="22"/>
        <v>0</v>
      </c>
      <c r="BH127" s="1967">
        <f t="shared" ca="1" si="22"/>
        <v>0</v>
      </c>
      <c r="BI127" s="1967">
        <f t="shared" ca="1" si="22"/>
        <v>0</v>
      </c>
      <c r="BJ127" s="1967">
        <f t="shared" ca="1" si="22"/>
        <v>0</v>
      </c>
      <c r="BK127" s="1967">
        <f t="shared" ca="1" si="22"/>
        <v>0</v>
      </c>
      <c r="BL127" s="1967">
        <f t="shared" ca="1" si="22"/>
        <v>0</v>
      </c>
      <c r="BV127" s="1225"/>
      <c r="CV127" s="445"/>
      <c r="CW127" s="445"/>
      <c r="CX127" s="445"/>
    </row>
    <row r="128" spans="1:119" s="446" customFormat="1" ht="12.6" hidden="1">
      <c r="A128" s="160"/>
      <c r="B128" s="160"/>
      <c r="D128" s="160" t="str">
        <f ca="1">IF(SUM(E128:BL128)=0,"",CV55)</f>
        <v/>
      </c>
      <c r="E128" s="1967">
        <f t="shared" ref="E128:P128" ca="1" si="23">E137+E142+E147+E152</f>
        <v>0</v>
      </c>
      <c r="F128" s="1967">
        <f t="shared" ca="1" si="23"/>
        <v>0</v>
      </c>
      <c r="G128" s="1967">
        <f t="shared" ca="1" si="23"/>
        <v>0</v>
      </c>
      <c r="H128" s="1967">
        <f t="shared" ca="1" si="23"/>
        <v>0</v>
      </c>
      <c r="I128" s="1967">
        <f t="shared" ca="1" si="23"/>
        <v>0</v>
      </c>
      <c r="J128" s="1967">
        <f t="shared" ca="1" si="23"/>
        <v>0</v>
      </c>
      <c r="K128" s="1967">
        <f t="shared" ca="1" si="23"/>
        <v>0</v>
      </c>
      <c r="L128" s="1967">
        <f t="shared" ca="1" si="23"/>
        <v>0</v>
      </c>
      <c r="M128" s="1967">
        <f t="shared" ca="1" si="23"/>
        <v>0</v>
      </c>
      <c r="N128" s="1967">
        <f t="shared" ca="1" si="23"/>
        <v>0</v>
      </c>
      <c r="O128" s="1967">
        <f t="shared" ca="1" si="23"/>
        <v>0</v>
      </c>
      <c r="P128" s="1967">
        <f t="shared" ca="1" si="23"/>
        <v>0</v>
      </c>
      <c r="Q128" s="1967">
        <f t="shared" ref="Q128:BL128" ca="1" si="24">Q166+Q171+Q176+Q181</f>
        <v>0</v>
      </c>
      <c r="R128" s="1967">
        <f t="shared" ca="1" si="24"/>
        <v>0</v>
      </c>
      <c r="S128" s="1967">
        <f t="shared" ca="1" si="24"/>
        <v>0</v>
      </c>
      <c r="T128" s="1967">
        <f t="shared" ca="1" si="24"/>
        <v>0</v>
      </c>
      <c r="U128" s="1967">
        <f t="shared" ca="1" si="24"/>
        <v>0</v>
      </c>
      <c r="V128" s="1975">
        <f t="shared" ca="1" si="24"/>
        <v>0</v>
      </c>
      <c r="W128" s="1975">
        <f t="shared" ca="1" si="24"/>
        <v>0</v>
      </c>
      <c r="X128" s="1975">
        <f t="shared" ca="1" si="24"/>
        <v>0</v>
      </c>
      <c r="Y128" s="1975">
        <f t="shared" ca="1" si="24"/>
        <v>0</v>
      </c>
      <c r="Z128" s="1975">
        <f t="shared" ca="1" si="24"/>
        <v>0</v>
      </c>
      <c r="AA128" s="1967">
        <f t="shared" ca="1" si="24"/>
        <v>0</v>
      </c>
      <c r="AB128" s="1967">
        <f t="shared" ca="1" si="24"/>
        <v>0</v>
      </c>
      <c r="AC128" s="1967">
        <f t="shared" ca="1" si="24"/>
        <v>0</v>
      </c>
      <c r="AD128" s="1967">
        <f t="shared" ca="1" si="24"/>
        <v>0</v>
      </c>
      <c r="AE128" s="1967">
        <f t="shared" ca="1" si="24"/>
        <v>0</v>
      </c>
      <c r="AF128" s="1967">
        <f t="shared" ca="1" si="24"/>
        <v>0</v>
      </c>
      <c r="AG128" s="1967">
        <f t="shared" ca="1" si="24"/>
        <v>0</v>
      </c>
      <c r="AH128" s="1967">
        <f t="shared" ca="1" si="24"/>
        <v>0</v>
      </c>
      <c r="AI128" s="1967">
        <f t="shared" ca="1" si="24"/>
        <v>0</v>
      </c>
      <c r="AJ128" s="1967">
        <f t="shared" ca="1" si="24"/>
        <v>0</v>
      </c>
      <c r="AK128" s="1967">
        <f t="shared" ca="1" si="24"/>
        <v>0</v>
      </c>
      <c r="AL128" s="1967">
        <f t="shared" ca="1" si="24"/>
        <v>0</v>
      </c>
      <c r="AM128" s="1967">
        <f t="shared" ca="1" si="24"/>
        <v>0</v>
      </c>
      <c r="AN128" s="1967">
        <f t="shared" ca="1" si="24"/>
        <v>0</v>
      </c>
      <c r="AO128" s="1967">
        <f t="shared" ca="1" si="24"/>
        <v>0</v>
      </c>
      <c r="AP128" s="1967">
        <f t="shared" ca="1" si="24"/>
        <v>0</v>
      </c>
      <c r="AQ128" s="1967">
        <f t="shared" ca="1" si="24"/>
        <v>0</v>
      </c>
      <c r="AR128" s="1967">
        <f t="shared" ca="1" si="24"/>
        <v>0</v>
      </c>
      <c r="AS128" s="1967">
        <f t="shared" ca="1" si="24"/>
        <v>0</v>
      </c>
      <c r="AT128" s="1967">
        <f t="shared" ca="1" si="24"/>
        <v>0</v>
      </c>
      <c r="AU128" s="1967">
        <f t="shared" ca="1" si="24"/>
        <v>0</v>
      </c>
      <c r="AV128" s="1967">
        <f t="shared" ca="1" si="24"/>
        <v>0</v>
      </c>
      <c r="AW128" s="1967">
        <f t="shared" ca="1" si="24"/>
        <v>0</v>
      </c>
      <c r="AX128" s="1967">
        <f t="shared" ca="1" si="24"/>
        <v>0</v>
      </c>
      <c r="AY128" s="1967">
        <f t="shared" ca="1" si="24"/>
        <v>0</v>
      </c>
      <c r="AZ128" s="1967">
        <f t="shared" ca="1" si="24"/>
        <v>0</v>
      </c>
      <c r="BA128" s="1967">
        <f t="shared" ca="1" si="24"/>
        <v>0</v>
      </c>
      <c r="BB128" s="1967">
        <f t="shared" ca="1" si="24"/>
        <v>0</v>
      </c>
      <c r="BC128" s="1967">
        <f t="shared" ca="1" si="24"/>
        <v>0</v>
      </c>
      <c r="BD128" s="1967">
        <f t="shared" ca="1" si="24"/>
        <v>0</v>
      </c>
      <c r="BE128" s="1967">
        <f t="shared" ca="1" si="24"/>
        <v>0</v>
      </c>
      <c r="BF128" s="1967">
        <f t="shared" ca="1" si="24"/>
        <v>0</v>
      </c>
      <c r="BG128" s="1967">
        <f t="shared" ca="1" si="24"/>
        <v>0</v>
      </c>
      <c r="BH128" s="1967">
        <f t="shared" ca="1" si="24"/>
        <v>0</v>
      </c>
      <c r="BI128" s="1967">
        <f t="shared" ca="1" si="24"/>
        <v>0</v>
      </c>
      <c r="BJ128" s="1967">
        <f t="shared" ca="1" si="24"/>
        <v>0</v>
      </c>
      <c r="BK128" s="1967">
        <f t="shared" ca="1" si="24"/>
        <v>0</v>
      </c>
      <c r="BL128" s="1967">
        <f t="shared" ca="1" si="24"/>
        <v>0</v>
      </c>
      <c r="BV128" s="1225"/>
      <c r="CV128" s="445"/>
      <c r="CW128" s="445"/>
      <c r="CX128" s="445"/>
    </row>
    <row r="129" spans="3:119" s="160" customFormat="1" ht="14.25" hidden="1" customHeight="1">
      <c r="H129" s="1974"/>
      <c r="I129" s="1967"/>
      <c r="K129" s="1974"/>
      <c r="L129" s="1967"/>
      <c r="M129" s="649"/>
      <c r="N129" s="1974"/>
      <c r="O129" s="1967"/>
      <c r="P129" s="649"/>
      <c r="Q129" s="1974"/>
      <c r="R129" s="693"/>
      <c r="S129" s="693"/>
      <c r="T129" s="693"/>
      <c r="U129" s="1974"/>
      <c r="V129" s="1975"/>
      <c r="W129" s="1169"/>
      <c r="X129" s="1976"/>
      <c r="Y129" s="1975"/>
      <c r="Z129" s="1169"/>
      <c r="AA129" s="1974"/>
      <c r="AB129" s="1967"/>
      <c r="AD129" s="1974"/>
      <c r="AE129" s="1967"/>
      <c r="AG129" s="1974"/>
      <c r="AH129" s="1967"/>
      <c r="AJ129" s="1977"/>
      <c r="AK129" s="1967"/>
      <c r="AM129" s="1974"/>
      <c r="AN129" s="1967"/>
      <c r="AP129" s="1974"/>
      <c r="AQ129" s="1967"/>
      <c r="BV129" s="951"/>
      <c r="CA129" s="446"/>
      <c r="CB129" s="446"/>
      <c r="CC129" s="446"/>
      <c r="CD129" s="446"/>
      <c r="CE129" s="446"/>
      <c r="CF129" s="446"/>
      <c r="CG129" s="446"/>
      <c r="CH129" s="446"/>
      <c r="CI129" s="446"/>
      <c r="CJ129" s="446"/>
      <c r="CK129" s="446"/>
      <c r="CL129" s="446"/>
      <c r="CM129" s="446"/>
      <c r="CN129" s="446"/>
      <c r="CO129" s="446"/>
      <c r="CP129" s="446"/>
      <c r="CQ129" s="446"/>
      <c r="CR129" s="446"/>
      <c r="CS129" s="446"/>
      <c r="CT129" s="446"/>
      <c r="CU129" s="446"/>
      <c r="CV129" s="445"/>
      <c r="CW129" s="445"/>
      <c r="CX129" s="445"/>
      <c r="CY129" s="446"/>
      <c r="CZ129" s="446"/>
      <c r="DA129" s="446"/>
      <c r="DB129" s="446"/>
      <c r="DC129" s="446"/>
      <c r="DD129" s="446"/>
      <c r="DE129" s="446"/>
      <c r="DF129" s="446"/>
      <c r="DG129" s="446"/>
      <c r="DH129" s="446"/>
      <c r="DI129" s="446"/>
      <c r="DJ129" s="446"/>
      <c r="DK129" s="446"/>
      <c r="DL129" s="446"/>
      <c r="DM129" s="446"/>
      <c r="DN129" s="446"/>
      <c r="DO129" s="446"/>
    </row>
    <row r="130" spans="3:119" s="160" customFormat="1" ht="14.25" hidden="1" customHeight="1">
      <c r="D130" s="1969"/>
      <c r="E130" s="1978">
        <f ca="1">E6</f>
        <v>2026</v>
      </c>
      <c r="F130" s="1969"/>
      <c r="G130" s="1969"/>
      <c r="H130" s="1969"/>
      <c r="I130" s="1969"/>
      <c r="J130" s="1969"/>
      <c r="K130" s="1969"/>
      <c r="L130" s="1969"/>
      <c r="M130" s="1969"/>
      <c r="N130" s="1969"/>
      <c r="O130" s="1969"/>
      <c r="P130" s="1969"/>
      <c r="Q130" s="1969"/>
      <c r="R130" s="1969"/>
      <c r="S130" s="1969"/>
      <c r="T130" s="1969"/>
      <c r="U130" s="1969"/>
      <c r="V130" s="1589"/>
      <c r="W130" s="1589"/>
      <c r="X130" s="1589"/>
      <c r="Y130" s="1589"/>
      <c r="Z130" s="1589"/>
      <c r="AA130" s="1969"/>
      <c r="AB130" s="1969"/>
      <c r="AC130" s="1969"/>
      <c r="AD130" s="1969"/>
      <c r="AE130" s="1969"/>
      <c r="AF130" s="1969"/>
      <c r="AG130" s="1969"/>
      <c r="AH130" s="1969"/>
      <c r="AI130" s="1969"/>
      <c r="AJ130" s="1969"/>
      <c r="AK130" s="1969"/>
      <c r="AL130" s="1969"/>
      <c r="AM130" s="1969"/>
      <c r="AN130" s="1969"/>
      <c r="AO130" s="1969"/>
      <c r="AP130" s="1969"/>
      <c r="AQ130" s="1969"/>
      <c r="AR130" s="1969"/>
      <c r="AS130" s="1969"/>
      <c r="AT130" s="1969"/>
      <c r="AU130" s="1969"/>
      <c r="AV130" s="1969"/>
      <c r="AW130" s="1969"/>
      <c r="AX130" s="1969"/>
      <c r="AY130" s="1969"/>
      <c r="AZ130" s="1969"/>
      <c r="BA130" s="1969"/>
      <c r="BB130" s="1969"/>
      <c r="BC130" s="1969"/>
      <c r="BD130" s="1969"/>
      <c r="BE130" s="1969"/>
      <c r="BF130" s="1969"/>
      <c r="BG130" s="1969"/>
      <c r="BH130" s="1969"/>
      <c r="BI130" s="1969"/>
      <c r="BJ130" s="1969"/>
      <c r="BK130" s="1969"/>
      <c r="BL130" s="1969"/>
      <c r="BV130" s="951"/>
      <c r="CA130" s="446"/>
      <c r="CB130" s="446"/>
      <c r="CC130" s="446"/>
      <c r="CD130" s="446"/>
      <c r="CE130" s="446"/>
      <c r="CF130" s="446"/>
      <c r="CG130" s="446"/>
      <c r="CH130" s="446"/>
      <c r="CI130" s="446"/>
      <c r="CJ130" s="446"/>
      <c r="CK130" s="446"/>
      <c r="CL130" s="446"/>
      <c r="CM130" s="446"/>
      <c r="CN130" s="446"/>
      <c r="CO130" s="446"/>
      <c r="CP130" s="446"/>
      <c r="CQ130" s="446"/>
      <c r="CR130" s="446"/>
      <c r="CS130" s="446"/>
      <c r="CT130" s="446"/>
      <c r="CU130" s="446"/>
      <c r="CV130" s="445"/>
      <c r="CW130" s="445"/>
      <c r="CX130" s="445"/>
      <c r="CY130" s="446"/>
      <c r="CZ130" s="446"/>
      <c r="DA130" s="446"/>
      <c r="DB130" s="446"/>
      <c r="DC130" s="446"/>
      <c r="DD130" s="446"/>
      <c r="DE130" s="446"/>
      <c r="DF130" s="446"/>
      <c r="DG130" s="446"/>
      <c r="DH130" s="446"/>
      <c r="DI130" s="446"/>
      <c r="DJ130" s="446"/>
      <c r="DK130" s="446"/>
      <c r="DL130" s="446"/>
      <c r="DM130" s="446"/>
      <c r="DN130" s="446"/>
      <c r="DO130" s="446"/>
    </row>
    <row r="131" spans="3:119" s="1971" customFormat="1" ht="14.25" hidden="1" customHeight="1">
      <c r="D131" s="1979" t="s">
        <v>450</v>
      </c>
      <c r="E131" s="1967">
        <v>1</v>
      </c>
      <c r="F131" s="1967">
        <v>2</v>
      </c>
      <c r="G131" s="1967">
        <v>3</v>
      </c>
      <c r="H131" s="1967">
        <v>4</v>
      </c>
      <c r="I131" s="1967">
        <v>5</v>
      </c>
      <c r="J131" s="1967">
        <v>6</v>
      </c>
      <c r="K131" s="1967">
        <v>7</v>
      </c>
      <c r="L131" s="1967">
        <v>8</v>
      </c>
      <c r="M131" s="1967">
        <v>9</v>
      </c>
      <c r="N131" s="1967">
        <v>10</v>
      </c>
      <c r="O131" s="1967">
        <v>11</v>
      </c>
      <c r="P131" s="1967">
        <v>12</v>
      </c>
      <c r="Q131" s="1967">
        <v>13</v>
      </c>
      <c r="R131" s="1967">
        <v>14</v>
      </c>
      <c r="S131" s="1967">
        <v>15</v>
      </c>
      <c r="T131" s="1967">
        <v>16</v>
      </c>
      <c r="U131" s="1967">
        <v>17</v>
      </c>
      <c r="V131" s="1975">
        <v>18</v>
      </c>
      <c r="W131" s="1975">
        <v>19</v>
      </c>
      <c r="X131" s="1975">
        <v>20</v>
      </c>
      <c r="Y131" s="1975">
        <v>21</v>
      </c>
      <c r="Z131" s="1975">
        <v>22</v>
      </c>
      <c r="AA131" s="1967">
        <v>23</v>
      </c>
      <c r="AB131" s="1967">
        <v>24</v>
      </c>
      <c r="AC131" s="1967">
        <v>25</v>
      </c>
      <c r="AD131" s="1967">
        <v>26</v>
      </c>
      <c r="AE131" s="1967">
        <v>27</v>
      </c>
      <c r="AF131" s="1967">
        <v>28</v>
      </c>
      <c r="AG131" s="1967">
        <v>29</v>
      </c>
      <c r="AH131" s="1967">
        <v>30</v>
      </c>
      <c r="AI131" s="1967">
        <v>31</v>
      </c>
      <c r="AJ131" s="1967">
        <v>32</v>
      </c>
      <c r="AK131" s="1967">
        <v>33</v>
      </c>
      <c r="AL131" s="1967">
        <v>34</v>
      </c>
      <c r="AM131" s="1967">
        <v>35</v>
      </c>
      <c r="AN131" s="1967">
        <v>36</v>
      </c>
      <c r="AO131" s="1967">
        <v>37</v>
      </c>
      <c r="AP131" s="1967">
        <v>38</v>
      </c>
      <c r="AQ131" s="1967">
        <v>39</v>
      </c>
      <c r="AR131" s="1967">
        <v>40</v>
      </c>
      <c r="AS131" s="1967">
        <v>41</v>
      </c>
      <c r="AT131" s="1967">
        <v>42</v>
      </c>
      <c r="AU131" s="1967">
        <v>43</v>
      </c>
      <c r="AV131" s="1967">
        <v>44</v>
      </c>
      <c r="AW131" s="1967">
        <v>45</v>
      </c>
      <c r="AX131" s="1967">
        <v>46</v>
      </c>
      <c r="AY131" s="1967">
        <v>47</v>
      </c>
      <c r="AZ131" s="1967">
        <v>48</v>
      </c>
      <c r="BA131" s="1967">
        <v>49</v>
      </c>
      <c r="BB131" s="1967">
        <v>50</v>
      </c>
      <c r="BC131" s="1967">
        <v>51</v>
      </c>
      <c r="BD131" s="1967">
        <v>52</v>
      </c>
      <c r="BE131" s="1967">
        <v>53</v>
      </c>
      <c r="BF131" s="1967">
        <v>54</v>
      </c>
      <c r="BG131" s="1967">
        <v>55</v>
      </c>
      <c r="BH131" s="1967">
        <v>56</v>
      </c>
      <c r="BI131" s="1967">
        <v>57</v>
      </c>
      <c r="BJ131" s="1967">
        <v>58</v>
      </c>
      <c r="BK131" s="1967">
        <v>59</v>
      </c>
      <c r="BL131" s="1967">
        <v>60</v>
      </c>
      <c r="BV131" s="1980"/>
      <c r="CA131" s="1981"/>
      <c r="CB131" s="1981"/>
      <c r="CC131" s="1981"/>
      <c r="CD131" s="1981"/>
      <c r="CE131" s="1981"/>
      <c r="CF131" s="1981"/>
      <c r="CG131" s="1981"/>
      <c r="CH131" s="1981"/>
      <c r="CI131" s="1981"/>
      <c r="CJ131" s="1981"/>
      <c r="CK131" s="1981"/>
      <c r="CL131" s="1981"/>
      <c r="CM131" s="1981"/>
      <c r="CN131" s="1981"/>
      <c r="CO131" s="1981"/>
      <c r="CP131" s="1981"/>
      <c r="CQ131" s="1981"/>
      <c r="CR131" s="1981"/>
      <c r="CS131" s="1981"/>
      <c r="CT131" s="1981"/>
      <c r="CU131" s="1981"/>
      <c r="CV131" s="1979"/>
      <c r="CW131" s="1979"/>
      <c r="CX131" s="1979"/>
      <c r="CY131" s="1981"/>
      <c r="CZ131" s="1981"/>
      <c r="DA131" s="1981"/>
      <c r="DB131" s="1981"/>
      <c r="DC131" s="1981"/>
      <c r="DD131" s="1981"/>
      <c r="DE131" s="1981"/>
      <c r="DF131" s="1981"/>
      <c r="DG131" s="1981"/>
      <c r="DH131" s="1981"/>
      <c r="DI131" s="1981"/>
      <c r="DJ131" s="1981"/>
      <c r="DK131" s="1981"/>
      <c r="DL131" s="1981"/>
      <c r="DM131" s="1981"/>
      <c r="DN131" s="1981"/>
      <c r="DO131" s="1981"/>
    </row>
    <row r="132" spans="3:119" s="1971" customFormat="1" ht="14.25" hidden="1" customHeight="1">
      <c r="C132" s="2298" t="str">
        <f>D10</f>
        <v>Drittmittel</v>
      </c>
      <c r="D132" s="1982" t="s">
        <v>683</v>
      </c>
      <c r="E132" s="1983">
        <f t="shared" ref="E132:P132" ca="1" si="25">IF($E$130=$E$6,IF(E131=$F$10,$E$10,0),0)</f>
        <v>0</v>
      </c>
      <c r="F132" s="1983">
        <f t="shared" ca="1" si="25"/>
        <v>0</v>
      </c>
      <c r="G132" s="1983">
        <f t="shared" ca="1" si="25"/>
        <v>0</v>
      </c>
      <c r="H132" s="1983">
        <f t="shared" ca="1" si="25"/>
        <v>0</v>
      </c>
      <c r="I132" s="1983">
        <f t="shared" ca="1" si="25"/>
        <v>0</v>
      </c>
      <c r="J132" s="1983">
        <f t="shared" ca="1" si="25"/>
        <v>0</v>
      </c>
      <c r="K132" s="1983">
        <f t="shared" ca="1" si="25"/>
        <v>0</v>
      </c>
      <c r="L132" s="1983">
        <f t="shared" ca="1" si="25"/>
        <v>0</v>
      </c>
      <c r="M132" s="1983">
        <f t="shared" ca="1" si="25"/>
        <v>0</v>
      </c>
      <c r="N132" s="1983">
        <f t="shared" ca="1" si="25"/>
        <v>0</v>
      </c>
      <c r="O132" s="1983">
        <f t="shared" ca="1" si="25"/>
        <v>0</v>
      </c>
      <c r="P132" s="1983">
        <f t="shared" ca="1" si="25"/>
        <v>0</v>
      </c>
      <c r="Q132" s="1983">
        <f ca="1">IF($E$130=$O$6,IF(Q131=$P$10,$O$10,0),0)</f>
        <v>0</v>
      </c>
      <c r="R132" s="1983">
        <f t="shared" ref="R132:BL132" ca="1" si="26">IF($E$130=$E$6,IF(R131=$F$10,$E$10,0),0)</f>
        <v>0</v>
      </c>
      <c r="S132" s="1983">
        <f t="shared" ca="1" si="26"/>
        <v>0</v>
      </c>
      <c r="T132" s="1983">
        <f t="shared" ca="1" si="26"/>
        <v>0</v>
      </c>
      <c r="U132" s="1983">
        <f t="shared" ca="1" si="26"/>
        <v>0</v>
      </c>
      <c r="V132" s="1984">
        <f t="shared" ca="1" si="26"/>
        <v>0</v>
      </c>
      <c r="W132" s="1984">
        <f t="shared" ca="1" si="26"/>
        <v>0</v>
      </c>
      <c r="X132" s="1984">
        <f t="shared" ca="1" si="26"/>
        <v>0</v>
      </c>
      <c r="Y132" s="1984">
        <f t="shared" ca="1" si="26"/>
        <v>0</v>
      </c>
      <c r="Z132" s="1984">
        <f t="shared" ca="1" si="26"/>
        <v>0</v>
      </c>
      <c r="AA132" s="1983">
        <f t="shared" ca="1" si="26"/>
        <v>0</v>
      </c>
      <c r="AB132" s="1983">
        <f t="shared" ca="1" si="26"/>
        <v>0</v>
      </c>
      <c r="AC132" s="1983">
        <f t="shared" ca="1" si="26"/>
        <v>0</v>
      </c>
      <c r="AD132" s="1983">
        <f t="shared" ca="1" si="26"/>
        <v>0</v>
      </c>
      <c r="AE132" s="1983">
        <f t="shared" ca="1" si="26"/>
        <v>0</v>
      </c>
      <c r="AF132" s="1983">
        <f t="shared" ca="1" si="26"/>
        <v>0</v>
      </c>
      <c r="AG132" s="1983">
        <f t="shared" ca="1" si="26"/>
        <v>0</v>
      </c>
      <c r="AH132" s="1983">
        <f t="shared" ca="1" si="26"/>
        <v>0</v>
      </c>
      <c r="AI132" s="1983">
        <f t="shared" ca="1" si="26"/>
        <v>0</v>
      </c>
      <c r="AJ132" s="1983">
        <f t="shared" ca="1" si="26"/>
        <v>0</v>
      </c>
      <c r="AK132" s="1983">
        <f t="shared" ca="1" si="26"/>
        <v>0</v>
      </c>
      <c r="AL132" s="1983">
        <f t="shared" ca="1" si="26"/>
        <v>0</v>
      </c>
      <c r="AM132" s="1983">
        <f t="shared" ca="1" si="26"/>
        <v>0</v>
      </c>
      <c r="AN132" s="1983">
        <f t="shared" ca="1" si="26"/>
        <v>0</v>
      </c>
      <c r="AO132" s="1983">
        <f t="shared" ca="1" si="26"/>
        <v>0</v>
      </c>
      <c r="AP132" s="1983">
        <f t="shared" ca="1" si="26"/>
        <v>0</v>
      </c>
      <c r="AQ132" s="1983">
        <f t="shared" ca="1" si="26"/>
        <v>0</v>
      </c>
      <c r="AR132" s="1983">
        <f t="shared" ca="1" si="26"/>
        <v>0</v>
      </c>
      <c r="AS132" s="1983">
        <f t="shared" ca="1" si="26"/>
        <v>0</v>
      </c>
      <c r="AT132" s="1983">
        <f t="shared" ca="1" si="26"/>
        <v>0</v>
      </c>
      <c r="AU132" s="1983">
        <f t="shared" ca="1" si="26"/>
        <v>0</v>
      </c>
      <c r="AV132" s="1983">
        <f t="shared" ca="1" si="26"/>
        <v>0</v>
      </c>
      <c r="AW132" s="1983">
        <f t="shared" ca="1" si="26"/>
        <v>0</v>
      </c>
      <c r="AX132" s="1983">
        <f t="shared" ca="1" si="26"/>
        <v>0</v>
      </c>
      <c r="AY132" s="1983">
        <f t="shared" ca="1" si="26"/>
        <v>0</v>
      </c>
      <c r="AZ132" s="1983">
        <f t="shared" ca="1" si="26"/>
        <v>0</v>
      </c>
      <c r="BA132" s="1983">
        <f t="shared" ca="1" si="26"/>
        <v>0</v>
      </c>
      <c r="BB132" s="1983">
        <f t="shared" ca="1" si="26"/>
        <v>0</v>
      </c>
      <c r="BC132" s="1983">
        <f t="shared" ca="1" si="26"/>
        <v>0</v>
      </c>
      <c r="BD132" s="1983">
        <f t="shared" ca="1" si="26"/>
        <v>0</v>
      </c>
      <c r="BE132" s="1983">
        <f t="shared" ca="1" si="26"/>
        <v>0</v>
      </c>
      <c r="BF132" s="1983">
        <f t="shared" ca="1" si="26"/>
        <v>0</v>
      </c>
      <c r="BG132" s="1983">
        <f t="shared" ca="1" si="26"/>
        <v>0</v>
      </c>
      <c r="BH132" s="1983">
        <f t="shared" ca="1" si="26"/>
        <v>0</v>
      </c>
      <c r="BI132" s="1983">
        <f t="shared" ca="1" si="26"/>
        <v>0</v>
      </c>
      <c r="BJ132" s="1983">
        <f t="shared" ca="1" si="26"/>
        <v>0</v>
      </c>
      <c r="BK132" s="1983">
        <f t="shared" ca="1" si="26"/>
        <v>0</v>
      </c>
      <c r="BL132" s="1983">
        <f t="shared" ca="1" si="26"/>
        <v>0</v>
      </c>
      <c r="BV132" s="1980"/>
      <c r="CA132" s="1981"/>
      <c r="CB132" s="1981"/>
      <c r="CC132" s="1981"/>
      <c r="CD132" s="1981"/>
      <c r="CE132" s="1981"/>
      <c r="CF132" s="1981"/>
      <c r="CG132" s="1981"/>
      <c r="CH132" s="1981"/>
      <c r="CI132" s="1981"/>
      <c r="CJ132" s="1981"/>
      <c r="CK132" s="1981"/>
      <c r="CL132" s="1981"/>
      <c r="CM132" s="1981"/>
      <c r="CN132" s="1981"/>
      <c r="CO132" s="1981"/>
      <c r="CP132" s="1981"/>
      <c r="CQ132" s="1981"/>
      <c r="CR132" s="1981"/>
      <c r="CS132" s="1981"/>
      <c r="CT132" s="1981"/>
      <c r="CU132" s="1981"/>
      <c r="CV132" s="1979"/>
      <c r="CW132" s="1979"/>
      <c r="CX132" s="1979"/>
      <c r="CY132" s="1981"/>
      <c r="CZ132" s="1981"/>
      <c r="DA132" s="1981"/>
      <c r="DB132" s="1981"/>
      <c r="DC132" s="1981"/>
      <c r="DD132" s="1981"/>
      <c r="DE132" s="1981"/>
      <c r="DF132" s="1981"/>
      <c r="DG132" s="1981"/>
      <c r="DH132" s="1981"/>
      <c r="DI132" s="1981"/>
      <c r="DJ132" s="1981"/>
      <c r="DK132" s="1981"/>
      <c r="DL132" s="1981"/>
      <c r="DM132" s="1981"/>
      <c r="DN132" s="1981"/>
      <c r="DO132" s="1981"/>
    </row>
    <row r="133" spans="3:119" s="1971" customFormat="1" ht="14.25" hidden="1" customHeight="1">
      <c r="C133" s="2298"/>
      <c r="D133" s="1982" t="s">
        <v>684</v>
      </c>
      <c r="E133" s="1983">
        <f>IF($F$10=E131,($E$10*$G$10)/12,0)</f>
        <v>0</v>
      </c>
      <c r="F133" s="1983">
        <f>IF($F$10=F131,($E$10*$G$10)/12,0)</f>
        <v>0</v>
      </c>
      <c r="G133" s="1983">
        <f>IF($F$10=G131,($E$10*$G$10)/12,0)</f>
        <v>0</v>
      </c>
      <c r="H133" s="1983">
        <f>IF($F$10=H131,($E$10*$G$10)/12,0)</f>
        <v>0</v>
      </c>
      <c r="I133" s="1983">
        <f>IF($F$10=I131,($E$10*$G$10)/12,0)</f>
        <v>0</v>
      </c>
      <c r="J133" s="1983">
        <f t="shared" ref="J133:BL133" si="27">IF($F$10=J131,($E$10*$G$10)/12,0)</f>
        <v>0</v>
      </c>
      <c r="K133" s="1983">
        <f t="shared" si="27"/>
        <v>0</v>
      </c>
      <c r="L133" s="1983">
        <f t="shared" si="27"/>
        <v>0</v>
      </c>
      <c r="M133" s="1983">
        <f t="shared" si="27"/>
        <v>0</v>
      </c>
      <c r="N133" s="1983">
        <f t="shared" si="27"/>
        <v>0</v>
      </c>
      <c r="O133" s="1983">
        <f t="shared" si="27"/>
        <v>0</v>
      </c>
      <c r="P133" s="1983">
        <f t="shared" si="27"/>
        <v>0</v>
      </c>
      <c r="Q133" s="1983">
        <f t="shared" si="27"/>
        <v>0</v>
      </c>
      <c r="R133" s="1983">
        <f t="shared" si="27"/>
        <v>0</v>
      </c>
      <c r="S133" s="1983">
        <f t="shared" si="27"/>
        <v>0</v>
      </c>
      <c r="T133" s="1983">
        <f t="shared" si="27"/>
        <v>0</v>
      </c>
      <c r="U133" s="1983">
        <f t="shared" si="27"/>
        <v>0</v>
      </c>
      <c r="V133" s="1984">
        <f t="shared" si="27"/>
        <v>0</v>
      </c>
      <c r="W133" s="1984">
        <f t="shared" si="27"/>
        <v>0</v>
      </c>
      <c r="X133" s="1984">
        <f t="shared" si="27"/>
        <v>0</v>
      </c>
      <c r="Y133" s="1984">
        <f t="shared" si="27"/>
        <v>0</v>
      </c>
      <c r="Z133" s="1984">
        <f t="shared" si="27"/>
        <v>0</v>
      </c>
      <c r="AA133" s="1983">
        <f t="shared" si="27"/>
        <v>0</v>
      </c>
      <c r="AB133" s="1983">
        <f t="shared" si="27"/>
        <v>0</v>
      </c>
      <c r="AC133" s="1983">
        <f t="shared" si="27"/>
        <v>0</v>
      </c>
      <c r="AD133" s="1983">
        <f t="shared" si="27"/>
        <v>0</v>
      </c>
      <c r="AE133" s="1983">
        <f t="shared" si="27"/>
        <v>0</v>
      </c>
      <c r="AF133" s="1983">
        <f t="shared" si="27"/>
        <v>0</v>
      </c>
      <c r="AG133" s="1983">
        <f t="shared" si="27"/>
        <v>0</v>
      </c>
      <c r="AH133" s="1983">
        <f t="shared" si="27"/>
        <v>0</v>
      </c>
      <c r="AI133" s="1983">
        <f t="shared" si="27"/>
        <v>0</v>
      </c>
      <c r="AJ133" s="1983">
        <f t="shared" si="27"/>
        <v>0</v>
      </c>
      <c r="AK133" s="1983">
        <f t="shared" si="27"/>
        <v>0</v>
      </c>
      <c r="AL133" s="1983">
        <f t="shared" si="27"/>
        <v>0</v>
      </c>
      <c r="AM133" s="1983">
        <f t="shared" si="27"/>
        <v>0</v>
      </c>
      <c r="AN133" s="1983">
        <f t="shared" si="27"/>
        <v>0</v>
      </c>
      <c r="AO133" s="1983">
        <f t="shared" si="27"/>
        <v>0</v>
      </c>
      <c r="AP133" s="1983">
        <f t="shared" si="27"/>
        <v>0</v>
      </c>
      <c r="AQ133" s="1983">
        <f t="shared" si="27"/>
        <v>0</v>
      </c>
      <c r="AR133" s="1983">
        <f t="shared" si="27"/>
        <v>0</v>
      </c>
      <c r="AS133" s="1983">
        <f t="shared" si="27"/>
        <v>0</v>
      </c>
      <c r="AT133" s="1983">
        <f t="shared" si="27"/>
        <v>0</v>
      </c>
      <c r="AU133" s="1983">
        <f t="shared" si="27"/>
        <v>0</v>
      </c>
      <c r="AV133" s="1983">
        <f t="shared" si="27"/>
        <v>0</v>
      </c>
      <c r="AW133" s="1983">
        <f t="shared" si="27"/>
        <v>0</v>
      </c>
      <c r="AX133" s="1983">
        <f t="shared" si="27"/>
        <v>0</v>
      </c>
      <c r="AY133" s="1983">
        <f t="shared" si="27"/>
        <v>0</v>
      </c>
      <c r="AZ133" s="1983">
        <f t="shared" si="27"/>
        <v>0</v>
      </c>
      <c r="BA133" s="1983">
        <f t="shared" si="27"/>
        <v>0</v>
      </c>
      <c r="BB133" s="1983">
        <f t="shared" si="27"/>
        <v>0</v>
      </c>
      <c r="BC133" s="1983">
        <f t="shared" si="27"/>
        <v>0</v>
      </c>
      <c r="BD133" s="1983">
        <f t="shared" si="27"/>
        <v>0</v>
      </c>
      <c r="BE133" s="1983">
        <f t="shared" si="27"/>
        <v>0</v>
      </c>
      <c r="BF133" s="1983">
        <f t="shared" si="27"/>
        <v>0</v>
      </c>
      <c r="BG133" s="1983">
        <f t="shared" si="27"/>
        <v>0</v>
      </c>
      <c r="BH133" s="1983">
        <f t="shared" si="27"/>
        <v>0</v>
      </c>
      <c r="BI133" s="1983">
        <f t="shared" si="27"/>
        <v>0</v>
      </c>
      <c r="BJ133" s="1983">
        <f t="shared" si="27"/>
        <v>0</v>
      </c>
      <c r="BK133" s="1983">
        <f t="shared" si="27"/>
        <v>0</v>
      </c>
      <c r="BL133" s="1983">
        <f t="shared" si="27"/>
        <v>0</v>
      </c>
      <c r="BV133" s="1980"/>
      <c r="CA133" s="1981"/>
      <c r="CB133" s="1981"/>
      <c r="CC133" s="1981"/>
      <c r="CD133" s="1981"/>
      <c r="CE133" s="1981"/>
      <c r="CF133" s="1981"/>
      <c r="CG133" s="1981"/>
      <c r="CH133" s="1981"/>
      <c r="CI133" s="1981"/>
      <c r="CJ133" s="1981"/>
      <c r="CK133" s="1981"/>
      <c r="CL133" s="1981"/>
      <c r="CM133" s="1981"/>
      <c r="CN133" s="1981"/>
      <c r="CO133" s="1981"/>
      <c r="CP133" s="1981"/>
      <c r="CQ133" s="1981"/>
      <c r="CR133" s="1981"/>
      <c r="CS133" s="1981"/>
      <c r="CT133" s="1981"/>
      <c r="CU133" s="1981"/>
      <c r="CV133" s="1979"/>
      <c r="CW133" s="1979"/>
      <c r="CX133" s="1979"/>
      <c r="CY133" s="1981"/>
      <c r="CZ133" s="1981"/>
      <c r="DA133" s="1981"/>
      <c r="DB133" s="1981"/>
      <c r="DC133" s="1981"/>
      <c r="DD133" s="1981"/>
      <c r="DE133" s="1981"/>
      <c r="DF133" s="1981"/>
      <c r="DG133" s="1981"/>
      <c r="DH133" s="1981"/>
      <c r="DI133" s="1981"/>
      <c r="DJ133" s="1981"/>
      <c r="DK133" s="1981"/>
      <c r="DL133" s="1981"/>
      <c r="DM133" s="1981"/>
      <c r="DN133" s="1981"/>
      <c r="DO133" s="1981"/>
    </row>
    <row r="134" spans="3:119" s="1971" customFormat="1" ht="14.25" hidden="1" customHeight="1">
      <c r="C134" s="2298"/>
      <c r="D134" s="1982" t="s">
        <v>685</v>
      </c>
      <c r="E134" s="1983">
        <f>IF(OR(E131&gt;=$F$10+$H10+$I$10*12,E131&lt;$F$10),0,$E$10*$G$10/12)</f>
        <v>0</v>
      </c>
      <c r="F134" s="1983">
        <f>IF(OR(F131&gt;=$F$10+$H10+$I$10*12,F131&lt;$F$10),0,($E$10-SUM($E$136:F136))*$G$10/12)</f>
        <v>0</v>
      </c>
      <c r="G134" s="1983">
        <f>IF(OR(G131&gt;=$F$10+$H10+$I$10*12,G131&lt;$F$10),0,($E$10-SUM($E$136:G136))*$G$10/12)</f>
        <v>0</v>
      </c>
      <c r="H134" s="1983">
        <f>IF(OR(H131&gt;=$F$10+$H10+$I$10*12,H131&lt;$F$10),0,($E$10-SUM($E$136:H136))*$G$10/12)</f>
        <v>0</v>
      </c>
      <c r="I134" s="1983">
        <f>IF(OR(I131&gt;=$F$10+$H10+$I$10*12,I131&lt;$F$10),0,($E$10-SUM($E$136:I136))*$G$10/12)</f>
        <v>0</v>
      </c>
      <c r="J134" s="1983">
        <f>IF(OR(J131&gt;=$F$10+$H10+$I$10*12,J131&lt;$F$10),0,($E$10-SUM($E$136:J136))*$G$10/12)</f>
        <v>0</v>
      </c>
      <c r="K134" s="1983">
        <f>IF(OR(K131&gt;=$F$10+$H10+$I$10*12,K131&lt;$F$10),0,($E$10-SUM($E$136:K136))*$G$10/12)</f>
        <v>0</v>
      </c>
      <c r="L134" s="1983">
        <f>IF(OR(L131&gt;=$F$10+$H10+$I$10*12,L131&lt;$F$10),0,($E$10-SUM($E$136:L136))*$G$10/12)</f>
        <v>0</v>
      </c>
      <c r="M134" s="1983">
        <f>IF(OR(M131&gt;=$F$10+$H10+$I$10*12,M131&lt;$F$10),0,($E$10-SUM($E$136:M136))*$G$10/12)</f>
        <v>0</v>
      </c>
      <c r="N134" s="1983">
        <f>IF(OR(N131&gt;=$F$10+$H10+$I$10*12,N131&lt;$F$10),0,($E$10-SUM($E$136:N136))*$G$10/12)</f>
        <v>0</v>
      </c>
      <c r="O134" s="1983">
        <f>IF(OR(O131&gt;=$F$10+$H10+$I$10*12,O131&lt;$F$10),0,($E$10-SUM($E$136:O136))*$G$10/12)</f>
        <v>0</v>
      </c>
      <c r="P134" s="1983">
        <f>IF(OR(P131&gt;=$F$10+$H10+$I$10*12,P131&lt;$F$10),0,($E$10-SUM($E$136:P136))*$G$10/12)</f>
        <v>0</v>
      </c>
      <c r="Q134" s="1983">
        <f>IF(OR(Q131&gt;=$F$10+$H10+$I$10*12,Q131&lt;$F$10),0,($E$10-SUM($E$136:Q136))*$G$10/12)</f>
        <v>0</v>
      </c>
      <c r="R134" s="1983">
        <f>IF(OR(R131&gt;=$F$10+$H10+$I$10*12,R131&lt;$F$10),0,($E$10-SUM($E$136:R136))*$G$10/12)</f>
        <v>0</v>
      </c>
      <c r="S134" s="1983">
        <f>IF(OR(S131&gt;=$F$10+$H10+$I$10*12,S131&lt;$F$10),0,($E$10-SUM($E$136:S136))*$G$10/12)</f>
        <v>0</v>
      </c>
      <c r="T134" s="1983">
        <f>IF(OR(T131&gt;=$F$10+$H10+$I$10*12,T131&lt;$F$10),0,($E$10-SUM($E$136:T136))*$G$10/12)</f>
        <v>0</v>
      </c>
      <c r="U134" s="1983">
        <f>IF(OR(U131&gt;=$F$10+$H10+$I$10*12,U131&lt;$F$10),0,($E$10-SUM($E$136:U136))*$G$10/12)</f>
        <v>0</v>
      </c>
      <c r="V134" s="1983">
        <f>IF(OR(V131&gt;=$F$10+$H10+$I$10*12,V131&lt;$F$10),0,($E$10-SUM($E$136:V136))*$G$10/12)</f>
        <v>0</v>
      </c>
      <c r="W134" s="1983">
        <f>IF(OR(W131&gt;=$F$10+$H10+$I$10*12,W131&lt;$F$10),0,($E$10-SUM($E$136:W136))*$G$10/12)</f>
        <v>0</v>
      </c>
      <c r="X134" s="1983">
        <f>IF(OR(X131&gt;=$F$10+$H10+$I$10*12,X131&lt;$F$10),0,($E$10-SUM($E$136:X136))*$G$10/12)</f>
        <v>0</v>
      </c>
      <c r="Y134" s="1983">
        <f>IF(OR(Y131&gt;=$F$10+$H10+$I$10*12,Y131&lt;$F$10),0,($E$10-SUM($E$136:Y136))*$G$10/12)</f>
        <v>0</v>
      </c>
      <c r="Z134" s="1983">
        <f>IF(OR(Z131&gt;=$F$10+$H10+$I$10*12,Z131&lt;$F$10),0,($E$10-SUM($E$136:Z136))*$G$10/12)</f>
        <v>0</v>
      </c>
      <c r="AA134" s="1983">
        <f>IF(OR(AA131&gt;=$F$10+$H10+$I$10*12,AA131&lt;$F$10),0,($E$10-SUM($E$136:AA136))*$G$10/12)</f>
        <v>0</v>
      </c>
      <c r="AB134" s="1983">
        <f>IF(OR(AB131&gt;=$F$10+$H10+$I$10*12,AB131&lt;$F$10),0,($E$10-SUM($E$136:AB136))*$G$10/12)</f>
        <v>0</v>
      </c>
      <c r="AC134" s="1983">
        <f>IF(OR(AC131&gt;=$F$10+$H10+$I$10*12,AC131&lt;$F$10),0,($E$10-SUM($E$136:AC136))*$G$10/12)</f>
        <v>0</v>
      </c>
      <c r="AD134" s="1983">
        <f>IF(OR(AD131&gt;=$F$10+$H10+$I$10*12,AD131&lt;$F$10),0,($E$10-SUM($E$136:AD136))*$G$10/12)</f>
        <v>0</v>
      </c>
      <c r="AE134" s="1983">
        <f>IF(OR(AE131&gt;=$F$10+$H10+$I$10*12,AE131&lt;$F$10),0,($E$10-SUM($E$136:AE136))*$G$10/12)</f>
        <v>0</v>
      </c>
      <c r="AF134" s="1983">
        <f>IF(OR(AF131&gt;=$F$10+$H10+$I$10*12,AF131&lt;$F$10),0,($E$10-SUM($E$136:AF136))*$G$10/12)</f>
        <v>0</v>
      </c>
      <c r="AG134" s="1983">
        <f>IF(OR(AG131&gt;=$F$10+$H10+$I$10*12,AG131&lt;$F$10),0,($E$10-SUM($E$136:AG136))*$G$10/12)</f>
        <v>0</v>
      </c>
      <c r="AH134" s="1983">
        <f>IF(OR(AH131&gt;=$F$10+$H10+$I$10*12,AH131&lt;$F$10),0,($E$10-SUM($E$136:AH136))*$G$10/12)</f>
        <v>0</v>
      </c>
      <c r="AI134" s="1983">
        <f>IF(OR(AI131&gt;=$F$10+$H10+$I$10*12,AI131&lt;$F$10),0,($E$10-SUM($E$136:AI136))*$G$10/12)</f>
        <v>0</v>
      </c>
      <c r="AJ134" s="1983">
        <f>IF(OR(AJ131&gt;=$F$10+$H10+$I$10*12,AJ131&lt;$F$10),0,($E$10-SUM($E$136:AJ136))*$G$10/12)</f>
        <v>0</v>
      </c>
      <c r="AK134" s="1983">
        <f>IF(OR(AK131&gt;=$F$10+$H10+$I$10*12,AK131&lt;$F$10),0,($E$10-SUM($E$136:AK136))*$G$10/12)</f>
        <v>0</v>
      </c>
      <c r="AL134" s="1983">
        <f>IF(OR(AL131&gt;=$F$10+$H10+$I$10*12,AL131&lt;$F$10),0,($E$10-SUM($E$136:AL136))*$G$10/12)</f>
        <v>0</v>
      </c>
      <c r="AM134" s="1983">
        <f>IF(OR(AM131&gt;=$F$10+$H10+$I$10*12,AM131&lt;$F$10),0,($E$10-SUM($E$136:AM136))*$G$10/12)</f>
        <v>0</v>
      </c>
      <c r="AN134" s="1983">
        <f>IF(OR(AN131&gt;=$F$10+$H10+$I$10*12,AN131&lt;$F$10),0,($E$10-SUM($E$136:AN136))*$G$10/12)</f>
        <v>0</v>
      </c>
      <c r="AO134" s="1983">
        <f>IF(OR(AO131&gt;=$F$10+$H10+$I$10*12,AO131&lt;$F$10),0,($E$10-SUM($E$136:AO136))*$G$10/12)</f>
        <v>0</v>
      </c>
      <c r="AP134" s="1983">
        <f>IF(OR(AP131&gt;=$F$10+$H10+$I$10*12,AP131&lt;$F$10),0,($E$10-SUM($E$136:AP136))*$G$10/12)</f>
        <v>0</v>
      </c>
      <c r="AQ134" s="1983">
        <f>IF(OR(AQ131&gt;=$F$10+$H10+$I$10*12,AQ131&lt;$F$10),0,($E$10-SUM($E$136:AQ136))*$G$10/12)</f>
        <v>0</v>
      </c>
      <c r="AR134" s="1983">
        <f>IF(OR(AR131&gt;=$F$10+$H10+$I$10*12,AR131&lt;$F$10),0,($E$10-SUM($E$136:AR136))*$G$10/12)</f>
        <v>0</v>
      </c>
      <c r="AS134" s="1983">
        <f>IF(OR(AS131&gt;=$F$10+$H10+$I$10*12,AS131&lt;$F$10),0,($E$10-SUM($E$136:AS136))*$G$10/12)</f>
        <v>0</v>
      </c>
      <c r="AT134" s="1983">
        <f>IF(OR(AT131&gt;=$F$10+$H10+$I$10*12,AT131&lt;$F$10),0,($E$10-SUM($E$136:AT136))*$G$10/12)</f>
        <v>0</v>
      </c>
      <c r="AU134" s="1983">
        <f>IF(OR(AU131&gt;=$F$10+$H10+$I$10*12,AU131&lt;$F$10),0,($E$10-SUM($E$136:AU136))*$G$10/12)</f>
        <v>0</v>
      </c>
      <c r="AV134" s="1983">
        <f>IF(OR(AV131&gt;=$F$10+$H10+$I$10*12,AV131&lt;$F$10),0,($E$10-SUM($E$136:AV136))*$G$10/12)</f>
        <v>0</v>
      </c>
      <c r="AW134" s="1983">
        <f>IF(OR(AW131&gt;=$F$10+$H10+$I$10*12,AW131&lt;$F$10),0,($E$10-SUM($E$136:AW136))*$G$10/12)</f>
        <v>0</v>
      </c>
      <c r="AX134" s="1983">
        <f>IF(OR(AX131&gt;=$F$10+$H10+$I$10*12,AX131&lt;$F$10),0,($E$10-SUM($E$136:AX136))*$G$10/12)</f>
        <v>0</v>
      </c>
      <c r="AY134" s="1983">
        <f>IF(OR(AY131&gt;=$F$10+$H10+$I$10*12,AY131&lt;$F$10),0,($E$10-SUM($E$136:AY136))*$G$10/12)</f>
        <v>0</v>
      </c>
      <c r="AZ134" s="1983">
        <f>IF(OR(AZ131&gt;=$F$10+$H10+$I$10*12,AZ131&lt;$F$10),0,($E$10-SUM($E$136:AZ136))*$G$10/12)</f>
        <v>0</v>
      </c>
      <c r="BA134" s="1983">
        <f>IF(OR(BA131&gt;=$F$10+$H10+$I$10*12,BA131&lt;$F$10),0,($E$10-SUM($E$136:BA136))*$G$10/12)</f>
        <v>0</v>
      </c>
      <c r="BB134" s="1983">
        <f>IF(OR(BB131&gt;=$F$10+$H10+$I$10*12,BB131&lt;$F$10),0,($E$10-SUM($E$136:BB136))*$G$10/12)</f>
        <v>0</v>
      </c>
      <c r="BC134" s="1983">
        <f>IF(OR(BC131&gt;=$F$10+$H10+$I$10*12,BC131&lt;$F$10),0,($E$10-SUM($E$136:BC136))*$G$10/12)</f>
        <v>0</v>
      </c>
      <c r="BD134" s="1983">
        <f>IF(OR(BD131&gt;=$F$10+$H10+$I$10*12,BD131&lt;$F$10),0,($E$10-SUM($E$136:BD136))*$G$10/12)</f>
        <v>0</v>
      </c>
      <c r="BE134" s="1983">
        <f>IF(OR(BE131&gt;=$F$10+$H10+$I$10*12,BE131&lt;$F$10),0,($E$10-SUM($E$136:BE136))*$G$10/12)</f>
        <v>0</v>
      </c>
      <c r="BF134" s="1983">
        <f>IF(OR(BF131&gt;=$F$10+$H10+$I$10*12,BF131&lt;$F$10),0,($E$10-SUM($E$136:BF136))*$G$10/12)</f>
        <v>0</v>
      </c>
      <c r="BG134" s="1983">
        <f>IF(OR(BG131&gt;=$F$10+$H10+$I$10*12,BG131&lt;$F$10),0,($E$10-SUM($E$136:BG136))*$G$10/12)</f>
        <v>0</v>
      </c>
      <c r="BH134" s="1983">
        <f>IF(OR(BH131&gt;=$F$10+$H10+$I$10*12,BH131&lt;$F$10),0,($E$10-SUM($E$136:BH136))*$G$10/12)</f>
        <v>0</v>
      </c>
      <c r="BI134" s="1983">
        <f>IF(OR(BI131&gt;=$F$10+$H10+$I$10*12,BI131&lt;$F$10),0,($E$10-SUM($E$136:BI136))*$G$10/12)</f>
        <v>0</v>
      </c>
      <c r="BJ134" s="1983">
        <f>IF(OR(BJ131&gt;=$F$10+$H10+$I$10*12,BJ131&lt;$F$10),0,($E$10-SUM($E$136:BJ136))*$G$10/12)</f>
        <v>0</v>
      </c>
      <c r="BK134" s="1983">
        <f>IF(OR(BK131&gt;=$F$10+$H10+$I$10*12,BK131&lt;$F$10),0,($E$10-SUM($E$136:BK136))*$G$10/12)</f>
        <v>0</v>
      </c>
      <c r="BL134" s="1983">
        <f>IF(OR(BL131&gt;=$F$10+$H10+$I$10*12,BL131&lt;$F$10),0,($E$10-SUM($E$136:BL136))*$G$10/12)</f>
        <v>0</v>
      </c>
      <c r="BV134" s="1980"/>
      <c r="CA134" s="1981"/>
      <c r="CB134" s="1981"/>
      <c r="CC134" s="1981"/>
      <c r="CD134" s="1981"/>
      <c r="CE134" s="1981"/>
      <c r="CF134" s="1981"/>
      <c r="CG134" s="1981"/>
      <c r="CH134" s="1981"/>
      <c r="CI134" s="1981"/>
      <c r="CJ134" s="1981"/>
      <c r="CK134" s="1981"/>
      <c r="CL134" s="1981"/>
      <c r="CM134" s="1981"/>
      <c r="CN134" s="1981"/>
      <c r="CO134" s="1981"/>
      <c r="CP134" s="1981"/>
      <c r="CQ134" s="1981"/>
      <c r="CR134" s="1981"/>
      <c r="CS134" s="1981"/>
      <c r="CT134" s="1981"/>
      <c r="CU134" s="1981"/>
      <c r="CV134" s="1979"/>
      <c r="CW134" s="1979"/>
      <c r="CX134" s="1979"/>
      <c r="CY134" s="1981"/>
      <c r="CZ134" s="1981"/>
      <c r="DA134" s="1981"/>
      <c r="DB134" s="1981"/>
      <c r="DC134" s="1981"/>
      <c r="DD134" s="1981"/>
      <c r="DE134" s="1981"/>
      <c r="DF134" s="1981"/>
      <c r="DG134" s="1981"/>
      <c r="DH134" s="1981"/>
      <c r="DI134" s="1981"/>
      <c r="DJ134" s="1981"/>
      <c r="DK134" s="1981"/>
      <c r="DL134" s="1981"/>
      <c r="DM134" s="1981"/>
      <c r="DN134" s="1981"/>
      <c r="DO134" s="1981"/>
    </row>
    <row r="135" spans="3:119" s="1971" customFormat="1" ht="14.25" hidden="1" customHeight="1">
      <c r="C135" s="2298"/>
      <c r="D135" s="1982" t="s">
        <v>120</v>
      </c>
      <c r="E135" s="1983">
        <f>IF($F$10+$H$10=E131,IF($I$10=0,0,$E$10/($I$10*12)),0)</f>
        <v>0</v>
      </c>
      <c r="F135" s="1983">
        <f>IF($F$10+$H$10=F131,IF($I$10=0,0,$E$10/($I$10*12)),0)</f>
        <v>0</v>
      </c>
      <c r="G135" s="1983">
        <f t="shared" ref="G135:BL135" si="28">IF($F$10+$H$10=G131,IF($I$10=0,0,$E$10/($I$10*12)),0)</f>
        <v>0</v>
      </c>
      <c r="H135" s="1983">
        <f t="shared" si="28"/>
        <v>0</v>
      </c>
      <c r="I135" s="1983">
        <f t="shared" si="28"/>
        <v>0</v>
      </c>
      <c r="J135" s="1983">
        <f t="shared" si="28"/>
        <v>0</v>
      </c>
      <c r="K135" s="1983">
        <f t="shared" si="28"/>
        <v>0</v>
      </c>
      <c r="L135" s="1983">
        <f t="shared" si="28"/>
        <v>0</v>
      </c>
      <c r="M135" s="1983">
        <f t="shared" si="28"/>
        <v>0</v>
      </c>
      <c r="N135" s="1983">
        <f t="shared" si="28"/>
        <v>0</v>
      </c>
      <c r="O135" s="1983">
        <f t="shared" si="28"/>
        <v>0</v>
      </c>
      <c r="P135" s="1983">
        <f t="shared" si="28"/>
        <v>0</v>
      </c>
      <c r="Q135" s="1983">
        <f t="shared" si="28"/>
        <v>0</v>
      </c>
      <c r="R135" s="1983">
        <f t="shared" si="28"/>
        <v>0</v>
      </c>
      <c r="S135" s="1983">
        <f t="shared" si="28"/>
        <v>0</v>
      </c>
      <c r="T135" s="1983">
        <f t="shared" si="28"/>
        <v>0</v>
      </c>
      <c r="U135" s="1983">
        <f t="shared" si="28"/>
        <v>0</v>
      </c>
      <c r="V135" s="1983">
        <f t="shared" si="28"/>
        <v>0</v>
      </c>
      <c r="W135" s="1983">
        <f t="shared" si="28"/>
        <v>0</v>
      </c>
      <c r="X135" s="1983">
        <f t="shared" si="28"/>
        <v>0</v>
      </c>
      <c r="Y135" s="1983">
        <f t="shared" si="28"/>
        <v>0</v>
      </c>
      <c r="Z135" s="1983">
        <f t="shared" si="28"/>
        <v>0</v>
      </c>
      <c r="AA135" s="1983">
        <f t="shared" si="28"/>
        <v>0</v>
      </c>
      <c r="AB135" s="1983">
        <f t="shared" si="28"/>
        <v>0</v>
      </c>
      <c r="AC135" s="1983">
        <f t="shared" si="28"/>
        <v>0</v>
      </c>
      <c r="AD135" s="1983">
        <f t="shared" si="28"/>
        <v>0</v>
      </c>
      <c r="AE135" s="1983">
        <f t="shared" si="28"/>
        <v>0</v>
      </c>
      <c r="AF135" s="1983">
        <f t="shared" si="28"/>
        <v>0</v>
      </c>
      <c r="AG135" s="1983">
        <f t="shared" si="28"/>
        <v>0</v>
      </c>
      <c r="AH135" s="1983">
        <f t="shared" si="28"/>
        <v>0</v>
      </c>
      <c r="AI135" s="1983">
        <f t="shared" si="28"/>
        <v>0</v>
      </c>
      <c r="AJ135" s="1983">
        <f t="shared" si="28"/>
        <v>0</v>
      </c>
      <c r="AK135" s="1983">
        <f t="shared" si="28"/>
        <v>0</v>
      </c>
      <c r="AL135" s="1983">
        <f t="shared" si="28"/>
        <v>0</v>
      </c>
      <c r="AM135" s="1983">
        <f t="shared" si="28"/>
        <v>0</v>
      </c>
      <c r="AN135" s="1983">
        <f t="shared" si="28"/>
        <v>0</v>
      </c>
      <c r="AO135" s="1983">
        <f t="shared" si="28"/>
        <v>0</v>
      </c>
      <c r="AP135" s="1983">
        <f t="shared" si="28"/>
        <v>0</v>
      </c>
      <c r="AQ135" s="1983">
        <f t="shared" si="28"/>
        <v>0</v>
      </c>
      <c r="AR135" s="1983">
        <f t="shared" si="28"/>
        <v>0</v>
      </c>
      <c r="AS135" s="1983">
        <f t="shared" si="28"/>
        <v>0</v>
      </c>
      <c r="AT135" s="1983">
        <f t="shared" si="28"/>
        <v>0</v>
      </c>
      <c r="AU135" s="1983">
        <f t="shared" si="28"/>
        <v>0</v>
      </c>
      <c r="AV135" s="1983">
        <f t="shared" si="28"/>
        <v>0</v>
      </c>
      <c r="AW135" s="1983">
        <f t="shared" si="28"/>
        <v>0</v>
      </c>
      <c r="AX135" s="1983">
        <f t="shared" si="28"/>
        <v>0</v>
      </c>
      <c r="AY135" s="1983">
        <f t="shared" si="28"/>
        <v>0</v>
      </c>
      <c r="AZ135" s="1983">
        <f t="shared" si="28"/>
        <v>0</v>
      </c>
      <c r="BA135" s="1983">
        <f t="shared" si="28"/>
        <v>0</v>
      </c>
      <c r="BB135" s="1983">
        <f t="shared" si="28"/>
        <v>0</v>
      </c>
      <c r="BC135" s="1983">
        <f t="shared" si="28"/>
        <v>0</v>
      </c>
      <c r="BD135" s="1983">
        <f t="shared" si="28"/>
        <v>0</v>
      </c>
      <c r="BE135" s="1983">
        <f t="shared" si="28"/>
        <v>0</v>
      </c>
      <c r="BF135" s="1983">
        <f t="shared" si="28"/>
        <v>0</v>
      </c>
      <c r="BG135" s="1983">
        <f t="shared" si="28"/>
        <v>0</v>
      </c>
      <c r="BH135" s="1983">
        <f t="shared" si="28"/>
        <v>0</v>
      </c>
      <c r="BI135" s="1983">
        <f t="shared" si="28"/>
        <v>0</v>
      </c>
      <c r="BJ135" s="1983">
        <f t="shared" si="28"/>
        <v>0</v>
      </c>
      <c r="BK135" s="1983">
        <f t="shared" si="28"/>
        <v>0</v>
      </c>
      <c r="BL135" s="1983">
        <f t="shared" si="28"/>
        <v>0</v>
      </c>
      <c r="BV135" s="1980"/>
      <c r="CA135" s="1981"/>
      <c r="CB135" s="1981"/>
      <c r="CC135" s="1981"/>
      <c r="CD135" s="1981"/>
      <c r="CE135" s="1981"/>
      <c r="CF135" s="1981"/>
      <c r="CG135" s="1981"/>
      <c r="CH135" s="1981"/>
      <c r="CI135" s="1981"/>
      <c r="CJ135" s="1981"/>
      <c r="CK135" s="1981"/>
      <c r="CL135" s="1981"/>
      <c r="CM135" s="1981"/>
      <c r="CN135" s="1981"/>
      <c r="CO135" s="1981"/>
      <c r="CP135" s="1981"/>
      <c r="CQ135" s="1981"/>
      <c r="CR135" s="1981"/>
      <c r="CS135" s="1981"/>
      <c r="CT135" s="1981"/>
      <c r="CU135" s="1981"/>
      <c r="CV135" s="1979"/>
      <c r="CW135" s="1979"/>
      <c r="CX135" s="1979"/>
      <c r="CY135" s="1981"/>
      <c r="CZ135" s="1981"/>
      <c r="DA135" s="1981"/>
      <c r="DB135" s="1981"/>
      <c r="DC135" s="1981"/>
      <c r="DD135" s="1981"/>
      <c r="DE135" s="1981"/>
      <c r="DF135" s="1981"/>
      <c r="DG135" s="1981"/>
      <c r="DH135" s="1981"/>
      <c r="DI135" s="1981"/>
      <c r="DJ135" s="1981"/>
      <c r="DK135" s="1981"/>
      <c r="DL135" s="1981"/>
      <c r="DM135" s="1981"/>
      <c r="DN135" s="1981"/>
      <c r="DO135" s="1981"/>
    </row>
    <row r="136" spans="3:119" s="1971" customFormat="1" ht="14.25" hidden="1" customHeight="1">
      <c r="C136" s="2298"/>
      <c r="D136" s="1982" t="s">
        <v>686</v>
      </c>
      <c r="E136" s="1983">
        <f>IF(OR(E131&gt;=$F$10+$H$10+$I$10*12,E131&lt;$F$10+$H$10),0,IF($I$10=0,0,$E$10/($I$10*12)))</f>
        <v>0</v>
      </c>
      <c r="F136" s="1983">
        <f>IF(OR(F131&gt;=$F$10+$H$10+$I$10*12,F131&lt;$F$10+$H$10),0,IF($I$10=0,0,$E$10/($I$10*12)))</f>
        <v>0</v>
      </c>
      <c r="G136" s="1983">
        <f t="shared" ref="G136:BL136" si="29">IF(OR(G131&gt;=$F$10+$H$10+$I$10*12,G131&lt;$F$10+$H$10),0,IF($I$10=0,0,$E$10/($I$10*12)))</f>
        <v>0</v>
      </c>
      <c r="H136" s="1983">
        <f t="shared" si="29"/>
        <v>0</v>
      </c>
      <c r="I136" s="1983">
        <f t="shared" si="29"/>
        <v>0</v>
      </c>
      <c r="J136" s="1983">
        <f t="shared" si="29"/>
        <v>0</v>
      </c>
      <c r="K136" s="1983">
        <f t="shared" si="29"/>
        <v>0</v>
      </c>
      <c r="L136" s="1983">
        <f t="shared" si="29"/>
        <v>0</v>
      </c>
      <c r="M136" s="1983">
        <f t="shared" si="29"/>
        <v>0</v>
      </c>
      <c r="N136" s="1983">
        <f t="shared" si="29"/>
        <v>0</v>
      </c>
      <c r="O136" s="1983">
        <f t="shared" si="29"/>
        <v>0</v>
      </c>
      <c r="P136" s="1983">
        <f t="shared" si="29"/>
        <v>0</v>
      </c>
      <c r="Q136" s="1983">
        <f t="shared" si="29"/>
        <v>0</v>
      </c>
      <c r="R136" s="1983">
        <f t="shared" si="29"/>
        <v>0</v>
      </c>
      <c r="S136" s="1983">
        <f t="shared" si="29"/>
        <v>0</v>
      </c>
      <c r="T136" s="1983">
        <f t="shared" si="29"/>
        <v>0</v>
      </c>
      <c r="U136" s="1983">
        <f t="shared" si="29"/>
        <v>0</v>
      </c>
      <c r="V136" s="1983">
        <f t="shared" si="29"/>
        <v>0</v>
      </c>
      <c r="W136" s="1983">
        <f t="shared" si="29"/>
        <v>0</v>
      </c>
      <c r="X136" s="1983">
        <f t="shared" si="29"/>
        <v>0</v>
      </c>
      <c r="Y136" s="1983">
        <f t="shared" si="29"/>
        <v>0</v>
      </c>
      <c r="Z136" s="1983">
        <f t="shared" si="29"/>
        <v>0</v>
      </c>
      <c r="AA136" s="1983">
        <f t="shared" si="29"/>
        <v>0</v>
      </c>
      <c r="AB136" s="1983">
        <f t="shared" si="29"/>
        <v>0</v>
      </c>
      <c r="AC136" s="1983">
        <f t="shared" si="29"/>
        <v>0</v>
      </c>
      <c r="AD136" s="1983">
        <f t="shared" si="29"/>
        <v>0</v>
      </c>
      <c r="AE136" s="1983">
        <f t="shared" si="29"/>
        <v>0</v>
      </c>
      <c r="AF136" s="1983">
        <f t="shared" si="29"/>
        <v>0</v>
      </c>
      <c r="AG136" s="1983">
        <f t="shared" si="29"/>
        <v>0</v>
      </c>
      <c r="AH136" s="1983">
        <f t="shared" si="29"/>
        <v>0</v>
      </c>
      <c r="AI136" s="1983">
        <f t="shared" si="29"/>
        <v>0</v>
      </c>
      <c r="AJ136" s="1983">
        <f t="shared" si="29"/>
        <v>0</v>
      </c>
      <c r="AK136" s="1983">
        <f t="shared" si="29"/>
        <v>0</v>
      </c>
      <c r="AL136" s="1983">
        <f t="shared" si="29"/>
        <v>0</v>
      </c>
      <c r="AM136" s="1983">
        <f t="shared" si="29"/>
        <v>0</v>
      </c>
      <c r="AN136" s="1983">
        <f t="shared" si="29"/>
        <v>0</v>
      </c>
      <c r="AO136" s="1983">
        <f t="shared" si="29"/>
        <v>0</v>
      </c>
      <c r="AP136" s="1983">
        <f t="shared" si="29"/>
        <v>0</v>
      </c>
      <c r="AQ136" s="1983">
        <f t="shared" si="29"/>
        <v>0</v>
      </c>
      <c r="AR136" s="1983">
        <f t="shared" si="29"/>
        <v>0</v>
      </c>
      <c r="AS136" s="1983">
        <f t="shared" si="29"/>
        <v>0</v>
      </c>
      <c r="AT136" s="1983">
        <f t="shared" si="29"/>
        <v>0</v>
      </c>
      <c r="AU136" s="1983">
        <f t="shared" si="29"/>
        <v>0</v>
      </c>
      <c r="AV136" s="1983">
        <f t="shared" si="29"/>
        <v>0</v>
      </c>
      <c r="AW136" s="1983">
        <f t="shared" si="29"/>
        <v>0</v>
      </c>
      <c r="AX136" s="1983">
        <f t="shared" si="29"/>
        <v>0</v>
      </c>
      <c r="AY136" s="1983">
        <f t="shared" si="29"/>
        <v>0</v>
      </c>
      <c r="AZ136" s="1983">
        <f t="shared" si="29"/>
        <v>0</v>
      </c>
      <c r="BA136" s="1983">
        <f t="shared" si="29"/>
        <v>0</v>
      </c>
      <c r="BB136" s="1983">
        <f t="shared" si="29"/>
        <v>0</v>
      </c>
      <c r="BC136" s="1983">
        <f t="shared" si="29"/>
        <v>0</v>
      </c>
      <c r="BD136" s="1983">
        <f t="shared" si="29"/>
        <v>0</v>
      </c>
      <c r="BE136" s="1983">
        <f t="shared" si="29"/>
        <v>0</v>
      </c>
      <c r="BF136" s="1983">
        <f t="shared" si="29"/>
        <v>0</v>
      </c>
      <c r="BG136" s="1983">
        <f t="shared" si="29"/>
        <v>0</v>
      </c>
      <c r="BH136" s="1983">
        <f t="shared" si="29"/>
        <v>0</v>
      </c>
      <c r="BI136" s="1983">
        <f t="shared" si="29"/>
        <v>0</v>
      </c>
      <c r="BJ136" s="1983">
        <f t="shared" si="29"/>
        <v>0</v>
      </c>
      <c r="BK136" s="1983">
        <f t="shared" si="29"/>
        <v>0</v>
      </c>
      <c r="BL136" s="1983">
        <f t="shared" si="29"/>
        <v>0</v>
      </c>
      <c r="BV136" s="1980"/>
      <c r="CA136" s="1981"/>
      <c r="CB136" s="1981"/>
      <c r="CC136" s="1981"/>
      <c r="CD136" s="1981"/>
      <c r="CE136" s="1981"/>
      <c r="CF136" s="1981"/>
      <c r="CG136" s="1981"/>
      <c r="CH136" s="1981"/>
      <c r="CI136" s="1981"/>
      <c r="CJ136" s="1981"/>
      <c r="CK136" s="1981"/>
      <c r="CL136" s="1981"/>
      <c r="CM136" s="1981"/>
      <c r="CN136" s="1981"/>
      <c r="CO136" s="1981"/>
      <c r="CP136" s="1981"/>
      <c r="CQ136" s="1981"/>
      <c r="CR136" s="1981"/>
      <c r="CS136" s="1981"/>
      <c r="CT136" s="1981"/>
      <c r="CU136" s="1981"/>
      <c r="CV136" s="1979"/>
      <c r="CW136" s="1979"/>
      <c r="CX136" s="1979"/>
      <c r="CY136" s="1981"/>
      <c r="CZ136" s="1981"/>
      <c r="DA136" s="1981"/>
      <c r="DB136" s="1981"/>
      <c r="DC136" s="1981"/>
      <c r="DD136" s="1981"/>
      <c r="DE136" s="1981"/>
      <c r="DF136" s="1981"/>
      <c r="DG136" s="1981"/>
      <c r="DH136" s="1981"/>
      <c r="DI136" s="1981"/>
      <c r="DJ136" s="1981"/>
      <c r="DK136" s="1981"/>
      <c r="DL136" s="1981"/>
      <c r="DM136" s="1981"/>
      <c r="DN136" s="1981"/>
      <c r="DO136" s="1981"/>
    </row>
    <row r="137" spans="3:119" s="1971" customFormat="1" ht="12.6" hidden="1">
      <c r="C137" s="2298" t="str">
        <f>D11</f>
        <v>Kontokorrent</v>
      </c>
      <c r="D137" s="1982" t="s">
        <v>683</v>
      </c>
      <c r="E137" s="1983">
        <f t="shared" ref="E137:AJ137" ca="1" si="30">IF($E$130=$E$6,IF(E131=$F$11,$E$11,0),0)</f>
        <v>0</v>
      </c>
      <c r="F137" s="1983">
        <f t="shared" ca="1" si="30"/>
        <v>0</v>
      </c>
      <c r="G137" s="1983">
        <f t="shared" ca="1" si="30"/>
        <v>0</v>
      </c>
      <c r="H137" s="1983">
        <f t="shared" ca="1" si="30"/>
        <v>0</v>
      </c>
      <c r="I137" s="1983">
        <f t="shared" ca="1" si="30"/>
        <v>0</v>
      </c>
      <c r="J137" s="1983">
        <f t="shared" ca="1" si="30"/>
        <v>0</v>
      </c>
      <c r="K137" s="1983">
        <f t="shared" ca="1" si="30"/>
        <v>0</v>
      </c>
      <c r="L137" s="1983">
        <f t="shared" ca="1" si="30"/>
        <v>0</v>
      </c>
      <c r="M137" s="1983">
        <f t="shared" ca="1" si="30"/>
        <v>0</v>
      </c>
      <c r="N137" s="1983">
        <f t="shared" ca="1" si="30"/>
        <v>0</v>
      </c>
      <c r="O137" s="1983">
        <f t="shared" ca="1" si="30"/>
        <v>0</v>
      </c>
      <c r="P137" s="1983">
        <f t="shared" ca="1" si="30"/>
        <v>0</v>
      </c>
      <c r="Q137" s="1983">
        <f t="shared" ca="1" si="30"/>
        <v>0</v>
      </c>
      <c r="R137" s="1983">
        <f t="shared" ca="1" si="30"/>
        <v>0</v>
      </c>
      <c r="S137" s="1983">
        <f t="shared" ca="1" si="30"/>
        <v>0</v>
      </c>
      <c r="T137" s="1983">
        <f t="shared" ca="1" si="30"/>
        <v>0</v>
      </c>
      <c r="U137" s="1983">
        <f t="shared" ca="1" si="30"/>
        <v>0</v>
      </c>
      <c r="V137" s="1983">
        <f t="shared" ca="1" si="30"/>
        <v>0</v>
      </c>
      <c r="W137" s="1983">
        <f t="shared" ca="1" si="30"/>
        <v>0</v>
      </c>
      <c r="X137" s="1983">
        <f t="shared" ca="1" si="30"/>
        <v>0</v>
      </c>
      <c r="Y137" s="1983">
        <f t="shared" ca="1" si="30"/>
        <v>0</v>
      </c>
      <c r="Z137" s="1983">
        <f t="shared" ca="1" si="30"/>
        <v>0</v>
      </c>
      <c r="AA137" s="1983">
        <f t="shared" ca="1" si="30"/>
        <v>0</v>
      </c>
      <c r="AB137" s="1983">
        <f t="shared" ca="1" si="30"/>
        <v>0</v>
      </c>
      <c r="AC137" s="1983">
        <f t="shared" ca="1" si="30"/>
        <v>0</v>
      </c>
      <c r="AD137" s="1983">
        <f t="shared" ca="1" si="30"/>
        <v>0</v>
      </c>
      <c r="AE137" s="1983">
        <f t="shared" ca="1" si="30"/>
        <v>0</v>
      </c>
      <c r="AF137" s="1983">
        <f t="shared" ca="1" si="30"/>
        <v>0</v>
      </c>
      <c r="AG137" s="1983">
        <f t="shared" ca="1" si="30"/>
        <v>0</v>
      </c>
      <c r="AH137" s="1983">
        <f t="shared" ca="1" si="30"/>
        <v>0</v>
      </c>
      <c r="AI137" s="1983">
        <f t="shared" ca="1" si="30"/>
        <v>0</v>
      </c>
      <c r="AJ137" s="1983">
        <f t="shared" ca="1" si="30"/>
        <v>0</v>
      </c>
      <c r="AK137" s="1983">
        <f t="shared" ref="AK137:BL137" ca="1" si="31">IF($E$130=$E$6,IF(AK131=$F$11,$E$11,0),0)</f>
        <v>0</v>
      </c>
      <c r="AL137" s="1983">
        <f t="shared" ca="1" si="31"/>
        <v>0</v>
      </c>
      <c r="AM137" s="1983">
        <f t="shared" ca="1" si="31"/>
        <v>0</v>
      </c>
      <c r="AN137" s="1983">
        <f t="shared" ca="1" si="31"/>
        <v>0</v>
      </c>
      <c r="AO137" s="1983">
        <f t="shared" ca="1" si="31"/>
        <v>0</v>
      </c>
      <c r="AP137" s="1983">
        <f t="shared" ca="1" si="31"/>
        <v>0</v>
      </c>
      <c r="AQ137" s="1983">
        <f t="shared" ca="1" si="31"/>
        <v>0</v>
      </c>
      <c r="AR137" s="1983">
        <f t="shared" ca="1" si="31"/>
        <v>0</v>
      </c>
      <c r="AS137" s="1983">
        <f t="shared" ca="1" si="31"/>
        <v>0</v>
      </c>
      <c r="AT137" s="1983">
        <f t="shared" ca="1" si="31"/>
        <v>0</v>
      </c>
      <c r="AU137" s="1983">
        <f t="shared" ca="1" si="31"/>
        <v>0</v>
      </c>
      <c r="AV137" s="1983">
        <f t="shared" ca="1" si="31"/>
        <v>0</v>
      </c>
      <c r="AW137" s="1983">
        <f t="shared" ca="1" si="31"/>
        <v>0</v>
      </c>
      <c r="AX137" s="1983">
        <f t="shared" ca="1" si="31"/>
        <v>0</v>
      </c>
      <c r="AY137" s="1983">
        <f t="shared" ca="1" si="31"/>
        <v>0</v>
      </c>
      <c r="AZ137" s="1983">
        <f t="shared" ca="1" si="31"/>
        <v>0</v>
      </c>
      <c r="BA137" s="1983">
        <f t="shared" ca="1" si="31"/>
        <v>0</v>
      </c>
      <c r="BB137" s="1983">
        <f t="shared" ca="1" si="31"/>
        <v>0</v>
      </c>
      <c r="BC137" s="1983">
        <f t="shared" ca="1" si="31"/>
        <v>0</v>
      </c>
      <c r="BD137" s="1983">
        <f t="shared" ca="1" si="31"/>
        <v>0</v>
      </c>
      <c r="BE137" s="1983">
        <f t="shared" ca="1" si="31"/>
        <v>0</v>
      </c>
      <c r="BF137" s="1983">
        <f t="shared" ca="1" si="31"/>
        <v>0</v>
      </c>
      <c r="BG137" s="1983">
        <f t="shared" ca="1" si="31"/>
        <v>0</v>
      </c>
      <c r="BH137" s="1983">
        <f t="shared" ca="1" si="31"/>
        <v>0</v>
      </c>
      <c r="BI137" s="1983">
        <f t="shared" ca="1" si="31"/>
        <v>0</v>
      </c>
      <c r="BJ137" s="1983">
        <f t="shared" ca="1" si="31"/>
        <v>0</v>
      </c>
      <c r="BK137" s="1983">
        <f t="shared" ca="1" si="31"/>
        <v>0</v>
      </c>
      <c r="BL137" s="1983">
        <f t="shared" ca="1" si="31"/>
        <v>0</v>
      </c>
      <c r="BV137" s="1980"/>
      <c r="CA137" s="1981"/>
      <c r="CB137" s="1981"/>
      <c r="CC137" s="1981"/>
      <c r="CD137" s="1981"/>
      <c r="CE137" s="1981"/>
      <c r="CF137" s="1981"/>
      <c r="CG137" s="1981"/>
      <c r="CH137" s="1981"/>
      <c r="CI137" s="1981"/>
      <c r="CJ137" s="1981"/>
      <c r="CK137" s="1981"/>
      <c r="CL137" s="1981"/>
      <c r="CM137" s="1981"/>
      <c r="CN137" s="1981"/>
      <c r="CO137" s="1981"/>
      <c r="CP137" s="1981"/>
      <c r="CQ137" s="1981"/>
      <c r="CR137" s="1981"/>
      <c r="CS137" s="1981"/>
      <c r="CT137" s="1981"/>
      <c r="CU137" s="1981"/>
      <c r="CV137" s="1979"/>
      <c r="CW137" s="1316"/>
      <c r="CX137" s="1979"/>
      <c r="CY137" s="1981"/>
      <c r="CZ137" s="1981"/>
      <c r="DA137" s="1981"/>
      <c r="DB137" s="1981"/>
      <c r="DC137" s="1981"/>
      <c r="DD137" s="1981"/>
      <c r="DE137" s="1981"/>
      <c r="DF137" s="1981"/>
      <c r="DG137" s="1981"/>
      <c r="DH137" s="1981"/>
      <c r="DI137" s="1981"/>
      <c r="DJ137" s="1981"/>
      <c r="DK137" s="1981"/>
      <c r="DL137" s="1981"/>
      <c r="DM137" s="1981"/>
      <c r="DN137" s="1981"/>
      <c r="DO137" s="1981"/>
    </row>
    <row r="138" spans="3:119" s="1971" customFormat="1" ht="14.25" hidden="1" customHeight="1">
      <c r="C138" s="2298"/>
      <c r="D138" s="1982" t="s">
        <v>684</v>
      </c>
      <c r="E138" s="1983">
        <f t="shared" ref="E138:F138" si="32">IF($F$11=E131,($E$11*$G$11)/12,0)</f>
        <v>0</v>
      </c>
      <c r="F138" s="1983">
        <f t="shared" si="32"/>
        <v>0</v>
      </c>
      <c r="G138" s="1983">
        <f t="shared" ref="G138:BL138" si="33">IF($F$11=G131,($E$11*$G$11)/12,0)</f>
        <v>0</v>
      </c>
      <c r="H138" s="1983">
        <f t="shared" si="33"/>
        <v>0</v>
      </c>
      <c r="I138" s="1983">
        <f t="shared" si="33"/>
        <v>0</v>
      </c>
      <c r="J138" s="1983">
        <f t="shared" si="33"/>
        <v>0</v>
      </c>
      <c r="K138" s="1983">
        <f t="shared" si="33"/>
        <v>0</v>
      </c>
      <c r="L138" s="1983">
        <f t="shared" si="33"/>
        <v>0</v>
      </c>
      <c r="M138" s="1983">
        <f t="shared" si="33"/>
        <v>0</v>
      </c>
      <c r="N138" s="1983">
        <f t="shared" si="33"/>
        <v>0</v>
      </c>
      <c r="O138" s="1983">
        <f t="shared" si="33"/>
        <v>0</v>
      </c>
      <c r="P138" s="1983">
        <f t="shared" si="33"/>
        <v>0</v>
      </c>
      <c r="Q138" s="1983">
        <f t="shared" si="33"/>
        <v>0</v>
      </c>
      <c r="R138" s="1983">
        <f t="shared" si="33"/>
        <v>0</v>
      </c>
      <c r="S138" s="1983">
        <f t="shared" si="33"/>
        <v>0</v>
      </c>
      <c r="T138" s="1983">
        <f t="shared" si="33"/>
        <v>0</v>
      </c>
      <c r="U138" s="1983">
        <f t="shared" si="33"/>
        <v>0</v>
      </c>
      <c r="V138" s="1983">
        <f t="shared" si="33"/>
        <v>0</v>
      </c>
      <c r="W138" s="1983">
        <f t="shared" si="33"/>
        <v>0</v>
      </c>
      <c r="X138" s="1983">
        <f t="shared" si="33"/>
        <v>0</v>
      </c>
      <c r="Y138" s="1983">
        <f t="shared" si="33"/>
        <v>0</v>
      </c>
      <c r="Z138" s="1983">
        <f t="shared" si="33"/>
        <v>0</v>
      </c>
      <c r="AA138" s="1983">
        <f t="shared" si="33"/>
        <v>0</v>
      </c>
      <c r="AB138" s="1983">
        <f t="shared" si="33"/>
        <v>0</v>
      </c>
      <c r="AC138" s="1983">
        <f t="shared" si="33"/>
        <v>0</v>
      </c>
      <c r="AD138" s="1983">
        <f t="shared" si="33"/>
        <v>0</v>
      </c>
      <c r="AE138" s="1983">
        <f t="shared" si="33"/>
        <v>0</v>
      </c>
      <c r="AF138" s="1983">
        <f t="shared" si="33"/>
        <v>0</v>
      </c>
      <c r="AG138" s="1983">
        <f t="shared" si="33"/>
        <v>0</v>
      </c>
      <c r="AH138" s="1983">
        <f t="shared" si="33"/>
        <v>0</v>
      </c>
      <c r="AI138" s="1983">
        <f t="shared" si="33"/>
        <v>0</v>
      </c>
      <c r="AJ138" s="1983">
        <f t="shared" si="33"/>
        <v>0</v>
      </c>
      <c r="AK138" s="1983">
        <f t="shared" si="33"/>
        <v>0</v>
      </c>
      <c r="AL138" s="1983">
        <f t="shared" si="33"/>
        <v>0</v>
      </c>
      <c r="AM138" s="1983">
        <f t="shared" si="33"/>
        <v>0</v>
      </c>
      <c r="AN138" s="1983">
        <f t="shared" si="33"/>
        <v>0</v>
      </c>
      <c r="AO138" s="1983">
        <f t="shared" si="33"/>
        <v>0</v>
      </c>
      <c r="AP138" s="1983">
        <f t="shared" si="33"/>
        <v>0</v>
      </c>
      <c r="AQ138" s="1983">
        <f t="shared" si="33"/>
        <v>0</v>
      </c>
      <c r="AR138" s="1983">
        <f t="shared" si="33"/>
        <v>0</v>
      </c>
      <c r="AS138" s="1983">
        <f t="shared" si="33"/>
        <v>0</v>
      </c>
      <c r="AT138" s="1983">
        <f t="shared" si="33"/>
        <v>0</v>
      </c>
      <c r="AU138" s="1983">
        <f t="shared" si="33"/>
        <v>0</v>
      </c>
      <c r="AV138" s="1983">
        <f t="shared" si="33"/>
        <v>0</v>
      </c>
      <c r="AW138" s="1983">
        <f t="shared" si="33"/>
        <v>0</v>
      </c>
      <c r="AX138" s="1983">
        <f t="shared" si="33"/>
        <v>0</v>
      </c>
      <c r="AY138" s="1983">
        <f t="shared" si="33"/>
        <v>0</v>
      </c>
      <c r="AZ138" s="1983">
        <f t="shared" si="33"/>
        <v>0</v>
      </c>
      <c r="BA138" s="1983">
        <f t="shared" si="33"/>
        <v>0</v>
      </c>
      <c r="BB138" s="1983">
        <f t="shared" si="33"/>
        <v>0</v>
      </c>
      <c r="BC138" s="1983">
        <f t="shared" si="33"/>
        <v>0</v>
      </c>
      <c r="BD138" s="1983">
        <f t="shared" si="33"/>
        <v>0</v>
      </c>
      <c r="BE138" s="1983">
        <f t="shared" si="33"/>
        <v>0</v>
      </c>
      <c r="BF138" s="1983">
        <f t="shared" si="33"/>
        <v>0</v>
      </c>
      <c r="BG138" s="1983">
        <f t="shared" si="33"/>
        <v>0</v>
      </c>
      <c r="BH138" s="1983">
        <f t="shared" si="33"/>
        <v>0</v>
      </c>
      <c r="BI138" s="1983">
        <f t="shared" si="33"/>
        <v>0</v>
      </c>
      <c r="BJ138" s="1983">
        <f t="shared" si="33"/>
        <v>0</v>
      </c>
      <c r="BK138" s="1983">
        <f t="shared" si="33"/>
        <v>0</v>
      </c>
      <c r="BL138" s="1983">
        <f t="shared" si="33"/>
        <v>0</v>
      </c>
      <c r="BV138" s="1980"/>
      <c r="CA138" s="1981"/>
      <c r="CB138" s="1981"/>
      <c r="CC138" s="1981"/>
      <c r="CD138" s="1981"/>
      <c r="CE138" s="1981"/>
      <c r="CF138" s="1981"/>
      <c r="CG138" s="1981"/>
      <c r="CH138" s="1981"/>
      <c r="CI138" s="1981"/>
      <c r="CJ138" s="1981"/>
      <c r="CK138" s="1981"/>
      <c r="CL138" s="1981"/>
      <c r="CM138" s="1981"/>
      <c r="CN138" s="1981"/>
      <c r="CO138" s="1981"/>
      <c r="CP138" s="1981"/>
      <c r="CQ138" s="1981"/>
      <c r="CR138" s="1981"/>
      <c r="CS138" s="1981"/>
      <c r="CT138" s="1981"/>
      <c r="CU138" s="1981"/>
      <c r="CV138" s="1979"/>
      <c r="CW138" s="1316"/>
      <c r="CX138" s="1979"/>
      <c r="CY138" s="1981"/>
      <c r="CZ138" s="1981"/>
      <c r="DA138" s="1981"/>
      <c r="DB138" s="1981"/>
      <c r="DC138" s="1981"/>
      <c r="DD138" s="1981"/>
      <c r="DE138" s="1981"/>
      <c r="DF138" s="1981"/>
      <c r="DG138" s="1981"/>
      <c r="DH138" s="1981"/>
      <c r="DI138" s="1981"/>
      <c r="DJ138" s="1981"/>
      <c r="DK138" s="1981"/>
      <c r="DL138" s="1981"/>
      <c r="DM138" s="1981"/>
      <c r="DN138" s="1981"/>
      <c r="DO138" s="1981"/>
    </row>
    <row r="139" spans="3:119" s="1971" customFormat="1" ht="14.25" hidden="1" customHeight="1">
      <c r="C139" s="2298"/>
      <c r="D139" s="1982" t="s">
        <v>685</v>
      </c>
      <c r="E139" s="1983">
        <f>IF(OR(E131&gt;=$F$11+$H$11+$I$11*12,E131&lt;$F$11),0,$E$11*$G$11/12)</f>
        <v>0</v>
      </c>
      <c r="F139" s="1983">
        <f>IF(OR(F131&gt;=$F$11+$H$11+$I$11*12,F131&lt;$F$11),0,($E$11-SUM($E$141:F141))*$G$11/12)</f>
        <v>0</v>
      </c>
      <c r="G139" s="1983">
        <f>IF(OR(G131&gt;=$F$11+$H$11+$I$11*12,G131&lt;$F$11),0,($E$11-SUM($E$141:G141))*$G$11/12)</f>
        <v>0</v>
      </c>
      <c r="H139" s="1983">
        <f>IF(OR(H131&gt;=$F$11+$H$11+$I$11*12,H131&lt;$F$11),0,($E$11-SUM($E$141:H141))*$G$11/12)</f>
        <v>0</v>
      </c>
      <c r="I139" s="1983">
        <f>IF(OR(I131&gt;=$F$11+$H$11+$I$11*12,I131&lt;$F$11),0,($E$11-SUM($E$141:I141))*$G$11/12)</f>
        <v>0</v>
      </c>
      <c r="J139" s="1983">
        <f>IF(OR(J131&gt;=$F$11+$H$11+$I$11*12,J131&lt;$F$11),0,($E$11-SUM($E$141:J141))*$G$11/12)</f>
        <v>0</v>
      </c>
      <c r="K139" s="1983">
        <f>IF(OR(K131&gt;=$F$11+$H$11+$I$11*12,K131&lt;$F$11),0,($E$11-SUM($E$141:K141))*$G$11/12)</f>
        <v>0</v>
      </c>
      <c r="L139" s="1983">
        <f>IF(OR(L131&gt;=$F$11+$H$11+$I$11*12,L131&lt;$F$11),0,($E$11-SUM($E$141:L141))*$G$11/12)</f>
        <v>0</v>
      </c>
      <c r="M139" s="1983">
        <f>IF(OR(M131&gt;=$F$11+$H$11+$I$11*12,M131&lt;$F$11),0,($E$11-SUM($E$141:M141))*$G$11/12)</f>
        <v>0</v>
      </c>
      <c r="N139" s="1983">
        <f>IF(OR(N131&gt;=$F$11+$H$11+$I$11*12,N131&lt;$F$11),0,($E$11-SUM($E$141:N141))*$G$11/12)</f>
        <v>0</v>
      </c>
      <c r="O139" s="1983">
        <f>IF(OR(O131&gt;=$F$11+$H$11+$I$11*12,O131&lt;$F$11),0,($E$11-SUM($E$141:O141))*$G$11/12)</f>
        <v>0</v>
      </c>
      <c r="P139" s="1983">
        <f>IF(OR(P131&gt;=$F$11+$H$11+$I$11*12,P131&lt;$F$11),0,($E$11-SUM($E$141:P141))*$G$11/12)</f>
        <v>0</v>
      </c>
      <c r="Q139" s="1983">
        <f>IF(OR(Q131&gt;=$F$11+$H$11+$I$11*12,Q131&lt;$F$11),0,($E$11-SUM($E$141:Q141))*$G$11/12)</f>
        <v>0</v>
      </c>
      <c r="R139" s="1983">
        <f>IF(OR(R131&gt;=$F$11+$H$11+$I$11*12,R131&lt;$F$11),0,($E$11-SUM($E$141:R141))*$G$11/12)</f>
        <v>0</v>
      </c>
      <c r="S139" s="1983">
        <f>IF(OR(S131&gt;=$F$11+$H$11+$I$11*12,S131&lt;$F$11),0,($E$11-SUM($E$141:S141))*$G$11/12)</f>
        <v>0</v>
      </c>
      <c r="T139" s="1983">
        <f>IF(OR(T131&gt;=$F$11+$H$11+$I$11*12,T131&lt;$F$11),0,($E$11-SUM($E$141:T141))*$G$11/12)</f>
        <v>0</v>
      </c>
      <c r="U139" s="1983">
        <f>IF(OR(U131&gt;=$F$11+$H$11+$I$11*12,U131&lt;$F$11),0,($E$11-SUM($E$141:U141))*$G$11/12)</f>
        <v>0</v>
      </c>
      <c r="V139" s="1983">
        <f>IF(OR(V131&gt;=$F$11+$H$11+$I$11*12,V131&lt;$F$11),0,($E$11-SUM($E$141:V141))*$G$11/12)</f>
        <v>0</v>
      </c>
      <c r="W139" s="1983">
        <f>IF(OR(W131&gt;=$F$11+$H$11+$I$11*12,W131&lt;$F$11),0,($E$11-SUM($E$141:W141))*$G$11/12)</f>
        <v>0</v>
      </c>
      <c r="X139" s="1983">
        <f>IF(OR(X131&gt;=$F$11+$H$11+$I$11*12,X131&lt;$F$11),0,($E$11-SUM($E$141:X141))*$G$11/12)</f>
        <v>0</v>
      </c>
      <c r="Y139" s="1983">
        <f>IF(OR(Y131&gt;=$F$11+$H$11+$I$11*12,Y131&lt;$F$11),0,($E$11-SUM($E$141:Y141))*$G$11/12)</f>
        <v>0</v>
      </c>
      <c r="Z139" s="1983">
        <f>IF(OR(Z131&gt;=$F$11+$H$11+$I$11*12,Z131&lt;$F$11),0,($E$11-SUM($E$141:Z141))*$G$11/12)</f>
        <v>0</v>
      </c>
      <c r="AA139" s="1983">
        <f>IF(OR(AA131&gt;=$F$11+$H$11+$I$11*12,AA131&lt;$F$11),0,($E$11-SUM($E$141:AA141))*$G$11/12)</f>
        <v>0</v>
      </c>
      <c r="AB139" s="1983">
        <f>IF(OR(AB131&gt;=$F$11+$H$11+$I$11*12,AB131&lt;$F$11),0,($E$11-SUM($E$141:AB141))*$G$11/12)</f>
        <v>0</v>
      </c>
      <c r="AC139" s="1983">
        <f>IF(OR(AC131&gt;=$F$11+$H$11+$I$11*12,AC131&lt;$F$11),0,($E$11-SUM($E$141:AC141))*$G$11/12)</f>
        <v>0</v>
      </c>
      <c r="AD139" s="1983">
        <f>IF(OR(AD131&gt;=$F$11+$H$11+$I$11*12,AD131&lt;$F$11),0,($E$11-SUM($E$141:AD141))*$G$11/12)</f>
        <v>0</v>
      </c>
      <c r="AE139" s="1983">
        <f>IF(OR(AE131&gt;=$F$11+$H$11+$I$11*12,AE131&lt;$F$11),0,($E$11-SUM($E$141:AE141))*$G$11/12)</f>
        <v>0</v>
      </c>
      <c r="AF139" s="1983">
        <f>IF(OR(AF131&gt;=$F$11+$H$11+$I$11*12,AF131&lt;$F$11),0,($E$11-SUM($E$141:AF141))*$G$11/12)</f>
        <v>0</v>
      </c>
      <c r="AG139" s="1983">
        <f>IF(OR(AG131&gt;=$F$11+$H$11+$I$11*12,AG131&lt;$F$11),0,($E$11-SUM($E$141:AG141))*$G$11/12)</f>
        <v>0</v>
      </c>
      <c r="AH139" s="1983">
        <f>IF(OR(AH131&gt;=$F$11+$H$11+$I$11*12,AH131&lt;$F$11),0,($E$11-SUM($E$141:AH141))*$G$11/12)</f>
        <v>0</v>
      </c>
      <c r="AI139" s="1983">
        <f>IF(OR(AI131&gt;=$F$11+$H$11+$I$11*12,AI131&lt;$F$11),0,($E$11-SUM($E$141:AI141))*$G$11/12)</f>
        <v>0</v>
      </c>
      <c r="AJ139" s="1983">
        <f>IF(OR(AJ131&gt;=$F$11+$H$11+$I$11*12,AJ131&lt;$F$11),0,($E$11-SUM($E$141:AJ141))*$G$11/12)</f>
        <v>0</v>
      </c>
      <c r="AK139" s="1983">
        <f>IF(OR(AK131&gt;=$F$11+$H$11+$I$11*12,AK131&lt;$F$11),0,($E$11-SUM($E$141:AK141))*$G$11/12)</f>
        <v>0</v>
      </c>
      <c r="AL139" s="1983">
        <f>IF(OR(AL131&gt;=$F$11+$H$11+$I$11*12,AL131&lt;$F$11),0,($E$11-SUM($E$141:AL141))*$G$11/12)</f>
        <v>0</v>
      </c>
      <c r="AM139" s="1983">
        <f>IF(OR(AM131&gt;=$F$11+$H$11+$I$11*12,AM131&lt;$F$11),0,($E$11-SUM($E$141:AM141))*$G$11/12)</f>
        <v>0</v>
      </c>
      <c r="AN139" s="1983">
        <f>IF(OR(AN131&gt;=$F$11+$H$11+$I$11*12,AN131&lt;$F$11),0,($E$11-SUM($E$141:AN141))*$G$11/12)</f>
        <v>0</v>
      </c>
      <c r="AO139" s="1983">
        <f>IF(OR(AO131&gt;=$F$11+$H$11+$I$11*12,AO131&lt;$F$11),0,($E$11-SUM($E$141:AO141))*$G$11/12)</f>
        <v>0</v>
      </c>
      <c r="AP139" s="1983">
        <f>IF(OR(AP131&gt;=$F$11+$H$11+$I$11*12,AP131&lt;$F$11),0,($E$11-SUM($E$141:AP141))*$G$11/12)</f>
        <v>0</v>
      </c>
      <c r="AQ139" s="1983">
        <f>IF(OR(AQ131&gt;=$F$11+$H$11+$I$11*12,AQ131&lt;$F$11),0,($E$11-SUM($E$141:AQ141))*$G$11/12)</f>
        <v>0</v>
      </c>
      <c r="AR139" s="1983">
        <f>IF(OR(AR131&gt;=$F$11+$H$11+$I$11*12,AR131&lt;$F$11),0,($E$11-SUM($E$141:AR141))*$G$11/12)</f>
        <v>0</v>
      </c>
      <c r="AS139" s="1983">
        <f>IF(OR(AS131&gt;=$F$11+$H$11+$I$11*12,AS131&lt;$F$11),0,($E$11-SUM($E$141:AS141))*$G$11/12)</f>
        <v>0</v>
      </c>
      <c r="AT139" s="1983">
        <f>IF(OR(AT131&gt;=$F$11+$H$11+$I$11*12,AT131&lt;$F$11),0,($E$11-SUM($E$141:AT141))*$G$11/12)</f>
        <v>0</v>
      </c>
      <c r="AU139" s="1983">
        <f>IF(OR(AU131&gt;=$F$11+$H$11+$I$11*12,AU131&lt;$F$11),0,($E$11-SUM($E$141:AU141))*$G$11/12)</f>
        <v>0</v>
      </c>
      <c r="AV139" s="1983">
        <f>IF(OR(AV131&gt;=$F$11+$H$11+$I$11*12,AV131&lt;$F$11),0,($E$11-SUM($E$141:AV141))*$G$11/12)</f>
        <v>0</v>
      </c>
      <c r="AW139" s="1983">
        <f>IF(OR(AW131&gt;=$F$11+$H$11+$I$11*12,AW131&lt;$F$11),0,($E$11-SUM($E$141:AW141))*$G$11/12)</f>
        <v>0</v>
      </c>
      <c r="AX139" s="1983">
        <f>IF(OR(AX131&gt;=$F$11+$H$11+$I$11*12,AX131&lt;$F$11),0,($E$11-SUM($E$141:AX141))*$G$11/12)</f>
        <v>0</v>
      </c>
      <c r="AY139" s="1983">
        <f>IF(OR(AY131&gt;=$F$11+$H$11+$I$11*12,AY131&lt;$F$11),0,($E$11-SUM($E$141:AY141))*$G$11/12)</f>
        <v>0</v>
      </c>
      <c r="AZ139" s="1983">
        <f>IF(OR(AZ131&gt;=$F$11+$H$11+$I$11*12,AZ131&lt;$F$11),0,($E$11-SUM($E$141:AZ141))*$G$11/12)</f>
        <v>0</v>
      </c>
      <c r="BA139" s="1983">
        <f>IF(OR(BA131&gt;=$F$11+$H$11+$I$11*12,BA131&lt;$F$11),0,($E$11-SUM($E$141:BA141))*$G$11/12)</f>
        <v>0</v>
      </c>
      <c r="BB139" s="1983">
        <f>IF(OR(BB131&gt;=$F$11+$H$11+$I$11*12,BB131&lt;$F$11),0,($E$11-SUM($E$141:BB141))*$G$11/12)</f>
        <v>0</v>
      </c>
      <c r="BC139" s="1983">
        <f>IF(OR(BC131&gt;=$F$11+$H$11+$I$11*12,BC131&lt;$F$11),0,($E$11-SUM($E$141:BC141))*$G$11/12)</f>
        <v>0</v>
      </c>
      <c r="BD139" s="1983">
        <f>IF(OR(BD131&gt;=$F$11+$H$11+$I$11*12,BD131&lt;$F$11),0,($E$11-SUM($E$141:BD141))*$G$11/12)</f>
        <v>0</v>
      </c>
      <c r="BE139" s="1983">
        <f>IF(OR(BE131&gt;=$F$11+$H$11+$I$11*12,BE131&lt;$F$11),0,($E$11-SUM($E$141:BE141))*$G$11/12)</f>
        <v>0</v>
      </c>
      <c r="BF139" s="1983">
        <f>IF(OR(BF131&gt;=$F$11+$H$11+$I$11*12,BF131&lt;$F$11),0,($E$11-SUM($E$141:BF141))*$G$11/12)</f>
        <v>0</v>
      </c>
      <c r="BG139" s="1983">
        <f>IF(OR(BG131&gt;=$F$11+$H$11+$I$11*12,BG131&lt;$F$11),0,($E$11-SUM($E$141:BG141))*$G$11/12)</f>
        <v>0</v>
      </c>
      <c r="BH139" s="1983">
        <f>IF(OR(BH131&gt;=$F$11+$H$11+$I$11*12,BH131&lt;$F$11),0,($E$11-SUM($E$141:BH141))*$G$11/12)</f>
        <v>0</v>
      </c>
      <c r="BI139" s="1983">
        <f>IF(OR(BI131&gt;=$F$11+$H$11+$I$11*12,BI131&lt;$F$11),0,($E$11-SUM($E$141:BI141))*$G$11/12)</f>
        <v>0</v>
      </c>
      <c r="BJ139" s="1983">
        <f>IF(OR(BJ131&gt;=$F$11+$H$11+$I$11*12,BJ131&lt;$F$11),0,($E$11-SUM($E$141:BJ141))*$G$11/12)</f>
        <v>0</v>
      </c>
      <c r="BK139" s="1983">
        <f>IF(OR(BK131&gt;=$F$11+$H$11+$I$11*12,BK131&lt;$F$11),0,($E$11-SUM($E$141:BK141))*$G$11/12)</f>
        <v>0</v>
      </c>
      <c r="BL139" s="1983">
        <f>IF(OR(BL131&gt;=$F$11+$H$11+$I$11*12,BL131&lt;$F$11),0,($E$11-SUM($E$141:BL141))*$G$11/12)</f>
        <v>0</v>
      </c>
      <c r="BV139" s="1980"/>
      <c r="CA139" s="1981"/>
      <c r="CB139" s="1981"/>
      <c r="CC139" s="1981"/>
      <c r="CD139" s="1981"/>
      <c r="CE139" s="1981"/>
      <c r="CF139" s="1981"/>
      <c r="CG139" s="1981"/>
      <c r="CH139" s="1981"/>
      <c r="CI139" s="1981"/>
      <c r="CJ139" s="1981"/>
      <c r="CK139" s="1981"/>
      <c r="CL139" s="1981"/>
      <c r="CM139" s="1981"/>
      <c r="CN139" s="1981"/>
      <c r="CO139" s="1981"/>
      <c r="CP139" s="1981"/>
      <c r="CQ139" s="1981"/>
      <c r="CR139" s="1981"/>
      <c r="CS139" s="1981"/>
      <c r="CT139" s="1981"/>
      <c r="CU139" s="1981"/>
      <c r="CV139" s="1979"/>
      <c r="CW139" s="1316"/>
      <c r="CX139" s="1979"/>
      <c r="CY139" s="1981"/>
      <c r="CZ139" s="1981"/>
      <c r="DA139" s="1981"/>
      <c r="DB139" s="1981"/>
      <c r="DC139" s="1981"/>
      <c r="DD139" s="1981"/>
      <c r="DE139" s="1981"/>
      <c r="DF139" s="1981"/>
      <c r="DG139" s="1981"/>
      <c r="DH139" s="1981"/>
      <c r="DI139" s="1981"/>
      <c r="DJ139" s="1981"/>
      <c r="DK139" s="1981"/>
      <c r="DL139" s="1981"/>
      <c r="DM139" s="1981"/>
      <c r="DN139" s="1981"/>
      <c r="DO139" s="1981"/>
    </row>
    <row r="140" spans="3:119" s="1971" customFormat="1" ht="14.25" hidden="1" customHeight="1">
      <c r="C140" s="2298"/>
      <c r="D140" s="1982" t="s">
        <v>120</v>
      </c>
      <c r="E140" s="1983">
        <f>IF($F$11+$H$11=E131,IF($I$11=0,0,$E$11/($I$11*12)),0)</f>
        <v>0</v>
      </c>
      <c r="F140" s="1983">
        <f>IF($F$11+$H$11=F131,IF($I$11=0,0,$E$11/($I$11*12)),0)</f>
        <v>0</v>
      </c>
      <c r="G140" s="1983">
        <f t="shared" ref="G140:BL140" si="34">IF($F$11+$H$11=G131,IF($I$11=0,0,$E$11/($I$11*12)),0)</f>
        <v>0</v>
      </c>
      <c r="H140" s="1983">
        <f t="shared" si="34"/>
        <v>0</v>
      </c>
      <c r="I140" s="1983">
        <f t="shared" si="34"/>
        <v>0</v>
      </c>
      <c r="J140" s="1983">
        <f t="shared" si="34"/>
        <v>0</v>
      </c>
      <c r="K140" s="1983">
        <f t="shared" si="34"/>
        <v>0</v>
      </c>
      <c r="L140" s="1983">
        <f t="shared" si="34"/>
        <v>0</v>
      </c>
      <c r="M140" s="1983">
        <f t="shared" si="34"/>
        <v>0</v>
      </c>
      <c r="N140" s="1983">
        <f t="shared" si="34"/>
        <v>0</v>
      </c>
      <c r="O140" s="1983">
        <f t="shared" si="34"/>
        <v>0</v>
      </c>
      <c r="P140" s="1983">
        <f t="shared" si="34"/>
        <v>0</v>
      </c>
      <c r="Q140" s="1983">
        <f t="shared" si="34"/>
        <v>0</v>
      </c>
      <c r="R140" s="1983">
        <f t="shared" si="34"/>
        <v>0</v>
      </c>
      <c r="S140" s="1983">
        <f t="shared" si="34"/>
        <v>0</v>
      </c>
      <c r="T140" s="1983">
        <f t="shared" si="34"/>
        <v>0</v>
      </c>
      <c r="U140" s="1983">
        <f t="shared" si="34"/>
        <v>0</v>
      </c>
      <c r="V140" s="1983">
        <f t="shared" si="34"/>
        <v>0</v>
      </c>
      <c r="W140" s="1983">
        <f t="shared" si="34"/>
        <v>0</v>
      </c>
      <c r="X140" s="1983">
        <f t="shared" si="34"/>
        <v>0</v>
      </c>
      <c r="Y140" s="1983">
        <f t="shared" si="34"/>
        <v>0</v>
      </c>
      <c r="Z140" s="1983">
        <f t="shared" si="34"/>
        <v>0</v>
      </c>
      <c r="AA140" s="1983">
        <f t="shared" si="34"/>
        <v>0</v>
      </c>
      <c r="AB140" s="1983">
        <f t="shared" si="34"/>
        <v>0</v>
      </c>
      <c r="AC140" s="1983">
        <f t="shared" si="34"/>
        <v>0</v>
      </c>
      <c r="AD140" s="1983">
        <f t="shared" si="34"/>
        <v>0</v>
      </c>
      <c r="AE140" s="1983">
        <f t="shared" si="34"/>
        <v>0</v>
      </c>
      <c r="AF140" s="1983">
        <f t="shared" si="34"/>
        <v>0</v>
      </c>
      <c r="AG140" s="1983">
        <f t="shared" si="34"/>
        <v>0</v>
      </c>
      <c r="AH140" s="1983">
        <f t="shared" si="34"/>
        <v>0</v>
      </c>
      <c r="AI140" s="1983">
        <f t="shared" si="34"/>
        <v>0</v>
      </c>
      <c r="AJ140" s="1983">
        <f t="shared" si="34"/>
        <v>0</v>
      </c>
      <c r="AK140" s="1983">
        <f t="shared" si="34"/>
        <v>0</v>
      </c>
      <c r="AL140" s="1983">
        <f t="shared" si="34"/>
        <v>0</v>
      </c>
      <c r="AM140" s="1983">
        <f t="shared" si="34"/>
        <v>0</v>
      </c>
      <c r="AN140" s="1983">
        <f t="shared" si="34"/>
        <v>0</v>
      </c>
      <c r="AO140" s="1983">
        <f t="shared" si="34"/>
        <v>0</v>
      </c>
      <c r="AP140" s="1983">
        <f t="shared" si="34"/>
        <v>0</v>
      </c>
      <c r="AQ140" s="1983">
        <f t="shared" si="34"/>
        <v>0</v>
      </c>
      <c r="AR140" s="1983">
        <f t="shared" si="34"/>
        <v>0</v>
      </c>
      <c r="AS140" s="1983">
        <f t="shared" si="34"/>
        <v>0</v>
      </c>
      <c r="AT140" s="1983">
        <f t="shared" si="34"/>
        <v>0</v>
      </c>
      <c r="AU140" s="1983">
        <f t="shared" si="34"/>
        <v>0</v>
      </c>
      <c r="AV140" s="1983">
        <f t="shared" si="34"/>
        <v>0</v>
      </c>
      <c r="AW140" s="1983">
        <f t="shared" si="34"/>
        <v>0</v>
      </c>
      <c r="AX140" s="1983">
        <f t="shared" si="34"/>
        <v>0</v>
      </c>
      <c r="AY140" s="1983">
        <f t="shared" si="34"/>
        <v>0</v>
      </c>
      <c r="AZ140" s="1983">
        <f t="shared" si="34"/>
        <v>0</v>
      </c>
      <c r="BA140" s="1983">
        <f t="shared" si="34"/>
        <v>0</v>
      </c>
      <c r="BB140" s="1983">
        <f t="shared" si="34"/>
        <v>0</v>
      </c>
      <c r="BC140" s="1983">
        <f t="shared" si="34"/>
        <v>0</v>
      </c>
      <c r="BD140" s="1983">
        <f t="shared" si="34"/>
        <v>0</v>
      </c>
      <c r="BE140" s="1983">
        <f t="shared" si="34"/>
        <v>0</v>
      </c>
      <c r="BF140" s="1983">
        <f t="shared" si="34"/>
        <v>0</v>
      </c>
      <c r="BG140" s="1983">
        <f t="shared" si="34"/>
        <v>0</v>
      </c>
      <c r="BH140" s="1983">
        <f t="shared" si="34"/>
        <v>0</v>
      </c>
      <c r="BI140" s="1983">
        <f t="shared" si="34"/>
        <v>0</v>
      </c>
      <c r="BJ140" s="1983">
        <f t="shared" si="34"/>
        <v>0</v>
      </c>
      <c r="BK140" s="1983">
        <f t="shared" si="34"/>
        <v>0</v>
      </c>
      <c r="BL140" s="1983">
        <f t="shared" si="34"/>
        <v>0</v>
      </c>
      <c r="BV140" s="1980"/>
      <c r="CA140" s="1981"/>
      <c r="CB140" s="1981"/>
      <c r="CC140" s="1981"/>
      <c r="CD140" s="1981"/>
      <c r="CE140" s="1981"/>
      <c r="CF140" s="1981"/>
      <c r="CG140" s="1981"/>
      <c r="CH140" s="1981"/>
      <c r="CI140" s="1981"/>
      <c r="CJ140" s="1981"/>
      <c r="CK140" s="1981"/>
      <c r="CL140" s="1981"/>
      <c r="CM140" s="1981"/>
      <c r="CN140" s="1981"/>
      <c r="CO140" s="1981"/>
      <c r="CP140" s="1981"/>
      <c r="CQ140" s="1981"/>
      <c r="CR140" s="1981"/>
      <c r="CS140" s="1981"/>
      <c r="CT140" s="1981"/>
      <c r="CU140" s="1981"/>
      <c r="CV140" s="1979"/>
      <c r="CW140" s="1316"/>
      <c r="CX140" s="1979"/>
      <c r="CY140" s="1981"/>
      <c r="CZ140" s="1981"/>
      <c r="DA140" s="1981"/>
      <c r="DB140" s="1981"/>
      <c r="DC140" s="1981"/>
      <c r="DD140" s="1981"/>
      <c r="DE140" s="1981"/>
      <c r="DF140" s="1981"/>
      <c r="DG140" s="1981"/>
      <c r="DH140" s="1981"/>
      <c r="DI140" s="1981"/>
      <c r="DJ140" s="1981"/>
      <c r="DK140" s="1981"/>
      <c r="DL140" s="1981"/>
      <c r="DM140" s="1981"/>
      <c r="DN140" s="1981"/>
      <c r="DO140" s="1981"/>
    </row>
    <row r="141" spans="3:119" s="1971" customFormat="1" ht="14.25" hidden="1" customHeight="1">
      <c r="C141" s="2298"/>
      <c r="D141" s="1982" t="s">
        <v>686</v>
      </c>
      <c r="E141" s="1983">
        <f>IF(OR(E131&gt;=$F$11+$H$11+$I$11*12,E131&lt;$F$11+$H$11),0,IF($I$11=0,0,$E$11/($I$11*12)))</f>
        <v>0</v>
      </c>
      <c r="F141" s="1983">
        <f>IF(OR(F131&gt;=$F$11+$H$11+$I$11*12,F131&lt;$F$11+$H$11),0,IF($I$11=0,0,$E$11/($I$11*12)))</f>
        <v>0</v>
      </c>
      <c r="G141" s="1983">
        <f t="shared" ref="G141:BL141" si="35">IF(OR(G131&gt;=$F$11+$H$11+$I$11*12,G131&lt;$F$11+$H$11),0,IF($I$11=0,0,$E$11/($I$11*12)))</f>
        <v>0</v>
      </c>
      <c r="H141" s="1983">
        <f t="shared" si="35"/>
        <v>0</v>
      </c>
      <c r="I141" s="1983">
        <f t="shared" si="35"/>
        <v>0</v>
      </c>
      <c r="J141" s="1983">
        <f t="shared" si="35"/>
        <v>0</v>
      </c>
      <c r="K141" s="1983">
        <f t="shared" si="35"/>
        <v>0</v>
      </c>
      <c r="L141" s="1983">
        <f t="shared" si="35"/>
        <v>0</v>
      </c>
      <c r="M141" s="1983">
        <f t="shared" si="35"/>
        <v>0</v>
      </c>
      <c r="N141" s="1983">
        <f t="shared" si="35"/>
        <v>0</v>
      </c>
      <c r="O141" s="1983">
        <f t="shared" si="35"/>
        <v>0</v>
      </c>
      <c r="P141" s="1983">
        <f t="shared" si="35"/>
        <v>0</v>
      </c>
      <c r="Q141" s="1983">
        <f t="shared" si="35"/>
        <v>0</v>
      </c>
      <c r="R141" s="1983">
        <f t="shared" si="35"/>
        <v>0</v>
      </c>
      <c r="S141" s="1983">
        <f t="shared" si="35"/>
        <v>0</v>
      </c>
      <c r="T141" s="1983">
        <f t="shared" si="35"/>
        <v>0</v>
      </c>
      <c r="U141" s="1983">
        <f t="shared" si="35"/>
        <v>0</v>
      </c>
      <c r="V141" s="1983">
        <f t="shared" si="35"/>
        <v>0</v>
      </c>
      <c r="W141" s="1983">
        <f t="shared" si="35"/>
        <v>0</v>
      </c>
      <c r="X141" s="1983">
        <f t="shared" si="35"/>
        <v>0</v>
      </c>
      <c r="Y141" s="1983">
        <f t="shared" si="35"/>
        <v>0</v>
      </c>
      <c r="Z141" s="1983">
        <f t="shared" si="35"/>
        <v>0</v>
      </c>
      <c r="AA141" s="1983">
        <f t="shared" si="35"/>
        <v>0</v>
      </c>
      <c r="AB141" s="1983">
        <f t="shared" si="35"/>
        <v>0</v>
      </c>
      <c r="AC141" s="1983">
        <f t="shared" si="35"/>
        <v>0</v>
      </c>
      <c r="AD141" s="1983">
        <f t="shared" si="35"/>
        <v>0</v>
      </c>
      <c r="AE141" s="1983">
        <f t="shared" si="35"/>
        <v>0</v>
      </c>
      <c r="AF141" s="1983">
        <f t="shared" si="35"/>
        <v>0</v>
      </c>
      <c r="AG141" s="1983">
        <f t="shared" si="35"/>
        <v>0</v>
      </c>
      <c r="AH141" s="1983">
        <f t="shared" si="35"/>
        <v>0</v>
      </c>
      <c r="AI141" s="1983">
        <f t="shared" si="35"/>
        <v>0</v>
      </c>
      <c r="AJ141" s="1983">
        <f t="shared" si="35"/>
        <v>0</v>
      </c>
      <c r="AK141" s="1983">
        <f t="shared" si="35"/>
        <v>0</v>
      </c>
      <c r="AL141" s="1983">
        <f t="shared" si="35"/>
        <v>0</v>
      </c>
      <c r="AM141" s="1983">
        <f t="shared" si="35"/>
        <v>0</v>
      </c>
      <c r="AN141" s="1983">
        <f t="shared" si="35"/>
        <v>0</v>
      </c>
      <c r="AO141" s="1983">
        <f t="shared" si="35"/>
        <v>0</v>
      </c>
      <c r="AP141" s="1983">
        <f t="shared" si="35"/>
        <v>0</v>
      </c>
      <c r="AQ141" s="1983">
        <f t="shared" si="35"/>
        <v>0</v>
      </c>
      <c r="AR141" s="1983">
        <f t="shared" si="35"/>
        <v>0</v>
      </c>
      <c r="AS141" s="1983">
        <f t="shared" si="35"/>
        <v>0</v>
      </c>
      <c r="AT141" s="1983">
        <f t="shared" si="35"/>
        <v>0</v>
      </c>
      <c r="AU141" s="1983">
        <f t="shared" si="35"/>
        <v>0</v>
      </c>
      <c r="AV141" s="1983">
        <f t="shared" si="35"/>
        <v>0</v>
      </c>
      <c r="AW141" s="1983">
        <f t="shared" si="35"/>
        <v>0</v>
      </c>
      <c r="AX141" s="1983">
        <f t="shared" si="35"/>
        <v>0</v>
      </c>
      <c r="AY141" s="1983">
        <f t="shared" si="35"/>
        <v>0</v>
      </c>
      <c r="AZ141" s="1983">
        <f t="shared" si="35"/>
        <v>0</v>
      </c>
      <c r="BA141" s="1983">
        <f t="shared" si="35"/>
        <v>0</v>
      </c>
      <c r="BB141" s="1983">
        <f t="shared" si="35"/>
        <v>0</v>
      </c>
      <c r="BC141" s="1983">
        <f t="shared" si="35"/>
        <v>0</v>
      </c>
      <c r="BD141" s="1983">
        <f t="shared" si="35"/>
        <v>0</v>
      </c>
      <c r="BE141" s="1983">
        <f t="shared" si="35"/>
        <v>0</v>
      </c>
      <c r="BF141" s="1983">
        <f t="shared" si="35"/>
        <v>0</v>
      </c>
      <c r="BG141" s="1983">
        <f t="shared" si="35"/>
        <v>0</v>
      </c>
      <c r="BH141" s="1983">
        <f t="shared" si="35"/>
        <v>0</v>
      </c>
      <c r="BI141" s="1983">
        <f t="shared" si="35"/>
        <v>0</v>
      </c>
      <c r="BJ141" s="1983">
        <f t="shared" si="35"/>
        <v>0</v>
      </c>
      <c r="BK141" s="1983">
        <f t="shared" si="35"/>
        <v>0</v>
      </c>
      <c r="BL141" s="1983">
        <f t="shared" si="35"/>
        <v>0</v>
      </c>
      <c r="BV141" s="1980"/>
      <c r="CA141" s="1981"/>
      <c r="CB141" s="1981"/>
      <c r="CC141" s="1981"/>
      <c r="CD141" s="1981"/>
      <c r="CE141" s="1981"/>
      <c r="CF141" s="1981"/>
      <c r="CG141" s="1981"/>
      <c r="CH141" s="1981"/>
      <c r="CI141" s="1981"/>
      <c r="CJ141" s="1981"/>
      <c r="CK141" s="1981"/>
      <c r="CL141" s="1981"/>
      <c r="CM141" s="1981"/>
      <c r="CN141" s="1981"/>
      <c r="CO141" s="1981"/>
      <c r="CP141" s="1981"/>
      <c r="CQ141" s="1981"/>
      <c r="CR141" s="1981"/>
      <c r="CS141" s="1981"/>
      <c r="CT141" s="1981"/>
      <c r="CU141" s="1981"/>
      <c r="CV141" s="1979"/>
      <c r="CW141" s="1316"/>
      <c r="CX141" s="1979"/>
      <c r="CY141" s="1981"/>
      <c r="CZ141" s="1981"/>
      <c r="DA141" s="1981"/>
      <c r="DB141" s="1981"/>
      <c r="DC141" s="1981"/>
      <c r="DD141" s="1981"/>
      <c r="DE141" s="1981"/>
      <c r="DF141" s="1981"/>
      <c r="DG141" s="1981"/>
      <c r="DH141" s="1981"/>
      <c r="DI141" s="1981"/>
      <c r="DJ141" s="1981"/>
      <c r="DK141" s="1981"/>
      <c r="DL141" s="1981"/>
      <c r="DM141" s="1981"/>
      <c r="DN141" s="1981"/>
      <c r="DO141" s="1981"/>
    </row>
    <row r="142" spans="3:119" s="1971" customFormat="1" ht="14.25" hidden="1" customHeight="1">
      <c r="C142" s="2298" t="str">
        <f>D12</f>
        <v>L - Bank-Darlehen</v>
      </c>
      <c r="D142" s="1982" t="s">
        <v>683</v>
      </c>
      <c r="E142" s="1983">
        <f ca="1">IF($E130=$D$1,IF(E131=$F$12,$E$12,0),0)</f>
        <v>0</v>
      </c>
      <c r="F142" s="1983">
        <f t="shared" ref="F142" ca="1" si="36">IF($E130=$D$1,IF(F131=$F$12,$E$12,0),0)</f>
        <v>0</v>
      </c>
      <c r="G142" s="1983">
        <f t="shared" ref="G142:BL142" ca="1" si="37">IF($E130=$D$1,IF(G131=$F$12,$E$12,0),0)</f>
        <v>0</v>
      </c>
      <c r="H142" s="1983">
        <f t="shared" ca="1" si="37"/>
        <v>0</v>
      </c>
      <c r="I142" s="1983">
        <f t="shared" ca="1" si="37"/>
        <v>0</v>
      </c>
      <c r="J142" s="1983">
        <f t="shared" ca="1" si="37"/>
        <v>0</v>
      </c>
      <c r="K142" s="1983">
        <f t="shared" ca="1" si="37"/>
        <v>0</v>
      </c>
      <c r="L142" s="1983">
        <f t="shared" ca="1" si="37"/>
        <v>0</v>
      </c>
      <c r="M142" s="1983">
        <f t="shared" ca="1" si="37"/>
        <v>0</v>
      </c>
      <c r="N142" s="1983">
        <f t="shared" ca="1" si="37"/>
        <v>0</v>
      </c>
      <c r="O142" s="1983">
        <f t="shared" ca="1" si="37"/>
        <v>0</v>
      </c>
      <c r="P142" s="1983">
        <f t="shared" ca="1" si="37"/>
        <v>0</v>
      </c>
      <c r="Q142" s="1983">
        <f t="shared" ca="1" si="37"/>
        <v>0</v>
      </c>
      <c r="R142" s="1983">
        <f t="shared" ca="1" si="37"/>
        <v>0</v>
      </c>
      <c r="S142" s="1983">
        <f t="shared" ca="1" si="37"/>
        <v>0</v>
      </c>
      <c r="T142" s="1983">
        <f t="shared" ca="1" si="37"/>
        <v>0</v>
      </c>
      <c r="U142" s="1983">
        <f t="shared" ca="1" si="37"/>
        <v>0</v>
      </c>
      <c r="V142" s="1983">
        <f t="shared" ca="1" si="37"/>
        <v>0</v>
      </c>
      <c r="W142" s="1983">
        <f t="shared" ca="1" si="37"/>
        <v>0</v>
      </c>
      <c r="X142" s="1983">
        <f t="shared" ca="1" si="37"/>
        <v>0</v>
      </c>
      <c r="Y142" s="1983">
        <f t="shared" ca="1" si="37"/>
        <v>0</v>
      </c>
      <c r="Z142" s="1983">
        <f t="shared" ca="1" si="37"/>
        <v>0</v>
      </c>
      <c r="AA142" s="1983">
        <f t="shared" ca="1" si="37"/>
        <v>0</v>
      </c>
      <c r="AB142" s="1983">
        <f t="shared" ca="1" si="37"/>
        <v>0</v>
      </c>
      <c r="AC142" s="1983">
        <f t="shared" ca="1" si="37"/>
        <v>0</v>
      </c>
      <c r="AD142" s="1983">
        <f t="shared" ca="1" si="37"/>
        <v>0</v>
      </c>
      <c r="AE142" s="1983">
        <f t="shared" ca="1" si="37"/>
        <v>0</v>
      </c>
      <c r="AF142" s="1983">
        <f t="shared" ca="1" si="37"/>
        <v>0</v>
      </c>
      <c r="AG142" s="1983">
        <f t="shared" ca="1" si="37"/>
        <v>0</v>
      </c>
      <c r="AH142" s="1983">
        <f t="shared" ca="1" si="37"/>
        <v>0</v>
      </c>
      <c r="AI142" s="1983">
        <f t="shared" ca="1" si="37"/>
        <v>0</v>
      </c>
      <c r="AJ142" s="1983">
        <f t="shared" ca="1" si="37"/>
        <v>0</v>
      </c>
      <c r="AK142" s="1983">
        <f t="shared" ca="1" si="37"/>
        <v>0</v>
      </c>
      <c r="AL142" s="1983">
        <f t="shared" ca="1" si="37"/>
        <v>0</v>
      </c>
      <c r="AM142" s="1983">
        <f t="shared" ca="1" si="37"/>
        <v>0</v>
      </c>
      <c r="AN142" s="1983">
        <f t="shared" ca="1" si="37"/>
        <v>0</v>
      </c>
      <c r="AO142" s="1983">
        <f t="shared" ca="1" si="37"/>
        <v>0</v>
      </c>
      <c r="AP142" s="1983">
        <f t="shared" ca="1" si="37"/>
        <v>0</v>
      </c>
      <c r="AQ142" s="1983">
        <f t="shared" ca="1" si="37"/>
        <v>0</v>
      </c>
      <c r="AR142" s="1983">
        <f t="shared" ca="1" si="37"/>
        <v>0</v>
      </c>
      <c r="AS142" s="1983">
        <f t="shared" ca="1" si="37"/>
        <v>0</v>
      </c>
      <c r="AT142" s="1983">
        <f t="shared" ca="1" si="37"/>
        <v>0</v>
      </c>
      <c r="AU142" s="1983">
        <f t="shared" ca="1" si="37"/>
        <v>0</v>
      </c>
      <c r="AV142" s="1983">
        <f t="shared" ca="1" si="37"/>
        <v>0</v>
      </c>
      <c r="AW142" s="1983">
        <f t="shared" ca="1" si="37"/>
        <v>0</v>
      </c>
      <c r="AX142" s="1983">
        <f t="shared" ca="1" si="37"/>
        <v>0</v>
      </c>
      <c r="AY142" s="1983">
        <f t="shared" ca="1" si="37"/>
        <v>0</v>
      </c>
      <c r="AZ142" s="1983">
        <f t="shared" ca="1" si="37"/>
        <v>0</v>
      </c>
      <c r="BA142" s="1983">
        <f t="shared" ca="1" si="37"/>
        <v>0</v>
      </c>
      <c r="BB142" s="1983">
        <f t="shared" ca="1" si="37"/>
        <v>0</v>
      </c>
      <c r="BC142" s="1983">
        <f t="shared" ca="1" si="37"/>
        <v>0</v>
      </c>
      <c r="BD142" s="1983">
        <f t="shared" ca="1" si="37"/>
        <v>0</v>
      </c>
      <c r="BE142" s="1983">
        <f t="shared" ca="1" si="37"/>
        <v>0</v>
      </c>
      <c r="BF142" s="1983">
        <f t="shared" ca="1" si="37"/>
        <v>0</v>
      </c>
      <c r="BG142" s="1983">
        <f t="shared" ca="1" si="37"/>
        <v>0</v>
      </c>
      <c r="BH142" s="1983">
        <f t="shared" ca="1" si="37"/>
        <v>0</v>
      </c>
      <c r="BI142" s="1983">
        <f t="shared" ca="1" si="37"/>
        <v>0</v>
      </c>
      <c r="BJ142" s="1983">
        <f t="shared" ca="1" si="37"/>
        <v>0</v>
      </c>
      <c r="BK142" s="1983">
        <f t="shared" ca="1" si="37"/>
        <v>0</v>
      </c>
      <c r="BL142" s="1983">
        <f t="shared" ca="1" si="37"/>
        <v>0</v>
      </c>
      <c r="BV142" s="1980"/>
      <c r="CA142" s="1981"/>
      <c r="CB142" s="1981"/>
      <c r="CC142" s="1981"/>
      <c r="CD142" s="1981"/>
      <c r="CE142" s="1981"/>
      <c r="CF142" s="1981"/>
      <c r="CG142" s="1981"/>
      <c r="CH142" s="1981"/>
      <c r="CI142" s="1981"/>
      <c r="CJ142" s="1981"/>
      <c r="CK142" s="1981"/>
      <c r="CL142" s="1981"/>
      <c r="CM142" s="1981"/>
      <c r="CN142" s="1981"/>
      <c r="CO142" s="1981"/>
      <c r="CP142" s="1981"/>
      <c r="CQ142" s="1981"/>
      <c r="CR142" s="1981"/>
      <c r="CS142" s="1981"/>
      <c r="CT142" s="1981"/>
      <c r="CU142" s="1981"/>
      <c r="CV142" s="1979"/>
      <c r="CW142" s="1316"/>
      <c r="CX142" s="1979"/>
      <c r="CY142" s="1981"/>
      <c r="CZ142" s="1981"/>
      <c r="DA142" s="1981"/>
      <c r="DB142" s="1981"/>
      <c r="DC142" s="1981"/>
      <c r="DD142" s="1981"/>
      <c r="DE142" s="1981"/>
      <c r="DF142" s="1981"/>
      <c r="DG142" s="1981"/>
      <c r="DH142" s="1981"/>
      <c r="DI142" s="1981"/>
      <c r="DJ142" s="1981"/>
      <c r="DK142" s="1981"/>
      <c r="DL142" s="1981"/>
      <c r="DM142" s="1981"/>
      <c r="DN142" s="1981"/>
      <c r="DO142" s="1981"/>
    </row>
    <row r="143" spans="3:119" s="1971" customFormat="1" ht="14.25" hidden="1" customHeight="1">
      <c r="C143" s="2298"/>
      <c r="D143" s="1982" t="s">
        <v>684</v>
      </c>
      <c r="E143" s="1983">
        <f t="shared" ref="E143:F143" si="38">IF($F$12=E131,($E$12*$G$12)/12,0)</f>
        <v>0</v>
      </c>
      <c r="F143" s="1983">
        <f t="shared" si="38"/>
        <v>0</v>
      </c>
      <c r="G143" s="1983">
        <f t="shared" ref="G143:BL143" si="39">IF($F$12=G131,($E$12*$G$12)/12,0)</f>
        <v>0</v>
      </c>
      <c r="H143" s="1983">
        <f t="shared" si="39"/>
        <v>0</v>
      </c>
      <c r="I143" s="1983">
        <f t="shared" si="39"/>
        <v>0</v>
      </c>
      <c r="J143" s="1983">
        <f t="shared" si="39"/>
        <v>0</v>
      </c>
      <c r="K143" s="1983">
        <f t="shared" si="39"/>
        <v>0</v>
      </c>
      <c r="L143" s="1983">
        <f t="shared" si="39"/>
        <v>0</v>
      </c>
      <c r="M143" s="1983">
        <f t="shared" si="39"/>
        <v>0</v>
      </c>
      <c r="N143" s="1983">
        <f t="shared" si="39"/>
        <v>0</v>
      </c>
      <c r="O143" s="1983">
        <f t="shared" si="39"/>
        <v>0</v>
      </c>
      <c r="P143" s="1983">
        <f t="shared" si="39"/>
        <v>0</v>
      </c>
      <c r="Q143" s="1983">
        <f t="shared" si="39"/>
        <v>0</v>
      </c>
      <c r="R143" s="1983">
        <f t="shared" si="39"/>
        <v>0</v>
      </c>
      <c r="S143" s="1983">
        <f t="shared" si="39"/>
        <v>0</v>
      </c>
      <c r="T143" s="1983">
        <f t="shared" si="39"/>
        <v>0</v>
      </c>
      <c r="U143" s="1983">
        <f t="shared" si="39"/>
        <v>0</v>
      </c>
      <c r="V143" s="1983">
        <f t="shared" si="39"/>
        <v>0</v>
      </c>
      <c r="W143" s="1983">
        <f t="shared" si="39"/>
        <v>0</v>
      </c>
      <c r="X143" s="1983">
        <f t="shared" si="39"/>
        <v>0</v>
      </c>
      <c r="Y143" s="1983">
        <f t="shared" si="39"/>
        <v>0</v>
      </c>
      <c r="Z143" s="1983">
        <f t="shared" si="39"/>
        <v>0</v>
      </c>
      <c r="AA143" s="1983">
        <f t="shared" si="39"/>
        <v>0</v>
      </c>
      <c r="AB143" s="1983">
        <f t="shared" si="39"/>
        <v>0</v>
      </c>
      <c r="AC143" s="1983">
        <f t="shared" si="39"/>
        <v>0</v>
      </c>
      <c r="AD143" s="1983">
        <f t="shared" si="39"/>
        <v>0</v>
      </c>
      <c r="AE143" s="1983">
        <f t="shared" si="39"/>
        <v>0</v>
      </c>
      <c r="AF143" s="1983">
        <f t="shared" si="39"/>
        <v>0</v>
      </c>
      <c r="AG143" s="1983">
        <f t="shared" si="39"/>
        <v>0</v>
      </c>
      <c r="AH143" s="1983">
        <f t="shared" si="39"/>
        <v>0</v>
      </c>
      <c r="AI143" s="1983">
        <f t="shared" si="39"/>
        <v>0</v>
      </c>
      <c r="AJ143" s="1983">
        <f t="shared" si="39"/>
        <v>0</v>
      </c>
      <c r="AK143" s="1983">
        <f t="shared" si="39"/>
        <v>0</v>
      </c>
      <c r="AL143" s="1983">
        <f t="shared" si="39"/>
        <v>0</v>
      </c>
      <c r="AM143" s="1983">
        <f t="shared" si="39"/>
        <v>0</v>
      </c>
      <c r="AN143" s="1983">
        <f t="shared" si="39"/>
        <v>0</v>
      </c>
      <c r="AO143" s="1983">
        <f t="shared" si="39"/>
        <v>0</v>
      </c>
      <c r="AP143" s="1983">
        <f t="shared" si="39"/>
        <v>0</v>
      </c>
      <c r="AQ143" s="1983">
        <f t="shared" si="39"/>
        <v>0</v>
      </c>
      <c r="AR143" s="1983">
        <f t="shared" si="39"/>
        <v>0</v>
      </c>
      <c r="AS143" s="1983">
        <f t="shared" si="39"/>
        <v>0</v>
      </c>
      <c r="AT143" s="1983">
        <f t="shared" si="39"/>
        <v>0</v>
      </c>
      <c r="AU143" s="1983">
        <f t="shared" si="39"/>
        <v>0</v>
      </c>
      <c r="AV143" s="1983">
        <f t="shared" si="39"/>
        <v>0</v>
      </c>
      <c r="AW143" s="1983">
        <f t="shared" si="39"/>
        <v>0</v>
      </c>
      <c r="AX143" s="1983">
        <f t="shared" si="39"/>
        <v>0</v>
      </c>
      <c r="AY143" s="1983">
        <f t="shared" si="39"/>
        <v>0</v>
      </c>
      <c r="AZ143" s="1983">
        <f t="shared" si="39"/>
        <v>0</v>
      </c>
      <c r="BA143" s="1983">
        <f t="shared" si="39"/>
        <v>0</v>
      </c>
      <c r="BB143" s="1983">
        <f t="shared" si="39"/>
        <v>0</v>
      </c>
      <c r="BC143" s="1983">
        <f t="shared" si="39"/>
        <v>0</v>
      </c>
      <c r="BD143" s="1983">
        <f t="shared" si="39"/>
        <v>0</v>
      </c>
      <c r="BE143" s="1983">
        <f t="shared" si="39"/>
        <v>0</v>
      </c>
      <c r="BF143" s="1983">
        <f t="shared" si="39"/>
        <v>0</v>
      </c>
      <c r="BG143" s="1983">
        <f t="shared" si="39"/>
        <v>0</v>
      </c>
      <c r="BH143" s="1983">
        <f t="shared" si="39"/>
        <v>0</v>
      </c>
      <c r="BI143" s="1983">
        <f t="shared" si="39"/>
        <v>0</v>
      </c>
      <c r="BJ143" s="1983">
        <f t="shared" si="39"/>
        <v>0</v>
      </c>
      <c r="BK143" s="1983">
        <f t="shared" si="39"/>
        <v>0</v>
      </c>
      <c r="BL143" s="1983">
        <f t="shared" si="39"/>
        <v>0</v>
      </c>
      <c r="BV143" s="1980"/>
      <c r="CA143" s="1981"/>
      <c r="CB143" s="1981"/>
      <c r="CC143" s="1981"/>
      <c r="CD143" s="1981"/>
      <c r="CE143" s="1981"/>
      <c r="CF143" s="1981"/>
      <c r="CG143" s="1981"/>
      <c r="CH143" s="1981"/>
      <c r="CI143" s="1981"/>
      <c r="CJ143" s="1981"/>
      <c r="CK143" s="1981"/>
      <c r="CL143" s="1981"/>
      <c r="CM143" s="1981"/>
      <c r="CN143" s="1981"/>
      <c r="CO143" s="1981"/>
      <c r="CP143" s="1981"/>
      <c r="CQ143" s="1981"/>
      <c r="CR143" s="1981"/>
      <c r="CS143" s="1981"/>
      <c r="CT143" s="1981"/>
      <c r="CU143" s="1981"/>
      <c r="CV143" s="1979"/>
      <c r="CW143" s="1316"/>
      <c r="CX143" s="1979"/>
      <c r="CY143" s="1981"/>
      <c r="CZ143" s="1981"/>
      <c r="DA143" s="1981"/>
      <c r="DB143" s="1981"/>
      <c r="DC143" s="1981"/>
      <c r="DD143" s="1981"/>
      <c r="DE143" s="1981"/>
      <c r="DF143" s="1981"/>
      <c r="DG143" s="1981"/>
      <c r="DH143" s="1981"/>
      <c r="DI143" s="1981"/>
      <c r="DJ143" s="1981"/>
      <c r="DK143" s="1981"/>
      <c r="DL143" s="1981"/>
      <c r="DM143" s="1981"/>
      <c r="DN143" s="1981"/>
      <c r="DO143" s="1981"/>
    </row>
    <row r="144" spans="3:119" s="1971" customFormat="1" ht="14.25" hidden="1" customHeight="1">
      <c r="C144" s="2298"/>
      <c r="D144" s="1982" t="s">
        <v>685</v>
      </c>
      <c r="E144" s="1983">
        <f>IF(OR(E131&gt;=$F$12+$H$12+$I$12*12,E131&lt;$F$12),0,$E$12*$G$12/12)</f>
        <v>0</v>
      </c>
      <c r="F144" s="1983">
        <f>IF(OR(F131&gt;=$F$12+$H$12+$I$12*12,F131&lt;$F$12),0,($E$12-SUM($E$146:F146))*$G$12/12)</f>
        <v>0</v>
      </c>
      <c r="G144" s="1983">
        <f>IF(OR(G131&gt;=$F$12+$H$12+$I$12*12,G131&lt;$F$12),0,($E$12-SUM($E$146:G146))*$G$12/12)</f>
        <v>0</v>
      </c>
      <c r="H144" s="1983">
        <f>IF(OR(H131&gt;=$F$12+$H$12+$I$12*12,H131&lt;$F$12),0,($E$12-SUM($E$146:H146))*$G$12/12)</f>
        <v>0</v>
      </c>
      <c r="I144" s="1983">
        <f>IF(OR(I131&gt;=$F$12+$H$12+$I$12*12,I131&lt;$F$12),0,($E$12-SUM($E$146:I146))*$G$12/12)</f>
        <v>0</v>
      </c>
      <c r="J144" s="1983">
        <f>IF(OR(J131&gt;=$F$12+$H$12+$I$12*12,J131&lt;$F$12),0,($E$12-SUM($E$146:J146))*$G$12/12)</f>
        <v>0</v>
      </c>
      <c r="K144" s="1983">
        <f>IF(OR(K131&gt;=$F$12+$H$12+$I$12*12,K131&lt;$F$12),0,($E$12-SUM($E$146:K146))*$G$12/12)</f>
        <v>0</v>
      </c>
      <c r="L144" s="1983">
        <f>IF(OR(L131&gt;=$F$12+$H$12+$I$12*12,L131&lt;$F$12),0,($E$12-SUM($E$146:L146))*$G$12/12)</f>
        <v>0</v>
      </c>
      <c r="M144" s="1983">
        <f>IF(OR(M131&gt;=$F$12+$H$12+$I$12*12,M131&lt;$F$12),0,($E$12-SUM($E$146:M146))*$G$12/12)</f>
        <v>0</v>
      </c>
      <c r="N144" s="1983">
        <f>IF(OR(N131&gt;=$F$12+$H$12+$I$12*12,N131&lt;$F$12),0,($E$12-SUM($E$146:N146))*$G$12/12)</f>
        <v>0</v>
      </c>
      <c r="O144" s="1983">
        <f>IF(OR(O131&gt;=$F$12+$H$12+$I$12*12,O131&lt;$F$12),0,($E$12-SUM($E$146:O146))*$G$12/12)</f>
        <v>0</v>
      </c>
      <c r="P144" s="1983">
        <f>IF(OR(P131&gt;=$F$12+$H$12+$I$12*12,P131&lt;$F$12),0,($E$12-SUM($E$146:P146))*$G$12/12)</f>
        <v>0</v>
      </c>
      <c r="Q144" s="1983">
        <f>IF(OR(Q131&gt;=$F$12+$H$12+$I$12*12,Q131&lt;$F$12),0,($E$12-SUM($E$146:Q146))*$G$12/12)</f>
        <v>0</v>
      </c>
      <c r="R144" s="1983">
        <f>IF(OR(R131&gt;=$F$12+$H$12+$I$12*12,R131&lt;$F$12),0,($E$12-SUM($E$146:R146))*$G$12/12)</f>
        <v>0</v>
      </c>
      <c r="S144" s="1983">
        <f>IF(OR(S131&gt;=$F$12+$H$12+$I$12*12,S131&lt;$F$12),0,($E$12-SUM($E$146:S146))*$G$12/12)</f>
        <v>0</v>
      </c>
      <c r="T144" s="1983">
        <f>IF(OR(T131&gt;=$F$12+$H$12+$I$12*12,T131&lt;$F$12),0,($E$12-SUM($E$146:T146))*$G$12/12)</f>
        <v>0</v>
      </c>
      <c r="U144" s="1983">
        <f>IF(OR(U131&gt;=$F$12+$H$12+$I$12*12,U131&lt;$F$12),0,($E$12-SUM($E$146:U146))*$G$12/12)</f>
        <v>0</v>
      </c>
      <c r="V144" s="1983">
        <f>IF(OR(V131&gt;=$F$12+$H$12+$I$12*12,V131&lt;$F$12),0,($E$12-SUM($E$146:V146))*$G$12/12)</f>
        <v>0</v>
      </c>
      <c r="W144" s="1983">
        <f>IF(OR(W131&gt;=$F$12+$H$12+$I$12*12,W131&lt;$F$12),0,($E$12-SUM($E$146:W146))*$G$12/12)</f>
        <v>0</v>
      </c>
      <c r="X144" s="1983">
        <f>IF(OR(X131&gt;=$F$12+$H$12+$I$12*12,X131&lt;$F$12),0,($E$12-SUM($E$146:X146))*$G$12/12)</f>
        <v>0</v>
      </c>
      <c r="Y144" s="1983">
        <f>IF(OR(Y131&gt;=$F$12+$H$12+$I$12*12,Y131&lt;$F$12),0,($E$12-SUM($E$146:Y146))*$G$12/12)</f>
        <v>0</v>
      </c>
      <c r="Z144" s="1983">
        <f>IF(OR(Z131&gt;=$F$12+$H$12+$I$12*12,Z131&lt;$F$12),0,($E$12-SUM($E$146:Z146))*$G$12/12)</f>
        <v>0</v>
      </c>
      <c r="AA144" s="1983">
        <f>IF(OR(AA131&gt;=$F$12+$H$12+$I$12*12,AA131&lt;$F$12),0,($E$12-SUM($E$146:AA146))*$G$12/12)</f>
        <v>0</v>
      </c>
      <c r="AB144" s="1983">
        <f>IF(OR(AB131&gt;=$F$12+$H$12+$I$12*12,AB131&lt;$F$12),0,($E$12-SUM($E$146:AB146))*$G$12/12)</f>
        <v>0</v>
      </c>
      <c r="AC144" s="1983">
        <f>IF(OR(AC131&gt;=$F$12+$H$12+$I$12*12,AC131&lt;$F$12),0,($E$12-SUM($E$146:AC146))*$G$12/12)</f>
        <v>0</v>
      </c>
      <c r="AD144" s="1983">
        <f>IF(OR(AD131&gt;=$F$12+$H$12+$I$12*12,AD131&lt;$F$12),0,($E$12-SUM($E$146:AD146))*$G$12/12)</f>
        <v>0</v>
      </c>
      <c r="AE144" s="1983">
        <f>IF(OR(AE131&gt;=$F$12+$H$12+$I$12*12,AE131&lt;$F$12),0,($E$12-SUM($E$146:AE146))*$G$12/12)</f>
        <v>0</v>
      </c>
      <c r="AF144" s="1983">
        <f>IF(OR(AF131&gt;=$F$12+$H$12+$I$12*12,AF131&lt;$F$12),0,($E$12-SUM($E$146:AF146))*$G$12/12)</f>
        <v>0</v>
      </c>
      <c r="AG144" s="1983">
        <f>IF(OR(AG131&gt;=$F$12+$H$12+$I$12*12,AG131&lt;$F$12),0,($E$12-SUM($E$146:AG146))*$G$12/12)</f>
        <v>0</v>
      </c>
      <c r="AH144" s="1983">
        <f>IF(OR(AH131&gt;=$F$12+$H$12+$I$12*12,AH131&lt;$F$12),0,($E$12-SUM($E$146:AH146))*$G$12/12)</f>
        <v>0</v>
      </c>
      <c r="AI144" s="1983">
        <f>IF(OR(AI131&gt;=$F$12+$H$12+$I$12*12,AI131&lt;$F$12),0,($E$12-SUM($E$146:AI146))*$G$12/12)</f>
        <v>0</v>
      </c>
      <c r="AJ144" s="1983">
        <f>IF(OR(AJ131&gt;=$F$12+$H$12+$I$12*12,AJ131&lt;$F$12),0,($E$12-SUM($E$146:AJ146))*$G$12/12)</f>
        <v>0</v>
      </c>
      <c r="AK144" s="1983">
        <f>IF(OR(AK131&gt;=$F$12+$H$12+$I$12*12,AK131&lt;$F$12),0,($E$12-SUM($E$146:AK146))*$G$12/12)</f>
        <v>0</v>
      </c>
      <c r="AL144" s="1983">
        <f>IF(OR(AL131&gt;=$F$12+$H$12+$I$12*12,AL131&lt;$F$12),0,($E$12-SUM($E$146:AL146))*$G$12/12)</f>
        <v>0</v>
      </c>
      <c r="AM144" s="1983">
        <f>IF(OR(AM131&gt;=$F$12+$H$12+$I$12*12,AM131&lt;$F$12),0,($E$12-SUM($E$146:AM146))*$G$12/12)</f>
        <v>0</v>
      </c>
      <c r="AN144" s="1983">
        <f>IF(OR(AN131&gt;=$F$12+$H$12+$I$12*12,AN131&lt;$F$12),0,($E$12-SUM($E$146:AN146))*$G$12/12)</f>
        <v>0</v>
      </c>
      <c r="AO144" s="1983">
        <f>IF(OR(AO131&gt;=$F$12+$H$12+$I$12*12,AO131&lt;$F$12),0,($E$12-SUM($E$146:AO146))*$G$12/12)</f>
        <v>0</v>
      </c>
      <c r="AP144" s="1983">
        <f>IF(OR(AP131&gt;=$F$12+$H$12+$I$12*12,AP131&lt;$F$12),0,($E$12-SUM($E$146:AP146))*$G$12/12)</f>
        <v>0</v>
      </c>
      <c r="AQ144" s="1983">
        <f>IF(OR(AQ131&gt;=$F$12+$H$12+$I$12*12,AQ131&lt;$F$12),0,($E$12-SUM($E$146:AQ146))*$G$12/12)</f>
        <v>0</v>
      </c>
      <c r="AR144" s="1983">
        <f>IF(OR(AR131&gt;=$F$12+$H$12+$I$12*12,AR131&lt;$F$12),0,($E$12-SUM($E$146:AR146))*$G$12/12)</f>
        <v>0</v>
      </c>
      <c r="AS144" s="1983">
        <f>IF(OR(AS131&gt;=$F$12+$H$12+$I$12*12,AS131&lt;$F$12),0,($E$12-SUM($E$146:AS146))*$G$12/12)</f>
        <v>0</v>
      </c>
      <c r="AT144" s="1983">
        <f>IF(OR(AT131&gt;=$F$12+$H$12+$I$12*12,AT131&lt;$F$12),0,($E$12-SUM($E$146:AT146))*$G$12/12)</f>
        <v>0</v>
      </c>
      <c r="AU144" s="1983">
        <f>IF(OR(AU131&gt;=$F$12+$H$12+$I$12*12,AU131&lt;$F$12),0,($E$12-SUM($E$146:AU146))*$G$12/12)</f>
        <v>0</v>
      </c>
      <c r="AV144" s="1983">
        <f>IF(OR(AV131&gt;=$F$12+$H$12+$I$12*12,AV131&lt;$F$12),0,($E$12-SUM($E$146:AV146))*$G$12/12)</f>
        <v>0</v>
      </c>
      <c r="AW144" s="1983">
        <f>IF(OR(AW131&gt;=$F$12+$H$12+$I$12*12,AW131&lt;$F$12),0,($E$12-SUM($E$146:AW146))*$G$12/12)</f>
        <v>0</v>
      </c>
      <c r="AX144" s="1983">
        <f>IF(OR(AX131&gt;=$F$12+$H$12+$I$12*12,AX131&lt;$F$12),0,($E$12-SUM($E$146:AX146))*$G$12/12)</f>
        <v>0</v>
      </c>
      <c r="AY144" s="1983">
        <f>IF(OR(AY131&gt;=$F$12+$H$12+$I$12*12,AY131&lt;$F$12),0,($E$12-SUM($E$146:AY146))*$G$12/12)</f>
        <v>0</v>
      </c>
      <c r="AZ144" s="1983">
        <f>IF(OR(AZ131&gt;=$F$12+$H$12+$I$12*12,AZ131&lt;$F$12),0,($E$12-SUM($E$146:AZ146))*$G$12/12)</f>
        <v>0</v>
      </c>
      <c r="BA144" s="1983">
        <f>IF(OR(BA131&gt;=$F$12+$H$12+$I$12*12,BA131&lt;$F$12),0,($E$12-SUM($E$146:BA146))*$G$12/12)</f>
        <v>0</v>
      </c>
      <c r="BB144" s="1983">
        <f>IF(OR(BB131&gt;=$F$12+$H$12+$I$12*12,BB131&lt;$F$12),0,($E$12-SUM($E$146:BB146))*$G$12/12)</f>
        <v>0</v>
      </c>
      <c r="BC144" s="1983">
        <f>IF(OR(BC131&gt;=$F$12+$H$12+$I$12*12,BC131&lt;$F$12),0,($E$12-SUM($E$146:BC146))*$G$12/12)</f>
        <v>0</v>
      </c>
      <c r="BD144" s="1983">
        <f>IF(OR(BD131&gt;=$F$12+$H$12+$I$12*12,BD131&lt;$F$12),0,($E$12-SUM($E$146:BD146))*$G$12/12)</f>
        <v>0</v>
      </c>
      <c r="BE144" s="1983">
        <f>IF(OR(BE131&gt;=$F$12+$H$12+$I$12*12,BE131&lt;$F$12),0,($E$12-SUM($E$146:BE146))*$G$12/12)</f>
        <v>0</v>
      </c>
      <c r="BF144" s="1983">
        <f>IF(OR(BF131&gt;=$F$12+$H$12+$I$12*12,BF131&lt;$F$12),0,($E$12-SUM($E$146:BF146))*$G$12/12)</f>
        <v>0</v>
      </c>
      <c r="BG144" s="1983">
        <f>IF(OR(BG131&gt;=$F$12+$H$12+$I$12*12,BG131&lt;$F$12),0,($E$12-SUM($E$146:BG146))*$G$12/12)</f>
        <v>0</v>
      </c>
      <c r="BH144" s="1983">
        <f>IF(OR(BH131&gt;=$F$12+$H$12+$I$12*12,BH131&lt;$F$12),0,($E$12-SUM($E$146:BH146))*$G$12/12)</f>
        <v>0</v>
      </c>
      <c r="BI144" s="1983">
        <f>IF(OR(BI131&gt;=$F$12+$H$12+$I$12*12,BI131&lt;$F$12),0,($E$12-SUM($E$146:BI146))*$G$12/12)</f>
        <v>0</v>
      </c>
      <c r="BJ144" s="1983">
        <f>IF(OR(BJ131&gt;=$F$12+$H$12+$I$12*12,BJ131&lt;$F$12),0,($E$12-SUM($E$146:BJ146))*$G$12/12)</f>
        <v>0</v>
      </c>
      <c r="BK144" s="1983">
        <f>IF(OR(BK131&gt;=$F$12+$H$12+$I$12*12,BK131&lt;$F$12),0,($E$12-SUM($E$146:BK146))*$G$12/12)</f>
        <v>0</v>
      </c>
      <c r="BL144" s="1983">
        <f>IF(OR(BL131&gt;=$F$12+$H$12+$I$12*12,BL131&lt;$F$12),0,($E$12-SUM($E$146:BL146))*$G$12/12)</f>
        <v>0</v>
      </c>
      <c r="BV144" s="1980"/>
      <c r="CA144" s="1981"/>
      <c r="CB144" s="1981"/>
      <c r="CC144" s="1981"/>
      <c r="CD144" s="1981"/>
      <c r="CE144" s="1981"/>
      <c r="CF144" s="1981"/>
      <c r="CG144" s="1981"/>
      <c r="CH144" s="1981"/>
      <c r="CI144" s="1981"/>
      <c r="CJ144" s="1981"/>
      <c r="CK144" s="1981"/>
      <c r="CL144" s="1981"/>
      <c r="CM144" s="1981"/>
      <c r="CN144" s="1981"/>
      <c r="CO144" s="1981"/>
      <c r="CP144" s="1981"/>
      <c r="CQ144" s="1981"/>
      <c r="CR144" s="1981"/>
      <c r="CS144" s="1981"/>
      <c r="CT144" s="1981"/>
      <c r="CU144" s="1981"/>
      <c r="CV144" s="1979"/>
      <c r="CW144" s="1316"/>
      <c r="CX144" s="1979"/>
      <c r="CY144" s="1981"/>
      <c r="CZ144" s="1981"/>
      <c r="DA144" s="1981"/>
      <c r="DB144" s="1981"/>
      <c r="DC144" s="1981"/>
      <c r="DD144" s="1981"/>
      <c r="DE144" s="1981"/>
      <c r="DF144" s="1981"/>
      <c r="DG144" s="1981"/>
      <c r="DH144" s="1981"/>
      <c r="DI144" s="1981"/>
      <c r="DJ144" s="1981"/>
      <c r="DK144" s="1981"/>
      <c r="DL144" s="1981"/>
      <c r="DM144" s="1981"/>
      <c r="DN144" s="1981"/>
      <c r="DO144" s="1981"/>
    </row>
    <row r="145" spans="1:119" s="1971" customFormat="1" ht="14.25" hidden="1" customHeight="1">
      <c r="C145" s="2298"/>
      <c r="D145" s="1982" t="s">
        <v>120</v>
      </c>
      <c r="E145" s="1983">
        <f t="shared" ref="E145:F145" si="40">IF($F$12+$H$12=E131,IF($I$12=0,0,$E$12/($I$12*12)),0)</f>
        <v>0</v>
      </c>
      <c r="F145" s="1983">
        <f t="shared" si="40"/>
        <v>0</v>
      </c>
      <c r="G145" s="1983">
        <f t="shared" ref="G145:BL145" si="41">IF($F$12+$H$12=G131,IF($I$12=0,0,$E$12/($I$12*12)),0)</f>
        <v>0</v>
      </c>
      <c r="H145" s="1983">
        <f t="shared" si="41"/>
        <v>0</v>
      </c>
      <c r="I145" s="1983">
        <f t="shared" si="41"/>
        <v>0</v>
      </c>
      <c r="J145" s="1983">
        <f t="shared" si="41"/>
        <v>0</v>
      </c>
      <c r="K145" s="1983">
        <f t="shared" si="41"/>
        <v>0</v>
      </c>
      <c r="L145" s="1983">
        <f t="shared" si="41"/>
        <v>0</v>
      </c>
      <c r="M145" s="1983">
        <f t="shared" si="41"/>
        <v>0</v>
      </c>
      <c r="N145" s="1983">
        <f t="shared" si="41"/>
        <v>0</v>
      </c>
      <c r="O145" s="1983">
        <f t="shared" si="41"/>
        <v>0</v>
      </c>
      <c r="P145" s="1983">
        <f t="shared" si="41"/>
        <v>0</v>
      </c>
      <c r="Q145" s="1983">
        <f t="shared" si="41"/>
        <v>0</v>
      </c>
      <c r="R145" s="1983">
        <f t="shared" si="41"/>
        <v>0</v>
      </c>
      <c r="S145" s="1983">
        <f t="shared" si="41"/>
        <v>0</v>
      </c>
      <c r="T145" s="1983">
        <f t="shared" si="41"/>
        <v>0</v>
      </c>
      <c r="U145" s="1983">
        <f t="shared" si="41"/>
        <v>0</v>
      </c>
      <c r="V145" s="1983">
        <f t="shared" si="41"/>
        <v>0</v>
      </c>
      <c r="W145" s="1983">
        <f t="shared" si="41"/>
        <v>0</v>
      </c>
      <c r="X145" s="1983">
        <f t="shared" si="41"/>
        <v>0</v>
      </c>
      <c r="Y145" s="1983">
        <f t="shared" si="41"/>
        <v>0</v>
      </c>
      <c r="Z145" s="1983">
        <f t="shared" si="41"/>
        <v>0</v>
      </c>
      <c r="AA145" s="1983">
        <f t="shared" si="41"/>
        <v>0</v>
      </c>
      <c r="AB145" s="1983">
        <f t="shared" si="41"/>
        <v>0</v>
      </c>
      <c r="AC145" s="1983">
        <f t="shared" si="41"/>
        <v>0</v>
      </c>
      <c r="AD145" s="1983">
        <f t="shared" si="41"/>
        <v>0</v>
      </c>
      <c r="AE145" s="1983">
        <f t="shared" si="41"/>
        <v>0</v>
      </c>
      <c r="AF145" s="1983">
        <f t="shared" si="41"/>
        <v>0</v>
      </c>
      <c r="AG145" s="1983">
        <f t="shared" si="41"/>
        <v>0</v>
      </c>
      <c r="AH145" s="1983">
        <f t="shared" si="41"/>
        <v>0</v>
      </c>
      <c r="AI145" s="1983">
        <f t="shared" si="41"/>
        <v>0</v>
      </c>
      <c r="AJ145" s="1983">
        <f t="shared" si="41"/>
        <v>0</v>
      </c>
      <c r="AK145" s="1983">
        <f t="shared" si="41"/>
        <v>0</v>
      </c>
      <c r="AL145" s="1983">
        <f t="shared" si="41"/>
        <v>0</v>
      </c>
      <c r="AM145" s="1983">
        <f t="shared" si="41"/>
        <v>0</v>
      </c>
      <c r="AN145" s="1983">
        <f t="shared" si="41"/>
        <v>0</v>
      </c>
      <c r="AO145" s="1983">
        <f t="shared" si="41"/>
        <v>0</v>
      </c>
      <c r="AP145" s="1983">
        <f t="shared" si="41"/>
        <v>0</v>
      </c>
      <c r="AQ145" s="1983">
        <f t="shared" si="41"/>
        <v>0</v>
      </c>
      <c r="AR145" s="1983">
        <f t="shared" si="41"/>
        <v>0</v>
      </c>
      <c r="AS145" s="1983">
        <f t="shared" si="41"/>
        <v>0</v>
      </c>
      <c r="AT145" s="1983">
        <f t="shared" si="41"/>
        <v>0</v>
      </c>
      <c r="AU145" s="1983">
        <f t="shared" si="41"/>
        <v>0</v>
      </c>
      <c r="AV145" s="1983">
        <f t="shared" si="41"/>
        <v>0</v>
      </c>
      <c r="AW145" s="1983">
        <f t="shared" si="41"/>
        <v>0</v>
      </c>
      <c r="AX145" s="1983">
        <f t="shared" si="41"/>
        <v>0</v>
      </c>
      <c r="AY145" s="1983">
        <f t="shared" si="41"/>
        <v>0</v>
      </c>
      <c r="AZ145" s="1983">
        <f t="shared" si="41"/>
        <v>0</v>
      </c>
      <c r="BA145" s="1983">
        <f t="shared" si="41"/>
        <v>0</v>
      </c>
      <c r="BB145" s="1983">
        <f t="shared" si="41"/>
        <v>0</v>
      </c>
      <c r="BC145" s="1983">
        <f t="shared" si="41"/>
        <v>0</v>
      </c>
      <c r="BD145" s="1983">
        <f t="shared" si="41"/>
        <v>0</v>
      </c>
      <c r="BE145" s="1983">
        <f t="shared" si="41"/>
        <v>0</v>
      </c>
      <c r="BF145" s="1983">
        <f t="shared" si="41"/>
        <v>0</v>
      </c>
      <c r="BG145" s="1983">
        <f t="shared" si="41"/>
        <v>0</v>
      </c>
      <c r="BH145" s="1983">
        <f t="shared" si="41"/>
        <v>0</v>
      </c>
      <c r="BI145" s="1983">
        <f t="shared" si="41"/>
        <v>0</v>
      </c>
      <c r="BJ145" s="1983">
        <f t="shared" si="41"/>
        <v>0</v>
      </c>
      <c r="BK145" s="1983">
        <f t="shared" si="41"/>
        <v>0</v>
      </c>
      <c r="BL145" s="1983">
        <f t="shared" si="41"/>
        <v>0</v>
      </c>
      <c r="BV145" s="1980"/>
      <c r="CA145" s="1981"/>
      <c r="CB145" s="1981"/>
      <c r="CC145" s="1981"/>
      <c r="CD145" s="1981"/>
      <c r="CE145" s="1981"/>
      <c r="CF145" s="1981"/>
      <c r="CG145" s="1981"/>
      <c r="CH145" s="1981"/>
      <c r="CI145" s="1981"/>
      <c r="CJ145" s="1981"/>
      <c r="CK145" s="1981"/>
      <c r="CL145" s="1981"/>
      <c r="CM145" s="1981"/>
      <c r="CN145" s="1981"/>
      <c r="CO145" s="1981"/>
      <c r="CP145" s="1981"/>
      <c r="CQ145" s="1981"/>
      <c r="CR145" s="1981"/>
      <c r="CS145" s="1981"/>
      <c r="CT145" s="1981"/>
      <c r="CU145" s="1981"/>
      <c r="CV145" s="1979"/>
      <c r="CW145" s="1316"/>
      <c r="CX145" s="1979"/>
      <c r="CY145" s="1981"/>
      <c r="CZ145" s="1981"/>
      <c r="DA145" s="1981"/>
      <c r="DB145" s="1981"/>
      <c r="DC145" s="1981"/>
      <c r="DD145" s="1981"/>
      <c r="DE145" s="1981"/>
      <c r="DF145" s="1981"/>
      <c r="DG145" s="1981"/>
      <c r="DH145" s="1981"/>
      <c r="DI145" s="1981"/>
      <c r="DJ145" s="1981"/>
      <c r="DK145" s="1981"/>
      <c r="DL145" s="1981"/>
      <c r="DM145" s="1981"/>
      <c r="DN145" s="1981"/>
      <c r="DO145" s="1981"/>
    </row>
    <row r="146" spans="1:119" s="1971" customFormat="1" ht="14.25" hidden="1" customHeight="1">
      <c r="C146" s="2298"/>
      <c r="D146" s="1982" t="s">
        <v>686</v>
      </c>
      <c r="E146" s="1983">
        <f t="shared" ref="E146:F146" si="42">IF(OR(E131&gt;=$F$12+$H$12+$I$12*12,E131&lt;$F$12+$H$12),0,IF($I$12=0,0,$E$12/($I$12*12)))</f>
        <v>0</v>
      </c>
      <c r="F146" s="1983">
        <f t="shared" si="42"/>
        <v>0</v>
      </c>
      <c r="G146" s="1983">
        <f t="shared" ref="G146:BL146" si="43">IF(OR(G131&gt;=$F$12+$H$12+$I$12*12,G131&lt;$F$12+$H$12),0,IF($I$12=0,0,$E$12/($I$12*12)))</f>
        <v>0</v>
      </c>
      <c r="H146" s="1983">
        <f t="shared" si="43"/>
        <v>0</v>
      </c>
      <c r="I146" s="1983">
        <f t="shared" si="43"/>
        <v>0</v>
      </c>
      <c r="J146" s="1983">
        <f t="shared" si="43"/>
        <v>0</v>
      </c>
      <c r="K146" s="1983">
        <f t="shared" si="43"/>
        <v>0</v>
      </c>
      <c r="L146" s="1983">
        <f t="shared" si="43"/>
        <v>0</v>
      </c>
      <c r="M146" s="1983">
        <f t="shared" si="43"/>
        <v>0</v>
      </c>
      <c r="N146" s="1983">
        <f t="shared" si="43"/>
        <v>0</v>
      </c>
      <c r="O146" s="1983">
        <f t="shared" si="43"/>
        <v>0</v>
      </c>
      <c r="P146" s="1983">
        <f t="shared" si="43"/>
        <v>0</v>
      </c>
      <c r="Q146" s="1983">
        <f t="shared" si="43"/>
        <v>0</v>
      </c>
      <c r="R146" s="1983">
        <f t="shared" si="43"/>
        <v>0</v>
      </c>
      <c r="S146" s="1983">
        <f t="shared" si="43"/>
        <v>0</v>
      </c>
      <c r="T146" s="1983">
        <f t="shared" si="43"/>
        <v>0</v>
      </c>
      <c r="U146" s="1983">
        <f t="shared" si="43"/>
        <v>0</v>
      </c>
      <c r="V146" s="1983">
        <f t="shared" si="43"/>
        <v>0</v>
      </c>
      <c r="W146" s="1983">
        <f t="shared" si="43"/>
        <v>0</v>
      </c>
      <c r="X146" s="1983">
        <f t="shared" si="43"/>
        <v>0</v>
      </c>
      <c r="Y146" s="1983">
        <f t="shared" si="43"/>
        <v>0</v>
      </c>
      <c r="Z146" s="1983">
        <f t="shared" si="43"/>
        <v>0</v>
      </c>
      <c r="AA146" s="1983">
        <f t="shared" si="43"/>
        <v>0</v>
      </c>
      <c r="AB146" s="1983">
        <f t="shared" si="43"/>
        <v>0</v>
      </c>
      <c r="AC146" s="1983">
        <f t="shared" si="43"/>
        <v>0</v>
      </c>
      <c r="AD146" s="1983">
        <f t="shared" si="43"/>
        <v>0</v>
      </c>
      <c r="AE146" s="1983">
        <f t="shared" si="43"/>
        <v>0</v>
      </c>
      <c r="AF146" s="1983">
        <f t="shared" si="43"/>
        <v>0</v>
      </c>
      <c r="AG146" s="1983">
        <f t="shared" si="43"/>
        <v>0</v>
      </c>
      <c r="AH146" s="1983">
        <f t="shared" si="43"/>
        <v>0</v>
      </c>
      <c r="AI146" s="1983">
        <f t="shared" si="43"/>
        <v>0</v>
      </c>
      <c r="AJ146" s="1983">
        <f t="shared" si="43"/>
        <v>0</v>
      </c>
      <c r="AK146" s="1983">
        <f t="shared" si="43"/>
        <v>0</v>
      </c>
      <c r="AL146" s="1983">
        <f t="shared" si="43"/>
        <v>0</v>
      </c>
      <c r="AM146" s="1983">
        <f t="shared" si="43"/>
        <v>0</v>
      </c>
      <c r="AN146" s="1983">
        <f t="shared" si="43"/>
        <v>0</v>
      </c>
      <c r="AO146" s="1983">
        <f t="shared" si="43"/>
        <v>0</v>
      </c>
      <c r="AP146" s="1983">
        <f t="shared" si="43"/>
        <v>0</v>
      </c>
      <c r="AQ146" s="1983">
        <f t="shared" si="43"/>
        <v>0</v>
      </c>
      <c r="AR146" s="1983">
        <f t="shared" si="43"/>
        <v>0</v>
      </c>
      <c r="AS146" s="1983">
        <f t="shared" si="43"/>
        <v>0</v>
      </c>
      <c r="AT146" s="1983">
        <f t="shared" si="43"/>
        <v>0</v>
      </c>
      <c r="AU146" s="1983">
        <f t="shared" si="43"/>
        <v>0</v>
      </c>
      <c r="AV146" s="1983">
        <f t="shared" si="43"/>
        <v>0</v>
      </c>
      <c r="AW146" s="1983">
        <f t="shared" si="43"/>
        <v>0</v>
      </c>
      <c r="AX146" s="1983">
        <f t="shared" si="43"/>
        <v>0</v>
      </c>
      <c r="AY146" s="1983">
        <f t="shared" si="43"/>
        <v>0</v>
      </c>
      <c r="AZ146" s="1983">
        <f t="shared" si="43"/>
        <v>0</v>
      </c>
      <c r="BA146" s="1983">
        <f t="shared" si="43"/>
        <v>0</v>
      </c>
      <c r="BB146" s="1983">
        <f t="shared" si="43"/>
        <v>0</v>
      </c>
      <c r="BC146" s="1983">
        <f t="shared" si="43"/>
        <v>0</v>
      </c>
      <c r="BD146" s="1983">
        <f t="shared" si="43"/>
        <v>0</v>
      </c>
      <c r="BE146" s="1983">
        <f t="shared" si="43"/>
        <v>0</v>
      </c>
      <c r="BF146" s="1983">
        <f t="shared" si="43"/>
        <v>0</v>
      </c>
      <c r="BG146" s="1983">
        <f t="shared" si="43"/>
        <v>0</v>
      </c>
      <c r="BH146" s="1983">
        <f t="shared" si="43"/>
        <v>0</v>
      </c>
      <c r="BI146" s="1983">
        <f t="shared" si="43"/>
        <v>0</v>
      </c>
      <c r="BJ146" s="1983">
        <f t="shared" si="43"/>
        <v>0</v>
      </c>
      <c r="BK146" s="1983">
        <f t="shared" si="43"/>
        <v>0</v>
      </c>
      <c r="BL146" s="1983">
        <f t="shared" si="43"/>
        <v>0</v>
      </c>
      <c r="BV146" s="1980"/>
      <c r="CA146" s="1981"/>
      <c r="CB146" s="1981"/>
      <c r="CC146" s="1981"/>
      <c r="CD146" s="1981"/>
      <c r="CE146" s="1981"/>
      <c r="CF146" s="1981"/>
      <c r="CG146" s="1981"/>
      <c r="CH146" s="1981"/>
      <c r="CI146" s="1981"/>
      <c r="CJ146" s="1981"/>
      <c r="CK146" s="1981"/>
      <c r="CL146" s="1981"/>
      <c r="CM146" s="1981"/>
      <c r="CN146" s="1981"/>
      <c r="CO146" s="1981"/>
      <c r="CP146" s="1981"/>
      <c r="CQ146" s="1981"/>
      <c r="CR146" s="1981"/>
      <c r="CS146" s="1981"/>
      <c r="CT146" s="1981"/>
      <c r="CU146" s="1981"/>
      <c r="CV146" s="1979"/>
      <c r="CW146" s="1316"/>
      <c r="CX146" s="1979"/>
      <c r="CY146" s="1981"/>
      <c r="CZ146" s="1981"/>
      <c r="DA146" s="1981"/>
      <c r="DB146" s="1981"/>
      <c r="DC146" s="1981"/>
      <c r="DD146" s="1981"/>
      <c r="DE146" s="1981"/>
      <c r="DF146" s="1981"/>
      <c r="DG146" s="1981"/>
      <c r="DH146" s="1981"/>
      <c r="DI146" s="1981"/>
      <c r="DJ146" s="1981"/>
      <c r="DK146" s="1981"/>
      <c r="DL146" s="1981"/>
      <c r="DM146" s="1981"/>
      <c r="DN146" s="1981"/>
      <c r="DO146" s="1981"/>
    </row>
    <row r="147" spans="1:119" s="1971" customFormat="1" ht="14.25" hidden="1" customHeight="1">
      <c r="A147" s="1985"/>
      <c r="B147" s="1985"/>
      <c r="C147" s="2298" t="str">
        <f>D13</f>
        <v>Wahl Kreditart</v>
      </c>
      <c r="D147" s="1982" t="s">
        <v>683</v>
      </c>
      <c r="E147" s="1983">
        <f t="shared" ref="E147:AJ147" ca="1" si="44">IF($E$130=$D$1,IF(E131=$F$13,$E$13,0),0)</f>
        <v>0</v>
      </c>
      <c r="F147" s="1983">
        <f t="shared" ca="1" si="44"/>
        <v>0</v>
      </c>
      <c r="G147" s="1983">
        <f t="shared" ca="1" si="44"/>
        <v>0</v>
      </c>
      <c r="H147" s="1983">
        <f t="shared" ca="1" si="44"/>
        <v>0</v>
      </c>
      <c r="I147" s="1983">
        <f t="shared" ca="1" si="44"/>
        <v>0</v>
      </c>
      <c r="J147" s="1983">
        <f t="shared" ca="1" si="44"/>
        <v>0</v>
      </c>
      <c r="K147" s="1983">
        <f t="shared" ca="1" si="44"/>
        <v>0</v>
      </c>
      <c r="L147" s="1983">
        <f t="shared" ca="1" si="44"/>
        <v>0</v>
      </c>
      <c r="M147" s="1983">
        <f t="shared" ca="1" si="44"/>
        <v>0</v>
      </c>
      <c r="N147" s="1983">
        <f t="shared" ca="1" si="44"/>
        <v>0</v>
      </c>
      <c r="O147" s="1983">
        <f t="shared" ca="1" si="44"/>
        <v>0</v>
      </c>
      <c r="P147" s="1983">
        <f t="shared" ca="1" si="44"/>
        <v>0</v>
      </c>
      <c r="Q147" s="1983">
        <f t="shared" ca="1" si="44"/>
        <v>0</v>
      </c>
      <c r="R147" s="1983">
        <f t="shared" ca="1" si="44"/>
        <v>0</v>
      </c>
      <c r="S147" s="1983">
        <f t="shared" ca="1" si="44"/>
        <v>0</v>
      </c>
      <c r="T147" s="1983">
        <f t="shared" ca="1" si="44"/>
        <v>0</v>
      </c>
      <c r="U147" s="1983">
        <f t="shared" ca="1" si="44"/>
        <v>0</v>
      </c>
      <c r="V147" s="1983">
        <f t="shared" ca="1" si="44"/>
        <v>0</v>
      </c>
      <c r="W147" s="1983">
        <f t="shared" ca="1" si="44"/>
        <v>0</v>
      </c>
      <c r="X147" s="1983">
        <f t="shared" ca="1" si="44"/>
        <v>0</v>
      </c>
      <c r="Y147" s="1983">
        <f t="shared" ca="1" si="44"/>
        <v>0</v>
      </c>
      <c r="Z147" s="1983">
        <f t="shared" ca="1" si="44"/>
        <v>0</v>
      </c>
      <c r="AA147" s="1983">
        <f t="shared" ca="1" si="44"/>
        <v>0</v>
      </c>
      <c r="AB147" s="1983">
        <f t="shared" ca="1" si="44"/>
        <v>0</v>
      </c>
      <c r="AC147" s="1983">
        <f t="shared" ca="1" si="44"/>
        <v>0</v>
      </c>
      <c r="AD147" s="1983">
        <f t="shared" ca="1" si="44"/>
        <v>0</v>
      </c>
      <c r="AE147" s="1983">
        <f t="shared" ca="1" si="44"/>
        <v>0</v>
      </c>
      <c r="AF147" s="1983">
        <f t="shared" ca="1" si="44"/>
        <v>0</v>
      </c>
      <c r="AG147" s="1983">
        <f t="shared" ca="1" si="44"/>
        <v>0</v>
      </c>
      <c r="AH147" s="1983">
        <f t="shared" ca="1" si="44"/>
        <v>0</v>
      </c>
      <c r="AI147" s="1983">
        <f t="shared" ca="1" si="44"/>
        <v>0</v>
      </c>
      <c r="AJ147" s="1983">
        <f t="shared" ca="1" si="44"/>
        <v>0</v>
      </c>
      <c r="AK147" s="1983">
        <f t="shared" ref="AK147:BL147" ca="1" si="45">IF($E$130=$D$1,IF(AK131=$F$13,$E$13,0),0)</f>
        <v>0</v>
      </c>
      <c r="AL147" s="1983">
        <f t="shared" ca="1" si="45"/>
        <v>0</v>
      </c>
      <c r="AM147" s="1983">
        <f t="shared" ca="1" si="45"/>
        <v>0</v>
      </c>
      <c r="AN147" s="1983">
        <f t="shared" ca="1" si="45"/>
        <v>0</v>
      </c>
      <c r="AO147" s="1983">
        <f t="shared" ca="1" si="45"/>
        <v>0</v>
      </c>
      <c r="AP147" s="1983">
        <f t="shared" ca="1" si="45"/>
        <v>0</v>
      </c>
      <c r="AQ147" s="1983">
        <f t="shared" ca="1" si="45"/>
        <v>0</v>
      </c>
      <c r="AR147" s="1983">
        <f t="shared" ca="1" si="45"/>
        <v>0</v>
      </c>
      <c r="AS147" s="1983">
        <f t="shared" ca="1" si="45"/>
        <v>0</v>
      </c>
      <c r="AT147" s="1983">
        <f t="shared" ca="1" si="45"/>
        <v>0</v>
      </c>
      <c r="AU147" s="1983">
        <f t="shared" ca="1" si="45"/>
        <v>0</v>
      </c>
      <c r="AV147" s="1983">
        <f t="shared" ca="1" si="45"/>
        <v>0</v>
      </c>
      <c r="AW147" s="1983">
        <f t="shared" ca="1" si="45"/>
        <v>0</v>
      </c>
      <c r="AX147" s="1983">
        <f t="shared" ca="1" si="45"/>
        <v>0</v>
      </c>
      <c r="AY147" s="1983">
        <f t="shared" ca="1" si="45"/>
        <v>0</v>
      </c>
      <c r="AZ147" s="1983">
        <f t="shared" ca="1" si="45"/>
        <v>0</v>
      </c>
      <c r="BA147" s="1983">
        <f t="shared" ca="1" si="45"/>
        <v>0</v>
      </c>
      <c r="BB147" s="1983">
        <f t="shared" ca="1" si="45"/>
        <v>0</v>
      </c>
      <c r="BC147" s="1983">
        <f t="shared" ca="1" si="45"/>
        <v>0</v>
      </c>
      <c r="BD147" s="1983">
        <f t="shared" ca="1" si="45"/>
        <v>0</v>
      </c>
      <c r="BE147" s="1983">
        <f t="shared" ca="1" si="45"/>
        <v>0</v>
      </c>
      <c r="BF147" s="1983">
        <f t="shared" ca="1" si="45"/>
        <v>0</v>
      </c>
      <c r="BG147" s="1983">
        <f t="shared" ca="1" si="45"/>
        <v>0</v>
      </c>
      <c r="BH147" s="1983">
        <f t="shared" ca="1" si="45"/>
        <v>0</v>
      </c>
      <c r="BI147" s="1983">
        <f t="shared" ca="1" si="45"/>
        <v>0</v>
      </c>
      <c r="BJ147" s="1983">
        <f t="shared" ca="1" si="45"/>
        <v>0</v>
      </c>
      <c r="BK147" s="1983">
        <f t="shared" ca="1" si="45"/>
        <v>0</v>
      </c>
      <c r="BL147" s="1983">
        <f t="shared" ca="1" si="45"/>
        <v>0</v>
      </c>
      <c r="BV147" s="1980"/>
      <c r="CA147" s="1981"/>
      <c r="CB147" s="1981"/>
      <c r="CC147" s="1981"/>
      <c r="CD147" s="1981"/>
      <c r="CE147" s="1981"/>
      <c r="CF147" s="1981"/>
      <c r="CG147" s="1981"/>
      <c r="CH147" s="1981"/>
      <c r="CI147" s="1981"/>
      <c r="CJ147" s="1981"/>
      <c r="CK147" s="1981"/>
      <c r="CL147" s="1981"/>
      <c r="CM147" s="1981"/>
      <c r="CN147" s="1981"/>
      <c r="CO147" s="1981"/>
      <c r="CP147" s="1981"/>
      <c r="CQ147" s="1981"/>
      <c r="CR147" s="1981"/>
      <c r="CS147" s="1981"/>
      <c r="CT147" s="1981"/>
      <c r="CU147" s="1981"/>
      <c r="CV147" s="1979"/>
      <c r="CW147" s="1316"/>
      <c r="CX147" s="1979"/>
      <c r="CY147" s="1981"/>
      <c r="CZ147" s="1981"/>
      <c r="DA147" s="1981"/>
      <c r="DB147" s="1981"/>
      <c r="DC147" s="1981"/>
      <c r="DD147" s="1981"/>
      <c r="DE147" s="1981"/>
      <c r="DF147" s="1981"/>
      <c r="DG147" s="1981"/>
      <c r="DH147" s="1981"/>
      <c r="DI147" s="1981"/>
      <c r="DJ147" s="1981"/>
      <c r="DK147" s="1981"/>
      <c r="DL147" s="1981"/>
      <c r="DM147" s="1981"/>
      <c r="DN147" s="1981"/>
      <c r="DO147" s="1981"/>
    </row>
    <row r="148" spans="1:119" s="1971" customFormat="1" ht="14.25" hidden="1" customHeight="1">
      <c r="A148" s="1985"/>
      <c r="B148" s="1985"/>
      <c r="C148" s="2298"/>
      <c r="D148" s="1982" t="s">
        <v>684</v>
      </c>
      <c r="E148" s="1983">
        <f t="shared" ref="E148:F148" si="46">IF($F$13=E131,($E$13*$G$13)/12,0)</f>
        <v>0</v>
      </c>
      <c r="F148" s="1983">
        <f t="shared" si="46"/>
        <v>0</v>
      </c>
      <c r="G148" s="1983">
        <f t="shared" ref="G148:BL148" si="47">IF($F$13=G131,($E$13*$G$13)/12,0)</f>
        <v>0</v>
      </c>
      <c r="H148" s="1983">
        <f t="shared" si="47"/>
        <v>0</v>
      </c>
      <c r="I148" s="1983">
        <f t="shared" si="47"/>
        <v>0</v>
      </c>
      <c r="J148" s="1983">
        <f t="shared" si="47"/>
        <v>0</v>
      </c>
      <c r="K148" s="1983">
        <f t="shared" si="47"/>
        <v>0</v>
      </c>
      <c r="L148" s="1983">
        <f t="shared" si="47"/>
        <v>0</v>
      </c>
      <c r="M148" s="1983">
        <f t="shared" si="47"/>
        <v>0</v>
      </c>
      <c r="N148" s="1983">
        <f t="shared" si="47"/>
        <v>0</v>
      </c>
      <c r="O148" s="1983">
        <f t="shared" si="47"/>
        <v>0</v>
      </c>
      <c r="P148" s="1983">
        <f t="shared" si="47"/>
        <v>0</v>
      </c>
      <c r="Q148" s="1983">
        <f t="shared" si="47"/>
        <v>0</v>
      </c>
      <c r="R148" s="1983">
        <f t="shared" si="47"/>
        <v>0</v>
      </c>
      <c r="S148" s="1983">
        <f t="shared" si="47"/>
        <v>0</v>
      </c>
      <c r="T148" s="1983">
        <f t="shared" si="47"/>
        <v>0</v>
      </c>
      <c r="U148" s="1983">
        <f t="shared" si="47"/>
        <v>0</v>
      </c>
      <c r="V148" s="1983">
        <f t="shared" si="47"/>
        <v>0</v>
      </c>
      <c r="W148" s="1983">
        <f t="shared" si="47"/>
        <v>0</v>
      </c>
      <c r="X148" s="1983">
        <f t="shared" si="47"/>
        <v>0</v>
      </c>
      <c r="Y148" s="1983">
        <f t="shared" si="47"/>
        <v>0</v>
      </c>
      <c r="Z148" s="1983">
        <f t="shared" si="47"/>
        <v>0</v>
      </c>
      <c r="AA148" s="1983">
        <f t="shared" si="47"/>
        <v>0</v>
      </c>
      <c r="AB148" s="1983">
        <f t="shared" si="47"/>
        <v>0</v>
      </c>
      <c r="AC148" s="1983">
        <f t="shared" si="47"/>
        <v>0</v>
      </c>
      <c r="AD148" s="1983">
        <f t="shared" si="47"/>
        <v>0</v>
      </c>
      <c r="AE148" s="1983">
        <f t="shared" si="47"/>
        <v>0</v>
      </c>
      <c r="AF148" s="1983">
        <f t="shared" si="47"/>
        <v>0</v>
      </c>
      <c r="AG148" s="1983">
        <f t="shared" si="47"/>
        <v>0</v>
      </c>
      <c r="AH148" s="1983">
        <f t="shared" si="47"/>
        <v>0</v>
      </c>
      <c r="AI148" s="1983">
        <f t="shared" si="47"/>
        <v>0</v>
      </c>
      <c r="AJ148" s="1983">
        <f t="shared" si="47"/>
        <v>0</v>
      </c>
      <c r="AK148" s="1983">
        <f t="shared" si="47"/>
        <v>0</v>
      </c>
      <c r="AL148" s="1983">
        <f t="shared" si="47"/>
        <v>0</v>
      </c>
      <c r="AM148" s="1983">
        <f t="shared" si="47"/>
        <v>0</v>
      </c>
      <c r="AN148" s="1983">
        <f t="shared" si="47"/>
        <v>0</v>
      </c>
      <c r="AO148" s="1983">
        <f t="shared" si="47"/>
        <v>0</v>
      </c>
      <c r="AP148" s="1983">
        <f t="shared" si="47"/>
        <v>0</v>
      </c>
      <c r="AQ148" s="1983">
        <f t="shared" si="47"/>
        <v>0</v>
      </c>
      <c r="AR148" s="1983">
        <f t="shared" si="47"/>
        <v>0</v>
      </c>
      <c r="AS148" s="1983">
        <f t="shared" si="47"/>
        <v>0</v>
      </c>
      <c r="AT148" s="1983">
        <f t="shared" si="47"/>
        <v>0</v>
      </c>
      <c r="AU148" s="1983">
        <f t="shared" si="47"/>
        <v>0</v>
      </c>
      <c r="AV148" s="1983">
        <f t="shared" si="47"/>
        <v>0</v>
      </c>
      <c r="AW148" s="1983">
        <f t="shared" si="47"/>
        <v>0</v>
      </c>
      <c r="AX148" s="1983">
        <f t="shared" si="47"/>
        <v>0</v>
      </c>
      <c r="AY148" s="1983">
        <f t="shared" si="47"/>
        <v>0</v>
      </c>
      <c r="AZ148" s="1983">
        <f t="shared" si="47"/>
        <v>0</v>
      </c>
      <c r="BA148" s="1983">
        <f t="shared" si="47"/>
        <v>0</v>
      </c>
      <c r="BB148" s="1983">
        <f t="shared" si="47"/>
        <v>0</v>
      </c>
      <c r="BC148" s="1983">
        <f t="shared" si="47"/>
        <v>0</v>
      </c>
      <c r="BD148" s="1983">
        <f t="shared" si="47"/>
        <v>0</v>
      </c>
      <c r="BE148" s="1983">
        <f t="shared" si="47"/>
        <v>0</v>
      </c>
      <c r="BF148" s="1983">
        <f t="shared" si="47"/>
        <v>0</v>
      </c>
      <c r="BG148" s="1983">
        <f t="shared" si="47"/>
        <v>0</v>
      </c>
      <c r="BH148" s="1983">
        <f t="shared" si="47"/>
        <v>0</v>
      </c>
      <c r="BI148" s="1983">
        <f t="shared" si="47"/>
        <v>0</v>
      </c>
      <c r="BJ148" s="1983">
        <f t="shared" si="47"/>
        <v>0</v>
      </c>
      <c r="BK148" s="1983">
        <f t="shared" si="47"/>
        <v>0</v>
      </c>
      <c r="BL148" s="1983">
        <f t="shared" si="47"/>
        <v>0</v>
      </c>
      <c r="BV148" s="1980"/>
      <c r="CA148" s="1981"/>
      <c r="CB148" s="1981"/>
      <c r="CC148" s="1981"/>
      <c r="CD148" s="1981"/>
      <c r="CE148" s="1981"/>
      <c r="CF148" s="1981"/>
      <c r="CG148" s="1981"/>
      <c r="CH148" s="1981"/>
      <c r="CI148" s="1981"/>
      <c r="CJ148" s="1981"/>
      <c r="CK148" s="1981"/>
      <c r="CL148" s="1981"/>
      <c r="CM148" s="1981"/>
      <c r="CN148" s="1981"/>
      <c r="CO148" s="1981"/>
      <c r="CP148" s="1981"/>
      <c r="CQ148" s="1981"/>
      <c r="CR148" s="1981"/>
      <c r="CS148" s="1981"/>
      <c r="CT148" s="1981"/>
      <c r="CU148" s="1981"/>
      <c r="CV148" s="1979"/>
      <c r="CW148" s="1316"/>
      <c r="CX148" s="1979"/>
      <c r="CY148" s="1981"/>
      <c r="CZ148" s="1981"/>
      <c r="DA148" s="1981"/>
      <c r="DB148" s="1981"/>
      <c r="DC148" s="1981"/>
      <c r="DD148" s="1981"/>
      <c r="DE148" s="1981"/>
      <c r="DF148" s="1981"/>
      <c r="DG148" s="1981"/>
      <c r="DH148" s="1981"/>
      <c r="DI148" s="1981"/>
      <c r="DJ148" s="1981"/>
      <c r="DK148" s="1981"/>
      <c r="DL148" s="1981"/>
      <c r="DM148" s="1981"/>
      <c r="DN148" s="1981"/>
      <c r="DO148" s="1981"/>
    </row>
    <row r="149" spans="1:119" s="1971" customFormat="1" ht="14.25" hidden="1" customHeight="1">
      <c r="A149" s="1985"/>
      <c r="B149" s="1985"/>
      <c r="C149" s="2298"/>
      <c r="D149" s="1982" t="s">
        <v>685</v>
      </c>
      <c r="E149" s="1983">
        <f>IF(OR(E131&gt;=$F$13+$H$13+$I$13*12,E131&lt;$F$13),0,$E$13*$G$13/12)</f>
        <v>0</v>
      </c>
      <c r="F149" s="1983">
        <f>IF(OR(F131&gt;=$F$13+$H$13+$I$13*12,F131&lt;$F$13),0,($E$13-SUM($E$151:F151))*$G$13/12)</f>
        <v>0</v>
      </c>
      <c r="G149" s="1983">
        <f>IF(OR(G131&gt;=$F$13+$H$13+$I$13*12,G131&lt;$F$13),0,($E$13-SUM($E$151:G151))*$G$13/12)</f>
        <v>0</v>
      </c>
      <c r="H149" s="1983">
        <f>IF(OR(H131&gt;=$F$13+$H$13+$I$13*12,H131&lt;$F$13),0,($E$13-SUM($E$151:H151))*$G$13/12)</f>
        <v>0</v>
      </c>
      <c r="I149" s="1983">
        <f>IF(OR(I131&gt;=$F$13+$H$13+$I$13*12,I131&lt;$F$13),0,($E$13-SUM($E$151:I151))*$G$13/12)</f>
        <v>0</v>
      </c>
      <c r="J149" s="1983">
        <f>IF(OR(J131&gt;=$F$13+$H$13+$I$13*12,J131&lt;$F$13),0,($E$13-SUM($E$151:J151))*$G$13/12)</f>
        <v>0</v>
      </c>
      <c r="K149" s="1983">
        <f>IF(OR(K131&gt;=$F$13+$H$13+$I$13*12,K131&lt;$F$13),0,($E$13-SUM($E$151:K151))*$G$13/12)</f>
        <v>0</v>
      </c>
      <c r="L149" s="1983">
        <f>IF(OR(L131&gt;=$F$13+$H$13+$I$13*12,L131&lt;$F$13),0,($E$13-SUM($E$151:L151))*$G$13/12)</f>
        <v>0</v>
      </c>
      <c r="M149" s="1983">
        <f>IF(OR(M131&gt;=$F$13+$H$13+$I$13*12,M131&lt;$F$13),0,($E$13-SUM($E$151:M151))*$G$13/12)</f>
        <v>0</v>
      </c>
      <c r="N149" s="1983">
        <f>IF(OR(N131&gt;=$F$13+$H$13+$I$13*12,N131&lt;$F$13),0,($E$13-SUM($E$151:N151))*$G$13/12)</f>
        <v>0</v>
      </c>
      <c r="O149" s="1983">
        <f>IF(OR(O131&gt;=$F$13+$H$13+$I$13*12,O131&lt;$F$13),0,($E$13-SUM($E$151:O151))*$G$13/12)</f>
        <v>0</v>
      </c>
      <c r="P149" s="1983">
        <f>IF(OR(P131&gt;=$F$13+$H$13+$I$13*12,P131&lt;$F$13),0,($E$13-SUM($E$151:P151))*$G$13/12)</f>
        <v>0</v>
      </c>
      <c r="Q149" s="1983">
        <f>IF(OR(Q131&gt;=$F$13+$H$13+$I$13*12,Q131&lt;$F$13),0,($E$13-SUM($E$151:Q151))*$G$13/12)</f>
        <v>0</v>
      </c>
      <c r="R149" s="1983">
        <f>IF(OR(R131&gt;=$F$13+$H$13+$I$13*12,R131&lt;$F$13),0,($E$13-SUM($E$151:R151))*$G$13/12)</f>
        <v>0</v>
      </c>
      <c r="S149" s="1983">
        <f>IF(OR(S131&gt;=$F$13+$H$13+$I$13*12,S131&lt;$F$13),0,($E$13-SUM($E$151:S151))*$G$13/12)</f>
        <v>0</v>
      </c>
      <c r="T149" s="1983">
        <f>IF(OR(T131&gt;=$F$13+$H$13+$I$13*12,T131&lt;$F$13),0,($E$13-SUM($E$151:T151))*$G$13/12)</f>
        <v>0</v>
      </c>
      <c r="U149" s="1983">
        <f>IF(OR(U131&gt;=$F$13+$H$13+$I$13*12,U131&lt;$F$13),0,($E$13-SUM($E$151:U151))*$G$13/12)</f>
        <v>0</v>
      </c>
      <c r="V149" s="1983">
        <f>IF(OR(V131&gt;=$F$13+$H$13+$I$13*12,V131&lt;$F$13),0,($E$13-SUM($E$151:V151))*$G$13/12)</f>
        <v>0</v>
      </c>
      <c r="W149" s="1983">
        <f>IF(OR(W131&gt;=$F$13+$H$13+$I$13*12,W131&lt;$F$13),0,($E$13-SUM($E$151:W151))*$G$13/12)</f>
        <v>0</v>
      </c>
      <c r="X149" s="1983">
        <f>IF(OR(X131&gt;=$F$13+$H$13+$I$13*12,X131&lt;$F$13),0,($E$13-SUM($E$151:X151))*$G$13/12)</f>
        <v>0</v>
      </c>
      <c r="Y149" s="1983">
        <f>IF(OR(Y131&gt;=$F$13+$H$13+$I$13*12,Y131&lt;$F$13),0,($E$13-SUM($E$151:Y151))*$G$13/12)</f>
        <v>0</v>
      </c>
      <c r="Z149" s="1983">
        <f>IF(OR(Z131&gt;=$F$13+$H$13+$I$13*12,Z131&lt;$F$13),0,($E$13-SUM($E$151:Z151))*$G$13/12)</f>
        <v>0</v>
      </c>
      <c r="AA149" s="1983">
        <f>IF(OR(AA131&gt;=$F$13+$H$13+$I$13*12,AA131&lt;$F$13),0,($E$13-SUM($E$151:AA151))*$G$13/12)</f>
        <v>0</v>
      </c>
      <c r="AB149" s="1983">
        <f>IF(OR(AB131&gt;=$F$13+$H$13+$I$13*12,AB131&lt;$F$13),0,($E$13-SUM($E$151:AB151))*$G$13/12)</f>
        <v>0</v>
      </c>
      <c r="AC149" s="1983">
        <f>IF(OR(AC131&gt;=$F$13+$H$13+$I$13*12,AC131&lt;$F$13),0,($E$13-SUM($E$151:AC151))*$G$13/12)</f>
        <v>0</v>
      </c>
      <c r="AD149" s="1983">
        <f>IF(OR(AD131&gt;=$F$13+$H$13+$I$13*12,AD131&lt;$F$13),0,($E$13-SUM($E$151:AD151))*$G$13/12)</f>
        <v>0</v>
      </c>
      <c r="AE149" s="1983">
        <f>IF(OR(AE131&gt;=$F$13+$H$13+$I$13*12,AE131&lt;$F$13),0,($E$13-SUM($E$151:AE151))*$G$13/12)</f>
        <v>0</v>
      </c>
      <c r="AF149" s="1983">
        <f>IF(OR(AF131&gt;=$F$13+$H$13+$I$13*12,AF131&lt;$F$13),0,($E$13-SUM($E$151:AF151))*$G$13/12)</f>
        <v>0</v>
      </c>
      <c r="AG149" s="1983">
        <f>IF(OR(AG131&gt;=$F$13+$H$13+$I$13*12,AG131&lt;$F$13),0,($E$13-SUM($E$151:AG151))*$G$13/12)</f>
        <v>0</v>
      </c>
      <c r="AH149" s="1983">
        <f>IF(OR(AH131&gt;=$F$13+$H$13+$I$13*12,AH131&lt;$F$13),0,($E$13-SUM($E$151:AH151))*$G$13/12)</f>
        <v>0</v>
      </c>
      <c r="AI149" s="1983">
        <f>IF(OR(AI131&gt;=$F$13+$H$13+$I$13*12,AI131&lt;$F$13),0,($E$13-SUM($E$151:AI151))*$G$13/12)</f>
        <v>0</v>
      </c>
      <c r="AJ149" s="1983">
        <f>IF(OR(AJ131&gt;=$F$13+$H$13+$I$13*12,AJ131&lt;$F$13),0,($E$13-SUM($E$151:AJ151))*$G$13/12)</f>
        <v>0</v>
      </c>
      <c r="AK149" s="1983">
        <f>IF(OR(AK131&gt;=$F$13+$H$13+$I$13*12,AK131&lt;$F$13),0,($E$13-SUM($E$151:AK151))*$G$13/12)</f>
        <v>0</v>
      </c>
      <c r="AL149" s="1983">
        <f>IF(OR(AL131&gt;=$F$13+$H$13+$I$13*12,AL131&lt;$F$13),0,($E$13-SUM($E$151:AL151))*$G$13/12)</f>
        <v>0</v>
      </c>
      <c r="AM149" s="1983">
        <f>IF(OR(AM131&gt;=$F$13+$H$13+$I$13*12,AM131&lt;$F$13),0,($E$13-SUM($E$151:AM151))*$G$13/12)</f>
        <v>0</v>
      </c>
      <c r="AN149" s="1983">
        <f>IF(OR(AN131&gt;=$F$13+$H$13+$I$13*12,AN131&lt;$F$13),0,($E$13-SUM($E$151:AN151))*$G$13/12)</f>
        <v>0</v>
      </c>
      <c r="AO149" s="1983">
        <f>IF(OR(AO131&gt;=$F$13+$H$13+$I$13*12,AO131&lt;$F$13),0,($E$13-SUM($E$151:AO151))*$G$13/12)</f>
        <v>0</v>
      </c>
      <c r="AP149" s="1983">
        <f>IF(OR(AP131&gt;=$F$13+$H$13+$I$13*12,AP131&lt;$F$13),0,($E$13-SUM($E$151:AP151))*$G$13/12)</f>
        <v>0</v>
      </c>
      <c r="AQ149" s="1983">
        <f>IF(OR(AQ131&gt;=$F$13+$H$13+$I$13*12,AQ131&lt;$F$13),0,($E$13-SUM($E$151:AQ151))*$G$13/12)</f>
        <v>0</v>
      </c>
      <c r="AR149" s="1983">
        <f>IF(OR(AR131&gt;=$F$13+$H$13+$I$13*12,AR131&lt;$F$13),0,($E$13-SUM($E$151:AR151))*$G$13/12)</f>
        <v>0</v>
      </c>
      <c r="AS149" s="1983">
        <f>IF(OR(AS131&gt;=$F$13+$H$13+$I$13*12,AS131&lt;$F$13),0,($E$13-SUM($E$151:AS151))*$G$13/12)</f>
        <v>0</v>
      </c>
      <c r="AT149" s="1983">
        <f>IF(OR(AT131&gt;=$F$13+$H$13+$I$13*12,AT131&lt;$F$13),0,($E$13-SUM($E$151:AT151))*$G$13/12)</f>
        <v>0</v>
      </c>
      <c r="AU149" s="1983">
        <f>IF(OR(AU131&gt;=$F$13+$H$13+$I$13*12,AU131&lt;$F$13),0,($E$13-SUM($E$151:AU151))*$G$13/12)</f>
        <v>0</v>
      </c>
      <c r="AV149" s="1983">
        <f>IF(OR(AV131&gt;=$F$13+$H$13+$I$13*12,AV131&lt;$F$13),0,($E$13-SUM($E$151:AV151))*$G$13/12)</f>
        <v>0</v>
      </c>
      <c r="AW149" s="1983">
        <f>IF(OR(AW131&gt;=$F$13+$H$13+$I$13*12,AW131&lt;$F$13),0,($E$13-SUM($E$151:AW151))*$G$13/12)</f>
        <v>0</v>
      </c>
      <c r="AX149" s="1983">
        <f>IF(OR(AX131&gt;=$F$13+$H$13+$I$13*12,AX131&lt;$F$13),0,($E$13-SUM($E$151:AX151))*$G$13/12)</f>
        <v>0</v>
      </c>
      <c r="AY149" s="1983">
        <f>IF(OR(AY131&gt;=$F$13+$H$13+$I$13*12,AY131&lt;$F$13),0,($E$13-SUM($E$151:AY151))*$G$13/12)</f>
        <v>0</v>
      </c>
      <c r="AZ149" s="1983">
        <f>IF(OR(AZ131&gt;=$F$13+$H$13+$I$13*12,AZ131&lt;$F$13),0,($E$13-SUM($E$151:AZ151))*$G$13/12)</f>
        <v>0</v>
      </c>
      <c r="BA149" s="1983">
        <f>IF(OR(BA131&gt;=$F$13+$H$13+$I$13*12,BA131&lt;$F$13),0,($E$13-SUM($E$151:BA151))*$G$13/12)</f>
        <v>0</v>
      </c>
      <c r="BB149" s="1983">
        <f>IF(OR(BB131&gt;=$F$13+$H$13+$I$13*12,BB131&lt;$F$13),0,($E$13-SUM($E$151:BB151))*$G$13/12)</f>
        <v>0</v>
      </c>
      <c r="BC149" s="1983">
        <f>IF(OR(BC131&gt;=$F$13+$H$13+$I$13*12,BC131&lt;$F$13),0,($E$13-SUM($E$151:BC151))*$G$13/12)</f>
        <v>0</v>
      </c>
      <c r="BD149" s="1983">
        <f>IF(OR(BD131&gt;=$F$13+$H$13+$I$13*12,BD131&lt;$F$13),0,($E$13-SUM($E$151:BD151))*$G$13/12)</f>
        <v>0</v>
      </c>
      <c r="BE149" s="1983">
        <f>IF(OR(BE131&gt;=$F$13+$H$13+$I$13*12,BE131&lt;$F$13),0,($E$13-SUM($E$151:BE151))*$G$13/12)</f>
        <v>0</v>
      </c>
      <c r="BF149" s="1983">
        <f>IF(OR(BF131&gt;=$F$13+$H$13+$I$13*12,BF131&lt;$F$13),0,($E$13-SUM($E$151:BF151))*$G$13/12)</f>
        <v>0</v>
      </c>
      <c r="BG149" s="1983">
        <f>IF(OR(BG131&gt;=$F$13+$H$13+$I$13*12,BG131&lt;$F$13),0,($E$13-SUM($E$151:BG151))*$G$13/12)</f>
        <v>0</v>
      </c>
      <c r="BH149" s="1983">
        <f>IF(OR(BH131&gt;=$F$13+$H$13+$I$13*12,BH131&lt;$F$13),0,($E$13-SUM($E$151:BH151))*$G$13/12)</f>
        <v>0</v>
      </c>
      <c r="BI149" s="1983">
        <f>IF(OR(BI131&gt;=$F$13+$H$13+$I$13*12,BI131&lt;$F$13),0,($E$13-SUM($E$151:BI151))*$G$13/12)</f>
        <v>0</v>
      </c>
      <c r="BJ149" s="1983">
        <f>IF(OR(BJ131&gt;=$F$13+$H$13+$I$13*12,BJ131&lt;$F$13),0,($E$13-SUM($E$151:BJ151))*$G$13/12)</f>
        <v>0</v>
      </c>
      <c r="BK149" s="1983">
        <f>IF(OR(BK131&gt;=$F$13+$H$13+$I$13*12,BK131&lt;$F$13),0,($E$13-SUM($E$151:BK151))*$G$13/12)</f>
        <v>0</v>
      </c>
      <c r="BL149" s="1983">
        <f>IF(OR(BL131&gt;=$F$13+$H$13+$I$13*12,BL131&lt;$F$13),0,($E$13-SUM($E$151:BL151))*$G$13/12)</f>
        <v>0</v>
      </c>
      <c r="BV149" s="1980"/>
      <c r="CA149" s="1981"/>
      <c r="CB149" s="1981"/>
      <c r="CC149" s="1981"/>
      <c r="CD149" s="1981"/>
      <c r="CE149" s="1981"/>
      <c r="CF149" s="1981"/>
      <c r="CG149" s="1981"/>
      <c r="CH149" s="1981"/>
      <c r="CI149" s="1981"/>
      <c r="CJ149" s="1981"/>
      <c r="CK149" s="1981"/>
      <c r="CL149" s="1981"/>
      <c r="CM149" s="1981"/>
      <c r="CN149" s="1981"/>
      <c r="CO149" s="1981"/>
      <c r="CP149" s="1981"/>
      <c r="CQ149" s="1981"/>
      <c r="CR149" s="1981"/>
      <c r="CS149" s="1981"/>
      <c r="CT149" s="1981"/>
      <c r="CU149" s="1981"/>
      <c r="CV149" s="1979"/>
      <c r="CW149" s="1316"/>
      <c r="CX149" s="1979"/>
      <c r="CY149" s="1981"/>
      <c r="CZ149" s="1981"/>
      <c r="DA149" s="1981"/>
      <c r="DB149" s="1981"/>
      <c r="DC149" s="1981"/>
      <c r="DD149" s="1981"/>
      <c r="DE149" s="1981"/>
      <c r="DF149" s="1981"/>
      <c r="DG149" s="1981"/>
      <c r="DH149" s="1981"/>
      <c r="DI149" s="1981"/>
      <c r="DJ149" s="1981"/>
      <c r="DK149" s="1981"/>
      <c r="DL149" s="1981"/>
      <c r="DM149" s="1981"/>
      <c r="DN149" s="1981"/>
      <c r="DO149" s="1981"/>
    </row>
    <row r="150" spans="1:119" s="1971" customFormat="1" ht="14.25" hidden="1" customHeight="1">
      <c r="A150" s="1985"/>
      <c r="B150" s="1985"/>
      <c r="C150" s="2298"/>
      <c r="D150" s="1982" t="s">
        <v>120</v>
      </c>
      <c r="E150" s="1983">
        <f t="shared" ref="E150:BL150" si="48">IF($F$13+$H$13=E131,IF($I$13=0,0,$E$13/($I$13*12)),0)</f>
        <v>0</v>
      </c>
      <c r="F150" s="1983">
        <f t="shared" si="48"/>
        <v>0</v>
      </c>
      <c r="G150" s="1983">
        <f t="shared" si="48"/>
        <v>0</v>
      </c>
      <c r="H150" s="1983">
        <f t="shared" si="48"/>
        <v>0</v>
      </c>
      <c r="I150" s="1983">
        <f t="shared" si="48"/>
        <v>0</v>
      </c>
      <c r="J150" s="1983">
        <f t="shared" si="48"/>
        <v>0</v>
      </c>
      <c r="K150" s="1983">
        <f t="shared" si="48"/>
        <v>0</v>
      </c>
      <c r="L150" s="1983">
        <f t="shared" si="48"/>
        <v>0</v>
      </c>
      <c r="M150" s="1983">
        <f t="shared" si="48"/>
        <v>0</v>
      </c>
      <c r="N150" s="1983">
        <f t="shared" si="48"/>
        <v>0</v>
      </c>
      <c r="O150" s="1983">
        <f t="shared" si="48"/>
        <v>0</v>
      </c>
      <c r="P150" s="1983">
        <f t="shared" si="48"/>
        <v>0</v>
      </c>
      <c r="Q150" s="1983">
        <f t="shared" si="48"/>
        <v>0</v>
      </c>
      <c r="R150" s="1983">
        <f t="shared" si="48"/>
        <v>0</v>
      </c>
      <c r="S150" s="1983">
        <f t="shared" si="48"/>
        <v>0</v>
      </c>
      <c r="T150" s="1983">
        <f t="shared" si="48"/>
        <v>0</v>
      </c>
      <c r="U150" s="1983">
        <f t="shared" si="48"/>
        <v>0</v>
      </c>
      <c r="V150" s="1984">
        <f t="shared" si="48"/>
        <v>0</v>
      </c>
      <c r="W150" s="1984">
        <f t="shared" si="48"/>
        <v>0</v>
      </c>
      <c r="X150" s="1984">
        <f t="shared" si="48"/>
        <v>0</v>
      </c>
      <c r="Y150" s="1984">
        <f t="shared" si="48"/>
        <v>0</v>
      </c>
      <c r="Z150" s="1984">
        <f t="shared" si="48"/>
        <v>0</v>
      </c>
      <c r="AA150" s="1983">
        <f t="shared" si="48"/>
        <v>0</v>
      </c>
      <c r="AB150" s="1983">
        <f t="shared" si="48"/>
        <v>0</v>
      </c>
      <c r="AC150" s="1983">
        <f t="shared" si="48"/>
        <v>0</v>
      </c>
      <c r="AD150" s="1983">
        <f t="shared" si="48"/>
        <v>0</v>
      </c>
      <c r="AE150" s="1983">
        <f t="shared" si="48"/>
        <v>0</v>
      </c>
      <c r="AF150" s="1983">
        <f t="shared" si="48"/>
        <v>0</v>
      </c>
      <c r="AG150" s="1983">
        <f t="shared" si="48"/>
        <v>0</v>
      </c>
      <c r="AH150" s="1983">
        <f t="shared" si="48"/>
        <v>0</v>
      </c>
      <c r="AI150" s="1983">
        <f t="shared" si="48"/>
        <v>0</v>
      </c>
      <c r="AJ150" s="1983">
        <f t="shared" si="48"/>
        <v>0</v>
      </c>
      <c r="AK150" s="1983">
        <f t="shared" si="48"/>
        <v>0</v>
      </c>
      <c r="AL150" s="1983">
        <f t="shared" si="48"/>
        <v>0</v>
      </c>
      <c r="AM150" s="1983">
        <f t="shared" si="48"/>
        <v>0</v>
      </c>
      <c r="AN150" s="1983">
        <f t="shared" si="48"/>
        <v>0</v>
      </c>
      <c r="AO150" s="1983">
        <f t="shared" si="48"/>
        <v>0</v>
      </c>
      <c r="AP150" s="1983">
        <f t="shared" si="48"/>
        <v>0</v>
      </c>
      <c r="AQ150" s="1983">
        <f t="shared" si="48"/>
        <v>0</v>
      </c>
      <c r="AR150" s="1983">
        <f t="shared" si="48"/>
        <v>0</v>
      </c>
      <c r="AS150" s="1983">
        <f t="shared" si="48"/>
        <v>0</v>
      </c>
      <c r="AT150" s="1983">
        <f t="shared" si="48"/>
        <v>0</v>
      </c>
      <c r="AU150" s="1983">
        <f t="shared" si="48"/>
        <v>0</v>
      </c>
      <c r="AV150" s="1983">
        <f t="shared" si="48"/>
        <v>0</v>
      </c>
      <c r="AW150" s="1983">
        <f t="shared" si="48"/>
        <v>0</v>
      </c>
      <c r="AX150" s="1983">
        <f t="shared" si="48"/>
        <v>0</v>
      </c>
      <c r="AY150" s="1983">
        <f t="shared" si="48"/>
        <v>0</v>
      </c>
      <c r="AZ150" s="1983">
        <f t="shared" si="48"/>
        <v>0</v>
      </c>
      <c r="BA150" s="1983">
        <f t="shared" si="48"/>
        <v>0</v>
      </c>
      <c r="BB150" s="1983">
        <f t="shared" si="48"/>
        <v>0</v>
      </c>
      <c r="BC150" s="1983">
        <f t="shared" si="48"/>
        <v>0</v>
      </c>
      <c r="BD150" s="1983">
        <f t="shared" si="48"/>
        <v>0</v>
      </c>
      <c r="BE150" s="1983">
        <f t="shared" si="48"/>
        <v>0</v>
      </c>
      <c r="BF150" s="1983">
        <f t="shared" si="48"/>
        <v>0</v>
      </c>
      <c r="BG150" s="1983">
        <f t="shared" si="48"/>
        <v>0</v>
      </c>
      <c r="BH150" s="1983">
        <f t="shared" si="48"/>
        <v>0</v>
      </c>
      <c r="BI150" s="1983">
        <f t="shared" si="48"/>
        <v>0</v>
      </c>
      <c r="BJ150" s="1983">
        <f t="shared" si="48"/>
        <v>0</v>
      </c>
      <c r="BK150" s="1983">
        <f t="shared" si="48"/>
        <v>0</v>
      </c>
      <c r="BL150" s="1983">
        <f t="shared" si="48"/>
        <v>0</v>
      </c>
      <c r="BV150" s="1980"/>
      <c r="CA150" s="1981"/>
      <c r="CB150" s="1981"/>
      <c r="CC150" s="1981"/>
      <c r="CD150" s="1981"/>
      <c r="CE150" s="1981"/>
      <c r="CF150" s="1981"/>
      <c r="CG150" s="1981"/>
      <c r="CH150" s="1981"/>
      <c r="CI150" s="1981"/>
      <c r="CJ150" s="1981"/>
      <c r="CK150" s="1981"/>
      <c r="CL150" s="1981"/>
      <c r="CM150" s="1981"/>
      <c r="CN150" s="1981"/>
      <c r="CO150" s="1981"/>
      <c r="CP150" s="1981"/>
      <c r="CQ150" s="1981"/>
      <c r="CR150" s="1981"/>
      <c r="CS150" s="1981"/>
      <c r="CT150" s="1981"/>
      <c r="CU150" s="1981"/>
      <c r="CV150" s="1979"/>
      <c r="CW150" s="1316"/>
      <c r="CX150" s="1979"/>
      <c r="CY150" s="1981"/>
      <c r="CZ150" s="1981"/>
      <c r="DA150" s="1981"/>
      <c r="DB150" s="1981"/>
      <c r="DC150" s="1981"/>
      <c r="DD150" s="1981"/>
      <c r="DE150" s="1981"/>
      <c r="DF150" s="1981"/>
      <c r="DG150" s="1981"/>
      <c r="DH150" s="1981"/>
      <c r="DI150" s="1981"/>
      <c r="DJ150" s="1981"/>
      <c r="DK150" s="1981"/>
      <c r="DL150" s="1981"/>
      <c r="DM150" s="1981"/>
      <c r="DN150" s="1981"/>
      <c r="DO150" s="1981"/>
    </row>
    <row r="151" spans="1:119" s="1971" customFormat="1" ht="14.25" hidden="1" customHeight="1">
      <c r="A151" s="1985"/>
      <c r="B151" s="1985"/>
      <c r="C151" s="2298"/>
      <c r="D151" s="1982" t="s">
        <v>686</v>
      </c>
      <c r="E151" s="1983">
        <f t="shared" ref="E151:BL151" si="49">IF(OR(E131&gt;=$F$13+$H$13+$I$13*12,E131&lt;$F$13+$H$13),0,IF($I$13=0,0,$E$13/($I$13*12)))</f>
        <v>0</v>
      </c>
      <c r="F151" s="1983">
        <f t="shared" si="49"/>
        <v>0</v>
      </c>
      <c r="G151" s="1983">
        <f t="shared" si="49"/>
        <v>0</v>
      </c>
      <c r="H151" s="1983">
        <f t="shared" si="49"/>
        <v>0</v>
      </c>
      <c r="I151" s="1983">
        <f t="shared" si="49"/>
        <v>0</v>
      </c>
      <c r="J151" s="1983">
        <f t="shared" si="49"/>
        <v>0</v>
      </c>
      <c r="K151" s="1983">
        <f t="shared" si="49"/>
        <v>0</v>
      </c>
      <c r="L151" s="1983">
        <f t="shared" si="49"/>
        <v>0</v>
      </c>
      <c r="M151" s="1983">
        <f t="shared" si="49"/>
        <v>0</v>
      </c>
      <c r="N151" s="1983">
        <f t="shared" si="49"/>
        <v>0</v>
      </c>
      <c r="O151" s="1983">
        <f t="shared" si="49"/>
        <v>0</v>
      </c>
      <c r="P151" s="1983">
        <f>IF(OR(P131&gt;=$F$13+$H$13+$I$13*12,P131&lt;$F$13+$H$13),0,IF($I$13=0,0,$E$13/($I$13*12)))</f>
        <v>0</v>
      </c>
      <c r="Q151" s="1983">
        <f t="shared" si="49"/>
        <v>0</v>
      </c>
      <c r="R151" s="1983">
        <f t="shared" si="49"/>
        <v>0</v>
      </c>
      <c r="S151" s="1983">
        <f t="shared" si="49"/>
        <v>0</v>
      </c>
      <c r="T151" s="1983">
        <f t="shared" si="49"/>
        <v>0</v>
      </c>
      <c r="U151" s="1983">
        <f t="shared" si="49"/>
        <v>0</v>
      </c>
      <c r="V151" s="1984">
        <f t="shared" si="49"/>
        <v>0</v>
      </c>
      <c r="W151" s="1984">
        <f t="shared" si="49"/>
        <v>0</v>
      </c>
      <c r="X151" s="1984">
        <f t="shared" si="49"/>
        <v>0</v>
      </c>
      <c r="Y151" s="1984">
        <f t="shared" si="49"/>
        <v>0</v>
      </c>
      <c r="Z151" s="1984">
        <f t="shared" si="49"/>
        <v>0</v>
      </c>
      <c r="AA151" s="1983">
        <f t="shared" si="49"/>
        <v>0</v>
      </c>
      <c r="AB151" s="1983">
        <f t="shared" si="49"/>
        <v>0</v>
      </c>
      <c r="AC151" s="1983">
        <f t="shared" si="49"/>
        <v>0</v>
      </c>
      <c r="AD151" s="1983">
        <f t="shared" si="49"/>
        <v>0</v>
      </c>
      <c r="AE151" s="1983">
        <f t="shared" si="49"/>
        <v>0</v>
      </c>
      <c r="AF151" s="1983">
        <f t="shared" si="49"/>
        <v>0</v>
      </c>
      <c r="AG151" s="1983">
        <f t="shared" si="49"/>
        <v>0</v>
      </c>
      <c r="AH151" s="1983">
        <f t="shared" si="49"/>
        <v>0</v>
      </c>
      <c r="AI151" s="1983">
        <f t="shared" si="49"/>
        <v>0</v>
      </c>
      <c r="AJ151" s="1983">
        <f t="shared" si="49"/>
        <v>0</v>
      </c>
      <c r="AK151" s="1983">
        <f t="shared" si="49"/>
        <v>0</v>
      </c>
      <c r="AL151" s="1983">
        <f t="shared" si="49"/>
        <v>0</v>
      </c>
      <c r="AM151" s="1983">
        <f t="shared" si="49"/>
        <v>0</v>
      </c>
      <c r="AN151" s="1983">
        <f t="shared" si="49"/>
        <v>0</v>
      </c>
      <c r="AO151" s="1983">
        <f t="shared" si="49"/>
        <v>0</v>
      </c>
      <c r="AP151" s="1983">
        <f t="shared" si="49"/>
        <v>0</v>
      </c>
      <c r="AQ151" s="1983">
        <f t="shared" si="49"/>
        <v>0</v>
      </c>
      <c r="AR151" s="1983">
        <f t="shared" si="49"/>
        <v>0</v>
      </c>
      <c r="AS151" s="1983">
        <f t="shared" si="49"/>
        <v>0</v>
      </c>
      <c r="AT151" s="1983">
        <f t="shared" si="49"/>
        <v>0</v>
      </c>
      <c r="AU151" s="1983">
        <f t="shared" si="49"/>
        <v>0</v>
      </c>
      <c r="AV151" s="1983">
        <f t="shared" si="49"/>
        <v>0</v>
      </c>
      <c r="AW151" s="1983">
        <f t="shared" si="49"/>
        <v>0</v>
      </c>
      <c r="AX151" s="1983">
        <f t="shared" si="49"/>
        <v>0</v>
      </c>
      <c r="AY151" s="1983">
        <f t="shared" si="49"/>
        <v>0</v>
      </c>
      <c r="AZ151" s="1983">
        <f t="shared" si="49"/>
        <v>0</v>
      </c>
      <c r="BA151" s="1983">
        <f t="shared" si="49"/>
        <v>0</v>
      </c>
      <c r="BB151" s="1983">
        <f t="shared" si="49"/>
        <v>0</v>
      </c>
      <c r="BC151" s="1983">
        <f t="shared" si="49"/>
        <v>0</v>
      </c>
      <c r="BD151" s="1983">
        <f t="shared" si="49"/>
        <v>0</v>
      </c>
      <c r="BE151" s="1983">
        <f t="shared" si="49"/>
        <v>0</v>
      </c>
      <c r="BF151" s="1983">
        <f t="shared" si="49"/>
        <v>0</v>
      </c>
      <c r="BG151" s="1983">
        <f t="shared" si="49"/>
        <v>0</v>
      </c>
      <c r="BH151" s="1983">
        <f t="shared" si="49"/>
        <v>0</v>
      </c>
      <c r="BI151" s="1983">
        <f t="shared" si="49"/>
        <v>0</v>
      </c>
      <c r="BJ151" s="1983">
        <f t="shared" si="49"/>
        <v>0</v>
      </c>
      <c r="BK151" s="1983">
        <f t="shared" si="49"/>
        <v>0</v>
      </c>
      <c r="BL151" s="1983">
        <f t="shared" si="49"/>
        <v>0</v>
      </c>
      <c r="BV151" s="1980"/>
      <c r="CA151" s="1981"/>
      <c r="CB151" s="1981"/>
      <c r="CC151" s="1981"/>
      <c r="CD151" s="1981"/>
      <c r="CE151" s="1981"/>
      <c r="CF151" s="1981"/>
      <c r="CG151" s="1981"/>
      <c r="CH151" s="1981"/>
      <c r="CI151" s="1981"/>
      <c r="CJ151" s="1981"/>
      <c r="CK151" s="1981"/>
      <c r="CL151" s="1981"/>
      <c r="CM151" s="1981"/>
      <c r="CN151" s="1981"/>
      <c r="CO151" s="1981"/>
      <c r="CP151" s="1981"/>
      <c r="CQ151" s="1981"/>
      <c r="CR151" s="1981"/>
      <c r="CS151" s="1981"/>
      <c r="CT151" s="1981"/>
      <c r="CU151" s="1981"/>
      <c r="CV151" s="1979"/>
      <c r="CW151" s="1316"/>
      <c r="CX151" s="1979"/>
      <c r="CY151" s="1981"/>
      <c r="CZ151" s="1981"/>
      <c r="DA151" s="1981"/>
      <c r="DB151" s="1981"/>
      <c r="DC151" s="1981"/>
      <c r="DD151" s="1981"/>
      <c r="DE151" s="1981"/>
      <c r="DF151" s="1981"/>
      <c r="DG151" s="1981"/>
      <c r="DH151" s="1981"/>
      <c r="DI151" s="1981"/>
      <c r="DJ151" s="1981"/>
      <c r="DK151" s="1981"/>
      <c r="DL151" s="1981"/>
      <c r="DM151" s="1981"/>
      <c r="DN151" s="1981"/>
      <c r="DO151" s="1981"/>
    </row>
    <row r="152" spans="1:119" s="1971" customFormat="1" ht="14.25" hidden="1" customHeight="1">
      <c r="C152" s="2298" t="str">
        <f>D14</f>
        <v>für Nachhaltigkeit</v>
      </c>
      <c r="D152" s="1982" t="s">
        <v>683</v>
      </c>
      <c r="E152" s="1983">
        <f ca="1">IF($E130=$D$1,IF(E131=$F$14,$E$14,0),0)</f>
        <v>0</v>
      </c>
      <c r="F152" s="1983">
        <f t="shared" ref="F152:BL152" ca="1" si="50">IF($E130=$D$1,IF(F131=$F$14,$E$14,0),0)</f>
        <v>0</v>
      </c>
      <c r="G152" s="1983">
        <f t="shared" ca="1" si="50"/>
        <v>0</v>
      </c>
      <c r="H152" s="1983">
        <f t="shared" ca="1" si="50"/>
        <v>0</v>
      </c>
      <c r="I152" s="1983">
        <f t="shared" ca="1" si="50"/>
        <v>0</v>
      </c>
      <c r="J152" s="1983">
        <f t="shared" ca="1" si="50"/>
        <v>0</v>
      </c>
      <c r="K152" s="1983">
        <f t="shared" ca="1" si="50"/>
        <v>0</v>
      </c>
      <c r="L152" s="1983">
        <f t="shared" ca="1" si="50"/>
        <v>0</v>
      </c>
      <c r="M152" s="1983">
        <f t="shared" ca="1" si="50"/>
        <v>0</v>
      </c>
      <c r="N152" s="1983">
        <f t="shared" ca="1" si="50"/>
        <v>0</v>
      </c>
      <c r="O152" s="1983">
        <f t="shared" ca="1" si="50"/>
        <v>0</v>
      </c>
      <c r="P152" s="1983">
        <f t="shared" ca="1" si="50"/>
        <v>0</v>
      </c>
      <c r="Q152" s="1983">
        <f t="shared" ca="1" si="50"/>
        <v>0</v>
      </c>
      <c r="R152" s="1983">
        <f t="shared" ca="1" si="50"/>
        <v>0</v>
      </c>
      <c r="S152" s="1983">
        <f t="shared" ca="1" si="50"/>
        <v>0</v>
      </c>
      <c r="T152" s="1983">
        <f t="shared" ca="1" si="50"/>
        <v>0</v>
      </c>
      <c r="U152" s="1983">
        <f t="shared" ca="1" si="50"/>
        <v>0</v>
      </c>
      <c r="V152" s="1984">
        <f t="shared" ca="1" si="50"/>
        <v>0</v>
      </c>
      <c r="W152" s="1984">
        <f t="shared" ca="1" si="50"/>
        <v>0</v>
      </c>
      <c r="X152" s="1984">
        <f t="shared" ca="1" si="50"/>
        <v>0</v>
      </c>
      <c r="Y152" s="1984">
        <f t="shared" ca="1" si="50"/>
        <v>0</v>
      </c>
      <c r="Z152" s="1984">
        <f t="shared" ca="1" si="50"/>
        <v>0</v>
      </c>
      <c r="AA152" s="1983">
        <f t="shared" ca="1" si="50"/>
        <v>0</v>
      </c>
      <c r="AB152" s="1983">
        <f t="shared" ca="1" si="50"/>
        <v>0</v>
      </c>
      <c r="AC152" s="1983">
        <f t="shared" ca="1" si="50"/>
        <v>0</v>
      </c>
      <c r="AD152" s="1983">
        <f t="shared" ca="1" si="50"/>
        <v>0</v>
      </c>
      <c r="AE152" s="1983">
        <f t="shared" ca="1" si="50"/>
        <v>0</v>
      </c>
      <c r="AF152" s="1983">
        <f t="shared" ca="1" si="50"/>
        <v>0</v>
      </c>
      <c r="AG152" s="1983">
        <f t="shared" ca="1" si="50"/>
        <v>0</v>
      </c>
      <c r="AH152" s="1983">
        <f t="shared" ca="1" si="50"/>
        <v>0</v>
      </c>
      <c r="AI152" s="1983">
        <f t="shared" ca="1" si="50"/>
        <v>0</v>
      </c>
      <c r="AJ152" s="1983">
        <f t="shared" ca="1" si="50"/>
        <v>0</v>
      </c>
      <c r="AK152" s="1983">
        <f t="shared" ca="1" si="50"/>
        <v>0</v>
      </c>
      <c r="AL152" s="1983">
        <f t="shared" ca="1" si="50"/>
        <v>0</v>
      </c>
      <c r="AM152" s="1983">
        <f t="shared" ca="1" si="50"/>
        <v>0</v>
      </c>
      <c r="AN152" s="1983">
        <f t="shared" ca="1" si="50"/>
        <v>0</v>
      </c>
      <c r="AO152" s="1983">
        <f t="shared" ca="1" si="50"/>
        <v>0</v>
      </c>
      <c r="AP152" s="1983">
        <f t="shared" ca="1" si="50"/>
        <v>0</v>
      </c>
      <c r="AQ152" s="1983">
        <f t="shared" ca="1" si="50"/>
        <v>0</v>
      </c>
      <c r="AR152" s="1983">
        <f t="shared" ca="1" si="50"/>
        <v>0</v>
      </c>
      <c r="AS152" s="1983">
        <f t="shared" ca="1" si="50"/>
        <v>0</v>
      </c>
      <c r="AT152" s="1983">
        <f t="shared" ca="1" si="50"/>
        <v>0</v>
      </c>
      <c r="AU152" s="1983">
        <f t="shared" ca="1" si="50"/>
        <v>0</v>
      </c>
      <c r="AV152" s="1983">
        <f t="shared" ca="1" si="50"/>
        <v>0</v>
      </c>
      <c r="AW152" s="1983">
        <f t="shared" ca="1" si="50"/>
        <v>0</v>
      </c>
      <c r="AX152" s="1983">
        <f t="shared" ca="1" si="50"/>
        <v>0</v>
      </c>
      <c r="AY152" s="1983">
        <f t="shared" ca="1" si="50"/>
        <v>0</v>
      </c>
      <c r="AZ152" s="1983">
        <f t="shared" ca="1" si="50"/>
        <v>0</v>
      </c>
      <c r="BA152" s="1983">
        <f t="shared" ca="1" si="50"/>
        <v>0</v>
      </c>
      <c r="BB152" s="1983">
        <f t="shared" ca="1" si="50"/>
        <v>0</v>
      </c>
      <c r="BC152" s="1983">
        <f t="shared" ca="1" si="50"/>
        <v>0</v>
      </c>
      <c r="BD152" s="1983">
        <f t="shared" ca="1" si="50"/>
        <v>0</v>
      </c>
      <c r="BE152" s="1983">
        <f t="shared" ca="1" si="50"/>
        <v>0</v>
      </c>
      <c r="BF152" s="1983">
        <f t="shared" ca="1" si="50"/>
        <v>0</v>
      </c>
      <c r="BG152" s="1983">
        <f t="shared" ca="1" si="50"/>
        <v>0</v>
      </c>
      <c r="BH152" s="1983">
        <f t="shared" ca="1" si="50"/>
        <v>0</v>
      </c>
      <c r="BI152" s="1983">
        <f t="shared" ca="1" si="50"/>
        <v>0</v>
      </c>
      <c r="BJ152" s="1983">
        <f t="shared" ca="1" si="50"/>
        <v>0</v>
      </c>
      <c r="BK152" s="1983">
        <f t="shared" ca="1" si="50"/>
        <v>0</v>
      </c>
      <c r="BL152" s="1983">
        <f t="shared" ca="1" si="50"/>
        <v>0</v>
      </c>
      <c r="BV152" s="1980"/>
      <c r="CA152" s="1981"/>
      <c r="CB152" s="1981"/>
      <c r="CC152" s="1981"/>
      <c r="CD152" s="1981"/>
      <c r="CE152" s="1981"/>
      <c r="CF152" s="1981"/>
      <c r="CG152" s="1981"/>
      <c r="CH152" s="1981"/>
      <c r="CI152" s="1981"/>
      <c r="CJ152" s="1981"/>
      <c r="CK152" s="1981"/>
      <c r="CL152" s="1981"/>
      <c r="CM152" s="1981"/>
      <c r="CN152" s="1981"/>
      <c r="CO152" s="1981"/>
      <c r="CP152" s="1981"/>
      <c r="CQ152" s="1981"/>
      <c r="CR152" s="1981"/>
      <c r="CS152" s="1981"/>
      <c r="CT152" s="1981"/>
      <c r="CU152" s="1981"/>
      <c r="CV152" s="1979"/>
      <c r="CW152" s="1316"/>
      <c r="CX152" s="1979"/>
      <c r="CY152" s="1981"/>
      <c r="CZ152" s="1981"/>
      <c r="DA152" s="1981"/>
      <c r="DB152" s="1981"/>
      <c r="DC152" s="1981"/>
      <c r="DD152" s="1981"/>
      <c r="DE152" s="1981"/>
      <c r="DF152" s="1981"/>
      <c r="DG152" s="1981"/>
      <c r="DH152" s="1981"/>
      <c r="DI152" s="1981"/>
      <c r="DJ152" s="1981"/>
      <c r="DK152" s="1981"/>
      <c r="DL152" s="1981"/>
      <c r="DM152" s="1981"/>
      <c r="DN152" s="1981"/>
      <c r="DO152" s="1981"/>
    </row>
    <row r="153" spans="1:119" s="1971" customFormat="1" ht="14.25" hidden="1" customHeight="1">
      <c r="C153" s="2298"/>
      <c r="D153" s="1982" t="s">
        <v>684</v>
      </c>
      <c r="E153" s="1983">
        <f>IF($F$14=E131,($E$14*$G$14)/12,0)</f>
        <v>0</v>
      </c>
      <c r="F153" s="1983">
        <f t="shared" ref="F153:BL153" si="51">IF($F$14=F131,($E$14*$G$14)/12,0)</f>
        <v>0</v>
      </c>
      <c r="G153" s="1983">
        <f t="shared" si="51"/>
        <v>0</v>
      </c>
      <c r="H153" s="1983">
        <f t="shared" si="51"/>
        <v>0</v>
      </c>
      <c r="I153" s="1983">
        <f t="shared" si="51"/>
        <v>0</v>
      </c>
      <c r="J153" s="1983">
        <f t="shared" si="51"/>
        <v>0</v>
      </c>
      <c r="K153" s="1983">
        <f t="shared" si="51"/>
        <v>0</v>
      </c>
      <c r="L153" s="1983">
        <f t="shared" si="51"/>
        <v>0</v>
      </c>
      <c r="M153" s="1983">
        <f t="shared" si="51"/>
        <v>0</v>
      </c>
      <c r="N153" s="1983">
        <f t="shared" si="51"/>
        <v>0</v>
      </c>
      <c r="O153" s="1983">
        <f t="shared" si="51"/>
        <v>0</v>
      </c>
      <c r="P153" s="1983">
        <f t="shared" si="51"/>
        <v>0</v>
      </c>
      <c r="Q153" s="1983">
        <f t="shared" si="51"/>
        <v>0</v>
      </c>
      <c r="R153" s="1983">
        <f t="shared" si="51"/>
        <v>0</v>
      </c>
      <c r="S153" s="1983">
        <f t="shared" si="51"/>
        <v>0</v>
      </c>
      <c r="T153" s="1983">
        <f t="shared" si="51"/>
        <v>0</v>
      </c>
      <c r="U153" s="1983">
        <f t="shared" si="51"/>
        <v>0</v>
      </c>
      <c r="V153" s="1984">
        <f t="shared" si="51"/>
        <v>0</v>
      </c>
      <c r="W153" s="1984">
        <f t="shared" si="51"/>
        <v>0</v>
      </c>
      <c r="X153" s="1984">
        <f t="shared" si="51"/>
        <v>0</v>
      </c>
      <c r="Y153" s="1984">
        <f t="shared" si="51"/>
        <v>0</v>
      </c>
      <c r="Z153" s="1984">
        <f t="shared" si="51"/>
        <v>0</v>
      </c>
      <c r="AA153" s="1983">
        <f t="shared" si="51"/>
        <v>0</v>
      </c>
      <c r="AB153" s="1983">
        <f t="shared" si="51"/>
        <v>0</v>
      </c>
      <c r="AC153" s="1983">
        <f t="shared" si="51"/>
        <v>0</v>
      </c>
      <c r="AD153" s="1983">
        <f t="shared" si="51"/>
        <v>0</v>
      </c>
      <c r="AE153" s="1983">
        <f t="shared" si="51"/>
        <v>0</v>
      </c>
      <c r="AF153" s="1983">
        <f t="shared" si="51"/>
        <v>0</v>
      </c>
      <c r="AG153" s="1983">
        <f t="shared" si="51"/>
        <v>0</v>
      </c>
      <c r="AH153" s="1983">
        <f t="shared" si="51"/>
        <v>0</v>
      </c>
      <c r="AI153" s="1983">
        <f t="shared" si="51"/>
        <v>0</v>
      </c>
      <c r="AJ153" s="1983">
        <f t="shared" si="51"/>
        <v>0</v>
      </c>
      <c r="AK153" s="1983">
        <f t="shared" si="51"/>
        <v>0</v>
      </c>
      <c r="AL153" s="1983">
        <f t="shared" si="51"/>
        <v>0</v>
      </c>
      <c r="AM153" s="1983">
        <f t="shared" si="51"/>
        <v>0</v>
      </c>
      <c r="AN153" s="1983">
        <f t="shared" si="51"/>
        <v>0</v>
      </c>
      <c r="AO153" s="1983">
        <f t="shared" si="51"/>
        <v>0</v>
      </c>
      <c r="AP153" s="1983">
        <f t="shared" si="51"/>
        <v>0</v>
      </c>
      <c r="AQ153" s="1983">
        <f t="shared" si="51"/>
        <v>0</v>
      </c>
      <c r="AR153" s="1983">
        <f t="shared" si="51"/>
        <v>0</v>
      </c>
      <c r="AS153" s="1983">
        <f t="shared" si="51"/>
        <v>0</v>
      </c>
      <c r="AT153" s="1983">
        <f t="shared" si="51"/>
        <v>0</v>
      </c>
      <c r="AU153" s="1983">
        <f t="shared" si="51"/>
        <v>0</v>
      </c>
      <c r="AV153" s="1983">
        <f t="shared" si="51"/>
        <v>0</v>
      </c>
      <c r="AW153" s="1983">
        <f t="shared" si="51"/>
        <v>0</v>
      </c>
      <c r="AX153" s="1983">
        <f t="shared" si="51"/>
        <v>0</v>
      </c>
      <c r="AY153" s="1983">
        <f t="shared" si="51"/>
        <v>0</v>
      </c>
      <c r="AZ153" s="1983">
        <f t="shared" si="51"/>
        <v>0</v>
      </c>
      <c r="BA153" s="1983">
        <f t="shared" si="51"/>
        <v>0</v>
      </c>
      <c r="BB153" s="1983">
        <f t="shared" si="51"/>
        <v>0</v>
      </c>
      <c r="BC153" s="1983">
        <f t="shared" si="51"/>
        <v>0</v>
      </c>
      <c r="BD153" s="1983">
        <f t="shared" si="51"/>
        <v>0</v>
      </c>
      <c r="BE153" s="1983">
        <f t="shared" si="51"/>
        <v>0</v>
      </c>
      <c r="BF153" s="1983">
        <f t="shared" si="51"/>
        <v>0</v>
      </c>
      <c r="BG153" s="1983">
        <f t="shared" si="51"/>
        <v>0</v>
      </c>
      <c r="BH153" s="1983">
        <f t="shared" si="51"/>
        <v>0</v>
      </c>
      <c r="BI153" s="1983">
        <f t="shared" si="51"/>
        <v>0</v>
      </c>
      <c r="BJ153" s="1983">
        <f t="shared" si="51"/>
        <v>0</v>
      </c>
      <c r="BK153" s="1983">
        <f t="shared" si="51"/>
        <v>0</v>
      </c>
      <c r="BL153" s="1983">
        <f t="shared" si="51"/>
        <v>0</v>
      </c>
      <c r="BV153" s="1980"/>
      <c r="CA153" s="1981"/>
      <c r="CB153" s="1981"/>
      <c r="CC153" s="1981"/>
      <c r="CD153" s="1981"/>
      <c r="CE153" s="1981"/>
      <c r="CF153" s="1981"/>
      <c r="CG153" s="1981"/>
      <c r="CH153" s="1981"/>
      <c r="CI153" s="1981"/>
      <c r="CJ153" s="1981"/>
      <c r="CK153" s="1981"/>
      <c r="CL153" s="1981"/>
      <c r="CM153" s="1981"/>
      <c r="CN153" s="1981"/>
      <c r="CO153" s="1981"/>
      <c r="CP153" s="1981"/>
      <c r="CQ153" s="1981"/>
      <c r="CR153" s="1981"/>
      <c r="CS153" s="1981"/>
      <c r="CT153" s="1981"/>
      <c r="CU153" s="1981"/>
      <c r="CV153" s="1979"/>
      <c r="CW153" s="1316"/>
      <c r="CX153" s="1979"/>
      <c r="CY153" s="1981"/>
      <c r="CZ153" s="1981"/>
      <c r="DA153" s="1981"/>
      <c r="DB153" s="1981"/>
      <c r="DC153" s="1981"/>
      <c r="DD153" s="1981"/>
      <c r="DE153" s="1981"/>
      <c r="DF153" s="1981"/>
      <c r="DG153" s="1981"/>
      <c r="DH153" s="1981"/>
      <c r="DI153" s="1981"/>
      <c r="DJ153" s="1981"/>
      <c r="DK153" s="1981"/>
      <c r="DL153" s="1981"/>
      <c r="DM153" s="1981"/>
      <c r="DN153" s="1981"/>
      <c r="DO153" s="1981"/>
    </row>
    <row r="154" spans="1:119" s="1971" customFormat="1" ht="14.25" hidden="1" customHeight="1">
      <c r="C154" s="2298"/>
      <c r="D154" s="1982" t="s">
        <v>685</v>
      </c>
      <c r="E154" s="1983">
        <f>IF(OR(E131&gt;=$F$14+$H$14+$I$14*12,E131&lt;$F$14),0,$E$14*$G$14/12)</f>
        <v>0</v>
      </c>
      <c r="F154" s="1983">
        <f>IF(OR(F131&gt;=$F$14+$H$14+$I$14*12,F131&lt;$F$14),0,($E$14-SUM($E$156:F156))*$G$14/12)</f>
        <v>0</v>
      </c>
      <c r="G154" s="1983">
        <f>IF(OR(G131&gt;=$F$14+$H$14+$I$14*12,G131&lt;$F$14),0,($E$14-SUM($E$156:G156))*$G$14/12)</f>
        <v>0</v>
      </c>
      <c r="H154" s="1983">
        <f>IF(OR(H131&gt;=$F$14+$H$14+$I$14*12,H131&lt;$F$14),0,($E$14-SUM($E$156:H156))*$G$14/12)</f>
        <v>0</v>
      </c>
      <c r="I154" s="1983">
        <f>IF(OR(I131&gt;=$F$14+$H$14+$I$14*12,I131&lt;$F$14),0,($E$14-SUM($E$156:I156))*$G$14/12)</f>
        <v>0</v>
      </c>
      <c r="J154" s="1983">
        <f>IF(OR(J131&gt;=$F$14+$H$14+$I$14*12,J131&lt;$F$14),0,($E$14-SUM($E$156:J156))*$G$14/12)</f>
        <v>0</v>
      </c>
      <c r="K154" s="1983">
        <f>IF(OR(K131&gt;=$F$14+$H$14+$I$14*12,K131&lt;$F$14),0,($E$14-SUM($E$156:K156))*$G$14/12)</f>
        <v>0</v>
      </c>
      <c r="L154" s="1983">
        <f>IF(OR(L131&gt;=$F$14+$H$14+$I$14*12,L131&lt;$F$14),0,($E$14-SUM($E$156:L156))*$G$14/12)</f>
        <v>0</v>
      </c>
      <c r="M154" s="1983">
        <f>IF(OR(M131&gt;=$F$14+$H$14+$I$14*12,M131&lt;$F$14),0,($E$14-SUM($E$156:M156))*$G$14/12)</f>
        <v>0</v>
      </c>
      <c r="N154" s="1983">
        <f>IF(OR(N131&gt;=$F$14+$H$14+$I$14*12,N131&lt;$F$14),0,($E$14-SUM($E$156:N156))*$G$14/12)</f>
        <v>0</v>
      </c>
      <c r="O154" s="1983">
        <f>IF(OR(O131&gt;=$F$14+$H$14+$I$14*12,O131&lt;$F$14),0,($E$14-SUM($E$156:O156))*$G$14/12)</f>
        <v>0</v>
      </c>
      <c r="P154" s="1983">
        <f>IF(OR(P131&gt;=$F$14+$H$14+$I$14*12,P131&lt;$F$14),0,($E$14-SUM($E$156:P156))*$G$14/12)</f>
        <v>0</v>
      </c>
      <c r="Q154" s="1983">
        <f>IF(OR(Q131&gt;=$F$14+$H$14+$I$14*12,Q131&lt;$F$14),0,($E$14-SUM($E$156:Q156))*$G$14/12)</f>
        <v>0</v>
      </c>
      <c r="R154" s="1983">
        <f>IF(OR(R131&gt;=$F$14+$H$14+$I$14*12,R131&lt;$F$14),0,($E$14-SUM($E$156:R156))*$G$14/12)</f>
        <v>0</v>
      </c>
      <c r="S154" s="1983">
        <f>IF(OR(S131&gt;=$F$14+$H$14+$I$14*12,S131&lt;$F$14),0,($E$14-SUM($E$156:S156))*$G$14/12)</f>
        <v>0</v>
      </c>
      <c r="T154" s="1983">
        <f>IF(OR(T131&gt;=$F$14+$H$14+$I$14*12,T131&lt;$F$14),0,($E$14-SUM($E$156:T156))*$G$14/12)</f>
        <v>0</v>
      </c>
      <c r="U154" s="1983">
        <f>IF(OR(U131&gt;=$F$14+$H$14+$I$14*12,U131&lt;$F$14),0,($E$14-SUM($E$156:U156))*$G$14/12)</f>
        <v>0</v>
      </c>
      <c r="V154" s="1983">
        <f>IF(OR(V131&gt;=$F$14+$H$14+$I$14*12,V131&lt;$F$14),0,($E$14-SUM($E$156:V156))*$G$14/12)</f>
        <v>0</v>
      </c>
      <c r="W154" s="1983">
        <f>IF(OR(W131&gt;=$F$14+$H$14+$I$14*12,W131&lt;$F$14),0,($E$14-SUM($E$156:W156))*$G$14/12)</f>
        <v>0</v>
      </c>
      <c r="X154" s="1983">
        <f>IF(OR(X131&gt;=$F$14+$H$14+$I$14*12,X131&lt;$F$14),0,($E$14-SUM($E$156:X156))*$G$14/12)</f>
        <v>0</v>
      </c>
      <c r="Y154" s="1983">
        <f>IF(OR(Y131&gt;=$F$14+$H$14+$I$14*12,Y131&lt;$F$14),0,($E$14-SUM($E$156:Y156))*$G$14/12)</f>
        <v>0</v>
      </c>
      <c r="Z154" s="1983">
        <f>IF(OR(Z131&gt;=$F$14+$H$14+$I$14*12,Z131&lt;$F$14),0,($E$14-SUM($E$156:Z156))*$G$14/12)</f>
        <v>0</v>
      </c>
      <c r="AA154" s="1983">
        <f>IF(OR(AA131&gt;=$F$14+$H$14+$I$14*12,AA131&lt;$F$14),0,($E$14-SUM($E$156:AA156))*$G$14/12)</f>
        <v>0</v>
      </c>
      <c r="AB154" s="1983">
        <f>IF(OR(AB131&gt;=$F$14+$H$14+$I$14*12,AB131&lt;$F$14),0,($E$14-SUM($E$156:AB156))*$G$14/12)</f>
        <v>0</v>
      </c>
      <c r="AC154" s="1983">
        <f>IF(OR(AC131&gt;=$F$14+$H$14+$I$14*12,AC131&lt;$F$14),0,($E$14-SUM($E$156:AC156))*$G$14/12)</f>
        <v>0</v>
      </c>
      <c r="AD154" s="1983">
        <f>IF(OR(AD131&gt;=$F$14+$H$14+$I$14*12,AD131&lt;$F$14),0,($E$14-SUM($E$156:AD156))*$G$14/12)</f>
        <v>0</v>
      </c>
      <c r="AE154" s="1983">
        <f>IF(OR(AE131&gt;=$F$14+$H$14+$I$14*12,AE131&lt;$F$14),0,($E$14-SUM($E$156:AE156))*$G$14/12)</f>
        <v>0</v>
      </c>
      <c r="AF154" s="1983">
        <f>IF(OR(AF131&gt;=$F$14+$H$14+$I$14*12,AF131&lt;$F$14),0,($E$14-SUM($E$156:AF156))*$G$14/12)</f>
        <v>0</v>
      </c>
      <c r="AG154" s="1983">
        <f>IF(OR(AG131&gt;=$F$14+$H$14+$I$14*12,AG131&lt;$F$14),0,($E$14-SUM($E$156:AG156))*$G$14/12)</f>
        <v>0</v>
      </c>
      <c r="AH154" s="1983">
        <f>IF(OR(AH131&gt;=$F$14+$H$14+$I$14*12,AH131&lt;$F$14),0,($E$14-SUM($E$156:AH156))*$G$14/12)</f>
        <v>0</v>
      </c>
      <c r="AI154" s="1983">
        <f>IF(OR(AI131&gt;=$F$14+$H$14+$I$14*12,AI131&lt;$F$14),0,($E$14-SUM($E$156:AI156))*$G$14/12)</f>
        <v>0</v>
      </c>
      <c r="AJ154" s="1983">
        <f>IF(OR(AJ131&gt;=$F$14+$H$14+$I$14*12,AJ131&lt;$F$14),0,($E$14-SUM($E$156:AJ156))*$G$14/12)</f>
        <v>0</v>
      </c>
      <c r="AK154" s="1983">
        <f>IF(OR(AK131&gt;=$F$14+$H$14+$I$14*12,AK131&lt;$F$14),0,($E$14-SUM($E$156:AK156))*$G$14/12)</f>
        <v>0</v>
      </c>
      <c r="AL154" s="1983">
        <f>IF(OR(AL131&gt;=$F$14+$H$14+$I$14*12,AL131&lt;$F$14),0,($E$14-SUM($E$156:AL156))*$G$14/12)</f>
        <v>0</v>
      </c>
      <c r="AM154" s="1983">
        <f>IF(OR(AM131&gt;=$F$14+$H$14+$I$14*12,AM131&lt;$F$14),0,($E$14-SUM($E$156:AM156))*$G$14/12)</f>
        <v>0</v>
      </c>
      <c r="AN154" s="1983">
        <f>IF(OR(AN131&gt;=$F$14+$H$14+$I$14*12,AN131&lt;$F$14),0,($E$14-SUM($E$156:AN156))*$G$14/12)</f>
        <v>0</v>
      </c>
      <c r="AO154" s="1983">
        <f>IF(OR(AO131&gt;=$F$14+$H$14+$I$14*12,AO131&lt;$F$14),0,($E$14-SUM($E$156:AO156))*$G$14/12)</f>
        <v>0</v>
      </c>
      <c r="AP154" s="1983">
        <f>IF(OR(AP131&gt;=$F$14+$H$14+$I$14*12,AP131&lt;$F$14),0,($E$14-SUM($E$156:AP156))*$G$14/12)</f>
        <v>0</v>
      </c>
      <c r="AQ154" s="1983">
        <f>IF(OR(AQ131&gt;=$F$14+$H$14+$I$14*12,AQ131&lt;$F$14),0,($E$14-SUM($E$156:AQ156))*$G$14/12)</f>
        <v>0</v>
      </c>
      <c r="AR154" s="1983">
        <f>IF(OR(AR131&gt;=$F$14+$H$14+$I$14*12,AR131&lt;$F$14),0,($E$14-SUM($E$156:AR156))*$G$14/12)</f>
        <v>0</v>
      </c>
      <c r="AS154" s="1983">
        <f>IF(OR(AS131&gt;=$F$14+$H$14+$I$14*12,AS131&lt;$F$14),0,($E$14-SUM($E$156:AS156))*$G$14/12)</f>
        <v>0</v>
      </c>
      <c r="AT154" s="1983">
        <f>IF(OR(AT131&gt;=$F$14+$H$14+$I$14*12,AT131&lt;$F$14),0,($E$14-SUM($E$156:AT156))*$G$14/12)</f>
        <v>0</v>
      </c>
      <c r="AU154" s="1983">
        <f>IF(OR(AU131&gt;=$F$14+$H$14+$I$14*12,AU131&lt;$F$14),0,($E$14-SUM($E$156:AU156))*$G$14/12)</f>
        <v>0</v>
      </c>
      <c r="AV154" s="1983">
        <f>IF(OR(AV131&gt;=$F$14+$H$14+$I$14*12,AV131&lt;$F$14),0,($E$14-SUM($E$156:AV156))*$G$14/12)</f>
        <v>0</v>
      </c>
      <c r="AW154" s="1983">
        <f>IF(OR(AW131&gt;=$F$14+$H$14+$I$14*12,AW131&lt;$F$14),0,($E$14-SUM($E$156:AW156))*$G$14/12)</f>
        <v>0</v>
      </c>
      <c r="AX154" s="1983">
        <f>IF(OR(AX131&gt;=$F$14+$H$14+$I$14*12,AX131&lt;$F$14),0,($E$14-SUM($E$156:AX156))*$G$14/12)</f>
        <v>0</v>
      </c>
      <c r="AY154" s="1983">
        <f>IF(OR(AY131&gt;=$F$14+$H$14+$I$14*12,AY131&lt;$F$14),0,($E$14-SUM($E$156:AY156))*$G$14/12)</f>
        <v>0</v>
      </c>
      <c r="AZ154" s="1983">
        <f>IF(OR(AZ131&gt;=$F$14+$H$14+$I$14*12,AZ131&lt;$F$14),0,($E$14-SUM($E$156:AZ156))*$G$14/12)</f>
        <v>0</v>
      </c>
      <c r="BA154" s="1983">
        <f>IF(OR(BA131&gt;=$F$14+$H$14+$I$14*12,BA131&lt;$F$14),0,($E$14-SUM($E$156:BA156))*$G$14/12)</f>
        <v>0</v>
      </c>
      <c r="BB154" s="1983">
        <f>IF(OR(BB131&gt;=$F$14+$H$14+$I$14*12,BB131&lt;$F$14),0,($E$14-SUM($E$156:BB156))*$G$14/12)</f>
        <v>0</v>
      </c>
      <c r="BC154" s="1983">
        <f>IF(OR(BC131&gt;=$F$14+$H$14+$I$14*12,BC131&lt;$F$14),0,($E$14-SUM($E$156:BC156))*$G$14/12)</f>
        <v>0</v>
      </c>
      <c r="BD154" s="1983">
        <f>IF(OR(BD131&gt;=$F$14+$H$14+$I$14*12,BD131&lt;$F$14),0,($E$14-SUM($E$156:BD156))*$G$14/12)</f>
        <v>0</v>
      </c>
      <c r="BE154" s="1983">
        <f>IF(OR(BE131&gt;=$F$14+$H$14+$I$14*12,BE131&lt;$F$14),0,($E$14-SUM($E$156:BE156))*$G$14/12)</f>
        <v>0</v>
      </c>
      <c r="BF154" s="1983">
        <f>IF(OR(BF131&gt;=$F$14+$H$14+$I$14*12,BF131&lt;$F$14),0,($E$14-SUM($E$156:BF156))*$G$14/12)</f>
        <v>0</v>
      </c>
      <c r="BG154" s="1983">
        <f>IF(OR(BG131&gt;=$F$14+$H$14+$I$14*12,BG131&lt;$F$14),0,($E$14-SUM($E$156:BG156))*$G$14/12)</f>
        <v>0</v>
      </c>
      <c r="BH154" s="1983">
        <f>IF(OR(BH131&gt;=$F$14+$H$14+$I$14*12,BH131&lt;$F$14),0,($E$14-SUM($E$156:BH156))*$G$14/12)</f>
        <v>0</v>
      </c>
      <c r="BI154" s="1983">
        <f>IF(OR(BI131&gt;=$F$14+$H$14+$I$14*12,BI131&lt;$F$14),0,($E$14-SUM($E$156:BI156))*$G$14/12)</f>
        <v>0</v>
      </c>
      <c r="BJ154" s="1983">
        <f>IF(OR(BJ131&gt;=$F$14+$H$14+$I$14*12,BJ131&lt;$F$14),0,($E$14-SUM($E$156:BJ156))*$G$14/12)</f>
        <v>0</v>
      </c>
      <c r="BK154" s="1983">
        <f>IF(OR(BK131&gt;=$F$14+$H$14+$I$14*12,BK131&lt;$F$14),0,($E$14-SUM($E$156:BK156))*$G$14/12)</f>
        <v>0</v>
      </c>
      <c r="BL154" s="1983">
        <f>IF(OR(BL131&gt;=$F$14+$H$14+$I$14*12,BL131&lt;$F$14),0,($E$14-SUM($E$156:BL156))*$G$14/12)</f>
        <v>0</v>
      </c>
      <c r="BV154" s="1980"/>
      <c r="CA154" s="1981"/>
      <c r="CB154" s="1981"/>
      <c r="CC154" s="1981"/>
      <c r="CD154" s="1981"/>
      <c r="CE154" s="1981"/>
      <c r="CF154" s="1981"/>
      <c r="CG154" s="1981"/>
      <c r="CH154" s="1981"/>
      <c r="CI154" s="1981"/>
      <c r="CJ154" s="1981"/>
      <c r="CK154" s="1981"/>
      <c r="CL154" s="1981"/>
      <c r="CM154" s="1981"/>
      <c r="CN154" s="1981"/>
      <c r="CO154" s="1981"/>
      <c r="CP154" s="1981"/>
      <c r="CQ154" s="1981"/>
      <c r="CR154" s="1981"/>
      <c r="CS154" s="1981"/>
      <c r="CT154" s="1981"/>
      <c r="CU154" s="1981"/>
      <c r="CV154" s="1979"/>
      <c r="CW154" s="1316"/>
      <c r="CX154" s="1979"/>
      <c r="CY154" s="1981"/>
      <c r="CZ154" s="1981"/>
      <c r="DA154" s="1981"/>
      <c r="DB154" s="1981"/>
      <c r="DC154" s="1981"/>
      <c r="DD154" s="1981"/>
      <c r="DE154" s="1981"/>
      <c r="DF154" s="1981"/>
      <c r="DG154" s="1981"/>
      <c r="DH154" s="1981"/>
      <c r="DI154" s="1981"/>
      <c r="DJ154" s="1981"/>
      <c r="DK154" s="1981"/>
      <c r="DL154" s="1981"/>
      <c r="DM154" s="1981"/>
      <c r="DN154" s="1981"/>
      <c r="DO154" s="1981"/>
    </row>
    <row r="155" spans="1:119" s="1971" customFormat="1" ht="14.25" hidden="1" customHeight="1">
      <c r="C155" s="2298"/>
      <c r="D155" s="1982" t="s">
        <v>120</v>
      </c>
      <c r="E155" s="1983">
        <f>IF($F$14+$H$14=E131,IF($I$14=0,0,$E$14/($I$14*12)),0)</f>
        <v>0</v>
      </c>
      <c r="F155" s="1983">
        <f t="shared" ref="F155:BL155" si="52">IF($F$14+$H$14=F131,IF($I$14=0,0,$E$14/($I$14*12)),0)</f>
        <v>0</v>
      </c>
      <c r="G155" s="1983">
        <f t="shared" si="52"/>
        <v>0</v>
      </c>
      <c r="H155" s="1983">
        <f t="shared" si="52"/>
        <v>0</v>
      </c>
      <c r="I155" s="1983">
        <f t="shared" si="52"/>
        <v>0</v>
      </c>
      <c r="J155" s="1983">
        <f t="shared" si="52"/>
        <v>0</v>
      </c>
      <c r="K155" s="1983">
        <f t="shared" si="52"/>
        <v>0</v>
      </c>
      <c r="L155" s="1983">
        <f t="shared" si="52"/>
        <v>0</v>
      </c>
      <c r="M155" s="1983">
        <f t="shared" si="52"/>
        <v>0</v>
      </c>
      <c r="N155" s="1983">
        <f t="shared" si="52"/>
        <v>0</v>
      </c>
      <c r="O155" s="1983">
        <f t="shared" si="52"/>
        <v>0</v>
      </c>
      <c r="P155" s="1983">
        <f t="shared" si="52"/>
        <v>0</v>
      </c>
      <c r="Q155" s="1983">
        <f t="shared" si="52"/>
        <v>0</v>
      </c>
      <c r="R155" s="1983">
        <f t="shared" si="52"/>
        <v>0</v>
      </c>
      <c r="S155" s="1983">
        <f t="shared" si="52"/>
        <v>0</v>
      </c>
      <c r="T155" s="1983">
        <f t="shared" si="52"/>
        <v>0</v>
      </c>
      <c r="U155" s="1983">
        <f t="shared" si="52"/>
        <v>0</v>
      </c>
      <c r="V155" s="1984">
        <f t="shared" si="52"/>
        <v>0</v>
      </c>
      <c r="W155" s="1984">
        <f t="shared" si="52"/>
        <v>0</v>
      </c>
      <c r="X155" s="1984">
        <f t="shared" si="52"/>
        <v>0</v>
      </c>
      <c r="Y155" s="1984">
        <f t="shared" si="52"/>
        <v>0</v>
      </c>
      <c r="Z155" s="1984">
        <f t="shared" si="52"/>
        <v>0</v>
      </c>
      <c r="AA155" s="1983">
        <f t="shared" si="52"/>
        <v>0</v>
      </c>
      <c r="AB155" s="1983">
        <f t="shared" si="52"/>
        <v>0</v>
      </c>
      <c r="AC155" s="1983">
        <f t="shared" si="52"/>
        <v>0</v>
      </c>
      <c r="AD155" s="1983">
        <f t="shared" si="52"/>
        <v>0</v>
      </c>
      <c r="AE155" s="1983">
        <f t="shared" si="52"/>
        <v>0</v>
      </c>
      <c r="AF155" s="1983">
        <f t="shared" si="52"/>
        <v>0</v>
      </c>
      <c r="AG155" s="1983">
        <f t="shared" si="52"/>
        <v>0</v>
      </c>
      <c r="AH155" s="1983">
        <f t="shared" si="52"/>
        <v>0</v>
      </c>
      <c r="AI155" s="1983">
        <f t="shared" si="52"/>
        <v>0</v>
      </c>
      <c r="AJ155" s="1983">
        <f t="shared" si="52"/>
        <v>0</v>
      </c>
      <c r="AK155" s="1983">
        <f t="shared" si="52"/>
        <v>0</v>
      </c>
      <c r="AL155" s="1983">
        <f t="shared" si="52"/>
        <v>0</v>
      </c>
      <c r="AM155" s="1983">
        <f t="shared" si="52"/>
        <v>0</v>
      </c>
      <c r="AN155" s="1983">
        <f t="shared" si="52"/>
        <v>0</v>
      </c>
      <c r="AO155" s="1983">
        <f t="shared" si="52"/>
        <v>0</v>
      </c>
      <c r="AP155" s="1983">
        <f t="shared" si="52"/>
        <v>0</v>
      </c>
      <c r="AQ155" s="1983">
        <f t="shared" si="52"/>
        <v>0</v>
      </c>
      <c r="AR155" s="1983">
        <f t="shared" si="52"/>
        <v>0</v>
      </c>
      <c r="AS155" s="1983">
        <f t="shared" si="52"/>
        <v>0</v>
      </c>
      <c r="AT155" s="1983">
        <f t="shared" si="52"/>
        <v>0</v>
      </c>
      <c r="AU155" s="1983">
        <f t="shared" si="52"/>
        <v>0</v>
      </c>
      <c r="AV155" s="1983">
        <f t="shared" si="52"/>
        <v>0</v>
      </c>
      <c r="AW155" s="1983">
        <f t="shared" si="52"/>
        <v>0</v>
      </c>
      <c r="AX155" s="1983">
        <f t="shared" si="52"/>
        <v>0</v>
      </c>
      <c r="AY155" s="1983">
        <f t="shared" si="52"/>
        <v>0</v>
      </c>
      <c r="AZ155" s="1983">
        <f t="shared" si="52"/>
        <v>0</v>
      </c>
      <c r="BA155" s="1983">
        <f t="shared" si="52"/>
        <v>0</v>
      </c>
      <c r="BB155" s="1983">
        <f t="shared" si="52"/>
        <v>0</v>
      </c>
      <c r="BC155" s="1983">
        <f t="shared" si="52"/>
        <v>0</v>
      </c>
      <c r="BD155" s="1983">
        <f t="shared" si="52"/>
        <v>0</v>
      </c>
      <c r="BE155" s="1983">
        <f t="shared" si="52"/>
        <v>0</v>
      </c>
      <c r="BF155" s="1983">
        <f t="shared" si="52"/>
        <v>0</v>
      </c>
      <c r="BG155" s="1983">
        <f t="shared" si="52"/>
        <v>0</v>
      </c>
      <c r="BH155" s="1983">
        <f t="shared" si="52"/>
        <v>0</v>
      </c>
      <c r="BI155" s="1983">
        <f t="shared" si="52"/>
        <v>0</v>
      </c>
      <c r="BJ155" s="1983">
        <f t="shared" si="52"/>
        <v>0</v>
      </c>
      <c r="BK155" s="1983">
        <f t="shared" si="52"/>
        <v>0</v>
      </c>
      <c r="BL155" s="1983">
        <f t="shared" si="52"/>
        <v>0</v>
      </c>
      <c r="BV155" s="1980"/>
      <c r="CA155" s="1981"/>
      <c r="CB155" s="1981"/>
      <c r="CC155" s="1981"/>
      <c r="CD155" s="1981"/>
      <c r="CE155" s="1981"/>
      <c r="CF155" s="1981"/>
      <c r="CG155" s="1981"/>
      <c r="CH155" s="1981"/>
      <c r="CI155" s="1981"/>
      <c r="CJ155" s="1981"/>
      <c r="CK155" s="1981"/>
      <c r="CL155" s="1981"/>
      <c r="CM155" s="1981"/>
      <c r="CN155" s="1981"/>
      <c r="CO155" s="1981"/>
      <c r="CP155" s="1981"/>
      <c r="CQ155" s="1981"/>
      <c r="CR155" s="1981"/>
      <c r="CS155" s="1981"/>
      <c r="CT155" s="1981"/>
      <c r="CU155" s="1981"/>
      <c r="CV155" s="1979"/>
      <c r="CW155" s="1316"/>
      <c r="CX155" s="1979"/>
      <c r="CY155" s="1981"/>
      <c r="CZ155" s="1981"/>
      <c r="DA155" s="1981"/>
      <c r="DB155" s="1981"/>
      <c r="DC155" s="1981"/>
      <c r="DD155" s="1981"/>
      <c r="DE155" s="1981"/>
      <c r="DF155" s="1981"/>
      <c r="DG155" s="1981"/>
      <c r="DH155" s="1981"/>
      <c r="DI155" s="1981"/>
      <c r="DJ155" s="1981"/>
      <c r="DK155" s="1981"/>
      <c r="DL155" s="1981"/>
      <c r="DM155" s="1981"/>
      <c r="DN155" s="1981"/>
      <c r="DO155" s="1981"/>
    </row>
    <row r="156" spans="1:119" s="1971" customFormat="1" ht="14.25" hidden="1" customHeight="1">
      <c r="C156" s="2298"/>
      <c r="D156" s="1982" t="s">
        <v>686</v>
      </c>
      <c r="E156" s="1983">
        <f>IF(OR(E131&gt;=$F$14+$H$14+$I$14*12,E131&lt;$F$14+$H$14),0,IF($I$14=0,0,$E$14/($I$14*12)))</f>
        <v>0</v>
      </c>
      <c r="F156" s="1983">
        <f t="shared" ref="F156:BL156" si="53">IF(OR(F131&gt;=$F$14+$H$14+$I$14*12,F131&lt;$F$14+$H$14),0,IF($I$14=0,0,$E$14/($I$14*12)))</f>
        <v>0</v>
      </c>
      <c r="G156" s="1983">
        <f t="shared" si="53"/>
        <v>0</v>
      </c>
      <c r="H156" s="1983">
        <f t="shared" si="53"/>
        <v>0</v>
      </c>
      <c r="I156" s="1983">
        <f t="shared" si="53"/>
        <v>0</v>
      </c>
      <c r="J156" s="1983">
        <f t="shared" si="53"/>
        <v>0</v>
      </c>
      <c r="K156" s="1983">
        <f t="shared" si="53"/>
        <v>0</v>
      </c>
      <c r="L156" s="1983">
        <f t="shared" si="53"/>
        <v>0</v>
      </c>
      <c r="M156" s="1983">
        <f t="shared" si="53"/>
        <v>0</v>
      </c>
      <c r="N156" s="1983">
        <f t="shared" si="53"/>
        <v>0</v>
      </c>
      <c r="O156" s="1983">
        <f t="shared" si="53"/>
        <v>0</v>
      </c>
      <c r="P156" s="1983">
        <f t="shared" si="53"/>
        <v>0</v>
      </c>
      <c r="Q156" s="1983">
        <f t="shared" si="53"/>
        <v>0</v>
      </c>
      <c r="R156" s="1983">
        <f t="shared" si="53"/>
        <v>0</v>
      </c>
      <c r="S156" s="1983">
        <f t="shared" si="53"/>
        <v>0</v>
      </c>
      <c r="T156" s="1983">
        <f t="shared" si="53"/>
        <v>0</v>
      </c>
      <c r="U156" s="1983">
        <f t="shared" si="53"/>
        <v>0</v>
      </c>
      <c r="V156" s="1984">
        <f t="shared" si="53"/>
        <v>0</v>
      </c>
      <c r="W156" s="1984">
        <f t="shared" si="53"/>
        <v>0</v>
      </c>
      <c r="X156" s="1984">
        <f t="shared" si="53"/>
        <v>0</v>
      </c>
      <c r="Y156" s="1984">
        <f t="shared" si="53"/>
        <v>0</v>
      </c>
      <c r="Z156" s="1984">
        <f t="shared" si="53"/>
        <v>0</v>
      </c>
      <c r="AA156" s="1983">
        <f t="shared" si="53"/>
        <v>0</v>
      </c>
      <c r="AB156" s="1983">
        <f t="shared" si="53"/>
        <v>0</v>
      </c>
      <c r="AC156" s="1983">
        <f t="shared" si="53"/>
        <v>0</v>
      </c>
      <c r="AD156" s="1983">
        <f t="shared" si="53"/>
        <v>0</v>
      </c>
      <c r="AE156" s="1983">
        <f t="shared" si="53"/>
        <v>0</v>
      </c>
      <c r="AF156" s="1983">
        <f t="shared" si="53"/>
        <v>0</v>
      </c>
      <c r="AG156" s="1983">
        <f t="shared" si="53"/>
        <v>0</v>
      </c>
      <c r="AH156" s="1983">
        <f t="shared" si="53"/>
        <v>0</v>
      </c>
      <c r="AI156" s="1983">
        <f t="shared" si="53"/>
        <v>0</v>
      </c>
      <c r="AJ156" s="1983">
        <f t="shared" si="53"/>
        <v>0</v>
      </c>
      <c r="AK156" s="1983">
        <f t="shared" si="53"/>
        <v>0</v>
      </c>
      <c r="AL156" s="1983">
        <f t="shared" si="53"/>
        <v>0</v>
      </c>
      <c r="AM156" s="1983">
        <f t="shared" si="53"/>
        <v>0</v>
      </c>
      <c r="AN156" s="1983">
        <f t="shared" si="53"/>
        <v>0</v>
      </c>
      <c r="AO156" s="1983">
        <f t="shared" si="53"/>
        <v>0</v>
      </c>
      <c r="AP156" s="1983">
        <f t="shared" si="53"/>
        <v>0</v>
      </c>
      <c r="AQ156" s="1983">
        <f t="shared" si="53"/>
        <v>0</v>
      </c>
      <c r="AR156" s="1983">
        <f t="shared" si="53"/>
        <v>0</v>
      </c>
      <c r="AS156" s="1983">
        <f t="shared" si="53"/>
        <v>0</v>
      </c>
      <c r="AT156" s="1983">
        <f t="shared" si="53"/>
        <v>0</v>
      </c>
      <c r="AU156" s="1983">
        <f t="shared" si="53"/>
        <v>0</v>
      </c>
      <c r="AV156" s="1983">
        <f t="shared" si="53"/>
        <v>0</v>
      </c>
      <c r="AW156" s="1983">
        <f t="shared" si="53"/>
        <v>0</v>
      </c>
      <c r="AX156" s="1983">
        <f t="shared" si="53"/>
        <v>0</v>
      </c>
      <c r="AY156" s="1983">
        <f t="shared" si="53"/>
        <v>0</v>
      </c>
      <c r="AZ156" s="1983">
        <f t="shared" si="53"/>
        <v>0</v>
      </c>
      <c r="BA156" s="1983">
        <f t="shared" si="53"/>
        <v>0</v>
      </c>
      <c r="BB156" s="1983">
        <f t="shared" si="53"/>
        <v>0</v>
      </c>
      <c r="BC156" s="1983">
        <f t="shared" si="53"/>
        <v>0</v>
      </c>
      <c r="BD156" s="1983">
        <f t="shared" si="53"/>
        <v>0</v>
      </c>
      <c r="BE156" s="1983">
        <f t="shared" si="53"/>
        <v>0</v>
      </c>
      <c r="BF156" s="1983">
        <f t="shared" si="53"/>
        <v>0</v>
      </c>
      <c r="BG156" s="1983">
        <f t="shared" si="53"/>
        <v>0</v>
      </c>
      <c r="BH156" s="1983">
        <f t="shared" si="53"/>
        <v>0</v>
      </c>
      <c r="BI156" s="1983">
        <f t="shared" si="53"/>
        <v>0</v>
      </c>
      <c r="BJ156" s="1983">
        <f t="shared" si="53"/>
        <v>0</v>
      </c>
      <c r="BK156" s="1983">
        <f t="shared" si="53"/>
        <v>0</v>
      </c>
      <c r="BL156" s="1983">
        <f t="shared" si="53"/>
        <v>0</v>
      </c>
      <c r="BV156" s="1980"/>
      <c r="CA156" s="1981"/>
      <c r="CB156" s="1981"/>
      <c r="CC156" s="1981"/>
      <c r="CD156" s="1981"/>
      <c r="CE156" s="1981"/>
      <c r="CF156" s="1981"/>
      <c r="CG156" s="1981"/>
      <c r="CH156" s="1981"/>
      <c r="CI156" s="1981"/>
      <c r="CJ156" s="1981"/>
      <c r="CK156" s="1981"/>
      <c r="CL156" s="1981"/>
      <c r="CM156" s="1981"/>
      <c r="CN156" s="1981"/>
      <c r="CO156" s="1981"/>
      <c r="CP156" s="1981"/>
      <c r="CQ156" s="1981"/>
      <c r="CR156" s="1981"/>
      <c r="CS156" s="1981"/>
      <c r="CT156" s="1981"/>
      <c r="CU156" s="1981"/>
      <c r="CV156" s="1979"/>
      <c r="CW156" s="1316"/>
      <c r="CX156" s="1979"/>
      <c r="CY156" s="1981"/>
      <c r="CZ156" s="1981"/>
      <c r="DA156" s="1981"/>
      <c r="DB156" s="1981"/>
      <c r="DC156" s="1981"/>
      <c r="DD156" s="1981"/>
      <c r="DE156" s="1981"/>
      <c r="DF156" s="1981"/>
      <c r="DG156" s="1981"/>
      <c r="DH156" s="1981"/>
      <c r="DI156" s="1981"/>
      <c r="DJ156" s="1981"/>
      <c r="DK156" s="1981"/>
      <c r="DL156" s="1981"/>
      <c r="DM156" s="1981"/>
      <c r="DN156" s="1981"/>
      <c r="DO156" s="1981"/>
    </row>
    <row r="157" spans="1:119" s="1971" customFormat="1" ht="14.25" hidden="1" customHeight="1">
      <c r="D157" s="1986"/>
      <c r="E157" s="1987"/>
      <c r="F157" s="1987"/>
      <c r="G157" s="1987"/>
      <c r="H157" s="1987"/>
      <c r="I157" s="1987"/>
      <c r="J157" s="1987"/>
      <c r="K157" s="1987"/>
      <c r="L157" s="1987"/>
      <c r="M157" s="1987"/>
      <c r="N157" s="1987"/>
      <c r="O157" s="1987"/>
      <c r="P157" s="1987"/>
      <c r="Q157" s="1987"/>
      <c r="R157" s="1987"/>
      <c r="S157" s="1987"/>
      <c r="T157" s="1987"/>
      <c r="U157" s="1987"/>
      <c r="V157" s="1988"/>
      <c r="W157" s="1988"/>
      <c r="X157" s="1988"/>
      <c r="Y157" s="1988"/>
      <c r="Z157" s="1988"/>
      <c r="AA157" s="1987"/>
      <c r="AB157" s="1987"/>
      <c r="AC157" s="1987"/>
      <c r="AD157" s="1987"/>
      <c r="AE157" s="1987"/>
      <c r="AF157" s="1987"/>
      <c r="AG157" s="1987"/>
      <c r="AH157" s="1987"/>
      <c r="AI157" s="1987"/>
      <c r="AJ157" s="1987"/>
      <c r="AK157" s="1987"/>
      <c r="AL157" s="1987"/>
      <c r="AM157" s="1987"/>
      <c r="AN157" s="1987"/>
      <c r="AO157" s="1987"/>
      <c r="AP157" s="1987"/>
      <c r="AQ157" s="1987"/>
      <c r="AR157" s="1987"/>
      <c r="AS157" s="1987"/>
      <c r="AT157" s="1987"/>
      <c r="AU157" s="1987"/>
      <c r="AV157" s="1987"/>
      <c r="AW157" s="1987"/>
      <c r="AX157" s="1987"/>
      <c r="AY157" s="1987"/>
      <c r="AZ157" s="1987"/>
      <c r="BA157" s="1987"/>
      <c r="BB157" s="1987"/>
      <c r="BC157" s="1987"/>
      <c r="BD157" s="1987"/>
      <c r="BE157" s="1987"/>
      <c r="BF157" s="1987"/>
      <c r="BG157" s="1987"/>
      <c r="BH157" s="1987"/>
      <c r="BI157" s="1987"/>
      <c r="BJ157" s="1987"/>
      <c r="BK157" s="1987"/>
      <c r="BL157" s="1987"/>
      <c r="BM157" s="1981"/>
      <c r="BN157" s="1981"/>
      <c r="BO157" s="1981"/>
      <c r="BP157" s="1981"/>
      <c r="BV157" s="1980"/>
      <c r="CA157" s="1981"/>
      <c r="CB157" s="1981"/>
      <c r="CC157" s="1981"/>
      <c r="CD157" s="1981"/>
      <c r="CE157" s="1981"/>
      <c r="CF157" s="1981"/>
      <c r="CG157" s="1981"/>
      <c r="CH157" s="1981"/>
      <c r="CI157" s="1981"/>
      <c r="CJ157" s="1981"/>
      <c r="CK157" s="1981"/>
      <c r="CL157" s="1981"/>
      <c r="CM157" s="1981"/>
      <c r="CN157" s="1981"/>
      <c r="CO157" s="1981"/>
      <c r="CP157" s="1981"/>
      <c r="CQ157" s="1981"/>
      <c r="CR157" s="1981"/>
      <c r="CS157" s="1981"/>
      <c r="CT157" s="1981"/>
      <c r="CU157" s="1981"/>
      <c r="CV157" s="1979"/>
      <c r="CW157" s="1316"/>
      <c r="CX157" s="1979"/>
      <c r="CY157" s="1981"/>
      <c r="CZ157" s="1981"/>
      <c r="DA157" s="1981"/>
      <c r="DB157" s="1981"/>
      <c r="DC157" s="1981"/>
      <c r="DD157" s="1981"/>
      <c r="DE157" s="1981"/>
      <c r="DF157" s="1981"/>
      <c r="DG157" s="1981"/>
      <c r="DH157" s="1981"/>
      <c r="DI157" s="1981"/>
      <c r="DJ157" s="1981"/>
      <c r="DK157" s="1981"/>
      <c r="DL157" s="1981"/>
      <c r="DM157" s="1981"/>
      <c r="DN157" s="1981"/>
      <c r="DO157" s="1981"/>
    </row>
    <row r="158" spans="1:119" s="160" customFormat="1" ht="14.25" hidden="1" customHeight="1">
      <c r="D158" s="1989"/>
      <c r="E158" s="1990"/>
      <c r="F158" s="1990"/>
      <c r="G158" s="1990"/>
      <c r="H158" s="1990"/>
      <c r="I158" s="1990"/>
      <c r="J158" s="1990"/>
      <c r="K158" s="1990"/>
      <c r="L158" s="1990"/>
      <c r="M158" s="1990"/>
      <c r="N158" s="1990"/>
      <c r="O158" s="1990"/>
      <c r="P158" s="1990"/>
      <c r="Q158" s="1990"/>
      <c r="R158" s="1990"/>
      <c r="S158" s="1990"/>
      <c r="T158" s="1990"/>
      <c r="U158" s="1990"/>
      <c r="V158" s="1991"/>
      <c r="W158" s="1991"/>
      <c r="X158" s="1991"/>
      <c r="Y158" s="1991"/>
      <c r="Z158" s="1991"/>
      <c r="AA158" s="1990"/>
      <c r="AB158" s="1990"/>
      <c r="AC158" s="1990"/>
      <c r="AD158" s="1990"/>
      <c r="AE158" s="1990"/>
      <c r="AF158" s="1990"/>
      <c r="AG158" s="1990"/>
      <c r="AH158" s="1990"/>
      <c r="AI158" s="1990"/>
      <c r="AJ158" s="1990"/>
      <c r="AK158" s="1990"/>
      <c r="AL158" s="1990"/>
      <c r="AM158" s="1990"/>
      <c r="AN158" s="1990"/>
      <c r="AO158" s="1990"/>
      <c r="AP158" s="1990"/>
      <c r="AQ158" s="1990"/>
      <c r="AR158" s="1990"/>
      <c r="AS158" s="1990"/>
      <c r="AT158" s="1990"/>
      <c r="AU158" s="1990"/>
      <c r="AV158" s="1990"/>
      <c r="AW158" s="1990"/>
      <c r="AX158" s="1990"/>
      <c r="AY158" s="1990"/>
      <c r="AZ158" s="1990"/>
      <c r="BA158" s="1990"/>
      <c r="BB158" s="1990"/>
      <c r="BC158" s="1990"/>
      <c r="BD158" s="1990"/>
      <c r="BE158" s="1990"/>
      <c r="BF158" s="1990"/>
      <c r="BG158" s="1990"/>
      <c r="BH158" s="1990"/>
      <c r="BI158" s="1990"/>
      <c r="BJ158" s="1990"/>
      <c r="BK158" s="1990"/>
      <c r="BL158" s="1990"/>
      <c r="BM158" s="446"/>
      <c r="BN158" s="446"/>
      <c r="BO158" s="446"/>
      <c r="BP158" s="446"/>
      <c r="BV158" s="951"/>
      <c r="CA158" s="446"/>
      <c r="CB158" s="446"/>
      <c r="CC158" s="446"/>
      <c r="CD158" s="446"/>
      <c r="CE158" s="446"/>
      <c r="CF158" s="446"/>
      <c r="CG158" s="446"/>
      <c r="CH158" s="446"/>
      <c r="CI158" s="446"/>
      <c r="CJ158" s="446"/>
      <c r="CK158" s="446"/>
      <c r="CL158" s="446"/>
      <c r="CM158" s="446"/>
      <c r="CN158" s="446"/>
      <c r="CO158" s="446"/>
      <c r="CP158" s="446"/>
      <c r="CQ158" s="446"/>
      <c r="CR158" s="446"/>
      <c r="CS158" s="446"/>
      <c r="CT158" s="446"/>
      <c r="CU158" s="446"/>
      <c r="CV158" s="445"/>
      <c r="CW158" s="514"/>
      <c r="CX158" s="445"/>
      <c r="CY158" s="446"/>
      <c r="CZ158" s="446"/>
      <c r="DA158" s="446"/>
      <c r="DB158" s="446"/>
      <c r="DC158" s="446"/>
      <c r="DD158" s="446"/>
      <c r="DE158" s="446"/>
      <c r="DF158" s="446"/>
      <c r="DG158" s="446"/>
      <c r="DH158" s="446"/>
      <c r="DI158" s="446"/>
      <c r="DJ158" s="446"/>
      <c r="DK158" s="446"/>
      <c r="DL158" s="446"/>
      <c r="DM158" s="446"/>
      <c r="DN158" s="446"/>
      <c r="DO158" s="446"/>
    </row>
    <row r="159" spans="1:119" s="160" customFormat="1" ht="14.25" hidden="1" customHeight="1">
      <c r="E159" s="1970"/>
      <c r="F159" s="1970"/>
      <c r="G159" s="1970"/>
      <c r="H159" s="1970"/>
      <c r="I159" s="2006"/>
      <c r="J159" s="1970"/>
      <c r="K159" s="1970"/>
      <c r="L159" s="1970"/>
      <c r="M159" s="1970"/>
      <c r="N159" s="1970"/>
      <c r="O159" s="2006"/>
      <c r="P159" s="1978"/>
      <c r="Q159" s="1970">
        <f ca="1">E130+1</f>
        <v>2027</v>
      </c>
      <c r="R159" s="1970"/>
      <c r="S159" s="1970"/>
      <c r="T159" s="1970"/>
      <c r="U159" s="2006"/>
      <c r="V159" s="2004"/>
      <c r="W159" s="2004"/>
      <c r="X159" s="2004"/>
      <c r="Y159" s="2004"/>
      <c r="Z159" s="2004"/>
      <c r="AA159" s="2006"/>
      <c r="AB159" s="1970"/>
      <c r="AC159" s="1970"/>
      <c r="AD159" s="1970"/>
      <c r="AE159" s="1970"/>
      <c r="AF159" s="1970"/>
      <c r="AG159" s="2006"/>
      <c r="AH159" s="1970"/>
      <c r="AI159" s="1970"/>
      <c r="AJ159" s="1970"/>
      <c r="AK159" s="1970"/>
      <c r="AL159" s="1970"/>
      <c r="AM159" s="2006"/>
      <c r="AN159" s="1970"/>
      <c r="AO159" s="1970"/>
      <c r="AP159" s="1970"/>
      <c r="AQ159" s="1970"/>
      <c r="AR159" s="1970"/>
      <c r="AS159" s="2006"/>
      <c r="AT159" s="1970"/>
      <c r="AU159" s="1970"/>
      <c r="AV159" s="1970"/>
      <c r="AW159" s="1970"/>
      <c r="AX159" s="1970"/>
      <c r="AY159" s="2006"/>
      <c r="AZ159" s="1970"/>
      <c r="BA159" s="1970"/>
      <c r="BB159" s="1970"/>
      <c r="BC159" s="1970"/>
      <c r="BD159" s="1970"/>
      <c r="BE159" s="2006"/>
      <c r="BF159" s="1970"/>
      <c r="BG159" s="1970"/>
      <c r="BH159" s="1970"/>
      <c r="BI159" s="1970"/>
      <c r="BJ159" s="1970"/>
      <c r="BK159" s="2006"/>
      <c r="BL159" s="1970"/>
      <c r="BV159" s="951"/>
      <c r="CA159" s="446"/>
      <c r="CB159" s="446"/>
      <c r="CC159" s="446"/>
      <c r="CD159" s="446"/>
      <c r="CE159" s="446"/>
      <c r="CF159" s="446"/>
      <c r="CG159" s="446"/>
      <c r="CH159" s="446"/>
      <c r="CI159" s="446"/>
      <c r="CJ159" s="446"/>
      <c r="CK159" s="446"/>
      <c r="CL159" s="446"/>
      <c r="CM159" s="446"/>
      <c r="CN159" s="446"/>
      <c r="CO159" s="446"/>
      <c r="CP159" s="446"/>
      <c r="CQ159" s="446"/>
      <c r="CR159" s="446"/>
      <c r="CS159" s="446"/>
      <c r="CT159" s="446"/>
      <c r="CU159" s="446"/>
      <c r="CV159" s="445"/>
      <c r="CW159" s="514"/>
      <c r="CX159" s="445"/>
      <c r="CY159" s="446"/>
      <c r="CZ159" s="446"/>
      <c r="DA159" s="446"/>
      <c r="DB159" s="446"/>
      <c r="DC159" s="446"/>
      <c r="DD159" s="446"/>
      <c r="DE159" s="446"/>
      <c r="DF159" s="446"/>
      <c r="DG159" s="446"/>
      <c r="DH159" s="446"/>
      <c r="DI159" s="446"/>
      <c r="DJ159" s="446"/>
      <c r="DK159" s="446"/>
      <c r="DL159" s="446"/>
      <c r="DM159" s="446"/>
      <c r="DN159" s="446"/>
      <c r="DO159" s="446"/>
    </row>
    <row r="160" spans="1:119" s="160" customFormat="1" ht="14.25" hidden="1" customHeight="1">
      <c r="C160" s="2007" t="s">
        <v>450</v>
      </c>
      <c r="E160" s="1970"/>
      <c r="F160" s="1970"/>
      <c r="G160" s="1970"/>
      <c r="H160" s="1970"/>
      <c r="I160" s="2006"/>
      <c r="J160" s="1970"/>
      <c r="K160" s="1970"/>
      <c r="L160" s="1970"/>
      <c r="M160" s="1970"/>
      <c r="N160" s="1970"/>
      <c r="O160" s="2006"/>
      <c r="P160" s="1970"/>
      <c r="Q160" s="1978">
        <v>1</v>
      </c>
      <c r="R160" s="1978">
        <v>2</v>
      </c>
      <c r="S160" s="1978">
        <v>3</v>
      </c>
      <c r="T160" s="1978">
        <v>4</v>
      </c>
      <c r="U160" s="2008">
        <v>5</v>
      </c>
      <c r="V160" s="2003">
        <v>6</v>
      </c>
      <c r="W160" s="2003">
        <v>7</v>
      </c>
      <c r="X160" s="2003">
        <v>8</v>
      </c>
      <c r="Y160" s="2003">
        <v>9</v>
      </c>
      <c r="Z160" s="2003">
        <v>10</v>
      </c>
      <c r="AA160" s="2008">
        <v>11</v>
      </c>
      <c r="AB160" s="1978">
        <v>12</v>
      </c>
      <c r="AC160" s="1978">
        <v>13</v>
      </c>
      <c r="AD160" s="1978">
        <v>14</v>
      </c>
      <c r="AE160" s="1978">
        <v>15</v>
      </c>
      <c r="AF160" s="1978">
        <v>16</v>
      </c>
      <c r="AG160" s="2008">
        <v>17</v>
      </c>
      <c r="AH160" s="1978">
        <v>18</v>
      </c>
      <c r="AI160" s="1978">
        <v>19</v>
      </c>
      <c r="AJ160" s="1978">
        <v>20</v>
      </c>
      <c r="AK160" s="1978">
        <v>21</v>
      </c>
      <c r="AL160" s="1978">
        <v>22</v>
      </c>
      <c r="AM160" s="2008">
        <v>23</v>
      </c>
      <c r="AN160" s="1978">
        <v>24</v>
      </c>
      <c r="AO160" s="1978">
        <v>25</v>
      </c>
      <c r="AP160" s="1978">
        <v>26</v>
      </c>
      <c r="AQ160" s="1978">
        <v>27</v>
      </c>
      <c r="AR160" s="1978">
        <v>28</v>
      </c>
      <c r="AS160" s="2008">
        <v>29</v>
      </c>
      <c r="AT160" s="1978">
        <v>30</v>
      </c>
      <c r="AU160" s="1978">
        <v>31</v>
      </c>
      <c r="AV160" s="1978">
        <v>32</v>
      </c>
      <c r="AW160" s="1978">
        <v>33</v>
      </c>
      <c r="AX160" s="1978">
        <v>34</v>
      </c>
      <c r="AY160" s="2008">
        <v>35</v>
      </c>
      <c r="AZ160" s="1978">
        <v>36</v>
      </c>
      <c r="BA160" s="1978">
        <v>37</v>
      </c>
      <c r="BB160" s="1978">
        <v>38</v>
      </c>
      <c r="BC160" s="1978">
        <v>39</v>
      </c>
      <c r="BD160" s="1978">
        <v>40</v>
      </c>
      <c r="BE160" s="2008">
        <v>41</v>
      </c>
      <c r="BF160" s="1978">
        <v>42</v>
      </c>
      <c r="BG160" s="1978">
        <v>43</v>
      </c>
      <c r="BH160" s="1978">
        <v>44</v>
      </c>
      <c r="BI160" s="1978">
        <v>45</v>
      </c>
      <c r="BJ160" s="1978">
        <v>46</v>
      </c>
      <c r="BK160" s="2008">
        <v>47</v>
      </c>
      <c r="BL160" s="1978">
        <v>48</v>
      </c>
      <c r="BV160" s="951"/>
      <c r="CA160" s="446"/>
      <c r="CB160" s="446"/>
      <c r="CC160" s="446"/>
      <c r="CD160" s="446"/>
      <c r="CE160" s="446"/>
      <c r="CF160" s="446"/>
      <c r="CG160" s="446"/>
      <c r="CH160" s="446"/>
      <c r="CI160" s="446"/>
      <c r="CJ160" s="446"/>
      <c r="CK160" s="446"/>
      <c r="CL160" s="446"/>
      <c r="CM160" s="446"/>
      <c r="CN160" s="446"/>
      <c r="CO160" s="446"/>
      <c r="CP160" s="446"/>
      <c r="CQ160" s="446"/>
      <c r="CR160" s="446"/>
      <c r="CS160" s="446"/>
      <c r="CT160" s="446"/>
      <c r="CU160" s="446"/>
      <c r="CV160" s="445"/>
      <c r="CW160" s="514"/>
      <c r="CX160" s="445"/>
      <c r="CY160" s="446"/>
      <c r="CZ160" s="446"/>
      <c r="DA160" s="446"/>
      <c r="DB160" s="446"/>
      <c r="DC160" s="446"/>
      <c r="DD160" s="446"/>
      <c r="DE160" s="446"/>
      <c r="DF160" s="446"/>
      <c r="DG160" s="446"/>
      <c r="DH160" s="446"/>
      <c r="DI160" s="446"/>
      <c r="DJ160" s="446"/>
      <c r="DK160" s="446"/>
      <c r="DL160" s="446"/>
      <c r="DM160" s="446"/>
      <c r="DN160" s="446"/>
      <c r="DO160" s="446"/>
    </row>
    <row r="161" spans="3:119" s="160" customFormat="1" ht="14.25" hidden="1" customHeight="1">
      <c r="C161" s="2311" t="str">
        <f>C132</f>
        <v>Drittmittel</v>
      </c>
      <c r="D161" s="160" t="s">
        <v>683</v>
      </c>
      <c r="E161" s="1970"/>
      <c r="F161" s="1970"/>
      <c r="G161" s="1970"/>
      <c r="H161" s="2006"/>
      <c r="I161" s="2006"/>
      <c r="J161" s="1970"/>
      <c r="K161" s="1970"/>
      <c r="L161" s="1970"/>
      <c r="M161" s="1970"/>
      <c r="N161" s="2006"/>
      <c r="O161" s="2006"/>
      <c r="P161" s="2006"/>
      <c r="Q161" s="1978">
        <f t="shared" ref="Q161:BL161" ca="1" si="54">IF($Q$159=$O$6,IF(Q160=$P$10,$O$10,0),0)</f>
        <v>0</v>
      </c>
      <c r="R161" s="1978">
        <f t="shared" ca="1" si="54"/>
        <v>0</v>
      </c>
      <c r="S161" s="1978">
        <f t="shared" ca="1" si="54"/>
        <v>0</v>
      </c>
      <c r="T161" s="1978">
        <f t="shared" ca="1" si="54"/>
        <v>0</v>
      </c>
      <c r="U161" s="1978">
        <f t="shared" ca="1" si="54"/>
        <v>0</v>
      </c>
      <c r="V161" s="2003">
        <f t="shared" ca="1" si="54"/>
        <v>0</v>
      </c>
      <c r="W161" s="2003">
        <f t="shared" ca="1" si="54"/>
        <v>0</v>
      </c>
      <c r="X161" s="2003">
        <f t="shared" ca="1" si="54"/>
        <v>0</v>
      </c>
      <c r="Y161" s="2003">
        <f t="shared" ca="1" si="54"/>
        <v>0</v>
      </c>
      <c r="Z161" s="2003">
        <f t="shared" ca="1" si="54"/>
        <v>0</v>
      </c>
      <c r="AA161" s="1978">
        <f t="shared" ca="1" si="54"/>
        <v>0</v>
      </c>
      <c r="AB161" s="1978">
        <f t="shared" ca="1" si="54"/>
        <v>0</v>
      </c>
      <c r="AC161" s="1978">
        <f t="shared" ca="1" si="54"/>
        <v>0</v>
      </c>
      <c r="AD161" s="1978">
        <f t="shared" ca="1" si="54"/>
        <v>0</v>
      </c>
      <c r="AE161" s="1978">
        <f t="shared" ca="1" si="54"/>
        <v>0</v>
      </c>
      <c r="AF161" s="1978">
        <f t="shared" ca="1" si="54"/>
        <v>0</v>
      </c>
      <c r="AG161" s="1978">
        <f t="shared" ca="1" si="54"/>
        <v>0</v>
      </c>
      <c r="AH161" s="1978">
        <f t="shared" ca="1" si="54"/>
        <v>0</v>
      </c>
      <c r="AI161" s="1978">
        <f t="shared" ca="1" si="54"/>
        <v>0</v>
      </c>
      <c r="AJ161" s="1978">
        <f t="shared" ca="1" si="54"/>
        <v>0</v>
      </c>
      <c r="AK161" s="1978">
        <f t="shared" ca="1" si="54"/>
        <v>0</v>
      </c>
      <c r="AL161" s="1978">
        <f t="shared" ca="1" si="54"/>
        <v>0</v>
      </c>
      <c r="AM161" s="1978">
        <f t="shared" ca="1" si="54"/>
        <v>0</v>
      </c>
      <c r="AN161" s="1978">
        <f t="shared" ca="1" si="54"/>
        <v>0</v>
      </c>
      <c r="AO161" s="1978">
        <f t="shared" ca="1" si="54"/>
        <v>0</v>
      </c>
      <c r="AP161" s="1978">
        <f t="shared" ca="1" si="54"/>
        <v>0</v>
      </c>
      <c r="AQ161" s="1978">
        <f t="shared" ca="1" si="54"/>
        <v>0</v>
      </c>
      <c r="AR161" s="1978">
        <f t="shared" ca="1" si="54"/>
        <v>0</v>
      </c>
      <c r="AS161" s="1978">
        <f t="shared" ca="1" si="54"/>
        <v>0</v>
      </c>
      <c r="AT161" s="1978">
        <f t="shared" ca="1" si="54"/>
        <v>0</v>
      </c>
      <c r="AU161" s="1978">
        <f t="shared" ca="1" si="54"/>
        <v>0</v>
      </c>
      <c r="AV161" s="1978">
        <f t="shared" ca="1" si="54"/>
        <v>0</v>
      </c>
      <c r="AW161" s="1978">
        <f t="shared" ca="1" si="54"/>
        <v>0</v>
      </c>
      <c r="AX161" s="1978">
        <f t="shared" ca="1" si="54"/>
        <v>0</v>
      </c>
      <c r="AY161" s="1978">
        <f t="shared" ca="1" si="54"/>
        <v>0</v>
      </c>
      <c r="AZ161" s="1978">
        <f t="shared" ca="1" si="54"/>
        <v>0</v>
      </c>
      <c r="BA161" s="1978">
        <f t="shared" ca="1" si="54"/>
        <v>0</v>
      </c>
      <c r="BB161" s="1978">
        <f t="shared" ca="1" si="54"/>
        <v>0</v>
      </c>
      <c r="BC161" s="1978">
        <f t="shared" ca="1" si="54"/>
        <v>0</v>
      </c>
      <c r="BD161" s="1978">
        <f t="shared" ca="1" si="54"/>
        <v>0</v>
      </c>
      <c r="BE161" s="1978">
        <f t="shared" ca="1" si="54"/>
        <v>0</v>
      </c>
      <c r="BF161" s="1978">
        <f t="shared" ca="1" si="54"/>
        <v>0</v>
      </c>
      <c r="BG161" s="1978">
        <f t="shared" ca="1" si="54"/>
        <v>0</v>
      </c>
      <c r="BH161" s="1978">
        <f t="shared" ca="1" si="54"/>
        <v>0</v>
      </c>
      <c r="BI161" s="1978">
        <f t="shared" ca="1" si="54"/>
        <v>0</v>
      </c>
      <c r="BJ161" s="1978">
        <f t="shared" ca="1" si="54"/>
        <v>0</v>
      </c>
      <c r="BK161" s="1978">
        <f t="shared" ca="1" si="54"/>
        <v>0</v>
      </c>
      <c r="BL161" s="1978">
        <f t="shared" ca="1" si="54"/>
        <v>0</v>
      </c>
      <c r="BV161" s="951"/>
      <c r="CA161" s="446"/>
      <c r="CB161" s="446"/>
      <c r="CC161" s="446"/>
      <c r="CD161" s="446"/>
      <c r="CE161" s="446"/>
      <c r="CF161" s="446"/>
      <c r="CG161" s="446"/>
      <c r="CH161" s="446"/>
      <c r="CI161" s="446"/>
      <c r="CJ161" s="446"/>
      <c r="CK161" s="446"/>
      <c r="CL161" s="446"/>
      <c r="CM161" s="446"/>
      <c r="CN161" s="446"/>
      <c r="CO161" s="446"/>
      <c r="CP161" s="446"/>
      <c r="CQ161" s="446"/>
      <c r="CR161" s="446"/>
      <c r="CS161" s="446"/>
      <c r="CT161" s="446"/>
      <c r="CU161" s="446"/>
      <c r="CV161" s="445"/>
      <c r="CW161" s="514"/>
      <c r="CX161" s="445"/>
      <c r="CY161" s="446"/>
      <c r="CZ161" s="446"/>
      <c r="DA161" s="446"/>
      <c r="DB161" s="446"/>
      <c r="DC161" s="446"/>
      <c r="DD161" s="446"/>
      <c r="DE161" s="446"/>
      <c r="DF161" s="446"/>
      <c r="DG161" s="446"/>
      <c r="DH161" s="446"/>
      <c r="DI161" s="446"/>
      <c r="DJ161" s="446"/>
      <c r="DK161" s="446"/>
      <c r="DL161" s="446"/>
      <c r="DM161" s="446"/>
      <c r="DN161" s="446"/>
      <c r="DO161" s="446"/>
    </row>
    <row r="162" spans="3:119" s="160" customFormat="1" ht="14.25" hidden="1" customHeight="1">
      <c r="C162" s="2311"/>
      <c r="D162" s="160" t="s">
        <v>684</v>
      </c>
      <c r="E162" s="1970"/>
      <c r="F162" s="1970"/>
      <c r="G162" s="1970"/>
      <c r="H162" s="2006"/>
      <c r="I162" s="2006"/>
      <c r="J162" s="1970"/>
      <c r="K162" s="1970"/>
      <c r="L162" s="1970"/>
      <c r="M162" s="1970"/>
      <c r="N162" s="2006"/>
      <c r="O162" s="2006"/>
      <c r="P162" s="2006"/>
      <c r="Q162" s="1978">
        <f t="shared" ref="Q162:BL162" si="55">IF($P$10=Q160,($O$10*$Q$10)/12,0)</f>
        <v>0</v>
      </c>
      <c r="R162" s="1978">
        <f t="shared" si="55"/>
        <v>0</v>
      </c>
      <c r="S162" s="1978">
        <f t="shared" si="55"/>
        <v>0</v>
      </c>
      <c r="T162" s="1978">
        <f t="shared" si="55"/>
        <v>0</v>
      </c>
      <c r="U162" s="1978">
        <f t="shared" si="55"/>
        <v>0</v>
      </c>
      <c r="V162" s="2003">
        <f t="shared" si="55"/>
        <v>0</v>
      </c>
      <c r="W162" s="2003">
        <f t="shared" si="55"/>
        <v>0</v>
      </c>
      <c r="X162" s="2003">
        <f t="shared" si="55"/>
        <v>0</v>
      </c>
      <c r="Y162" s="2003">
        <f t="shared" si="55"/>
        <v>0</v>
      </c>
      <c r="Z162" s="2003">
        <f t="shared" si="55"/>
        <v>0</v>
      </c>
      <c r="AA162" s="1978">
        <f t="shared" si="55"/>
        <v>0</v>
      </c>
      <c r="AB162" s="1978">
        <f t="shared" si="55"/>
        <v>0</v>
      </c>
      <c r="AC162" s="1978">
        <f t="shared" si="55"/>
        <v>0</v>
      </c>
      <c r="AD162" s="1978">
        <f t="shared" si="55"/>
        <v>0</v>
      </c>
      <c r="AE162" s="1978">
        <f t="shared" si="55"/>
        <v>0</v>
      </c>
      <c r="AF162" s="1978">
        <f t="shared" si="55"/>
        <v>0</v>
      </c>
      <c r="AG162" s="1978">
        <f t="shared" si="55"/>
        <v>0</v>
      </c>
      <c r="AH162" s="1978">
        <f t="shared" si="55"/>
        <v>0</v>
      </c>
      <c r="AI162" s="1978">
        <f t="shared" si="55"/>
        <v>0</v>
      </c>
      <c r="AJ162" s="1978">
        <f t="shared" si="55"/>
        <v>0</v>
      </c>
      <c r="AK162" s="1978">
        <f t="shared" si="55"/>
        <v>0</v>
      </c>
      <c r="AL162" s="1978">
        <f t="shared" si="55"/>
        <v>0</v>
      </c>
      <c r="AM162" s="1978">
        <f t="shared" si="55"/>
        <v>0</v>
      </c>
      <c r="AN162" s="1978">
        <f t="shared" si="55"/>
        <v>0</v>
      </c>
      <c r="AO162" s="1978">
        <f t="shared" si="55"/>
        <v>0</v>
      </c>
      <c r="AP162" s="1978">
        <f t="shared" si="55"/>
        <v>0</v>
      </c>
      <c r="AQ162" s="1978">
        <f t="shared" si="55"/>
        <v>0</v>
      </c>
      <c r="AR162" s="1978">
        <f t="shared" si="55"/>
        <v>0</v>
      </c>
      <c r="AS162" s="1978">
        <f t="shared" si="55"/>
        <v>0</v>
      </c>
      <c r="AT162" s="1978">
        <f t="shared" si="55"/>
        <v>0</v>
      </c>
      <c r="AU162" s="1978">
        <f t="shared" si="55"/>
        <v>0</v>
      </c>
      <c r="AV162" s="1978">
        <f t="shared" si="55"/>
        <v>0</v>
      </c>
      <c r="AW162" s="1978">
        <f t="shared" si="55"/>
        <v>0</v>
      </c>
      <c r="AX162" s="1978">
        <f t="shared" si="55"/>
        <v>0</v>
      </c>
      <c r="AY162" s="1978">
        <f t="shared" si="55"/>
        <v>0</v>
      </c>
      <c r="AZ162" s="1978">
        <f t="shared" si="55"/>
        <v>0</v>
      </c>
      <c r="BA162" s="1978">
        <f t="shared" si="55"/>
        <v>0</v>
      </c>
      <c r="BB162" s="1978">
        <f t="shared" si="55"/>
        <v>0</v>
      </c>
      <c r="BC162" s="1978">
        <f t="shared" si="55"/>
        <v>0</v>
      </c>
      <c r="BD162" s="1978">
        <f t="shared" si="55"/>
        <v>0</v>
      </c>
      <c r="BE162" s="1978">
        <f t="shared" si="55"/>
        <v>0</v>
      </c>
      <c r="BF162" s="1978">
        <f t="shared" si="55"/>
        <v>0</v>
      </c>
      <c r="BG162" s="1978">
        <f t="shared" si="55"/>
        <v>0</v>
      </c>
      <c r="BH162" s="1978">
        <f t="shared" si="55"/>
        <v>0</v>
      </c>
      <c r="BI162" s="1978">
        <f t="shared" si="55"/>
        <v>0</v>
      </c>
      <c r="BJ162" s="1978">
        <f t="shared" si="55"/>
        <v>0</v>
      </c>
      <c r="BK162" s="1978">
        <f t="shared" si="55"/>
        <v>0</v>
      </c>
      <c r="BL162" s="1978">
        <f t="shared" si="55"/>
        <v>0</v>
      </c>
      <c r="BV162" s="951"/>
      <c r="CA162" s="446"/>
      <c r="CB162" s="446"/>
      <c r="CC162" s="446"/>
      <c r="CD162" s="446"/>
      <c r="CE162" s="446"/>
      <c r="CF162" s="446"/>
      <c r="CG162" s="446"/>
      <c r="CH162" s="446"/>
      <c r="CI162" s="446"/>
      <c r="CJ162" s="446"/>
      <c r="CK162" s="446"/>
      <c r="CL162" s="446"/>
      <c r="CM162" s="446"/>
      <c r="CN162" s="446"/>
      <c r="CO162" s="446"/>
      <c r="CP162" s="446"/>
      <c r="CQ162" s="446"/>
      <c r="CR162" s="446"/>
      <c r="CS162" s="446"/>
      <c r="CT162" s="446"/>
      <c r="CU162" s="446"/>
      <c r="CV162" s="445"/>
      <c r="CW162" s="514"/>
      <c r="CX162" s="445"/>
      <c r="CY162" s="446"/>
      <c r="CZ162" s="446"/>
      <c r="DA162" s="446"/>
      <c r="DB162" s="446"/>
      <c r="DC162" s="446"/>
      <c r="DD162" s="446"/>
      <c r="DE162" s="446"/>
      <c r="DF162" s="446"/>
      <c r="DG162" s="446"/>
      <c r="DH162" s="446"/>
      <c r="DI162" s="446"/>
      <c r="DJ162" s="446"/>
      <c r="DK162" s="446"/>
      <c r="DL162" s="446"/>
      <c r="DM162" s="446"/>
      <c r="DN162" s="446"/>
      <c r="DO162" s="446"/>
    </row>
    <row r="163" spans="3:119" s="160" customFormat="1" ht="14.25" hidden="1" customHeight="1">
      <c r="C163" s="2311"/>
      <c r="D163" s="160" t="s">
        <v>685</v>
      </c>
      <c r="E163" s="1970"/>
      <c r="F163" s="1970"/>
      <c r="G163" s="1970"/>
      <c r="H163" s="2006"/>
      <c r="I163" s="2006"/>
      <c r="J163" s="1970"/>
      <c r="K163" s="1970"/>
      <c r="L163" s="1970"/>
      <c r="M163" s="1970"/>
      <c r="N163" s="2006"/>
      <c r="O163" s="2006"/>
      <c r="P163" s="2006"/>
      <c r="Q163" s="1978">
        <f>IF(OR(Q160&gt;=$P$10+$R$10+$S$10*12,Q160&lt;$P$10),0,$O$10*$Q$10/12)</f>
        <v>0</v>
      </c>
      <c r="R163" s="1978">
        <f>IF(OR(R160&gt;=$P$12+$N140+$S$12*12,R160&lt;$P$12),0,($O$12-SUM($Q$165:R165))*$Q$12/12)</f>
        <v>0</v>
      </c>
      <c r="S163" s="1978">
        <f>IF(OR(S160&gt;=$P$12+$N140+$S$12*12,S160&lt;$P$12),0,($O$12-SUM($Q$165:S165))*$Q$12/12)</f>
        <v>0</v>
      </c>
      <c r="T163" s="1978">
        <f>IF(OR(T160&gt;=$P$12+$N140+$S$12*12,T160&lt;$P$12),0,($O$12-SUM($Q$165:T165))*$Q$12/12)</f>
        <v>0</v>
      </c>
      <c r="U163" s="1978">
        <f>IF(OR(U160&gt;=$P$12+$N140+$S$12*12,U160&lt;$P$12),0,($O$12-SUM($Q$165:U165))*$Q$12/12)</f>
        <v>0</v>
      </c>
      <c r="V163" s="1978">
        <f>IF(OR(V160&gt;=$P$12+$N140+$S$12*12,V160&lt;$P$12),0,($O$12-SUM($Q$165:V165))*$Q$12/12)</f>
        <v>0</v>
      </c>
      <c r="W163" s="1978">
        <f>IF(OR(W160&gt;=$P$12+$N140+$S$12*12,W160&lt;$P$12),0,($O$12-SUM($Q$165:W165))*$Q$12/12)</f>
        <v>0</v>
      </c>
      <c r="X163" s="1978">
        <f>IF(OR(X160&gt;=$P$12+$N140+$S$12*12,X160&lt;$P$12),0,($O$12-SUM($Q$165:X165))*$Q$12/12)</f>
        <v>0</v>
      </c>
      <c r="Y163" s="1978">
        <f>IF(OR(Y160&gt;=$P$12+$N140+$S$12*12,Y160&lt;$P$12),0,($O$12-SUM($Q$165:Y165))*$Q$12/12)</f>
        <v>0</v>
      </c>
      <c r="Z163" s="1978">
        <f>IF(OR(Z160&gt;=$P$12+$N140+$S$12*12,Z160&lt;$P$12),0,($O$12-SUM($Q$165:Z165))*$Q$12/12)</f>
        <v>0</v>
      </c>
      <c r="AA163" s="1978">
        <f>IF(OR(AA160&gt;=$P$12+$N140+$S$12*12,AA160&lt;$P$12),0,($O$12-SUM($Q$165:AA165))*$Q$12/12)</f>
        <v>0</v>
      </c>
      <c r="AB163" s="1978">
        <f>IF(OR(AB160&gt;=$P$12+$N140+$S$12*12,AB160&lt;$P$12),0,($O$12-SUM($Q$165:AB165))*$Q$12/12)</f>
        <v>0</v>
      </c>
      <c r="AC163" s="1978">
        <f>IF(OR(AC160&gt;=$P$12+$N140+$S$12*12,AC160&lt;$P$12),0,($O$12-SUM($Q$165:AC165))*$Q$12/12)</f>
        <v>0</v>
      </c>
      <c r="AD163" s="1978">
        <f>IF(OR(AD160&gt;=$P$12+$N140+$S$12*12,AD160&lt;$P$12),0,($O$12-SUM($Q$165:AD165))*$Q$12/12)</f>
        <v>0</v>
      </c>
      <c r="AE163" s="1978">
        <f>IF(OR(AE160&gt;=$P$12+$N140+$S$12*12,AE160&lt;$P$12),0,($O$12-SUM($Q$165:AE165))*$Q$12/12)</f>
        <v>0</v>
      </c>
      <c r="AF163" s="1978">
        <f>IF(OR(AF160&gt;=$P$12+$N140+$S$12*12,AF160&lt;$P$12),0,($O$12-SUM($Q$165:AF165))*$Q$12/12)</f>
        <v>0</v>
      </c>
      <c r="AG163" s="1978">
        <f>IF(OR(AG160&gt;=$P$12+$N140+$S$12*12,AG160&lt;$P$12),0,($O$12-SUM($Q$165:AG165))*$Q$12/12)</f>
        <v>0</v>
      </c>
      <c r="AH163" s="1978">
        <f>IF(OR(AH160&gt;=$P$12+$N140+$S$12*12,AH160&lt;$P$12),0,($O$12-SUM($Q$165:AH165))*$Q$12/12)</f>
        <v>0</v>
      </c>
      <c r="AI163" s="1978">
        <f>IF(OR(AI160&gt;=$P$12+$N140+$S$12*12,AI160&lt;$P$12),0,($O$12-SUM($Q$165:AI165))*$Q$12/12)</f>
        <v>0</v>
      </c>
      <c r="AJ163" s="1978">
        <f>IF(OR(AJ160&gt;=$P$12+$N140+$S$12*12,AJ160&lt;$P$12),0,($O$12-SUM($Q$165:AJ165))*$Q$12/12)</f>
        <v>0</v>
      </c>
      <c r="AK163" s="1978">
        <f>IF(OR(AK160&gt;=$P$12+$N140+$S$12*12,AK160&lt;$P$12),0,($O$12-SUM($Q$165:AK165))*$Q$12/12)</f>
        <v>0</v>
      </c>
      <c r="AL163" s="1978">
        <f>IF(OR(AL160&gt;=$P$12+$N140+$S$12*12,AL160&lt;$P$12),0,($O$12-SUM($Q$165:AL165))*$Q$12/12)</f>
        <v>0</v>
      </c>
      <c r="AM163" s="1978">
        <f>IF(OR(AM160&gt;=$P$12+$N140+$S$12*12,AM160&lt;$P$12),0,($O$12-SUM($Q$165:AM165))*$Q$12/12)</f>
        <v>0</v>
      </c>
      <c r="AN163" s="1978">
        <f>IF(OR(AN160&gt;=$P$12+$N140+$S$12*12,AN160&lt;$P$12),0,($O$12-SUM($Q$165:AN165))*$Q$12/12)</f>
        <v>0</v>
      </c>
      <c r="AO163" s="1978">
        <f>IF(OR(AO160&gt;=$P$12+$N140+$S$12*12,AO160&lt;$P$12),0,($O$12-SUM($Q$165:AO165))*$Q$12/12)</f>
        <v>0</v>
      </c>
      <c r="AP163" s="1978">
        <f>IF(OR(AP160&gt;=$P$12+$N140+$S$12*12,AP160&lt;$P$12),0,($O$12-SUM($Q$165:AP165))*$Q$12/12)</f>
        <v>0</v>
      </c>
      <c r="AQ163" s="1978">
        <f>IF(OR(AQ160&gt;=$P$12+$N140+$S$12*12,AQ160&lt;$P$12),0,($O$12-SUM($Q$165:AQ165))*$Q$12/12)</f>
        <v>0</v>
      </c>
      <c r="AR163" s="1978">
        <f>IF(OR(AR160&gt;=$P$12+$N140+$S$12*12,AR160&lt;$P$12),0,($O$12-SUM($Q$165:AR165))*$Q$12/12)</f>
        <v>0</v>
      </c>
      <c r="AS163" s="1978">
        <f>IF(OR(AS160&gt;=$P$12+$N140+$S$12*12,AS160&lt;$P$12),0,($O$12-SUM($Q$165:AS165))*$Q$12/12)</f>
        <v>0</v>
      </c>
      <c r="AT163" s="1978">
        <f>IF(OR(AT160&gt;=$P$12+$N140+$S$12*12,AT160&lt;$P$12),0,($O$12-SUM($Q$165:AT165))*$Q$12/12)</f>
        <v>0</v>
      </c>
      <c r="AU163" s="1978">
        <f>IF(OR(AU160&gt;=$P$12+$N140+$S$12*12,AU160&lt;$P$12),0,($O$12-SUM($Q$165:AU165))*$Q$12/12)</f>
        <v>0</v>
      </c>
      <c r="AV163" s="1978">
        <f>IF(OR(AV160&gt;=$P$12+$N140+$S$12*12,AV160&lt;$P$12),0,($O$12-SUM($Q$165:AV165))*$Q$12/12)</f>
        <v>0</v>
      </c>
      <c r="AW163" s="1978">
        <f>IF(OR(AW160&gt;=$P$12+$N140+$S$12*12,AW160&lt;$P$12),0,($O$12-SUM($Q$165:AW165))*$Q$12/12)</f>
        <v>0</v>
      </c>
      <c r="AX163" s="1978">
        <f>IF(OR(AX160&gt;=$P$12+$N140+$S$12*12,AX160&lt;$P$12),0,($O$12-SUM($Q$165:AX165))*$Q$12/12)</f>
        <v>0</v>
      </c>
      <c r="AY163" s="1978">
        <f>IF(OR(AY160&gt;=$P$12+$N140+$S$12*12,AY160&lt;$P$12),0,($O$12-SUM($Q$165:AY165))*$Q$12/12)</f>
        <v>0</v>
      </c>
      <c r="AZ163" s="1978">
        <f>IF(OR(AZ160&gt;=$P$12+$N140+$S$12*12,AZ160&lt;$P$12),0,($O$12-SUM($Q$165:AZ165))*$Q$12/12)</f>
        <v>0</v>
      </c>
      <c r="BA163" s="1978">
        <f>IF(OR(BA160&gt;=$P$12+$N140+$S$12*12,BA160&lt;$P$12),0,($O$12-SUM($Q$165:BA165))*$Q$12/12)</f>
        <v>0</v>
      </c>
      <c r="BB163" s="1978">
        <f>IF(OR(BB160&gt;=$P$12+$N140+$S$12*12,BB160&lt;$P$12),0,($O$12-SUM($Q$165:BB165))*$Q$12/12)</f>
        <v>0</v>
      </c>
      <c r="BC163" s="1978">
        <f>IF(OR(BC160&gt;=$P$12+$N140+$S$12*12,BC160&lt;$P$12),0,($O$12-SUM($Q$165:BC165))*$Q$12/12)</f>
        <v>0</v>
      </c>
      <c r="BD163" s="1978">
        <f>IF(OR(BD160&gt;=$P$12+$N140+$S$12*12,BD160&lt;$P$12),0,($O$12-SUM($Q$165:BD165))*$Q$12/12)</f>
        <v>0</v>
      </c>
      <c r="BE163" s="1978">
        <f>IF(OR(BE160&gt;=$P$12+$N140+$S$12*12,BE160&lt;$P$12),0,($O$12-SUM($Q$165:BE165))*$Q$12/12)</f>
        <v>0</v>
      </c>
      <c r="BF163" s="1978">
        <f>IF(OR(BF160&gt;=$P$12+$N140+$S$12*12,BF160&lt;$P$12),0,($O$12-SUM($Q$165:BF165))*$Q$12/12)</f>
        <v>0</v>
      </c>
      <c r="BG163" s="1978">
        <f>IF(OR(BG160&gt;=$P$12+$N140+$S$12*12,BG160&lt;$P$12),0,($O$12-SUM($Q$165:BG165))*$Q$12/12)</f>
        <v>0</v>
      </c>
      <c r="BH163" s="1978">
        <f>IF(OR(BH160&gt;=$P$12+$N140+$S$12*12,BH160&lt;$P$12),0,($O$12-SUM($Q$165:BH165))*$Q$12/12)</f>
        <v>0</v>
      </c>
      <c r="BI163" s="1978">
        <f>IF(OR(BI160&gt;=$P$12+$N140+$S$12*12,BI160&lt;$P$12),0,($O$12-SUM($Q$165:BI165))*$Q$12/12)</f>
        <v>0</v>
      </c>
      <c r="BJ163" s="1978">
        <f>IF(OR(BJ160&gt;=$P$12+$N140+$S$12*12,BJ160&lt;$P$12),0,($O$12-SUM($Q$165:BJ165))*$Q$12/12)</f>
        <v>0</v>
      </c>
      <c r="BK163" s="1978">
        <f>IF(OR(BK160&gt;=$P$12+$N140+$S$12*12,BK160&lt;$P$12),0,($O$12-SUM($Q$165:BK165))*$Q$12/12)</f>
        <v>0</v>
      </c>
      <c r="BL163" s="1978">
        <f>IF(OR(BL160&gt;=$P$12+$N140+$S$12*12,BL160&lt;$P$12),0,($O$12-SUM($Q$165:BL165))*$Q$12/12)</f>
        <v>0</v>
      </c>
      <c r="BV163" s="951"/>
      <c r="CA163" s="446"/>
      <c r="CB163" s="446"/>
      <c r="CC163" s="446"/>
      <c r="CD163" s="446"/>
      <c r="CE163" s="446"/>
      <c r="CF163" s="446"/>
      <c r="CG163" s="446"/>
      <c r="CH163" s="446"/>
      <c r="CI163" s="446"/>
      <c r="CJ163" s="446"/>
      <c r="CK163" s="446"/>
      <c r="CL163" s="446"/>
      <c r="CM163" s="446"/>
      <c r="CN163" s="446"/>
      <c r="CO163" s="446"/>
      <c r="CP163" s="446"/>
      <c r="CQ163" s="446"/>
      <c r="CR163" s="446"/>
      <c r="CS163" s="446"/>
      <c r="CT163" s="446"/>
      <c r="CU163" s="446"/>
      <c r="CV163" s="445"/>
      <c r="CW163" s="514"/>
      <c r="CX163" s="445"/>
      <c r="CY163" s="446"/>
      <c r="CZ163" s="446"/>
      <c r="DA163" s="446"/>
      <c r="DB163" s="446"/>
      <c r="DC163" s="446"/>
      <c r="DD163" s="446"/>
      <c r="DE163" s="446"/>
      <c r="DF163" s="446"/>
      <c r="DG163" s="446"/>
      <c r="DH163" s="446"/>
      <c r="DI163" s="446"/>
      <c r="DJ163" s="446"/>
      <c r="DK163" s="446"/>
      <c r="DL163" s="446"/>
      <c r="DM163" s="446"/>
      <c r="DN163" s="446"/>
      <c r="DO163" s="446"/>
    </row>
    <row r="164" spans="3:119" s="160" customFormat="1" ht="14.25" hidden="1" customHeight="1">
      <c r="C164" s="2311"/>
      <c r="D164" s="160" t="s">
        <v>120</v>
      </c>
      <c r="E164" s="1970"/>
      <c r="F164" s="1970"/>
      <c r="G164" s="1970"/>
      <c r="H164" s="2006"/>
      <c r="I164" s="2006"/>
      <c r="J164" s="1970"/>
      <c r="K164" s="1970"/>
      <c r="L164" s="1970"/>
      <c r="M164" s="1970"/>
      <c r="N164" s="2006"/>
      <c r="O164" s="2006"/>
      <c r="P164" s="2006"/>
      <c r="Q164" s="1978">
        <f t="shared" ref="Q164" si="56">IF($P$10+$R$10=Q160,IF($S$10=0,0,$O$10/($S$10*12)),0)</f>
        <v>0</v>
      </c>
      <c r="R164" s="1978">
        <f t="shared" ref="R164:BL164" si="57">IF($P$10+$R$10=R160,IF($S$10=0,0,$O$10/($S$10*12)),0)</f>
        <v>0</v>
      </c>
      <c r="S164" s="1978">
        <f t="shared" si="57"/>
        <v>0</v>
      </c>
      <c r="T164" s="1978">
        <f t="shared" si="57"/>
        <v>0</v>
      </c>
      <c r="U164" s="1978">
        <f t="shared" si="57"/>
        <v>0</v>
      </c>
      <c r="V164" s="1978">
        <f t="shared" si="57"/>
        <v>0</v>
      </c>
      <c r="W164" s="1978">
        <f t="shared" si="57"/>
        <v>0</v>
      </c>
      <c r="X164" s="1978">
        <f t="shared" si="57"/>
        <v>0</v>
      </c>
      <c r="Y164" s="1978">
        <f t="shared" si="57"/>
        <v>0</v>
      </c>
      <c r="Z164" s="1978">
        <f t="shared" si="57"/>
        <v>0</v>
      </c>
      <c r="AA164" s="1978">
        <f t="shared" si="57"/>
        <v>0</v>
      </c>
      <c r="AB164" s="1978">
        <f t="shared" si="57"/>
        <v>0</v>
      </c>
      <c r="AC164" s="1978">
        <f t="shared" si="57"/>
        <v>0</v>
      </c>
      <c r="AD164" s="1978">
        <f t="shared" si="57"/>
        <v>0</v>
      </c>
      <c r="AE164" s="1978">
        <f t="shared" si="57"/>
        <v>0</v>
      </c>
      <c r="AF164" s="1978">
        <f t="shared" si="57"/>
        <v>0</v>
      </c>
      <c r="AG164" s="1978">
        <f t="shared" si="57"/>
        <v>0</v>
      </c>
      <c r="AH164" s="1978">
        <f t="shared" si="57"/>
        <v>0</v>
      </c>
      <c r="AI164" s="1978">
        <f t="shared" si="57"/>
        <v>0</v>
      </c>
      <c r="AJ164" s="1978">
        <f t="shared" si="57"/>
        <v>0</v>
      </c>
      <c r="AK164" s="1978">
        <f t="shared" si="57"/>
        <v>0</v>
      </c>
      <c r="AL164" s="1978">
        <f t="shared" si="57"/>
        <v>0</v>
      </c>
      <c r="AM164" s="1978">
        <f t="shared" si="57"/>
        <v>0</v>
      </c>
      <c r="AN164" s="1978">
        <f t="shared" si="57"/>
        <v>0</v>
      </c>
      <c r="AO164" s="1978">
        <f t="shared" si="57"/>
        <v>0</v>
      </c>
      <c r="AP164" s="1978">
        <f t="shared" si="57"/>
        <v>0</v>
      </c>
      <c r="AQ164" s="1978">
        <f t="shared" si="57"/>
        <v>0</v>
      </c>
      <c r="AR164" s="1978">
        <f t="shared" si="57"/>
        <v>0</v>
      </c>
      <c r="AS164" s="1978">
        <f t="shared" si="57"/>
        <v>0</v>
      </c>
      <c r="AT164" s="1978">
        <f t="shared" si="57"/>
        <v>0</v>
      </c>
      <c r="AU164" s="1978">
        <f t="shared" si="57"/>
        <v>0</v>
      </c>
      <c r="AV164" s="1978">
        <f t="shared" si="57"/>
        <v>0</v>
      </c>
      <c r="AW164" s="1978">
        <f t="shared" si="57"/>
        <v>0</v>
      </c>
      <c r="AX164" s="1978">
        <f t="shared" si="57"/>
        <v>0</v>
      </c>
      <c r="AY164" s="1978">
        <f t="shared" si="57"/>
        <v>0</v>
      </c>
      <c r="AZ164" s="1978">
        <f t="shared" si="57"/>
        <v>0</v>
      </c>
      <c r="BA164" s="1978">
        <f t="shared" si="57"/>
        <v>0</v>
      </c>
      <c r="BB164" s="1978">
        <f t="shared" si="57"/>
        <v>0</v>
      </c>
      <c r="BC164" s="1978">
        <f t="shared" si="57"/>
        <v>0</v>
      </c>
      <c r="BD164" s="1978">
        <f t="shared" si="57"/>
        <v>0</v>
      </c>
      <c r="BE164" s="1978">
        <f t="shared" si="57"/>
        <v>0</v>
      </c>
      <c r="BF164" s="1978">
        <f t="shared" si="57"/>
        <v>0</v>
      </c>
      <c r="BG164" s="1978">
        <f t="shared" si="57"/>
        <v>0</v>
      </c>
      <c r="BH164" s="1978">
        <f t="shared" si="57"/>
        <v>0</v>
      </c>
      <c r="BI164" s="1978">
        <f t="shared" si="57"/>
        <v>0</v>
      </c>
      <c r="BJ164" s="1978">
        <f t="shared" si="57"/>
        <v>0</v>
      </c>
      <c r="BK164" s="1978">
        <f t="shared" si="57"/>
        <v>0</v>
      </c>
      <c r="BL164" s="1978">
        <f t="shared" si="57"/>
        <v>0</v>
      </c>
      <c r="BV164" s="951"/>
      <c r="CA164" s="446"/>
      <c r="CB164" s="446"/>
      <c r="CC164" s="446"/>
      <c r="CD164" s="446"/>
      <c r="CE164" s="446"/>
      <c r="CF164" s="446"/>
      <c r="CG164" s="446"/>
      <c r="CH164" s="446"/>
      <c r="CI164" s="446"/>
      <c r="CJ164" s="446"/>
      <c r="CK164" s="446"/>
      <c r="CL164" s="446"/>
      <c r="CM164" s="446"/>
      <c r="CN164" s="446"/>
      <c r="CO164" s="446"/>
      <c r="CP164" s="446"/>
      <c r="CQ164" s="446"/>
      <c r="CR164" s="446"/>
      <c r="CS164" s="446"/>
      <c r="CT164" s="446"/>
      <c r="CU164" s="446"/>
      <c r="CV164" s="445"/>
      <c r="CW164" s="514"/>
      <c r="CX164" s="445"/>
      <c r="CY164" s="446"/>
      <c r="CZ164" s="446"/>
      <c r="DA164" s="446"/>
      <c r="DB164" s="446"/>
      <c r="DC164" s="446"/>
      <c r="DD164" s="446"/>
      <c r="DE164" s="446"/>
      <c r="DF164" s="446"/>
      <c r="DG164" s="446"/>
      <c r="DH164" s="446"/>
      <c r="DI164" s="446"/>
      <c r="DJ164" s="446"/>
      <c r="DK164" s="446"/>
      <c r="DL164" s="446"/>
      <c r="DM164" s="446"/>
      <c r="DN164" s="446"/>
      <c r="DO164" s="446"/>
    </row>
    <row r="165" spans="3:119" s="160" customFormat="1" ht="14.25" hidden="1" customHeight="1">
      <c r="C165" s="2311"/>
      <c r="D165" s="160" t="s">
        <v>686</v>
      </c>
      <c r="E165" s="1970"/>
      <c r="F165" s="1970"/>
      <c r="G165" s="1970"/>
      <c r="H165" s="2006"/>
      <c r="I165" s="2006"/>
      <c r="J165" s="1970"/>
      <c r="K165" s="1970"/>
      <c r="L165" s="1970"/>
      <c r="M165" s="1970"/>
      <c r="N165" s="2006"/>
      <c r="O165" s="2006"/>
      <c r="P165" s="2006"/>
      <c r="Q165" s="1978">
        <f>IF(OR(Q160&gt;=$P$10+$R$10+$S$10*12,Q160&lt;$P$10+$R$10),0,IF($S$10=0,0,$O$10/($S$10*12)))</f>
        <v>0</v>
      </c>
      <c r="R165" s="1978">
        <f t="shared" ref="R165:BL165" si="58">IF(OR(R160&gt;=$P$10+$R$10+$S$10*12,R160&lt;$P$10+$R$10),0,IF($S$10=0,0,$O$10/($S$10*12)))</f>
        <v>0</v>
      </c>
      <c r="S165" s="1978">
        <f t="shared" si="58"/>
        <v>0</v>
      </c>
      <c r="T165" s="1978">
        <f t="shared" si="58"/>
        <v>0</v>
      </c>
      <c r="U165" s="1978">
        <f t="shared" si="58"/>
        <v>0</v>
      </c>
      <c r="V165" s="1978">
        <f t="shared" si="58"/>
        <v>0</v>
      </c>
      <c r="W165" s="1978">
        <f t="shared" si="58"/>
        <v>0</v>
      </c>
      <c r="X165" s="1978">
        <f t="shared" si="58"/>
        <v>0</v>
      </c>
      <c r="Y165" s="1978">
        <f t="shared" si="58"/>
        <v>0</v>
      </c>
      <c r="Z165" s="1978">
        <f t="shared" si="58"/>
        <v>0</v>
      </c>
      <c r="AA165" s="1978">
        <f t="shared" si="58"/>
        <v>0</v>
      </c>
      <c r="AB165" s="1978">
        <f t="shared" si="58"/>
        <v>0</v>
      </c>
      <c r="AC165" s="1978">
        <f t="shared" si="58"/>
        <v>0</v>
      </c>
      <c r="AD165" s="1978">
        <f t="shared" si="58"/>
        <v>0</v>
      </c>
      <c r="AE165" s="1978">
        <f t="shared" si="58"/>
        <v>0</v>
      </c>
      <c r="AF165" s="1978">
        <f t="shared" si="58"/>
        <v>0</v>
      </c>
      <c r="AG165" s="1978">
        <f t="shared" si="58"/>
        <v>0</v>
      </c>
      <c r="AH165" s="1978">
        <f t="shared" si="58"/>
        <v>0</v>
      </c>
      <c r="AI165" s="1978">
        <f t="shared" si="58"/>
        <v>0</v>
      </c>
      <c r="AJ165" s="1978">
        <f t="shared" si="58"/>
        <v>0</v>
      </c>
      <c r="AK165" s="1978">
        <f t="shared" si="58"/>
        <v>0</v>
      </c>
      <c r="AL165" s="1978">
        <f t="shared" si="58"/>
        <v>0</v>
      </c>
      <c r="AM165" s="1978">
        <f t="shared" si="58"/>
        <v>0</v>
      </c>
      <c r="AN165" s="1978">
        <f t="shared" si="58"/>
        <v>0</v>
      </c>
      <c r="AO165" s="1978">
        <f t="shared" si="58"/>
        <v>0</v>
      </c>
      <c r="AP165" s="1978">
        <f t="shared" si="58"/>
        <v>0</v>
      </c>
      <c r="AQ165" s="1978">
        <f t="shared" si="58"/>
        <v>0</v>
      </c>
      <c r="AR165" s="1978">
        <f t="shared" si="58"/>
        <v>0</v>
      </c>
      <c r="AS165" s="1978">
        <f t="shared" si="58"/>
        <v>0</v>
      </c>
      <c r="AT165" s="1978">
        <f t="shared" si="58"/>
        <v>0</v>
      </c>
      <c r="AU165" s="1978">
        <f t="shared" si="58"/>
        <v>0</v>
      </c>
      <c r="AV165" s="1978">
        <f t="shared" si="58"/>
        <v>0</v>
      </c>
      <c r="AW165" s="1978">
        <f t="shared" si="58"/>
        <v>0</v>
      </c>
      <c r="AX165" s="1978">
        <f t="shared" si="58"/>
        <v>0</v>
      </c>
      <c r="AY165" s="1978">
        <f t="shared" si="58"/>
        <v>0</v>
      </c>
      <c r="AZ165" s="1978">
        <f t="shared" si="58"/>
        <v>0</v>
      </c>
      <c r="BA165" s="1978">
        <f t="shared" si="58"/>
        <v>0</v>
      </c>
      <c r="BB165" s="1978">
        <f t="shared" si="58"/>
        <v>0</v>
      </c>
      <c r="BC165" s="1978">
        <f t="shared" si="58"/>
        <v>0</v>
      </c>
      <c r="BD165" s="1978">
        <f t="shared" si="58"/>
        <v>0</v>
      </c>
      <c r="BE165" s="1978">
        <f t="shared" si="58"/>
        <v>0</v>
      </c>
      <c r="BF165" s="1978">
        <f t="shared" si="58"/>
        <v>0</v>
      </c>
      <c r="BG165" s="1978">
        <f t="shared" si="58"/>
        <v>0</v>
      </c>
      <c r="BH165" s="1978">
        <f t="shared" si="58"/>
        <v>0</v>
      </c>
      <c r="BI165" s="1978">
        <f t="shared" si="58"/>
        <v>0</v>
      </c>
      <c r="BJ165" s="1978">
        <f t="shared" si="58"/>
        <v>0</v>
      </c>
      <c r="BK165" s="1978">
        <f t="shared" si="58"/>
        <v>0</v>
      </c>
      <c r="BL165" s="1978">
        <f t="shared" si="58"/>
        <v>0</v>
      </c>
      <c r="BV165" s="951"/>
      <c r="CA165" s="446"/>
      <c r="CB165" s="446"/>
      <c r="CC165" s="446"/>
      <c r="CD165" s="446"/>
      <c r="CE165" s="446"/>
      <c r="CF165" s="446"/>
      <c r="CG165" s="446"/>
      <c r="CH165" s="446"/>
      <c r="CI165" s="446"/>
      <c r="CJ165" s="446"/>
      <c r="CK165" s="446"/>
      <c r="CL165" s="446"/>
      <c r="CM165" s="446"/>
      <c r="CN165" s="446"/>
      <c r="CO165" s="446"/>
      <c r="CP165" s="446"/>
      <c r="CQ165" s="446"/>
      <c r="CR165" s="446"/>
      <c r="CS165" s="446"/>
      <c r="CT165" s="446"/>
      <c r="CU165" s="446"/>
      <c r="CV165" s="445"/>
      <c r="CW165" s="514"/>
      <c r="CX165" s="445"/>
      <c r="CY165" s="446"/>
      <c r="CZ165" s="446"/>
      <c r="DA165" s="446"/>
      <c r="DB165" s="446"/>
      <c r="DC165" s="446"/>
      <c r="DD165" s="446"/>
      <c r="DE165" s="446"/>
      <c r="DF165" s="446"/>
      <c r="DG165" s="446"/>
      <c r="DH165" s="446"/>
      <c r="DI165" s="446"/>
      <c r="DJ165" s="446"/>
      <c r="DK165" s="446"/>
      <c r="DL165" s="446"/>
      <c r="DM165" s="446"/>
      <c r="DN165" s="446"/>
      <c r="DO165" s="446"/>
    </row>
    <row r="166" spans="3:119" s="160" customFormat="1" ht="14.25" hidden="1" customHeight="1">
      <c r="C166" s="2311" t="str">
        <f>C137</f>
        <v>Kontokorrent</v>
      </c>
      <c r="D166" s="160" t="s">
        <v>683</v>
      </c>
      <c r="E166" s="1970"/>
      <c r="F166" s="1970"/>
      <c r="G166" s="1970"/>
      <c r="H166" s="2006"/>
      <c r="I166" s="2006"/>
      <c r="J166" s="1970"/>
      <c r="K166" s="1970"/>
      <c r="L166" s="1970"/>
      <c r="M166" s="1970"/>
      <c r="N166" s="2006"/>
      <c r="O166" s="2006"/>
      <c r="P166" s="2006"/>
      <c r="Q166" s="1978">
        <f t="shared" ref="Q166:BL166" ca="1" si="59">IF($Q$159=$O$6,IF(Q160=$P$11,$O$11,0),0)</f>
        <v>0</v>
      </c>
      <c r="R166" s="1978">
        <f t="shared" ca="1" si="59"/>
        <v>0</v>
      </c>
      <c r="S166" s="1978">
        <f t="shared" ca="1" si="59"/>
        <v>0</v>
      </c>
      <c r="T166" s="1978">
        <f t="shared" ca="1" si="59"/>
        <v>0</v>
      </c>
      <c r="U166" s="1978">
        <f t="shared" ca="1" si="59"/>
        <v>0</v>
      </c>
      <c r="V166" s="1978">
        <f t="shared" ca="1" si="59"/>
        <v>0</v>
      </c>
      <c r="W166" s="1978">
        <f t="shared" ca="1" si="59"/>
        <v>0</v>
      </c>
      <c r="X166" s="1978">
        <f t="shared" ca="1" si="59"/>
        <v>0</v>
      </c>
      <c r="Y166" s="1978">
        <f t="shared" ca="1" si="59"/>
        <v>0</v>
      </c>
      <c r="Z166" s="1978">
        <f t="shared" ca="1" si="59"/>
        <v>0</v>
      </c>
      <c r="AA166" s="1978">
        <f t="shared" ca="1" si="59"/>
        <v>0</v>
      </c>
      <c r="AB166" s="1978">
        <f t="shared" ca="1" si="59"/>
        <v>0</v>
      </c>
      <c r="AC166" s="1978">
        <f t="shared" ca="1" si="59"/>
        <v>0</v>
      </c>
      <c r="AD166" s="1978">
        <f t="shared" ca="1" si="59"/>
        <v>0</v>
      </c>
      <c r="AE166" s="1978">
        <f t="shared" ca="1" si="59"/>
        <v>0</v>
      </c>
      <c r="AF166" s="1978">
        <f t="shared" ca="1" si="59"/>
        <v>0</v>
      </c>
      <c r="AG166" s="1978">
        <f t="shared" ca="1" si="59"/>
        <v>0</v>
      </c>
      <c r="AH166" s="1978">
        <f t="shared" ca="1" si="59"/>
        <v>0</v>
      </c>
      <c r="AI166" s="1978">
        <f t="shared" ca="1" si="59"/>
        <v>0</v>
      </c>
      <c r="AJ166" s="1978">
        <f t="shared" ca="1" si="59"/>
        <v>0</v>
      </c>
      <c r="AK166" s="1978">
        <f t="shared" ca="1" si="59"/>
        <v>0</v>
      </c>
      <c r="AL166" s="1978">
        <f t="shared" ca="1" si="59"/>
        <v>0</v>
      </c>
      <c r="AM166" s="1978">
        <f t="shared" ca="1" si="59"/>
        <v>0</v>
      </c>
      <c r="AN166" s="1978">
        <f t="shared" ca="1" si="59"/>
        <v>0</v>
      </c>
      <c r="AO166" s="1978">
        <f t="shared" ca="1" si="59"/>
        <v>0</v>
      </c>
      <c r="AP166" s="1978">
        <f t="shared" ca="1" si="59"/>
        <v>0</v>
      </c>
      <c r="AQ166" s="1978">
        <f t="shared" ca="1" si="59"/>
        <v>0</v>
      </c>
      <c r="AR166" s="1978">
        <f t="shared" ca="1" si="59"/>
        <v>0</v>
      </c>
      <c r="AS166" s="1978">
        <f t="shared" ca="1" si="59"/>
        <v>0</v>
      </c>
      <c r="AT166" s="1978">
        <f t="shared" ca="1" si="59"/>
        <v>0</v>
      </c>
      <c r="AU166" s="1978">
        <f t="shared" ca="1" si="59"/>
        <v>0</v>
      </c>
      <c r="AV166" s="1978">
        <f t="shared" ca="1" si="59"/>
        <v>0</v>
      </c>
      <c r="AW166" s="1978">
        <f t="shared" ca="1" si="59"/>
        <v>0</v>
      </c>
      <c r="AX166" s="1978">
        <f t="shared" ca="1" si="59"/>
        <v>0</v>
      </c>
      <c r="AY166" s="1978">
        <f t="shared" ca="1" si="59"/>
        <v>0</v>
      </c>
      <c r="AZ166" s="1978">
        <f t="shared" ca="1" si="59"/>
        <v>0</v>
      </c>
      <c r="BA166" s="1978">
        <f t="shared" ca="1" si="59"/>
        <v>0</v>
      </c>
      <c r="BB166" s="1978">
        <f t="shared" ca="1" si="59"/>
        <v>0</v>
      </c>
      <c r="BC166" s="1978">
        <f t="shared" ca="1" si="59"/>
        <v>0</v>
      </c>
      <c r="BD166" s="1978">
        <f t="shared" ca="1" si="59"/>
        <v>0</v>
      </c>
      <c r="BE166" s="1978">
        <f t="shared" ca="1" si="59"/>
        <v>0</v>
      </c>
      <c r="BF166" s="1978">
        <f t="shared" ca="1" si="59"/>
        <v>0</v>
      </c>
      <c r="BG166" s="1978">
        <f t="shared" ca="1" si="59"/>
        <v>0</v>
      </c>
      <c r="BH166" s="1978">
        <f t="shared" ca="1" si="59"/>
        <v>0</v>
      </c>
      <c r="BI166" s="1978">
        <f t="shared" ca="1" si="59"/>
        <v>0</v>
      </c>
      <c r="BJ166" s="1978">
        <f t="shared" ca="1" si="59"/>
        <v>0</v>
      </c>
      <c r="BK166" s="1978">
        <f t="shared" ca="1" si="59"/>
        <v>0</v>
      </c>
      <c r="BL166" s="1978">
        <f t="shared" ca="1" si="59"/>
        <v>0</v>
      </c>
      <c r="BV166" s="951"/>
      <c r="CA166" s="446"/>
      <c r="CB166" s="446"/>
      <c r="CC166" s="446"/>
      <c r="CD166" s="446"/>
      <c r="CE166" s="446"/>
      <c r="CF166" s="446"/>
      <c r="CG166" s="446"/>
      <c r="CH166" s="446"/>
      <c r="CI166" s="446"/>
      <c r="CJ166" s="446"/>
      <c r="CK166" s="446"/>
      <c r="CL166" s="446"/>
      <c r="CM166" s="446"/>
      <c r="CN166" s="446"/>
      <c r="CO166" s="446"/>
      <c r="CP166" s="446"/>
      <c r="CQ166" s="446"/>
      <c r="CR166" s="446"/>
      <c r="CS166" s="446"/>
      <c r="CT166" s="446"/>
      <c r="CU166" s="446"/>
      <c r="CV166" s="445"/>
      <c r="CW166" s="514"/>
      <c r="CX166" s="445"/>
      <c r="CY166" s="446"/>
      <c r="CZ166" s="446"/>
      <c r="DA166" s="446"/>
      <c r="DB166" s="446"/>
      <c r="DC166" s="446"/>
      <c r="DD166" s="446"/>
      <c r="DE166" s="446"/>
      <c r="DF166" s="446"/>
      <c r="DG166" s="446"/>
      <c r="DH166" s="446"/>
      <c r="DI166" s="446"/>
      <c r="DJ166" s="446"/>
      <c r="DK166" s="446"/>
      <c r="DL166" s="446"/>
      <c r="DM166" s="446"/>
      <c r="DN166" s="446"/>
      <c r="DO166" s="446"/>
    </row>
    <row r="167" spans="3:119" s="160" customFormat="1" ht="14.25" hidden="1" customHeight="1">
      <c r="C167" s="2311"/>
      <c r="D167" s="160" t="s">
        <v>684</v>
      </c>
      <c r="E167" s="1970"/>
      <c r="F167" s="1970"/>
      <c r="G167" s="1970"/>
      <c r="H167" s="2006"/>
      <c r="I167" s="2006"/>
      <c r="J167" s="1970"/>
      <c r="K167" s="1970"/>
      <c r="L167" s="1970"/>
      <c r="M167" s="1970"/>
      <c r="N167" s="2006"/>
      <c r="O167" s="2006"/>
      <c r="P167" s="2006"/>
      <c r="Q167" s="1978">
        <f t="shared" ref="Q167" si="60">IF($P$11=Q160,($O$11*$Q$11)/12,0)</f>
        <v>0</v>
      </c>
      <c r="R167" s="1978">
        <f t="shared" ref="R167:BL167" si="61">IF($P$11=R160,($O$11*$Q$11)/12,0)</f>
        <v>0</v>
      </c>
      <c r="S167" s="1978">
        <f t="shared" si="61"/>
        <v>0</v>
      </c>
      <c r="T167" s="1978">
        <f t="shared" si="61"/>
        <v>0</v>
      </c>
      <c r="U167" s="1978">
        <f t="shared" si="61"/>
        <v>0</v>
      </c>
      <c r="V167" s="1978">
        <f t="shared" si="61"/>
        <v>0</v>
      </c>
      <c r="W167" s="1978">
        <f t="shared" si="61"/>
        <v>0</v>
      </c>
      <c r="X167" s="1978">
        <f t="shared" si="61"/>
        <v>0</v>
      </c>
      <c r="Y167" s="1978">
        <f t="shared" si="61"/>
        <v>0</v>
      </c>
      <c r="Z167" s="1978">
        <f t="shared" si="61"/>
        <v>0</v>
      </c>
      <c r="AA167" s="1978">
        <f t="shared" si="61"/>
        <v>0</v>
      </c>
      <c r="AB167" s="1978">
        <f t="shared" si="61"/>
        <v>0</v>
      </c>
      <c r="AC167" s="1978">
        <f t="shared" si="61"/>
        <v>0</v>
      </c>
      <c r="AD167" s="1978">
        <f t="shared" si="61"/>
        <v>0</v>
      </c>
      <c r="AE167" s="1978">
        <f t="shared" si="61"/>
        <v>0</v>
      </c>
      <c r="AF167" s="1978">
        <f t="shared" si="61"/>
        <v>0</v>
      </c>
      <c r="AG167" s="1978">
        <f t="shared" si="61"/>
        <v>0</v>
      </c>
      <c r="AH167" s="1978">
        <f t="shared" si="61"/>
        <v>0</v>
      </c>
      <c r="AI167" s="1978">
        <f t="shared" si="61"/>
        <v>0</v>
      </c>
      <c r="AJ167" s="1978">
        <f t="shared" si="61"/>
        <v>0</v>
      </c>
      <c r="AK167" s="1978">
        <f t="shared" si="61"/>
        <v>0</v>
      </c>
      <c r="AL167" s="1978">
        <f t="shared" si="61"/>
        <v>0</v>
      </c>
      <c r="AM167" s="1978">
        <f t="shared" si="61"/>
        <v>0</v>
      </c>
      <c r="AN167" s="1978">
        <f t="shared" si="61"/>
        <v>0</v>
      </c>
      <c r="AO167" s="1978">
        <f t="shared" si="61"/>
        <v>0</v>
      </c>
      <c r="AP167" s="1978">
        <f t="shared" si="61"/>
        <v>0</v>
      </c>
      <c r="AQ167" s="1978">
        <f t="shared" si="61"/>
        <v>0</v>
      </c>
      <c r="AR167" s="1978">
        <f t="shared" si="61"/>
        <v>0</v>
      </c>
      <c r="AS167" s="1978">
        <f t="shared" si="61"/>
        <v>0</v>
      </c>
      <c r="AT167" s="1978">
        <f t="shared" si="61"/>
        <v>0</v>
      </c>
      <c r="AU167" s="1978">
        <f t="shared" si="61"/>
        <v>0</v>
      </c>
      <c r="AV167" s="1978">
        <f t="shared" si="61"/>
        <v>0</v>
      </c>
      <c r="AW167" s="1978">
        <f t="shared" si="61"/>
        <v>0</v>
      </c>
      <c r="AX167" s="1978">
        <f t="shared" si="61"/>
        <v>0</v>
      </c>
      <c r="AY167" s="1978">
        <f t="shared" si="61"/>
        <v>0</v>
      </c>
      <c r="AZ167" s="1978">
        <f t="shared" si="61"/>
        <v>0</v>
      </c>
      <c r="BA167" s="1978">
        <f t="shared" si="61"/>
        <v>0</v>
      </c>
      <c r="BB167" s="1978">
        <f t="shared" si="61"/>
        <v>0</v>
      </c>
      <c r="BC167" s="1978">
        <f t="shared" si="61"/>
        <v>0</v>
      </c>
      <c r="BD167" s="1978">
        <f t="shared" si="61"/>
        <v>0</v>
      </c>
      <c r="BE167" s="1978">
        <f t="shared" si="61"/>
        <v>0</v>
      </c>
      <c r="BF167" s="1978">
        <f t="shared" si="61"/>
        <v>0</v>
      </c>
      <c r="BG167" s="1978">
        <f t="shared" si="61"/>
        <v>0</v>
      </c>
      <c r="BH167" s="1978">
        <f t="shared" si="61"/>
        <v>0</v>
      </c>
      <c r="BI167" s="1978">
        <f t="shared" si="61"/>
        <v>0</v>
      </c>
      <c r="BJ167" s="1978">
        <f t="shared" si="61"/>
        <v>0</v>
      </c>
      <c r="BK167" s="1978">
        <f t="shared" si="61"/>
        <v>0</v>
      </c>
      <c r="BL167" s="1978">
        <f t="shared" si="61"/>
        <v>0</v>
      </c>
      <c r="BV167" s="951"/>
      <c r="CA167" s="446"/>
      <c r="CB167" s="446"/>
      <c r="CC167" s="446"/>
      <c r="CD167" s="446"/>
      <c r="CE167" s="446"/>
      <c r="CF167" s="446"/>
      <c r="CG167" s="446"/>
      <c r="CH167" s="446"/>
      <c r="CI167" s="446"/>
      <c r="CJ167" s="446"/>
      <c r="CK167" s="446"/>
      <c r="CL167" s="446"/>
      <c r="CM167" s="446"/>
      <c r="CN167" s="446"/>
      <c r="CO167" s="446"/>
      <c r="CP167" s="446"/>
      <c r="CQ167" s="446"/>
      <c r="CR167" s="446"/>
      <c r="CS167" s="446"/>
      <c r="CT167" s="446"/>
      <c r="CU167" s="446"/>
      <c r="CV167" s="445"/>
      <c r="CW167" s="514"/>
      <c r="CX167" s="445"/>
      <c r="CY167" s="446"/>
      <c r="CZ167" s="446"/>
      <c r="DA167" s="446"/>
      <c r="DB167" s="446"/>
      <c r="DC167" s="446"/>
      <c r="DD167" s="446"/>
      <c r="DE167" s="446"/>
      <c r="DF167" s="446"/>
      <c r="DG167" s="446"/>
      <c r="DH167" s="446"/>
      <c r="DI167" s="446"/>
      <c r="DJ167" s="446"/>
      <c r="DK167" s="446"/>
      <c r="DL167" s="446"/>
      <c r="DM167" s="446"/>
      <c r="DN167" s="446"/>
      <c r="DO167" s="446"/>
    </row>
    <row r="168" spans="3:119" s="160" customFormat="1" ht="14.25" hidden="1" customHeight="1">
      <c r="C168" s="2311"/>
      <c r="D168" s="160" t="s">
        <v>685</v>
      </c>
      <c r="E168" s="1970"/>
      <c r="F168" s="1970"/>
      <c r="G168" s="1970"/>
      <c r="H168" s="2006"/>
      <c r="I168" s="2006"/>
      <c r="J168" s="1970"/>
      <c r="K168" s="1970"/>
      <c r="L168" s="1970"/>
      <c r="M168" s="1970"/>
      <c r="N168" s="2006"/>
      <c r="O168" s="2006"/>
      <c r="P168" s="2006"/>
      <c r="Q168" s="1978">
        <f>IF(OR(Q160&gt;=$P$11+$R$11+$S$11*12,Q160&lt;$P$11),0,$O$11*$Q$11/12)</f>
        <v>0</v>
      </c>
      <c r="R168" s="1978">
        <f>IF(OR(R160&gt;=$P$12+$N140+$S$12*12,R160&lt;$P$12),0,($O$12-SUM($Q$170:R170))*$Q$12/12)</f>
        <v>0</v>
      </c>
      <c r="S168" s="1978">
        <f>IF(OR(S160&gt;=$P$12+$N140+$S$12*12,S160&lt;$P$12),0,($O$12-SUM($Q$170:S170))*$Q$12/12)</f>
        <v>0</v>
      </c>
      <c r="T168" s="1978">
        <f>IF(OR(T160&gt;=$P$12+$N140+$S$12*12,T160&lt;$P$12),0,($O$12-SUM($Q$170:T170))*$Q$12/12)</f>
        <v>0</v>
      </c>
      <c r="U168" s="1978">
        <f>IF(OR(U160&gt;=$P$12+$N140+$S$12*12,U160&lt;$P$12),0,($O$12-SUM($Q$170:U170))*$Q$12/12)</f>
        <v>0</v>
      </c>
      <c r="V168" s="1978">
        <f>IF(OR(V160&gt;=$P$12+$N140+$S$12*12,V160&lt;$P$12),0,($O$12-SUM($Q$170:V170))*$Q$12/12)</f>
        <v>0</v>
      </c>
      <c r="W168" s="1978">
        <f>IF(OR(W160&gt;=$P$12+$N140+$S$12*12,W160&lt;$P$12),0,($O$12-SUM($Q$170:W170))*$Q$12/12)</f>
        <v>0</v>
      </c>
      <c r="X168" s="1978">
        <f>IF(OR(X160&gt;=$P$12+$N140+$S$12*12,X160&lt;$P$12),0,($O$12-SUM($Q$170:X170))*$Q$12/12)</f>
        <v>0</v>
      </c>
      <c r="Y168" s="1978">
        <f>IF(OR(Y160&gt;=$P$12+$N140+$S$12*12,Y160&lt;$P$12),0,($O$12-SUM($Q$170:Y170))*$Q$12/12)</f>
        <v>0</v>
      </c>
      <c r="Z168" s="1978">
        <f>IF(OR(Z160&gt;=$P$12+$N140+$S$12*12,Z160&lt;$P$12),0,($O$12-SUM($Q$170:Z170))*$Q$12/12)</f>
        <v>0</v>
      </c>
      <c r="AA168" s="1978">
        <f>IF(OR(AA160&gt;=$P$12+$N140+$S$12*12,AA160&lt;$P$12),0,($O$12-SUM($Q$170:AA170))*$Q$12/12)</f>
        <v>0</v>
      </c>
      <c r="AB168" s="1978">
        <f>IF(OR(AB160&gt;=$P$12+$N140+$S$12*12,AB160&lt;$P$12),0,($O$12-SUM($Q$170:AB170))*$Q$12/12)</f>
        <v>0</v>
      </c>
      <c r="AC168" s="1978">
        <f>IF(OR(AC160&gt;=$P$12+$N140+$S$12*12,AC160&lt;$P$12),0,($O$12-SUM($Q$170:AC170))*$Q$12/12)</f>
        <v>0</v>
      </c>
      <c r="AD168" s="1978">
        <f>IF(OR(AD160&gt;=$P$12+$N140+$S$12*12,AD160&lt;$P$12),0,($O$12-SUM($Q$170:AD170))*$Q$12/12)</f>
        <v>0</v>
      </c>
      <c r="AE168" s="1978">
        <f>IF(OR(AE160&gt;=$P$12+$N140+$S$12*12,AE160&lt;$P$12),0,($O$12-SUM($Q$170:AE170))*$Q$12/12)</f>
        <v>0</v>
      </c>
      <c r="AF168" s="1978">
        <f>IF(OR(AF160&gt;=$P$12+$N140+$S$12*12,AF160&lt;$P$12),0,($O$12-SUM($Q$170:AF170))*$Q$12/12)</f>
        <v>0</v>
      </c>
      <c r="AG168" s="1978">
        <f>IF(OR(AG160&gt;=$P$12+$N140+$S$12*12,AG160&lt;$P$12),0,($O$12-SUM($Q$170:AG170))*$Q$12/12)</f>
        <v>0</v>
      </c>
      <c r="AH168" s="1978">
        <f>IF(OR(AH160&gt;=$P$12+$N140+$S$12*12,AH160&lt;$P$12),0,($O$12-SUM($Q$170:AH170))*$Q$12/12)</f>
        <v>0</v>
      </c>
      <c r="AI168" s="1978">
        <f>IF(OR(AI160&gt;=$P$12+$N140+$S$12*12,AI160&lt;$P$12),0,($O$12-SUM($Q$170:AI170))*$Q$12/12)</f>
        <v>0</v>
      </c>
      <c r="AJ168" s="1978">
        <f>IF(OR(AJ160&gt;=$P$12+$N140+$S$12*12,AJ160&lt;$P$12),0,($O$12-SUM($Q$170:AJ170))*$Q$12/12)</f>
        <v>0</v>
      </c>
      <c r="AK168" s="1978">
        <f>IF(OR(AK160&gt;=$P$12+$N140+$S$12*12,AK160&lt;$P$12),0,($O$12-SUM($Q$170:AK170))*$Q$12/12)</f>
        <v>0</v>
      </c>
      <c r="AL168" s="1978">
        <f>IF(OR(AL160&gt;=$P$12+$N140+$S$12*12,AL160&lt;$P$12),0,($O$12-SUM($Q$170:AL170))*$Q$12/12)</f>
        <v>0</v>
      </c>
      <c r="AM168" s="1978">
        <f>IF(OR(AM160&gt;=$P$12+$N140+$S$12*12,AM160&lt;$P$12),0,($O$12-SUM($Q$170:AM170))*$Q$12/12)</f>
        <v>0</v>
      </c>
      <c r="AN168" s="1978">
        <f>IF(OR(AN160&gt;=$P$12+$N140+$S$12*12,AN160&lt;$P$12),0,($O$12-SUM($Q$170:AN170))*$Q$12/12)</f>
        <v>0</v>
      </c>
      <c r="AO168" s="1978">
        <f>IF(OR(AO160&gt;=$P$12+$N140+$S$12*12,AO160&lt;$P$12),0,($O$12-SUM($Q$170:AO170))*$Q$12/12)</f>
        <v>0</v>
      </c>
      <c r="AP168" s="1978">
        <f>IF(OR(AP160&gt;=$P$12+$N140+$S$12*12,AP160&lt;$P$12),0,($O$12-SUM($Q$170:AP170))*$Q$12/12)</f>
        <v>0</v>
      </c>
      <c r="AQ168" s="1978">
        <f>IF(OR(AQ160&gt;=$P$12+$N140+$S$12*12,AQ160&lt;$P$12),0,($O$12-SUM($Q$170:AQ170))*$Q$12/12)</f>
        <v>0</v>
      </c>
      <c r="AR168" s="1978">
        <f>IF(OR(AR160&gt;=$P$12+$N140+$S$12*12,AR160&lt;$P$12),0,($O$12-SUM($Q$170:AR170))*$Q$12/12)</f>
        <v>0</v>
      </c>
      <c r="AS168" s="1978">
        <f>IF(OR(AS160&gt;=$P$12+$N140+$S$12*12,AS160&lt;$P$12),0,($O$12-SUM($Q$170:AS170))*$Q$12/12)</f>
        <v>0</v>
      </c>
      <c r="AT168" s="1978">
        <f>IF(OR(AT160&gt;=$P$12+$N140+$S$12*12,AT160&lt;$P$12),0,($O$12-SUM($Q$170:AT170))*$Q$12/12)</f>
        <v>0</v>
      </c>
      <c r="AU168" s="1978">
        <f>IF(OR(AU160&gt;=$P$12+$N140+$S$12*12,AU160&lt;$P$12),0,($O$12-SUM($Q$170:AU170))*$Q$12/12)</f>
        <v>0</v>
      </c>
      <c r="AV168" s="1978">
        <f>IF(OR(AV160&gt;=$P$12+$N140+$S$12*12,AV160&lt;$P$12),0,($O$12-SUM($Q$170:AV170))*$Q$12/12)</f>
        <v>0</v>
      </c>
      <c r="AW168" s="1978">
        <f>IF(OR(AW160&gt;=$P$12+$N140+$S$12*12,AW160&lt;$P$12),0,($O$12-SUM($Q$170:AW170))*$Q$12/12)</f>
        <v>0</v>
      </c>
      <c r="AX168" s="1978">
        <f>IF(OR(AX160&gt;=$P$12+$N140+$S$12*12,AX160&lt;$P$12),0,($O$12-SUM($Q$170:AX170))*$Q$12/12)</f>
        <v>0</v>
      </c>
      <c r="AY168" s="1978">
        <f>IF(OR(AY160&gt;=$P$12+$N140+$S$12*12,AY160&lt;$P$12),0,($O$12-SUM($Q$170:AY170))*$Q$12/12)</f>
        <v>0</v>
      </c>
      <c r="AZ168" s="1978">
        <f>IF(OR(AZ160&gt;=$P$12+$N140+$S$12*12,AZ160&lt;$P$12),0,($O$12-SUM($Q$170:AZ170))*$Q$12/12)</f>
        <v>0</v>
      </c>
      <c r="BA168" s="1978">
        <f>IF(OR(BA160&gt;=$P$12+$N140+$S$12*12,BA160&lt;$P$12),0,($O$12-SUM($Q$170:BA170))*$Q$12/12)</f>
        <v>0</v>
      </c>
      <c r="BB168" s="1978">
        <f>IF(OR(BB160&gt;=$P$12+$N140+$S$12*12,BB160&lt;$P$12),0,($O$12-SUM($Q$170:BB170))*$Q$12/12)</f>
        <v>0</v>
      </c>
      <c r="BC168" s="1978">
        <f>IF(OR(BC160&gt;=$P$12+$N140+$S$12*12,BC160&lt;$P$12),0,($O$12-SUM($Q$170:BC170))*$Q$12/12)</f>
        <v>0</v>
      </c>
      <c r="BD168" s="1978">
        <f>IF(OR(BD160&gt;=$P$12+$N140+$S$12*12,BD160&lt;$P$12),0,($O$12-SUM($Q$170:BD170))*$Q$12/12)</f>
        <v>0</v>
      </c>
      <c r="BE168" s="1978">
        <f>IF(OR(BE160&gt;=$P$12+$N140+$S$12*12,BE160&lt;$P$12),0,($O$12-SUM($Q$170:BE170))*$Q$12/12)</f>
        <v>0</v>
      </c>
      <c r="BF168" s="1978">
        <f>IF(OR(BF160&gt;=$P$12+$N140+$S$12*12,BF160&lt;$P$12),0,($O$12-SUM($Q$170:BF170))*$Q$12/12)</f>
        <v>0</v>
      </c>
      <c r="BG168" s="1978">
        <f>IF(OR(BG160&gt;=$P$12+$N140+$S$12*12,BG160&lt;$P$12),0,($O$12-SUM($Q$170:BG170))*$Q$12/12)</f>
        <v>0</v>
      </c>
      <c r="BH168" s="1978">
        <f>IF(OR(BH160&gt;=$P$12+$N140+$S$12*12,BH160&lt;$P$12),0,($O$12-SUM($Q$170:BH170))*$Q$12/12)</f>
        <v>0</v>
      </c>
      <c r="BI168" s="1978">
        <f>IF(OR(BI160&gt;=$P$12+$N140+$S$12*12,BI160&lt;$P$12),0,($O$12-SUM($Q$170:BI170))*$Q$12/12)</f>
        <v>0</v>
      </c>
      <c r="BJ168" s="1978">
        <f>IF(OR(BJ160&gt;=$P$12+$N140+$S$12*12,BJ160&lt;$P$12),0,($O$12-SUM($Q$170:BJ170))*$Q$12/12)</f>
        <v>0</v>
      </c>
      <c r="BK168" s="1978">
        <f>IF(OR(BK160&gt;=$P$12+$N140+$S$12*12,BK160&lt;$P$12),0,($O$12-SUM($Q$170:BK170))*$Q$12/12)</f>
        <v>0</v>
      </c>
      <c r="BL168" s="1978">
        <f>IF(OR(BL160&gt;=$P$12+$N140+$S$12*12,BL160&lt;$P$12),0,($O$12-SUM($Q$170:BL170))*$Q$12/12)</f>
        <v>0</v>
      </c>
      <c r="BV168" s="951"/>
      <c r="CA168" s="446"/>
      <c r="CB168" s="446"/>
      <c r="CC168" s="446"/>
      <c r="CD168" s="446"/>
      <c r="CE168" s="446"/>
      <c r="CF168" s="446"/>
      <c r="CG168" s="446"/>
      <c r="CH168" s="446"/>
      <c r="CI168" s="446"/>
      <c r="CJ168" s="446"/>
      <c r="CK168" s="446"/>
      <c r="CL168" s="446"/>
      <c r="CM168" s="446"/>
      <c r="CN168" s="446"/>
      <c r="CO168" s="446"/>
      <c r="CP168" s="446"/>
      <c r="CQ168" s="446"/>
      <c r="CR168" s="446"/>
      <c r="CS168" s="446"/>
      <c r="CT168" s="446"/>
      <c r="CU168" s="446"/>
      <c r="CV168" s="445"/>
      <c r="CW168" s="514"/>
      <c r="CX168" s="445"/>
      <c r="CY168" s="446"/>
      <c r="CZ168" s="446"/>
      <c r="DA168" s="446"/>
      <c r="DB168" s="446"/>
      <c r="DC168" s="446"/>
      <c r="DD168" s="446"/>
      <c r="DE168" s="446"/>
      <c r="DF168" s="446"/>
      <c r="DG168" s="446"/>
      <c r="DH168" s="446"/>
      <c r="DI168" s="446"/>
      <c r="DJ168" s="446"/>
      <c r="DK168" s="446"/>
      <c r="DL168" s="446"/>
      <c r="DM168" s="446"/>
      <c r="DN168" s="446"/>
      <c r="DO168" s="446"/>
    </row>
    <row r="169" spans="3:119" s="160" customFormat="1" ht="14.25" hidden="1" customHeight="1">
      <c r="C169" s="2311"/>
      <c r="D169" s="160" t="s">
        <v>120</v>
      </c>
      <c r="E169" s="1970"/>
      <c r="F169" s="1970"/>
      <c r="G169" s="1970"/>
      <c r="H169" s="2006"/>
      <c r="I169" s="2006"/>
      <c r="J169" s="1970"/>
      <c r="K169" s="1970"/>
      <c r="L169" s="1970"/>
      <c r="M169" s="1970"/>
      <c r="N169" s="2006"/>
      <c r="O169" s="2006"/>
      <c r="P169" s="2006"/>
      <c r="Q169" s="1978">
        <f t="shared" ref="Q169" si="62">IF($P$11+$R$11=Q160,IF($S$11=0,0,$O$11/($S$11*12)),0)</f>
        <v>0</v>
      </c>
      <c r="R169" s="1978">
        <f t="shared" ref="R169:BL169" si="63">IF($P$11+$R$11=R160,IF($S$11=0,0,$O$11/($S$11*12)),0)</f>
        <v>0</v>
      </c>
      <c r="S169" s="1978">
        <f t="shared" si="63"/>
        <v>0</v>
      </c>
      <c r="T169" s="1978">
        <f t="shared" si="63"/>
        <v>0</v>
      </c>
      <c r="U169" s="1978">
        <f t="shared" si="63"/>
        <v>0</v>
      </c>
      <c r="V169" s="1978">
        <f t="shared" si="63"/>
        <v>0</v>
      </c>
      <c r="W169" s="1978">
        <f t="shared" si="63"/>
        <v>0</v>
      </c>
      <c r="X169" s="1978">
        <f t="shared" si="63"/>
        <v>0</v>
      </c>
      <c r="Y169" s="1978">
        <f t="shared" si="63"/>
        <v>0</v>
      </c>
      <c r="Z169" s="1978">
        <f t="shared" si="63"/>
        <v>0</v>
      </c>
      <c r="AA169" s="1978">
        <f t="shared" si="63"/>
        <v>0</v>
      </c>
      <c r="AB169" s="1978">
        <f t="shared" si="63"/>
        <v>0</v>
      </c>
      <c r="AC169" s="1978">
        <f t="shared" si="63"/>
        <v>0</v>
      </c>
      <c r="AD169" s="1978">
        <f t="shared" si="63"/>
        <v>0</v>
      </c>
      <c r="AE169" s="1978">
        <f t="shared" si="63"/>
        <v>0</v>
      </c>
      <c r="AF169" s="1978">
        <f t="shared" si="63"/>
        <v>0</v>
      </c>
      <c r="AG169" s="1978">
        <f t="shared" si="63"/>
        <v>0</v>
      </c>
      <c r="AH169" s="1978">
        <f t="shared" si="63"/>
        <v>0</v>
      </c>
      <c r="AI169" s="1978">
        <f t="shared" si="63"/>
        <v>0</v>
      </c>
      <c r="AJ169" s="1978">
        <f t="shared" si="63"/>
        <v>0</v>
      </c>
      <c r="AK169" s="1978">
        <f t="shared" si="63"/>
        <v>0</v>
      </c>
      <c r="AL169" s="1978">
        <f t="shared" si="63"/>
        <v>0</v>
      </c>
      <c r="AM169" s="1978">
        <f t="shared" si="63"/>
        <v>0</v>
      </c>
      <c r="AN169" s="1978">
        <f t="shared" si="63"/>
        <v>0</v>
      </c>
      <c r="AO169" s="1978">
        <f t="shared" si="63"/>
        <v>0</v>
      </c>
      <c r="AP169" s="1978">
        <f t="shared" si="63"/>
        <v>0</v>
      </c>
      <c r="AQ169" s="1978">
        <f t="shared" si="63"/>
        <v>0</v>
      </c>
      <c r="AR169" s="1978">
        <f t="shared" si="63"/>
        <v>0</v>
      </c>
      <c r="AS169" s="1978">
        <f t="shared" si="63"/>
        <v>0</v>
      </c>
      <c r="AT169" s="1978">
        <f t="shared" si="63"/>
        <v>0</v>
      </c>
      <c r="AU169" s="1978">
        <f t="shared" si="63"/>
        <v>0</v>
      </c>
      <c r="AV169" s="1978">
        <f t="shared" si="63"/>
        <v>0</v>
      </c>
      <c r="AW169" s="1978">
        <f t="shared" si="63"/>
        <v>0</v>
      </c>
      <c r="AX169" s="1978">
        <f t="shared" si="63"/>
        <v>0</v>
      </c>
      <c r="AY169" s="1978">
        <f t="shared" si="63"/>
        <v>0</v>
      </c>
      <c r="AZ169" s="1978">
        <f t="shared" si="63"/>
        <v>0</v>
      </c>
      <c r="BA169" s="1978">
        <f t="shared" si="63"/>
        <v>0</v>
      </c>
      <c r="BB169" s="1978">
        <f t="shared" si="63"/>
        <v>0</v>
      </c>
      <c r="BC169" s="1978">
        <f t="shared" si="63"/>
        <v>0</v>
      </c>
      <c r="BD169" s="1978">
        <f t="shared" si="63"/>
        <v>0</v>
      </c>
      <c r="BE169" s="1978">
        <f t="shared" si="63"/>
        <v>0</v>
      </c>
      <c r="BF169" s="1978">
        <f t="shared" si="63"/>
        <v>0</v>
      </c>
      <c r="BG169" s="1978">
        <f t="shared" si="63"/>
        <v>0</v>
      </c>
      <c r="BH169" s="1978">
        <f t="shared" si="63"/>
        <v>0</v>
      </c>
      <c r="BI169" s="1978">
        <f t="shared" si="63"/>
        <v>0</v>
      </c>
      <c r="BJ169" s="1978">
        <f t="shared" si="63"/>
        <v>0</v>
      </c>
      <c r="BK169" s="1978">
        <f t="shared" si="63"/>
        <v>0</v>
      </c>
      <c r="BL169" s="1978">
        <f t="shared" si="63"/>
        <v>0</v>
      </c>
      <c r="BV169" s="951"/>
      <c r="CA169" s="446"/>
      <c r="CB169" s="446"/>
      <c r="CC169" s="446"/>
      <c r="CD169" s="446"/>
      <c r="CE169" s="446"/>
      <c r="CF169" s="446"/>
      <c r="CG169" s="446"/>
      <c r="CH169" s="446"/>
      <c r="CI169" s="446"/>
      <c r="CJ169" s="446"/>
      <c r="CK169" s="446"/>
      <c r="CL169" s="446"/>
      <c r="CM169" s="446"/>
      <c r="CN169" s="446"/>
      <c r="CO169" s="446"/>
      <c r="CP169" s="446"/>
      <c r="CQ169" s="446"/>
      <c r="CR169" s="446"/>
      <c r="CS169" s="446"/>
      <c r="CT169" s="446"/>
      <c r="CU169" s="446"/>
      <c r="CV169" s="445"/>
      <c r="CW169" s="514"/>
      <c r="CX169" s="445"/>
      <c r="CY169" s="446"/>
      <c r="CZ169" s="446"/>
      <c r="DA169" s="446"/>
      <c r="DB169" s="446"/>
      <c r="DC169" s="446"/>
      <c r="DD169" s="446"/>
      <c r="DE169" s="446"/>
      <c r="DF169" s="446"/>
      <c r="DG169" s="446"/>
      <c r="DH169" s="446"/>
      <c r="DI169" s="446"/>
      <c r="DJ169" s="446"/>
      <c r="DK169" s="446"/>
      <c r="DL169" s="446"/>
      <c r="DM169" s="446"/>
      <c r="DN169" s="446"/>
      <c r="DO169" s="446"/>
    </row>
    <row r="170" spans="3:119" s="160" customFormat="1" ht="14.25" hidden="1" customHeight="1">
      <c r="C170" s="2311"/>
      <c r="D170" s="160" t="s">
        <v>686</v>
      </c>
      <c r="E170" s="1970"/>
      <c r="F170" s="1970"/>
      <c r="G170" s="1970"/>
      <c r="H170" s="2006"/>
      <c r="I170" s="2006"/>
      <c r="J170" s="1970"/>
      <c r="K170" s="1970"/>
      <c r="L170" s="1970"/>
      <c r="M170" s="1970"/>
      <c r="N170" s="2006"/>
      <c r="O170" s="2006"/>
      <c r="P170" s="2006"/>
      <c r="Q170" s="1978">
        <f>IF(OR(Q160&gt;=$P$11+$R$11+$S$11*12,Q160&lt;$P$11+$R$11),0,IF($S$11=0,0,$O$11/($S$11*12)))</f>
        <v>0</v>
      </c>
      <c r="R170" s="1978">
        <f t="shared" ref="R170:BL170" si="64">IF(OR(R160&gt;=$P$11+$R$11+$S$11*12,R160&lt;$P$11+$R$11),0,IF($S$11=0,0,$O$11/($S$11*12)))</f>
        <v>0</v>
      </c>
      <c r="S170" s="1978">
        <f t="shared" si="64"/>
        <v>0</v>
      </c>
      <c r="T170" s="1978">
        <f t="shared" si="64"/>
        <v>0</v>
      </c>
      <c r="U170" s="1978">
        <f t="shared" si="64"/>
        <v>0</v>
      </c>
      <c r="V170" s="1978">
        <f t="shared" si="64"/>
        <v>0</v>
      </c>
      <c r="W170" s="1978">
        <f t="shared" si="64"/>
        <v>0</v>
      </c>
      <c r="X170" s="1978">
        <f t="shared" si="64"/>
        <v>0</v>
      </c>
      <c r="Y170" s="1978">
        <f t="shared" si="64"/>
        <v>0</v>
      </c>
      <c r="Z170" s="1978">
        <f t="shared" si="64"/>
        <v>0</v>
      </c>
      <c r="AA170" s="1978">
        <f t="shared" si="64"/>
        <v>0</v>
      </c>
      <c r="AB170" s="1978">
        <f t="shared" si="64"/>
        <v>0</v>
      </c>
      <c r="AC170" s="1978">
        <f t="shared" si="64"/>
        <v>0</v>
      </c>
      <c r="AD170" s="1978">
        <f t="shared" si="64"/>
        <v>0</v>
      </c>
      <c r="AE170" s="1978">
        <f t="shared" si="64"/>
        <v>0</v>
      </c>
      <c r="AF170" s="1978">
        <f t="shared" si="64"/>
        <v>0</v>
      </c>
      <c r="AG170" s="1978">
        <f t="shared" si="64"/>
        <v>0</v>
      </c>
      <c r="AH170" s="1978">
        <f t="shared" si="64"/>
        <v>0</v>
      </c>
      <c r="AI170" s="1978">
        <f t="shared" si="64"/>
        <v>0</v>
      </c>
      <c r="AJ170" s="1978">
        <f t="shared" si="64"/>
        <v>0</v>
      </c>
      <c r="AK170" s="1978">
        <f t="shared" si="64"/>
        <v>0</v>
      </c>
      <c r="AL170" s="1978">
        <f t="shared" si="64"/>
        <v>0</v>
      </c>
      <c r="AM170" s="1978">
        <f t="shared" si="64"/>
        <v>0</v>
      </c>
      <c r="AN170" s="1978">
        <f t="shared" si="64"/>
        <v>0</v>
      </c>
      <c r="AO170" s="1978">
        <f t="shared" si="64"/>
        <v>0</v>
      </c>
      <c r="AP170" s="1978">
        <f t="shared" si="64"/>
        <v>0</v>
      </c>
      <c r="AQ170" s="1978">
        <f t="shared" si="64"/>
        <v>0</v>
      </c>
      <c r="AR170" s="1978">
        <f t="shared" si="64"/>
        <v>0</v>
      </c>
      <c r="AS170" s="1978">
        <f t="shared" si="64"/>
        <v>0</v>
      </c>
      <c r="AT170" s="1978">
        <f t="shared" si="64"/>
        <v>0</v>
      </c>
      <c r="AU170" s="1978">
        <f t="shared" si="64"/>
        <v>0</v>
      </c>
      <c r="AV170" s="1978">
        <f t="shared" si="64"/>
        <v>0</v>
      </c>
      <c r="AW170" s="1978">
        <f t="shared" si="64"/>
        <v>0</v>
      </c>
      <c r="AX170" s="1978">
        <f t="shared" si="64"/>
        <v>0</v>
      </c>
      <c r="AY170" s="1978">
        <f t="shared" si="64"/>
        <v>0</v>
      </c>
      <c r="AZ170" s="1978">
        <f t="shared" si="64"/>
        <v>0</v>
      </c>
      <c r="BA170" s="1978">
        <f t="shared" si="64"/>
        <v>0</v>
      </c>
      <c r="BB170" s="1978">
        <f t="shared" si="64"/>
        <v>0</v>
      </c>
      <c r="BC170" s="1978">
        <f t="shared" si="64"/>
        <v>0</v>
      </c>
      <c r="BD170" s="1978">
        <f t="shared" si="64"/>
        <v>0</v>
      </c>
      <c r="BE170" s="1978">
        <f t="shared" si="64"/>
        <v>0</v>
      </c>
      <c r="BF170" s="1978">
        <f t="shared" si="64"/>
        <v>0</v>
      </c>
      <c r="BG170" s="1978">
        <f t="shared" si="64"/>
        <v>0</v>
      </c>
      <c r="BH170" s="1978">
        <f t="shared" si="64"/>
        <v>0</v>
      </c>
      <c r="BI170" s="1978">
        <f t="shared" si="64"/>
        <v>0</v>
      </c>
      <c r="BJ170" s="1978">
        <f t="shared" si="64"/>
        <v>0</v>
      </c>
      <c r="BK170" s="1978">
        <f t="shared" si="64"/>
        <v>0</v>
      </c>
      <c r="BL170" s="1978">
        <f t="shared" si="64"/>
        <v>0</v>
      </c>
      <c r="BV170" s="951"/>
      <c r="CA170" s="446"/>
      <c r="CB170" s="446"/>
      <c r="CC170" s="446"/>
      <c r="CD170" s="446"/>
      <c r="CE170" s="446"/>
      <c r="CF170" s="446"/>
      <c r="CG170" s="446"/>
      <c r="CH170" s="446"/>
      <c r="CI170" s="446"/>
      <c r="CJ170" s="446"/>
      <c r="CK170" s="446"/>
      <c r="CL170" s="446"/>
      <c r="CM170" s="446"/>
      <c r="CN170" s="446"/>
      <c r="CO170" s="446"/>
      <c r="CP170" s="446"/>
      <c r="CQ170" s="446"/>
      <c r="CR170" s="446"/>
      <c r="CS170" s="446"/>
      <c r="CT170" s="446"/>
      <c r="CU170" s="446"/>
      <c r="CV170" s="445"/>
      <c r="CW170" s="514"/>
      <c r="CX170" s="445"/>
      <c r="CY170" s="446"/>
      <c r="CZ170" s="446"/>
      <c r="DA170" s="446"/>
      <c r="DB170" s="446"/>
      <c r="DC170" s="446"/>
      <c r="DD170" s="446"/>
      <c r="DE170" s="446"/>
      <c r="DF170" s="446"/>
      <c r="DG170" s="446"/>
      <c r="DH170" s="446"/>
      <c r="DI170" s="446"/>
      <c r="DJ170" s="446"/>
      <c r="DK170" s="446"/>
      <c r="DL170" s="446"/>
      <c r="DM170" s="446"/>
      <c r="DN170" s="446"/>
      <c r="DO170" s="446"/>
    </row>
    <row r="171" spans="3:119" s="160" customFormat="1" ht="14.25" hidden="1" customHeight="1">
      <c r="C171" s="2311" t="str">
        <f>C142</f>
        <v>L - Bank-Darlehen</v>
      </c>
      <c r="D171" s="160" t="s">
        <v>683</v>
      </c>
      <c r="E171" s="1970"/>
      <c r="F171" s="1970"/>
      <c r="G171" s="1970"/>
      <c r="H171" s="2006"/>
      <c r="I171" s="2006"/>
      <c r="J171" s="1970"/>
      <c r="K171" s="1970"/>
      <c r="L171" s="1970"/>
      <c r="M171" s="1970"/>
      <c r="N171" s="2006"/>
      <c r="O171" s="2006"/>
      <c r="P171" s="2006"/>
      <c r="Q171" s="1978">
        <f t="shared" ref="Q171:BL171" ca="1" si="65">IF($Q$159=$O$6,IF(Q160=$P$12,$O$12,0),0)</f>
        <v>0</v>
      </c>
      <c r="R171" s="1978">
        <f t="shared" ca="1" si="65"/>
        <v>0</v>
      </c>
      <c r="S171" s="1978">
        <f t="shared" ca="1" si="65"/>
        <v>0</v>
      </c>
      <c r="T171" s="1978">
        <f t="shared" ca="1" si="65"/>
        <v>0</v>
      </c>
      <c r="U171" s="1978">
        <f t="shared" ca="1" si="65"/>
        <v>0</v>
      </c>
      <c r="V171" s="1978">
        <f t="shared" ca="1" si="65"/>
        <v>0</v>
      </c>
      <c r="W171" s="1978">
        <f t="shared" ca="1" si="65"/>
        <v>0</v>
      </c>
      <c r="X171" s="1978">
        <f t="shared" ca="1" si="65"/>
        <v>0</v>
      </c>
      <c r="Y171" s="1978">
        <f t="shared" ca="1" si="65"/>
        <v>0</v>
      </c>
      <c r="Z171" s="1978">
        <f t="shared" ca="1" si="65"/>
        <v>0</v>
      </c>
      <c r="AA171" s="1978">
        <f t="shared" ca="1" si="65"/>
        <v>0</v>
      </c>
      <c r="AB171" s="1978">
        <f t="shared" ca="1" si="65"/>
        <v>0</v>
      </c>
      <c r="AC171" s="1978">
        <f t="shared" ca="1" si="65"/>
        <v>0</v>
      </c>
      <c r="AD171" s="1978">
        <f t="shared" ca="1" si="65"/>
        <v>0</v>
      </c>
      <c r="AE171" s="1978">
        <f t="shared" ca="1" si="65"/>
        <v>0</v>
      </c>
      <c r="AF171" s="1978">
        <f t="shared" ca="1" si="65"/>
        <v>0</v>
      </c>
      <c r="AG171" s="1978">
        <f t="shared" ca="1" si="65"/>
        <v>0</v>
      </c>
      <c r="AH171" s="1978">
        <f t="shared" ca="1" si="65"/>
        <v>0</v>
      </c>
      <c r="AI171" s="1978">
        <f t="shared" ca="1" si="65"/>
        <v>0</v>
      </c>
      <c r="AJ171" s="1978">
        <f t="shared" ca="1" si="65"/>
        <v>0</v>
      </c>
      <c r="AK171" s="1978">
        <f t="shared" ca="1" si="65"/>
        <v>0</v>
      </c>
      <c r="AL171" s="1978">
        <f t="shared" ca="1" si="65"/>
        <v>0</v>
      </c>
      <c r="AM171" s="1978">
        <f t="shared" ca="1" si="65"/>
        <v>0</v>
      </c>
      <c r="AN171" s="1978">
        <f t="shared" ca="1" si="65"/>
        <v>0</v>
      </c>
      <c r="AO171" s="1978">
        <f t="shared" ca="1" si="65"/>
        <v>0</v>
      </c>
      <c r="AP171" s="1978">
        <f t="shared" ca="1" si="65"/>
        <v>0</v>
      </c>
      <c r="AQ171" s="1978">
        <f t="shared" ca="1" si="65"/>
        <v>0</v>
      </c>
      <c r="AR171" s="1978">
        <f t="shared" ca="1" si="65"/>
        <v>0</v>
      </c>
      <c r="AS171" s="1978">
        <f t="shared" ca="1" si="65"/>
        <v>0</v>
      </c>
      <c r="AT171" s="1978">
        <f t="shared" ca="1" si="65"/>
        <v>0</v>
      </c>
      <c r="AU171" s="1978">
        <f t="shared" ca="1" si="65"/>
        <v>0</v>
      </c>
      <c r="AV171" s="1978">
        <f t="shared" ca="1" si="65"/>
        <v>0</v>
      </c>
      <c r="AW171" s="1978">
        <f t="shared" ca="1" si="65"/>
        <v>0</v>
      </c>
      <c r="AX171" s="1978">
        <f t="shared" ca="1" si="65"/>
        <v>0</v>
      </c>
      <c r="AY171" s="1978">
        <f t="shared" ca="1" si="65"/>
        <v>0</v>
      </c>
      <c r="AZ171" s="1978">
        <f t="shared" ca="1" si="65"/>
        <v>0</v>
      </c>
      <c r="BA171" s="1978">
        <f t="shared" ca="1" si="65"/>
        <v>0</v>
      </c>
      <c r="BB171" s="1978">
        <f t="shared" ca="1" si="65"/>
        <v>0</v>
      </c>
      <c r="BC171" s="1978">
        <f t="shared" ca="1" si="65"/>
        <v>0</v>
      </c>
      <c r="BD171" s="1978">
        <f t="shared" ca="1" si="65"/>
        <v>0</v>
      </c>
      <c r="BE171" s="1978">
        <f t="shared" ca="1" si="65"/>
        <v>0</v>
      </c>
      <c r="BF171" s="1978">
        <f t="shared" ca="1" si="65"/>
        <v>0</v>
      </c>
      <c r="BG171" s="1978">
        <f t="shared" ca="1" si="65"/>
        <v>0</v>
      </c>
      <c r="BH171" s="1978">
        <f t="shared" ca="1" si="65"/>
        <v>0</v>
      </c>
      <c r="BI171" s="1978">
        <f t="shared" ca="1" si="65"/>
        <v>0</v>
      </c>
      <c r="BJ171" s="1978">
        <f t="shared" ca="1" si="65"/>
        <v>0</v>
      </c>
      <c r="BK171" s="1978">
        <f t="shared" ca="1" si="65"/>
        <v>0</v>
      </c>
      <c r="BL171" s="1978">
        <f t="shared" ca="1" si="65"/>
        <v>0</v>
      </c>
      <c r="BV171" s="951"/>
      <c r="CA171" s="446"/>
      <c r="CB171" s="446"/>
      <c r="CC171" s="446"/>
      <c r="CD171" s="446"/>
      <c r="CE171" s="446"/>
      <c r="CF171" s="446"/>
      <c r="CG171" s="446"/>
      <c r="CH171" s="446"/>
      <c r="CI171" s="446"/>
      <c r="CJ171" s="446"/>
      <c r="CK171" s="446"/>
      <c r="CL171" s="446"/>
      <c r="CM171" s="446"/>
      <c r="CN171" s="446"/>
      <c r="CO171" s="446"/>
      <c r="CP171" s="446"/>
      <c r="CQ171" s="446"/>
      <c r="CR171" s="446"/>
      <c r="CS171" s="446"/>
      <c r="CT171" s="446"/>
      <c r="CU171" s="446"/>
      <c r="CV171" s="445"/>
      <c r="CW171" s="514"/>
      <c r="CX171" s="445"/>
      <c r="CY171" s="446"/>
      <c r="CZ171" s="446"/>
      <c r="DA171" s="446"/>
      <c r="DB171" s="446"/>
      <c r="DC171" s="446"/>
      <c r="DD171" s="446"/>
      <c r="DE171" s="446"/>
      <c r="DF171" s="446"/>
      <c r="DG171" s="446"/>
      <c r="DH171" s="446"/>
      <c r="DI171" s="446"/>
      <c r="DJ171" s="446"/>
      <c r="DK171" s="446"/>
      <c r="DL171" s="446"/>
      <c r="DM171" s="446"/>
      <c r="DN171" s="446"/>
      <c r="DO171" s="446"/>
    </row>
    <row r="172" spans="3:119" s="160" customFormat="1" ht="14.25" hidden="1" customHeight="1">
      <c r="C172" s="2311"/>
      <c r="D172" s="160" t="s">
        <v>684</v>
      </c>
      <c r="E172" s="1970"/>
      <c r="F172" s="1970"/>
      <c r="G172" s="1970"/>
      <c r="H172" s="2006"/>
      <c r="I172" s="2006"/>
      <c r="J172" s="1970"/>
      <c r="K172" s="1970"/>
      <c r="L172" s="1970"/>
      <c r="M172" s="1970"/>
      <c r="N172" s="2006"/>
      <c r="O172" s="2006"/>
      <c r="P172" s="2006"/>
      <c r="Q172" s="1978">
        <f t="shared" ref="Q172" si="66">IF($P$12=Q160,($O$12*$Q$12)/12,0)</f>
        <v>0</v>
      </c>
      <c r="R172" s="1978">
        <f t="shared" ref="R172:BL172" si="67">IF($P$12=R160,($O$12*$Q$12)/12,0)</f>
        <v>0</v>
      </c>
      <c r="S172" s="1978">
        <f t="shared" si="67"/>
        <v>0</v>
      </c>
      <c r="T172" s="1978">
        <f t="shared" si="67"/>
        <v>0</v>
      </c>
      <c r="U172" s="1978">
        <f t="shared" si="67"/>
        <v>0</v>
      </c>
      <c r="V172" s="1978">
        <f t="shared" si="67"/>
        <v>0</v>
      </c>
      <c r="W172" s="1978">
        <f t="shared" si="67"/>
        <v>0</v>
      </c>
      <c r="X172" s="1978">
        <f t="shared" si="67"/>
        <v>0</v>
      </c>
      <c r="Y172" s="1978">
        <f t="shared" si="67"/>
        <v>0</v>
      </c>
      <c r="Z172" s="1978">
        <f t="shared" si="67"/>
        <v>0</v>
      </c>
      <c r="AA172" s="1978">
        <f t="shared" si="67"/>
        <v>0</v>
      </c>
      <c r="AB172" s="1978">
        <f t="shared" si="67"/>
        <v>0</v>
      </c>
      <c r="AC172" s="1978">
        <f t="shared" si="67"/>
        <v>0</v>
      </c>
      <c r="AD172" s="1978">
        <f t="shared" si="67"/>
        <v>0</v>
      </c>
      <c r="AE172" s="1978">
        <f t="shared" si="67"/>
        <v>0</v>
      </c>
      <c r="AF172" s="1978">
        <f t="shared" si="67"/>
        <v>0</v>
      </c>
      <c r="AG172" s="1978">
        <f t="shared" si="67"/>
        <v>0</v>
      </c>
      <c r="AH172" s="1978">
        <f t="shared" si="67"/>
        <v>0</v>
      </c>
      <c r="AI172" s="1978">
        <f t="shared" si="67"/>
        <v>0</v>
      </c>
      <c r="AJ172" s="1978">
        <f t="shared" si="67"/>
        <v>0</v>
      </c>
      <c r="AK172" s="1978">
        <f t="shared" si="67"/>
        <v>0</v>
      </c>
      <c r="AL172" s="1978">
        <f t="shared" si="67"/>
        <v>0</v>
      </c>
      <c r="AM172" s="1978">
        <f t="shared" si="67"/>
        <v>0</v>
      </c>
      <c r="AN172" s="1978">
        <f t="shared" si="67"/>
        <v>0</v>
      </c>
      <c r="AO172" s="1978">
        <f t="shared" si="67"/>
        <v>0</v>
      </c>
      <c r="AP172" s="1978">
        <f t="shared" si="67"/>
        <v>0</v>
      </c>
      <c r="AQ172" s="1978">
        <f t="shared" si="67"/>
        <v>0</v>
      </c>
      <c r="AR172" s="1978">
        <f t="shared" si="67"/>
        <v>0</v>
      </c>
      <c r="AS172" s="1978">
        <f t="shared" si="67"/>
        <v>0</v>
      </c>
      <c r="AT172" s="1978">
        <f t="shared" si="67"/>
        <v>0</v>
      </c>
      <c r="AU172" s="1978">
        <f t="shared" si="67"/>
        <v>0</v>
      </c>
      <c r="AV172" s="1978">
        <f t="shared" si="67"/>
        <v>0</v>
      </c>
      <c r="AW172" s="1978">
        <f t="shared" si="67"/>
        <v>0</v>
      </c>
      <c r="AX172" s="1978">
        <f t="shared" si="67"/>
        <v>0</v>
      </c>
      <c r="AY172" s="1978">
        <f t="shared" si="67"/>
        <v>0</v>
      </c>
      <c r="AZ172" s="1978">
        <f t="shared" si="67"/>
        <v>0</v>
      </c>
      <c r="BA172" s="1978">
        <f t="shared" si="67"/>
        <v>0</v>
      </c>
      <c r="BB172" s="1978">
        <f t="shared" si="67"/>
        <v>0</v>
      </c>
      <c r="BC172" s="1978">
        <f t="shared" si="67"/>
        <v>0</v>
      </c>
      <c r="BD172" s="1978">
        <f t="shared" si="67"/>
        <v>0</v>
      </c>
      <c r="BE172" s="1978">
        <f t="shared" si="67"/>
        <v>0</v>
      </c>
      <c r="BF172" s="1978">
        <f t="shared" si="67"/>
        <v>0</v>
      </c>
      <c r="BG172" s="1978">
        <f t="shared" si="67"/>
        <v>0</v>
      </c>
      <c r="BH172" s="1978">
        <f t="shared" si="67"/>
        <v>0</v>
      </c>
      <c r="BI172" s="1978">
        <f t="shared" si="67"/>
        <v>0</v>
      </c>
      <c r="BJ172" s="1978">
        <f t="shared" si="67"/>
        <v>0</v>
      </c>
      <c r="BK172" s="1978">
        <f t="shared" si="67"/>
        <v>0</v>
      </c>
      <c r="BL172" s="1978">
        <f t="shared" si="67"/>
        <v>0</v>
      </c>
      <c r="BV172" s="951"/>
      <c r="CA172" s="446"/>
      <c r="CB172" s="446"/>
      <c r="CC172" s="446"/>
      <c r="CD172" s="446"/>
      <c r="CE172" s="446"/>
      <c r="CF172" s="446"/>
      <c r="CG172" s="446"/>
      <c r="CH172" s="446"/>
      <c r="CI172" s="446"/>
      <c r="CJ172" s="446"/>
      <c r="CK172" s="446"/>
      <c r="CL172" s="446"/>
      <c r="CM172" s="446"/>
      <c r="CN172" s="446"/>
      <c r="CO172" s="446"/>
      <c r="CP172" s="446"/>
      <c r="CQ172" s="446"/>
      <c r="CR172" s="446"/>
      <c r="CS172" s="446"/>
      <c r="CT172" s="446"/>
      <c r="CU172" s="446"/>
      <c r="CV172" s="445"/>
      <c r="CW172" s="514"/>
      <c r="CX172" s="445"/>
      <c r="CY172" s="446"/>
      <c r="CZ172" s="446"/>
      <c r="DA172" s="446"/>
      <c r="DB172" s="446"/>
      <c r="DC172" s="446"/>
      <c r="DD172" s="446"/>
      <c r="DE172" s="446"/>
      <c r="DF172" s="446"/>
      <c r="DG172" s="446"/>
      <c r="DH172" s="446"/>
      <c r="DI172" s="446"/>
      <c r="DJ172" s="446"/>
      <c r="DK172" s="446"/>
      <c r="DL172" s="446"/>
      <c r="DM172" s="446"/>
      <c r="DN172" s="446"/>
      <c r="DO172" s="446"/>
    </row>
    <row r="173" spans="3:119" s="160" customFormat="1" ht="14.25" hidden="1" customHeight="1">
      <c r="C173" s="2311"/>
      <c r="D173" s="160" t="s">
        <v>685</v>
      </c>
      <c r="E173" s="1970"/>
      <c r="F173" s="1970"/>
      <c r="G173" s="1970"/>
      <c r="H173" s="2006"/>
      <c r="I173" s="2006"/>
      <c r="J173" s="1970"/>
      <c r="K173" s="1970"/>
      <c r="L173" s="1970"/>
      <c r="M173" s="1970"/>
      <c r="N173" s="2006"/>
      <c r="O173" s="2006"/>
      <c r="P173" s="2006"/>
      <c r="Q173" s="1978">
        <f>IF(OR(Q160&gt;=$P$12+$N140+$S$12*12,Q160&lt;$P$12),0,$O$12*$Q$12/12)</f>
        <v>0</v>
      </c>
      <c r="R173" s="1978">
        <f>IF(OR(R160&gt;=$P$12+$N140+$S$12*12,R160&lt;$P$12),0,($O$12-SUM($Q$175:R175))*$Q$12/12)</f>
        <v>0</v>
      </c>
      <c r="S173" s="1978">
        <f>IF(OR(S160&gt;=$P$12+$N140+$S$12*12,S160&lt;$P$12),0,($O$12-SUM($Q$175:S175))*$Q$12/12)</f>
        <v>0</v>
      </c>
      <c r="T173" s="1978">
        <f>IF(OR(T160&gt;=$P$12+$N140+$S$12*12,T160&lt;$P$12),0,($O$12-SUM($Q$175:T175))*$Q$12/12)</f>
        <v>0</v>
      </c>
      <c r="U173" s="1978">
        <f>IF(OR(U160&gt;=$P$12+$N140+$S$12*12,U160&lt;$P$12),0,($O$12-SUM($Q$175:U175))*$Q$12/12)</f>
        <v>0</v>
      </c>
      <c r="V173" s="1978">
        <f>IF(OR(V160&gt;=$P$12+$N140+$S$12*12,V160&lt;$P$12),0,($O$12-SUM($Q$175:V175))*$Q$12/12)</f>
        <v>0</v>
      </c>
      <c r="W173" s="1978">
        <f>IF(OR(W160&gt;=$P$12+$N140+$S$12*12,W160&lt;$P$12),0,($O$12-SUM($Q$175:W175))*$Q$12/12)</f>
        <v>0</v>
      </c>
      <c r="X173" s="1978">
        <f>IF(OR(X160&gt;=$P$12+$N140+$S$12*12,X160&lt;$P$12),0,($O$12-SUM($Q$175:X175))*$Q$12/12)</f>
        <v>0</v>
      </c>
      <c r="Y173" s="1978">
        <f>IF(OR(Y160&gt;=$P$12+$N140+$S$12*12,Y160&lt;$P$12),0,($O$12-SUM($Q$175:Y175))*$Q$12/12)</f>
        <v>0</v>
      </c>
      <c r="Z173" s="1978">
        <f>IF(OR(Z160&gt;=$P$12+$N140+$S$12*12,Z160&lt;$P$12),0,($O$12-SUM($Q$175:Z175))*$Q$12/12)</f>
        <v>0</v>
      </c>
      <c r="AA173" s="1978">
        <f>IF(OR(AA160&gt;=$P$12+$N140+$S$12*12,AA160&lt;$P$12),0,($O$12-SUM($Q$175:AA175))*$Q$12/12)</f>
        <v>0</v>
      </c>
      <c r="AB173" s="1978">
        <f>IF(OR(AB160&gt;=$P$12+$N140+$S$12*12,AB160&lt;$P$12),0,($O$12-SUM($Q$175:AB175))*$Q$12/12)</f>
        <v>0</v>
      </c>
      <c r="AC173" s="1978">
        <f>IF(OR(AC160&gt;=$P$12+$N140+$S$12*12,AC160&lt;$P$12),0,($O$12-SUM($Q$175:AC175))*$Q$12/12)</f>
        <v>0</v>
      </c>
      <c r="AD173" s="1978">
        <f>IF(OR(AD160&gt;=$P$12+$N140+$S$12*12,AD160&lt;$P$12),0,($O$12-SUM($Q$175:AD175))*$Q$12/12)</f>
        <v>0</v>
      </c>
      <c r="AE173" s="1978">
        <f>IF(OR(AE160&gt;=$P$12+$N140+$S$12*12,AE160&lt;$P$12),0,($O$12-SUM($Q$175:AE175))*$Q$12/12)</f>
        <v>0</v>
      </c>
      <c r="AF173" s="1978">
        <f>IF(OR(AF160&gt;=$P$12+$N140+$S$12*12,AF160&lt;$P$12),0,($O$12-SUM($Q$175:AF175))*$Q$12/12)</f>
        <v>0</v>
      </c>
      <c r="AG173" s="1978">
        <f>IF(OR(AG160&gt;=$P$12+$N140+$S$12*12,AG160&lt;$P$12),0,($O$12-SUM($Q$175:AG175))*$Q$12/12)</f>
        <v>0</v>
      </c>
      <c r="AH173" s="1978">
        <f>IF(OR(AH160&gt;=$P$12+$N140+$S$12*12,AH160&lt;$P$12),0,($O$12-SUM($Q$175:AH175))*$Q$12/12)</f>
        <v>0</v>
      </c>
      <c r="AI173" s="1978">
        <f>IF(OR(AI160&gt;=$P$12+$N140+$S$12*12,AI160&lt;$P$12),0,($O$12-SUM($Q$175:AI175))*$Q$12/12)</f>
        <v>0</v>
      </c>
      <c r="AJ173" s="1978">
        <f>IF(OR(AJ160&gt;=$P$12+$N140+$S$12*12,AJ160&lt;$P$12),0,($O$12-SUM($Q$175:AJ175))*$Q$12/12)</f>
        <v>0</v>
      </c>
      <c r="AK173" s="1978">
        <f>IF(OR(AK160&gt;=$P$12+$N140+$S$12*12,AK160&lt;$P$12),0,($O$12-SUM($Q$175:AK175))*$Q$12/12)</f>
        <v>0</v>
      </c>
      <c r="AL173" s="1978">
        <f>IF(OR(AL160&gt;=$P$12+$N140+$S$12*12,AL160&lt;$P$12),0,($O$12-SUM($Q$175:AL175))*$Q$12/12)</f>
        <v>0</v>
      </c>
      <c r="AM173" s="1978">
        <f>IF(OR(AM160&gt;=$P$12+$N140+$S$12*12,AM160&lt;$P$12),0,($O$12-SUM($Q$175:AM175))*$Q$12/12)</f>
        <v>0</v>
      </c>
      <c r="AN173" s="1978">
        <f>IF(OR(AN160&gt;=$P$12+$N140+$S$12*12,AN160&lt;$P$12),0,($O$12-SUM($Q$175:AN175))*$Q$12/12)</f>
        <v>0</v>
      </c>
      <c r="AO173" s="1978">
        <f>IF(OR(AO160&gt;=$P$12+$N140+$S$12*12,AO160&lt;$P$12),0,($O$12-SUM($Q$175:AO175))*$Q$12/12)</f>
        <v>0</v>
      </c>
      <c r="AP173" s="1978">
        <f>IF(OR(AP160&gt;=$P$12+$N140+$S$12*12,AP160&lt;$P$12),0,($O$12-SUM($Q$175:AP175))*$Q$12/12)</f>
        <v>0</v>
      </c>
      <c r="AQ173" s="1978">
        <f>IF(OR(AQ160&gt;=$P$12+$N140+$S$12*12,AQ160&lt;$P$12),0,($O$12-SUM($Q$175:AQ175))*$Q$12/12)</f>
        <v>0</v>
      </c>
      <c r="AR173" s="1978">
        <f>IF(OR(AR160&gt;=$P$12+$N140+$S$12*12,AR160&lt;$P$12),0,($O$12-SUM($Q$175:AR175))*$Q$12/12)</f>
        <v>0</v>
      </c>
      <c r="AS173" s="1978">
        <f>IF(OR(AS160&gt;=$P$12+$N140+$S$12*12,AS160&lt;$P$12),0,($O$12-SUM($Q$175:AS175))*$Q$12/12)</f>
        <v>0</v>
      </c>
      <c r="AT173" s="1978">
        <f>IF(OR(AT160&gt;=$P$12+$N140+$S$12*12,AT160&lt;$P$12),0,($O$12-SUM($Q$175:AT175))*$Q$12/12)</f>
        <v>0</v>
      </c>
      <c r="AU173" s="1978">
        <f>IF(OR(AU160&gt;=$P$12+$N140+$S$12*12,AU160&lt;$P$12),0,($O$12-SUM($Q$175:AU175))*$Q$12/12)</f>
        <v>0</v>
      </c>
      <c r="AV173" s="1978">
        <f>IF(OR(AV160&gt;=$P$12+$N140+$S$12*12,AV160&lt;$P$12),0,($O$12-SUM($Q$175:AV175))*$Q$12/12)</f>
        <v>0</v>
      </c>
      <c r="AW173" s="1978">
        <f>IF(OR(AW160&gt;=$P$12+$N140+$S$12*12,AW160&lt;$P$12),0,($O$12-SUM($Q$175:AW175))*$Q$12/12)</f>
        <v>0</v>
      </c>
      <c r="AX173" s="1978">
        <f>IF(OR(AX160&gt;=$P$12+$N140+$S$12*12,AX160&lt;$P$12),0,($O$12-SUM($Q$175:AX175))*$Q$12/12)</f>
        <v>0</v>
      </c>
      <c r="AY173" s="1978">
        <f>IF(OR(AY160&gt;=$P$12+$N140+$S$12*12,AY160&lt;$P$12),0,($O$12-SUM($Q$175:AY175))*$Q$12/12)</f>
        <v>0</v>
      </c>
      <c r="AZ173" s="1978">
        <f>IF(OR(AZ160&gt;=$P$12+$N140+$S$12*12,AZ160&lt;$P$12),0,($O$12-SUM($Q$175:AZ175))*$Q$12/12)</f>
        <v>0</v>
      </c>
      <c r="BA173" s="1978">
        <f>IF(OR(BA160&gt;=$P$12+$N140+$S$12*12,BA160&lt;$P$12),0,($O$12-SUM($Q$175:BA175))*$Q$12/12)</f>
        <v>0</v>
      </c>
      <c r="BB173" s="1978">
        <f>IF(OR(BB160&gt;=$P$12+$N140+$S$12*12,BB160&lt;$P$12),0,($O$12-SUM($Q$175:BB175))*$Q$12/12)</f>
        <v>0</v>
      </c>
      <c r="BC173" s="1978">
        <f>IF(OR(BC160&gt;=$P$12+$N140+$S$12*12,BC160&lt;$P$12),0,($O$12-SUM($Q$175:BC175))*$Q$12/12)</f>
        <v>0</v>
      </c>
      <c r="BD173" s="1978">
        <f>IF(OR(BD160&gt;=$P$12+$N140+$S$12*12,BD160&lt;$P$12),0,($O$12-SUM($Q$175:BD175))*$Q$12/12)</f>
        <v>0</v>
      </c>
      <c r="BE173" s="1978">
        <f>IF(OR(BE160&gt;=$P$12+$N140+$S$12*12,BE160&lt;$P$12),0,($O$12-SUM($Q$175:BE175))*$Q$12/12)</f>
        <v>0</v>
      </c>
      <c r="BF173" s="1978">
        <f>IF(OR(BF160&gt;=$P$12+$N140+$S$12*12,BF160&lt;$P$12),0,($O$12-SUM($Q$175:BF175))*$Q$12/12)</f>
        <v>0</v>
      </c>
      <c r="BG173" s="1978">
        <f>IF(OR(BG160&gt;=$P$12+$N140+$S$12*12,BG160&lt;$P$12),0,($O$12-SUM($Q$175:BG175))*$Q$12/12)</f>
        <v>0</v>
      </c>
      <c r="BH173" s="1978">
        <f>IF(OR(BH160&gt;=$P$12+$N140+$S$12*12,BH160&lt;$P$12),0,($O$12-SUM($Q$175:BH175))*$Q$12/12)</f>
        <v>0</v>
      </c>
      <c r="BI173" s="1978">
        <f>IF(OR(BI160&gt;=$P$12+$N140+$S$12*12,BI160&lt;$P$12),0,($O$12-SUM($Q$175:BI175))*$Q$12/12)</f>
        <v>0</v>
      </c>
      <c r="BJ173" s="1978">
        <f>IF(OR(BJ160&gt;=$P$12+$N140+$S$12*12,BJ160&lt;$P$12),0,($O$12-SUM($Q$175:BJ175))*$Q$12/12)</f>
        <v>0</v>
      </c>
      <c r="BK173" s="1978">
        <f>IF(OR(BK160&gt;=$P$12+$N140+$S$12*12,BK160&lt;$P$12),0,($O$12-SUM($Q$175:BK175))*$Q$12/12)</f>
        <v>0</v>
      </c>
      <c r="BL173" s="1978">
        <f>IF(OR(BL160&gt;=$P$12+$N140+$S$12*12,BL160&lt;$P$12),0,($O$12-SUM($Q$175:BL175))*$Q$12/12)</f>
        <v>0</v>
      </c>
      <c r="BV173" s="951"/>
      <c r="CA173" s="446"/>
      <c r="CB173" s="446"/>
      <c r="CC173" s="446"/>
      <c r="CD173" s="446"/>
      <c r="CE173" s="446"/>
      <c r="CF173" s="446"/>
      <c r="CG173" s="446"/>
      <c r="CH173" s="446"/>
      <c r="CI173" s="446"/>
      <c r="CJ173" s="446"/>
      <c r="CK173" s="446"/>
      <c r="CL173" s="446"/>
      <c r="CM173" s="446"/>
      <c r="CN173" s="446"/>
      <c r="CO173" s="446"/>
      <c r="CP173" s="446"/>
      <c r="CQ173" s="446"/>
      <c r="CR173" s="446"/>
      <c r="CS173" s="446"/>
      <c r="CT173" s="446"/>
      <c r="CU173" s="446"/>
      <c r="CV173" s="445"/>
      <c r="CW173" s="514"/>
      <c r="CX173" s="445"/>
      <c r="CY173" s="446"/>
      <c r="CZ173" s="446"/>
      <c r="DA173" s="446"/>
      <c r="DB173" s="446"/>
      <c r="DC173" s="446"/>
      <c r="DD173" s="446"/>
      <c r="DE173" s="446"/>
      <c r="DF173" s="446"/>
      <c r="DG173" s="446"/>
      <c r="DH173" s="446"/>
      <c r="DI173" s="446"/>
      <c r="DJ173" s="446"/>
      <c r="DK173" s="446"/>
      <c r="DL173" s="446"/>
      <c r="DM173" s="446"/>
      <c r="DN173" s="446"/>
      <c r="DO173" s="446"/>
    </row>
    <row r="174" spans="3:119" s="160" customFormat="1" ht="14.25" hidden="1" customHeight="1">
      <c r="C174" s="2311"/>
      <c r="D174" s="160" t="s">
        <v>120</v>
      </c>
      <c r="E174" s="1970"/>
      <c r="F174" s="1970"/>
      <c r="G174" s="1970"/>
      <c r="H174" s="2006"/>
      <c r="I174" s="2006"/>
      <c r="J174" s="1970"/>
      <c r="K174" s="1970"/>
      <c r="L174" s="1970"/>
      <c r="M174" s="1970"/>
      <c r="N174" s="2006"/>
      <c r="O174" s="2006"/>
      <c r="P174" s="2006"/>
      <c r="Q174" s="1978">
        <f t="shared" ref="Q174:R174" si="68">IF($P$12+$R$12=Q160,IF($S$12=0,0,$O$12/($S$12*12)),0)</f>
        <v>0</v>
      </c>
      <c r="R174" s="1978">
        <f t="shared" si="68"/>
        <v>0</v>
      </c>
      <c r="S174" s="1978">
        <f t="shared" ref="S174:BL174" si="69">IF($P$12+$R$12=S160,IF($S$12=0,0,$O$12/($S$12*12)),0)</f>
        <v>0</v>
      </c>
      <c r="T174" s="1978">
        <f t="shared" si="69"/>
        <v>0</v>
      </c>
      <c r="U174" s="1978">
        <f t="shared" si="69"/>
        <v>0</v>
      </c>
      <c r="V174" s="1978">
        <f t="shared" si="69"/>
        <v>0</v>
      </c>
      <c r="W174" s="1978">
        <f t="shared" si="69"/>
        <v>0</v>
      </c>
      <c r="X174" s="1978">
        <f t="shared" si="69"/>
        <v>0</v>
      </c>
      <c r="Y174" s="1978">
        <f t="shared" si="69"/>
        <v>0</v>
      </c>
      <c r="Z174" s="1978">
        <f t="shared" si="69"/>
        <v>0</v>
      </c>
      <c r="AA174" s="1978">
        <f t="shared" si="69"/>
        <v>0</v>
      </c>
      <c r="AB174" s="1978">
        <f t="shared" si="69"/>
        <v>0</v>
      </c>
      <c r="AC174" s="1978">
        <f t="shared" si="69"/>
        <v>0</v>
      </c>
      <c r="AD174" s="1978">
        <f t="shared" si="69"/>
        <v>0</v>
      </c>
      <c r="AE174" s="1978">
        <f t="shared" si="69"/>
        <v>0</v>
      </c>
      <c r="AF174" s="1978">
        <f t="shared" si="69"/>
        <v>0</v>
      </c>
      <c r="AG174" s="1978">
        <f t="shared" si="69"/>
        <v>0</v>
      </c>
      <c r="AH174" s="1978">
        <f t="shared" si="69"/>
        <v>0</v>
      </c>
      <c r="AI174" s="1978">
        <f t="shared" si="69"/>
        <v>0</v>
      </c>
      <c r="AJ174" s="1978">
        <f t="shared" si="69"/>
        <v>0</v>
      </c>
      <c r="AK174" s="1978">
        <f t="shared" si="69"/>
        <v>0</v>
      </c>
      <c r="AL174" s="1978">
        <f t="shared" si="69"/>
        <v>0</v>
      </c>
      <c r="AM174" s="1978">
        <f t="shared" si="69"/>
        <v>0</v>
      </c>
      <c r="AN174" s="1978">
        <f t="shared" si="69"/>
        <v>0</v>
      </c>
      <c r="AO174" s="1978">
        <f t="shared" si="69"/>
        <v>0</v>
      </c>
      <c r="AP174" s="1978">
        <f t="shared" si="69"/>
        <v>0</v>
      </c>
      <c r="AQ174" s="1978">
        <f t="shared" si="69"/>
        <v>0</v>
      </c>
      <c r="AR174" s="1978">
        <f t="shared" si="69"/>
        <v>0</v>
      </c>
      <c r="AS174" s="1978">
        <f t="shared" si="69"/>
        <v>0</v>
      </c>
      <c r="AT174" s="1978">
        <f t="shared" si="69"/>
        <v>0</v>
      </c>
      <c r="AU174" s="1978">
        <f t="shared" si="69"/>
        <v>0</v>
      </c>
      <c r="AV174" s="1978">
        <f t="shared" si="69"/>
        <v>0</v>
      </c>
      <c r="AW174" s="1978">
        <f t="shared" si="69"/>
        <v>0</v>
      </c>
      <c r="AX174" s="1978">
        <f t="shared" si="69"/>
        <v>0</v>
      </c>
      <c r="AY174" s="1978">
        <f t="shared" si="69"/>
        <v>0</v>
      </c>
      <c r="AZ174" s="1978">
        <f t="shared" si="69"/>
        <v>0</v>
      </c>
      <c r="BA174" s="1978">
        <f t="shared" si="69"/>
        <v>0</v>
      </c>
      <c r="BB174" s="1978">
        <f t="shared" si="69"/>
        <v>0</v>
      </c>
      <c r="BC174" s="1978">
        <f t="shared" si="69"/>
        <v>0</v>
      </c>
      <c r="BD174" s="1978">
        <f t="shared" si="69"/>
        <v>0</v>
      </c>
      <c r="BE174" s="1978">
        <f t="shared" si="69"/>
        <v>0</v>
      </c>
      <c r="BF174" s="1978">
        <f t="shared" si="69"/>
        <v>0</v>
      </c>
      <c r="BG174" s="1978">
        <f t="shared" si="69"/>
        <v>0</v>
      </c>
      <c r="BH174" s="1978">
        <f t="shared" si="69"/>
        <v>0</v>
      </c>
      <c r="BI174" s="1978">
        <f t="shared" si="69"/>
        <v>0</v>
      </c>
      <c r="BJ174" s="1978">
        <f t="shared" si="69"/>
        <v>0</v>
      </c>
      <c r="BK174" s="1978">
        <f t="shared" si="69"/>
        <v>0</v>
      </c>
      <c r="BL174" s="1978">
        <f t="shared" si="69"/>
        <v>0</v>
      </c>
      <c r="BV174" s="951"/>
      <c r="CA174" s="446"/>
      <c r="CB174" s="446"/>
      <c r="CC174" s="446"/>
      <c r="CD174" s="446"/>
      <c r="CE174" s="446"/>
      <c r="CF174" s="446"/>
      <c r="CG174" s="446"/>
      <c r="CH174" s="446"/>
      <c r="CI174" s="446"/>
      <c r="CJ174" s="446"/>
      <c r="CK174" s="446"/>
      <c r="CL174" s="446"/>
      <c r="CM174" s="446"/>
      <c r="CN174" s="446"/>
      <c r="CO174" s="446"/>
      <c r="CP174" s="446"/>
      <c r="CQ174" s="446"/>
      <c r="CR174" s="446"/>
      <c r="CS174" s="446"/>
      <c r="CT174" s="446"/>
      <c r="CU174" s="446"/>
      <c r="CV174" s="445"/>
      <c r="CW174" s="514"/>
      <c r="CX174" s="445"/>
      <c r="CY174" s="446"/>
      <c r="CZ174" s="446"/>
      <c r="DA174" s="446"/>
      <c r="DB174" s="446"/>
      <c r="DC174" s="446"/>
      <c r="DD174" s="446"/>
      <c r="DE174" s="446"/>
      <c r="DF174" s="446"/>
      <c r="DG174" s="446"/>
      <c r="DH174" s="446"/>
      <c r="DI174" s="446"/>
      <c r="DJ174" s="446"/>
      <c r="DK174" s="446"/>
      <c r="DL174" s="446"/>
      <c r="DM174" s="446"/>
      <c r="DN174" s="446"/>
      <c r="DO174" s="446"/>
    </row>
    <row r="175" spans="3:119" s="160" customFormat="1" ht="14.25" hidden="1" customHeight="1">
      <c r="C175" s="2311"/>
      <c r="D175" s="160" t="s">
        <v>686</v>
      </c>
      <c r="E175" s="1970"/>
      <c r="F175" s="1970"/>
      <c r="G175" s="1970"/>
      <c r="H175" s="2006"/>
      <c r="I175" s="2006"/>
      <c r="J175" s="1970"/>
      <c r="K175" s="1970"/>
      <c r="L175" s="1970"/>
      <c r="M175" s="1970"/>
      <c r="N175" s="2006"/>
      <c r="O175" s="2006"/>
      <c r="P175" s="2006"/>
      <c r="Q175" s="1978">
        <f t="shared" ref="Q175:R175" si="70">IF(OR(Q160&gt;=$P$12+$R$12+$S$12*12,Q160&lt;$P$12+$R$12),0,IF($S$12=0,0,$O$12/($S$12*12)))</f>
        <v>0</v>
      </c>
      <c r="R175" s="1978">
        <f t="shared" si="70"/>
        <v>0</v>
      </c>
      <c r="S175" s="1978">
        <f t="shared" ref="S175:BL175" si="71">IF(OR(S160&gt;=$P$12+$R$12+$S$12*12,S160&lt;$P$12+$R$12),0,IF($S$12=0,0,$O$12/($S$12*12)))</f>
        <v>0</v>
      </c>
      <c r="T175" s="1978">
        <f t="shared" si="71"/>
        <v>0</v>
      </c>
      <c r="U175" s="1978">
        <f t="shared" si="71"/>
        <v>0</v>
      </c>
      <c r="V175" s="1978">
        <f t="shared" si="71"/>
        <v>0</v>
      </c>
      <c r="W175" s="1978">
        <f t="shared" si="71"/>
        <v>0</v>
      </c>
      <c r="X175" s="1978">
        <f t="shared" si="71"/>
        <v>0</v>
      </c>
      <c r="Y175" s="1978">
        <f t="shared" si="71"/>
        <v>0</v>
      </c>
      <c r="Z175" s="1978">
        <f t="shared" si="71"/>
        <v>0</v>
      </c>
      <c r="AA175" s="1978">
        <f t="shared" si="71"/>
        <v>0</v>
      </c>
      <c r="AB175" s="1978">
        <f t="shared" si="71"/>
        <v>0</v>
      </c>
      <c r="AC175" s="1978">
        <f t="shared" si="71"/>
        <v>0</v>
      </c>
      <c r="AD175" s="1978">
        <f t="shared" si="71"/>
        <v>0</v>
      </c>
      <c r="AE175" s="1978">
        <f t="shared" si="71"/>
        <v>0</v>
      </c>
      <c r="AF175" s="1978">
        <f t="shared" si="71"/>
        <v>0</v>
      </c>
      <c r="AG175" s="1978">
        <f t="shared" si="71"/>
        <v>0</v>
      </c>
      <c r="AH175" s="1978">
        <f t="shared" si="71"/>
        <v>0</v>
      </c>
      <c r="AI175" s="1978">
        <f t="shared" si="71"/>
        <v>0</v>
      </c>
      <c r="AJ175" s="1978">
        <f t="shared" si="71"/>
        <v>0</v>
      </c>
      <c r="AK175" s="1978">
        <f t="shared" si="71"/>
        <v>0</v>
      </c>
      <c r="AL175" s="1978">
        <f t="shared" si="71"/>
        <v>0</v>
      </c>
      <c r="AM175" s="1978">
        <f t="shared" si="71"/>
        <v>0</v>
      </c>
      <c r="AN175" s="1978">
        <f t="shared" si="71"/>
        <v>0</v>
      </c>
      <c r="AO175" s="1978">
        <f t="shared" si="71"/>
        <v>0</v>
      </c>
      <c r="AP175" s="1978">
        <f t="shared" si="71"/>
        <v>0</v>
      </c>
      <c r="AQ175" s="1978">
        <f t="shared" si="71"/>
        <v>0</v>
      </c>
      <c r="AR175" s="1978">
        <f t="shared" si="71"/>
        <v>0</v>
      </c>
      <c r="AS175" s="1978">
        <f t="shared" si="71"/>
        <v>0</v>
      </c>
      <c r="AT175" s="1978">
        <f t="shared" si="71"/>
        <v>0</v>
      </c>
      <c r="AU175" s="1978">
        <f t="shared" si="71"/>
        <v>0</v>
      </c>
      <c r="AV175" s="1978">
        <f t="shared" si="71"/>
        <v>0</v>
      </c>
      <c r="AW175" s="1978">
        <f t="shared" si="71"/>
        <v>0</v>
      </c>
      <c r="AX175" s="1978">
        <f t="shared" si="71"/>
        <v>0</v>
      </c>
      <c r="AY175" s="1978">
        <f t="shared" si="71"/>
        <v>0</v>
      </c>
      <c r="AZ175" s="1978">
        <f t="shared" si="71"/>
        <v>0</v>
      </c>
      <c r="BA175" s="1978">
        <f t="shared" si="71"/>
        <v>0</v>
      </c>
      <c r="BB175" s="1978">
        <f t="shared" si="71"/>
        <v>0</v>
      </c>
      <c r="BC175" s="1978">
        <f t="shared" si="71"/>
        <v>0</v>
      </c>
      <c r="BD175" s="1978">
        <f t="shared" si="71"/>
        <v>0</v>
      </c>
      <c r="BE175" s="1978">
        <f t="shared" si="71"/>
        <v>0</v>
      </c>
      <c r="BF175" s="1978">
        <f t="shared" si="71"/>
        <v>0</v>
      </c>
      <c r="BG175" s="1978">
        <f t="shared" si="71"/>
        <v>0</v>
      </c>
      <c r="BH175" s="1978">
        <f t="shared" si="71"/>
        <v>0</v>
      </c>
      <c r="BI175" s="1978">
        <f t="shared" si="71"/>
        <v>0</v>
      </c>
      <c r="BJ175" s="1978">
        <f t="shared" si="71"/>
        <v>0</v>
      </c>
      <c r="BK175" s="1978">
        <f t="shared" si="71"/>
        <v>0</v>
      </c>
      <c r="BL175" s="1978">
        <f t="shared" si="71"/>
        <v>0</v>
      </c>
      <c r="BV175" s="951"/>
      <c r="CA175" s="446"/>
      <c r="CB175" s="446"/>
      <c r="CC175" s="446"/>
      <c r="CD175" s="446"/>
      <c r="CE175" s="446"/>
      <c r="CF175" s="446"/>
      <c r="CG175" s="446"/>
      <c r="CH175" s="446"/>
      <c r="CI175" s="446"/>
      <c r="CJ175" s="446"/>
      <c r="CK175" s="446"/>
      <c r="CL175" s="446"/>
      <c r="CM175" s="446"/>
      <c r="CN175" s="446"/>
      <c r="CO175" s="446"/>
      <c r="CP175" s="446"/>
      <c r="CQ175" s="446"/>
      <c r="CR175" s="446"/>
      <c r="CS175" s="446"/>
      <c r="CT175" s="446"/>
      <c r="CU175" s="446"/>
      <c r="CV175" s="445"/>
      <c r="CW175" s="514"/>
      <c r="CX175" s="445"/>
      <c r="CY175" s="446"/>
      <c r="CZ175" s="446"/>
      <c r="DA175" s="446"/>
      <c r="DB175" s="446"/>
      <c r="DC175" s="446"/>
      <c r="DD175" s="446"/>
      <c r="DE175" s="446"/>
      <c r="DF175" s="446"/>
      <c r="DG175" s="446"/>
      <c r="DH175" s="446"/>
      <c r="DI175" s="446"/>
      <c r="DJ175" s="446"/>
      <c r="DK175" s="446"/>
      <c r="DL175" s="446"/>
      <c r="DM175" s="446"/>
      <c r="DN175" s="446"/>
      <c r="DO175" s="446"/>
    </row>
    <row r="176" spans="3:119" s="160" customFormat="1" ht="14.25" hidden="1" customHeight="1">
      <c r="C176" s="2311" t="str">
        <f>C147</f>
        <v>Wahl Kreditart</v>
      </c>
      <c r="D176" s="160" t="s">
        <v>683</v>
      </c>
      <c r="E176" s="1970"/>
      <c r="F176" s="1970"/>
      <c r="G176" s="1970"/>
      <c r="H176" s="2006"/>
      <c r="I176" s="2006"/>
      <c r="J176" s="1970"/>
      <c r="K176" s="1970"/>
      <c r="L176" s="1970"/>
      <c r="M176" s="1970"/>
      <c r="N176" s="2006"/>
      <c r="O176" s="2006"/>
      <c r="P176" s="2006"/>
      <c r="Q176" s="1978">
        <f t="shared" ref="Q176:BL176" ca="1" si="72">IF($Q$159=$O$6,IF(Q160=$P$13,$O$13,0),0)</f>
        <v>0</v>
      </c>
      <c r="R176" s="1978">
        <f t="shared" ca="1" si="72"/>
        <v>0</v>
      </c>
      <c r="S176" s="1978">
        <f t="shared" ca="1" si="72"/>
        <v>0</v>
      </c>
      <c r="T176" s="1978">
        <f t="shared" ca="1" si="72"/>
        <v>0</v>
      </c>
      <c r="U176" s="1978">
        <f t="shared" ca="1" si="72"/>
        <v>0</v>
      </c>
      <c r="V176" s="1978">
        <f t="shared" ca="1" si="72"/>
        <v>0</v>
      </c>
      <c r="W176" s="1978">
        <f t="shared" ca="1" si="72"/>
        <v>0</v>
      </c>
      <c r="X176" s="1978">
        <f t="shared" ca="1" si="72"/>
        <v>0</v>
      </c>
      <c r="Y176" s="1978">
        <f t="shared" ca="1" si="72"/>
        <v>0</v>
      </c>
      <c r="Z176" s="1978">
        <f t="shared" ca="1" si="72"/>
        <v>0</v>
      </c>
      <c r="AA176" s="1978">
        <f t="shared" ca="1" si="72"/>
        <v>0</v>
      </c>
      <c r="AB176" s="1978">
        <f t="shared" ca="1" si="72"/>
        <v>0</v>
      </c>
      <c r="AC176" s="1978">
        <f t="shared" ca="1" si="72"/>
        <v>0</v>
      </c>
      <c r="AD176" s="1978">
        <f t="shared" ca="1" si="72"/>
        <v>0</v>
      </c>
      <c r="AE176" s="1978">
        <f t="shared" ca="1" si="72"/>
        <v>0</v>
      </c>
      <c r="AF176" s="1978">
        <f t="shared" ca="1" si="72"/>
        <v>0</v>
      </c>
      <c r="AG176" s="1978">
        <f t="shared" ca="1" si="72"/>
        <v>0</v>
      </c>
      <c r="AH176" s="1978">
        <f t="shared" ca="1" si="72"/>
        <v>0</v>
      </c>
      <c r="AI176" s="1978">
        <f t="shared" ca="1" si="72"/>
        <v>0</v>
      </c>
      <c r="AJ176" s="1978">
        <f t="shared" ca="1" si="72"/>
        <v>0</v>
      </c>
      <c r="AK176" s="1978">
        <f t="shared" ca="1" si="72"/>
        <v>0</v>
      </c>
      <c r="AL176" s="1978">
        <f t="shared" ca="1" si="72"/>
        <v>0</v>
      </c>
      <c r="AM176" s="1978">
        <f t="shared" ca="1" si="72"/>
        <v>0</v>
      </c>
      <c r="AN176" s="1978">
        <f t="shared" ca="1" si="72"/>
        <v>0</v>
      </c>
      <c r="AO176" s="1978">
        <f t="shared" ca="1" si="72"/>
        <v>0</v>
      </c>
      <c r="AP176" s="1978">
        <f t="shared" ca="1" si="72"/>
        <v>0</v>
      </c>
      <c r="AQ176" s="1978">
        <f t="shared" ca="1" si="72"/>
        <v>0</v>
      </c>
      <c r="AR176" s="1978">
        <f t="shared" ca="1" si="72"/>
        <v>0</v>
      </c>
      <c r="AS176" s="1978">
        <f t="shared" ca="1" si="72"/>
        <v>0</v>
      </c>
      <c r="AT176" s="1978">
        <f t="shared" ca="1" si="72"/>
        <v>0</v>
      </c>
      <c r="AU176" s="1978">
        <f t="shared" ca="1" si="72"/>
        <v>0</v>
      </c>
      <c r="AV176" s="1978">
        <f t="shared" ca="1" si="72"/>
        <v>0</v>
      </c>
      <c r="AW176" s="1978">
        <f t="shared" ca="1" si="72"/>
        <v>0</v>
      </c>
      <c r="AX176" s="1978">
        <f t="shared" ca="1" si="72"/>
        <v>0</v>
      </c>
      <c r="AY176" s="1978">
        <f t="shared" ca="1" si="72"/>
        <v>0</v>
      </c>
      <c r="AZ176" s="1978">
        <f t="shared" ca="1" si="72"/>
        <v>0</v>
      </c>
      <c r="BA176" s="1978">
        <f t="shared" ca="1" si="72"/>
        <v>0</v>
      </c>
      <c r="BB176" s="1978">
        <f t="shared" ca="1" si="72"/>
        <v>0</v>
      </c>
      <c r="BC176" s="1978">
        <f t="shared" ca="1" si="72"/>
        <v>0</v>
      </c>
      <c r="BD176" s="1978">
        <f t="shared" ca="1" si="72"/>
        <v>0</v>
      </c>
      <c r="BE176" s="1978">
        <f t="shared" ca="1" si="72"/>
        <v>0</v>
      </c>
      <c r="BF176" s="1978">
        <f t="shared" ca="1" si="72"/>
        <v>0</v>
      </c>
      <c r="BG176" s="1978">
        <f t="shared" ca="1" si="72"/>
        <v>0</v>
      </c>
      <c r="BH176" s="1978">
        <f t="shared" ca="1" si="72"/>
        <v>0</v>
      </c>
      <c r="BI176" s="1978">
        <f t="shared" ca="1" si="72"/>
        <v>0</v>
      </c>
      <c r="BJ176" s="1978">
        <f t="shared" ca="1" si="72"/>
        <v>0</v>
      </c>
      <c r="BK176" s="1978">
        <f t="shared" ca="1" si="72"/>
        <v>0</v>
      </c>
      <c r="BL176" s="1978">
        <f t="shared" ca="1" si="72"/>
        <v>0</v>
      </c>
      <c r="BV176" s="951"/>
      <c r="CA176" s="446"/>
      <c r="CB176" s="446"/>
      <c r="CC176" s="446"/>
      <c r="CD176" s="446"/>
      <c r="CE176" s="446"/>
      <c r="CF176" s="446"/>
      <c r="CG176" s="446"/>
      <c r="CH176" s="446"/>
      <c r="CI176" s="446"/>
      <c r="CJ176" s="446"/>
      <c r="CK176" s="446"/>
      <c r="CL176" s="446"/>
      <c r="CM176" s="446"/>
      <c r="CN176" s="446"/>
      <c r="CO176" s="446"/>
      <c r="CP176" s="446"/>
      <c r="CQ176" s="446"/>
      <c r="CR176" s="446"/>
      <c r="CS176" s="446"/>
      <c r="CT176" s="446"/>
      <c r="CU176" s="446"/>
      <c r="CV176" s="445"/>
      <c r="CW176" s="514"/>
      <c r="CX176" s="445"/>
      <c r="CY176" s="446"/>
      <c r="CZ176" s="446"/>
      <c r="DA176" s="446"/>
      <c r="DB176" s="446"/>
      <c r="DC176" s="446"/>
      <c r="DD176" s="446"/>
      <c r="DE176" s="446"/>
      <c r="DF176" s="446"/>
      <c r="DG176" s="446"/>
      <c r="DH176" s="446"/>
      <c r="DI176" s="446"/>
      <c r="DJ176" s="446"/>
      <c r="DK176" s="446"/>
      <c r="DL176" s="446"/>
      <c r="DM176" s="446"/>
      <c r="DN176" s="446"/>
      <c r="DO176" s="446"/>
    </row>
    <row r="177" spans="1:119" s="160" customFormat="1" ht="14.25" hidden="1" customHeight="1">
      <c r="C177" s="2311"/>
      <c r="D177" s="160" t="s">
        <v>684</v>
      </c>
      <c r="E177" s="1970"/>
      <c r="F177" s="1970"/>
      <c r="G177" s="1970"/>
      <c r="H177" s="2006"/>
      <c r="I177" s="2006"/>
      <c r="J177" s="1970"/>
      <c r="K177" s="1970"/>
      <c r="L177" s="1970"/>
      <c r="M177" s="1970"/>
      <c r="N177" s="2006"/>
      <c r="O177" s="2006"/>
      <c r="P177" s="2006"/>
      <c r="Q177" s="1978">
        <f t="shared" ref="Q177:R177" si="73">IF($P$13=Q160,($O$13*$Q$13)/12,0)</f>
        <v>0</v>
      </c>
      <c r="R177" s="1978">
        <f t="shared" si="73"/>
        <v>0</v>
      </c>
      <c r="S177" s="1978">
        <f t="shared" ref="S177:BL177" si="74">IF($P$13=S160,($O$13*$Q$13)/12,0)</f>
        <v>0</v>
      </c>
      <c r="T177" s="1978">
        <f t="shared" si="74"/>
        <v>0</v>
      </c>
      <c r="U177" s="1978">
        <f t="shared" si="74"/>
        <v>0</v>
      </c>
      <c r="V177" s="1978">
        <f t="shared" si="74"/>
        <v>0</v>
      </c>
      <c r="W177" s="1978">
        <f t="shared" si="74"/>
        <v>0</v>
      </c>
      <c r="X177" s="1978">
        <f t="shared" si="74"/>
        <v>0</v>
      </c>
      <c r="Y177" s="1978">
        <f t="shared" si="74"/>
        <v>0</v>
      </c>
      <c r="Z177" s="1978">
        <f t="shared" si="74"/>
        <v>0</v>
      </c>
      <c r="AA177" s="1978">
        <f t="shared" si="74"/>
        <v>0</v>
      </c>
      <c r="AB177" s="1978">
        <f t="shared" si="74"/>
        <v>0</v>
      </c>
      <c r="AC177" s="1978">
        <f t="shared" si="74"/>
        <v>0</v>
      </c>
      <c r="AD177" s="1978">
        <f t="shared" si="74"/>
        <v>0</v>
      </c>
      <c r="AE177" s="1978">
        <f t="shared" si="74"/>
        <v>0</v>
      </c>
      <c r="AF177" s="1978">
        <f t="shared" si="74"/>
        <v>0</v>
      </c>
      <c r="AG177" s="1978">
        <f t="shared" si="74"/>
        <v>0</v>
      </c>
      <c r="AH177" s="1978">
        <f t="shared" si="74"/>
        <v>0</v>
      </c>
      <c r="AI177" s="1978">
        <f t="shared" si="74"/>
        <v>0</v>
      </c>
      <c r="AJ177" s="1978">
        <f t="shared" si="74"/>
        <v>0</v>
      </c>
      <c r="AK177" s="1978">
        <f t="shared" si="74"/>
        <v>0</v>
      </c>
      <c r="AL177" s="1978">
        <f t="shared" si="74"/>
        <v>0</v>
      </c>
      <c r="AM177" s="1978">
        <f t="shared" si="74"/>
        <v>0</v>
      </c>
      <c r="AN177" s="1978">
        <f t="shared" si="74"/>
        <v>0</v>
      </c>
      <c r="AO177" s="1978">
        <f t="shared" si="74"/>
        <v>0</v>
      </c>
      <c r="AP177" s="1978">
        <f t="shared" si="74"/>
        <v>0</v>
      </c>
      <c r="AQ177" s="1978">
        <f t="shared" si="74"/>
        <v>0</v>
      </c>
      <c r="AR177" s="1978">
        <f t="shared" si="74"/>
        <v>0</v>
      </c>
      <c r="AS177" s="1978">
        <f t="shared" si="74"/>
        <v>0</v>
      </c>
      <c r="AT177" s="1978">
        <f t="shared" si="74"/>
        <v>0</v>
      </c>
      <c r="AU177" s="1978">
        <f t="shared" si="74"/>
        <v>0</v>
      </c>
      <c r="AV177" s="1978">
        <f t="shared" si="74"/>
        <v>0</v>
      </c>
      <c r="AW177" s="1978">
        <f t="shared" si="74"/>
        <v>0</v>
      </c>
      <c r="AX177" s="1978">
        <f t="shared" si="74"/>
        <v>0</v>
      </c>
      <c r="AY177" s="1978">
        <f t="shared" si="74"/>
        <v>0</v>
      </c>
      <c r="AZ177" s="1978">
        <f t="shared" si="74"/>
        <v>0</v>
      </c>
      <c r="BA177" s="1978">
        <f t="shared" si="74"/>
        <v>0</v>
      </c>
      <c r="BB177" s="1978">
        <f t="shared" si="74"/>
        <v>0</v>
      </c>
      <c r="BC177" s="1978">
        <f t="shared" si="74"/>
        <v>0</v>
      </c>
      <c r="BD177" s="1978">
        <f t="shared" si="74"/>
        <v>0</v>
      </c>
      <c r="BE177" s="1978">
        <f t="shared" si="74"/>
        <v>0</v>
      </c>
      <c r="BF177" s="1978">
        <f t="shared" si="74"/>
        <v>0</v>
      </c>
      <c r="BG177" s="1978">
        <f t="shared" si="74"/>
        <v>0</v>
      </c>
      <c r="BH177" s="1978">
        <f t="shared" si="74"/>
        <v>0</v>
      </c>
      <c r="BI177" s="1978">
        <f t="shared" si="74"/>
        <v>0</v>
      </c>
      <c r="BJ177" s="1978">
        <f t="shared" si="74"/>
        <v>0</v>
      </c>
      <c r="BK177" s="1978">
        <f t="shared" si="74"/>
        <v>0</v>
      </c>
      <c r="BL177" s="1978">
        <f t="shared" si="74"/>
        <v>0</v>
      </c>
      <c r="BV177" s="951"/>
      <c r="CA177" s="446"/>
      <c r="CB177" s="446"/>
      <c r="CC177" s="446"/>
      <c r="CD177" s="446"/>
      <c r="CE177" s="446"/>
      <c r="CF177" s="446"/>
      <c r="CG177" s="446"/>
      <c r="CH177" s="446"/>
      <c r="CI177" s="446"/>
      <c r="CJ177" s="446"/>
      <c r="CK177" s="446"/>
      <c r="CL177" s="446"/>
      <c r="CM177" s="446"/>
      <c r="CN177" s="446"/>
      <c r="CO177" s="446"/>
      <c r="CP177" s="446"/>
      <c r="CQ177" s="446"/>
      <c r="CR177" s="446"/>
      <c r="CS177" s="446"/>
      <c r="CT177" s="446"/>
      <c r="CU177" s="446"/>
      <c r="CV177" s="445"/>
      <c r="CW177" s="445"/>
      <c r="CX177" s="445"/>
      <c r="CY177" s="446"/>
      <c r="CZ177" s="446"/>
      <c r="DA177" s="446"/>
      <c r="DB177" s="446"/>
      <c r="DC177" s="446"/>
      <c r="DD177" s="446"/>
      <c r="DE177" s="446"/>
      <c r="DF177" s="446"/>
      <c r="DG177" s="446"/>
      <c r="DH177" s="446"/>
      <c r="DI177" s="446"/>
      <c r="DJ177" s="446"/>
      <c r="DK177" s="446"/>
      <c r="DL177" s="446"/>
      <c r="DM177" s="446"/>
      <c r="DN177" s="446"/>
      <c r="DO177" s="446"/>
    </row>
    <row r="178" spans="1:119" s="160" customFormat="1" ht="14.25" hidden="1" customHeight="1">
      <c r="C178" s="2311"/>
      <c r="D178" s="160" t="s">
        <v>685</v>
      </c>
      <c r="E178" s="1970"/>
      <c r="F178" s="1970"/>
      <c r="G178" s="1970"/>
      <c r="H178" s="2006"/>
      <c r="I178" s="2006"/>
      <c r="J178" s="1970"/>
      <c r="K178" s="1970"/>
      <c r="L178" s="1970"/>
      <c r="M178" s="1970"/>
      <c r="N178" s="2006"/>
      <c r="O178" s="2006"/>
      <c r="P178" s="2006"/>
      <c r="Q178" s="1978">
        <f>IF(OR(Q160&gt;=$P$13+$R13+$S$13*12,Q160&lt;$P$13),0,$O$13*$Q$13/12)</f>
        <v>0</v>
      </c>
      <c r="R178" s="1978">
        <f>IF(OR(R160&gt;=$P$13+$R13+$O$151*12,R160&lt;$P$13),0,($O$13-SUM($Q$180:R180))*$Q$13/12)</f>
        <v>0</v>
      </c>
      <c r="S178" s="1978">
        <f>IF(OR(S160&gt;=$P$13+$R13+$O$151*12,S160&lt;$P$13),0,($O$13-SUM($Q$180:S180))*$Q$13/12)</f>
        <v>0</v>
      </c>
      <c r="T178" s="1978">
        <f>IF(OR(T160&gt;=$P$13+$R13+$O$151*12,T160&lt;$P$13),0,($O$13-SUM($Q$180:T180))*$Q$13/12)</f>
        <v>0</v>
      </c>
      <c r="U178" s="1978">
        <f>IF(OR(U160&gt;=$P$13+$R13+$O$151*12,U160&lt;$P$13),0,($O$13-SUM($Q$180:U180))*$Q$13/12)</f>
        <v>0</v>
      </c>
      <c r="V178" s="1978">
        <f>IF(OR(V160&gt;=$P$13+$R13+$O$151*12,V160&lt;$P$13),0,($O$13-SUM($Q$180:V180))*$Q$13/12)</f>
        <v>0</v>
      </c>
      <c r="W178" s="1978">
        <f>IF(OR(W160&gt;=$P$13+$R13+$O$151*12,W160&lt;$P$13),0,($O$13-SUM($Q$180:W180))*$Q$13/12)</f>
        <v>0</v>
      </c>
      <c r="X178" s="1978">
        <f>IF(OR(X160&gt;=$P$13+$R13+$O$151*12,X160&lt;$P$13),0,($O$13-SUM($Q$180:X180))*$Q$13/12)</f>
        <v>0</v>
      </c>
      <c r="Y178" s="1978">
        <f>IF(OR(Y160&gt;=$P$13+$R13+$O$151*12,Y160&lt;$P$13),0,($O$13-SUM($Q$180:Y180))*$Q$13/12)</f>
        <v>0</v>
      </c>
      <c r="Z178" s="1978">
        <f>IF(OR(Z160&gt;=$P$13+$R13+$O$151*12,Z160&lt;$P$13),0,($O$13-SUM($Q$180:Z180))*$Q$13/12)</f>
        <v>0</v>
      </c>
      <c r="AA178" s="1978">
        <f>IF(OR(AA160&gt;=$P$13+$R13+$O$151*12,AA160&lt;$P$13),0,($O$13-SUM($Q$180:AA180))*$Q$13/12)</f>
        <v>0</v>
      </c>
      <c r="AB178" s="1978">
        <f>IF(OR(AB160&gt;=$P$13+$R13+$O$151*12,AB160&lt;$P$13),0,($O$13-SUM($Q$180:AB180))*$Q$13/12)</f>
        <v>0</v>
      </c>
      <c r="AC178" s="1978">
        <f>IF(OR(AC160&gt;=$P$13+$R13+$O$151*12,AC160&lt;$P$13),0,($O$13-SUM($Q$180:AC180))*$Q$13/12)</f>
        <v>0</v>
      </c>
      <c r="AD178" s="1978">
        <f>IF(OR(AD160&gt;=$P$13+$R13+$O$151*12,AD160&lt;$P$13),0,($O$13-SUM($Q$180:AD180))*$Q$13/12)</f>
        <v>0</v>
      </c>
      <c r="AE178" s="1978">
        <f>IF(OR(AE160&gt;=$P$13+$R13+$O$151*12,AE160&lt;$P$13),0,($O$13-SUM($Q$180:AE180))*$Q$13/12)</f>
        <v>0</v>
      </c>
      <c r="AF178" s="1978">
        <f>IF(OR(AF160&gt;=$P$13+$R13+$O$151*12,AF160&lt;$P$13),0,($O$13-SUM($Q$180:AF180))*$Q$13/12)</f>
        <v>0</v>
      </c>
      <c r="AG178" s="1978">
        <f>IF(OR(AG160&gt;=$P$13+$R13+$O$151*12,AG160&lt;$P$13),0,($O$13-SUM($Q$180:AG180))*$Q$13/12)</f>
        <v>0</v>
      </c>
      <c r="AH178" s="1978">
        <f>IF(OR(AH160&gt;=$P$13+$R13+$O$151*12,AH160&lt;$P$13),0,($O$13-SUM($Q$180:AH180))*$Q$13/12)</f>
        <v>0</v>
      </c>
      <c r="AI178" s="1978">
        <f>IF(OR(AI160&gt;=$P$13+$R13+$O$151*12,AI160&lt;$P$13),0,($O$13-SUM($Q$180:AI180))*$Q$13/12)</f>
        <v>0</v>
      </c>
      <c r="AJ178" s="1978">
        <f>IF(OR(AJ160&gt;=$P$13+$R13+$O$151*12,AJ160&lt;$P$13),0,($O$13-SUM($Q$180:AJ180))*$Q$13/12)</f>
        <v>0</v>
      </c>
      <c r="AK178" s="1978">
        <f>IF(OR(AK160&gt;=$P$13+$R13+$O$151*12,AK160&lt;$P$13),0,($O$13-SUM($Q$180:AK180))*$Q$13/12)</f>
        <v>0</v>
      </c>
      <c r="AL178" s="1978">
        <f>IF(OR(AL160&gt;=$P$13+$R13+$O$151*12,AL160&lt;$P$13),0,($O$13-SUM($Q$180:AL180))*$Q$13/12)</f>
        <v>0</v>
      </c>
      <c r="AM178" s="1978">
        <f>IF(OR(AM160&gt;=$P$13+$R13+$O$151*12,AM160&lt;$P$13),0,($O$13-SUM($Q$180:AM180))*$Q$13/12)</f>
        <v>0</v>
      </c>
      <c r="AN178" s="1978">
        <f>IF(OR(AN160&gt;=$P$13+$R13+$O$151*12,AN160&lt;$P$13),0,($O$13-SUM($Q$180:AN180))*$Q$13/12)</f>
        <v>0</v>
      </c>
      <c r="AO178" s="1978">
        <f>IF(OR(AO160&gt;=$P$13+$R13+$O$151*12,AO160&lt;$P$13),0,($O$13-SUM($Q$180:AO180))*$Q$13/12)</f>
        <v>0</v>
      </c>
      <c r="AP178" s="1978">
        <f>IF(OR(AP160&gt;=$P$13+$R13+$O$151*12,AP160&lt;$P$13),0,($O$13-SUM($Q$180:AP180))*$Q$13/12)</f>
        <v>0</v>
      </c>
      <c r="AQ178" s="1978">
        <f>IF(OR(AQ160&gt;=$P$13+$R13+$O$151*12,AQ160&lt;$P$13),0,($O$13-SUM($Q$180:AQ180))*$Q$13/12)</f>
        <v>0</v>
      </c>
      <c r="AR178" s="1978">
        <f>IF(OR(AR160&gt;=$P$13+$R13+$O$151*12,AR160&lt;$P$13),0,($O$13-SUM($Q$180:AR180))*$Q$13/12)</f>
        <v>0</v>
      </c>
      <c r="AS178" s="1978">
        <f>IF(OR(AS160&gt;=$P$13+$R13+$O$151*12,AS160&lt;$P$13),0,($O$13-SUM($Q$180:AS180))*$Q$13/12)</f>
        <v>0</v>
      </c>
      <c r="AT178" s="1978">
        <f>IF(OR(AT160&gt;=$P$13+$R13+$O$151*12,AT160&lt;$P$13),0,($O$13-SUM($Q$180:AT180))*$Q$13/12)</f>
        <v>0</v>
      </c>
      <c r="AU178" s="1978">
        <f>IF(OR(AU160&gt;=$P$13+$R13+$O$151*12,AU160&lt;$P$13),0,($O$13-SUM($Q$180:AU180))*$Q$13/12)</f>
        <v>0</v>
      </c>
      <c r="AV178" s="1978">
        <f>IF(OR(AV160&gt;=$P$13+$R13+$O$151*12,AV160&lt;$P$13),0,($O$13-SUM($Q$180:AV180))*$Q$13/12)</f>
        <v>0</v>
      </c>
      <c r="AW178" s="1978">
        <f>IF(OR(AW160&gt;=$P$13+$R13+$O$151*12,AW160&lt;$P$13),0,($O$13-SUM($Q$180:AW180))*$Q$13/12)</f>
        <v>0</v>
      </c>
      <c r="AX178" s="1978">
        <f>IF(OR(AX160&gt;=$P$13+$R13+$O$151*12,AX160&lt;$P$13),0,($O$13-SUM($Q$180:AX180))*$Q$13/12)</f>
        <v>0</v>
      </c>
      <c r="AY178" s="1978">
        <f>IF(OR(AY160&gt;=$P$13+$R13+$O$151*12,AY160&lt;$P$13),0,($O$13-SUM($Q$180:AY180))*$Q$13/12)</f>
        <v>0</v>
      </c>
      <c r="AZ178" s="1978">
        <f>IF(OR(AZ160&gt;=$P$13+$R13+$O$151*12,AZ160&lt;$P$13),0,($O$13-SUM($Q$180:AZ180))*$Q$13/12)</f>
        <v>0</v>
      </c>
      <c r="BA178" s="1978">
        <f>IF(OR(BA160&gt;=$P$13+$R13+$O$151*12,BA160&lt;$P$13),0,($O$13-SUM($Q$180:BA180))*$Q$13/12)</f>
        <v>0</v>
      </c>
      <c r="BB178" s="1978">
        <f>IF(OR(BB160&gt;=$P$13+$R13+$O$151*12,BB160&lt;$P$13),0,($O$13-SUM($Q$180:BB180))*$Q$13/12)</f>
        <v>0</v>
      </c>
      <c r="BC178" s="1978">
        <f>IF(OR(BC160&gt;=$P$13+$R13+$O$151*12,BC160&lt;$P$13),0,($O$13-SUM($Q$180:BC180))*$Q$13/12)</f>
        <v>0</v>
      </c>
      <c r="BD178" s="1978">
        <f>IF(OR(BD160&gt;=$P$13+$R13+$O$151*12,BD160&lt;$P$13),0,($O$13-SUM($Q$180:BD180))*$Q$13/12)</f>
        <v>0</v>
      </c>
      <c r="BE178" s="1978">
        <f>IF(OR(BE160&gt;=$P$13+$R13+$O$151*12,BE160&lt;$P$13),0,($O$13-SUM($Q$180:BE180))*$Q$13/12)</f>
        <v>0</v>
      </c>
      <c r="BF178" s="1978">
        <f>IF(OR(BF160&gt;=$P$13+$R13+$O$151*12,BF160&lt;$P$13),0,($O$13-SUM($Q$180:BF180))*$Q$13/12)</f>
        <v>0</v>
      </c>
      <c r="BG178" s="1978">
        <f>IF(OR(BG160&gt;=$P$13+$R13+$O$151*12,BG160&lt;$P$13),0,($O$13-SUM($Q$180:BG180))*$Q$13/12)</f>
        <v>0</v>
      </c>
      <c r="BH178" s="1978">
        <f>IF(OR(BH160&gt;=$P$13+$R13+$O$151*12,BH160&lt;$P$13),0,($O$13-SUM($Q$180:BH180))*$Q$13/12)</f>
        <v>0</v>
      </c>
      <c r="BI178" s="1978">
        <f>IF(OR(BI160&gt;=$P$13+$R13+$O$151*12,BI160&lt;$P$13),0,($O$13-SUM($Q$180:BI180))*$Q$13/12)</f>
        <v>0</v>
      </c>
      <c r="BJ178" s="1978">
        <f>IF(OR(BJ160&gt;=$P$13+$R13+$O$151*12,BJ160&lt;$P$13),0,($O$13-SUM($Q$180:BJ180))*$Q$13/12)</f>
        <v>0</v>
      </c>
      <c r="BK178" s="1978">
        <f>IF(OR(BK160&gt;=$P$13+$R13+$O$151*12,BK160&lt;$P$13),0,($O$13-SUM($Q$180:BK180))*$Q$13/12)</f>
        <v>0</v>
      </c>
      <c r="BL178" s="1978">
        <f>IF(OR(BL160&gt;=$P$13+$R13+$O$151*12,BL160&lt;$P$13),0,($O$13-SUM($Q$180:BL180))*$Q$13/12)</f>
        <v>0</v>
      </c>
      <c r="BV178" s="951"/>
      <c r="CA178" s="446"/>
      <c r="CB178" s="446"/>
      <c r="CC178" s="446"/>
      <c r="CD178" s="446"/>
      <c r="CE178" s="446"/>
      <c r="CF178" s="446"/>
      <c r="CG178" s="446"/>
      <c r="CH178" s="446"/>
      <c r="CI178" s="446"/>
      <c r="CJ178" s="446"/>
      <c r="CK178" s="446"/>
      <c r="CL178" s="446"/>
      <c r="CM178" s="446"/>
      <c r="CN178" s="446"/>
      <c r="CO178" s="446"/>
      <c r="CP178" s="446"/>
      <c r="CQ178" s="446"/>
      <c r="CR178" s="446"/>
      <c r="CS178" s="446"/>
      <c r="CT178" s="446"/>
      <c r="CU178" s="446"/>
      <c r="CV178" s="445"/>
      <c r="CW178" s="445"/>
      <c r="CX178" s="445"/>
      <c r="CY178" s="446"/>
      <c r="CZ178" s="446"/>
      <c r="DA178" s="446"/>
      <c r="DB178" s="446"/>
      <c r="DC178" s="446"/>
      <c r="DD178" s="446"/>
      <c r="DE178" s="446"/>
      <c r="DF178" s="446"/>
      <c r="DG178" s="446"/>
      <c r="DH178" s="446"/>
      <c r="DI178" s="446"/>
      <c r="DJ178" s="446"/>
      <c r="DK178" s="446"/>
      <c r="DL178" s="446"/>
      <c r="DM178" s="446"/>
      <c r="DN178" s="446"/>
      <c r="DO178" s="446"/>
    </row>
    <row r="179" spans="1:119" s="160" customFormat="1" ht="14.25" hidden="1" customHeight="1">
      <c r="C179" s="2311"/>
      <c r="D179" s="160" t="s">
        <v>120</v>
      </c>
      <c r="E179" s="1970"/>
      <c r="F179" s="1970"/>
      <c r="G179" s="1970"/>
      <c r="H179" s="2006"/>
      <c r="I179" s="2006"/>
      <c r="J179" s="1970"/>
      <c r="K179" s="1970"/>
      <c r="L179" s="1970"/>
      <c r="M179" s="1970"/>
      <c r="N179" s="2006"/>
      <c r="O179" s="2006"/>
      <c r="P179" s="2006"/>
      <c r="Q179" s="1978">
        <f t="shared" ref="Q179:R179" si="75">IF($P$13+$R$13=Q160,IF($S$13=0,0,$O$13/($S$13*12)),0)</f>
        <v>0</v>
      </c>
      <c r="R179" s="1978">
        <f t="shared" si="75"/>
        <v>0</v>
      </c>
      <c r="S179" s="1978">
        <f t="shared" ref="S179:BL179" si="76">IF($P$13+$R$13=S160,IF($S$13=0,0,$O$13/($S$13*12)),0)</f>
        <v>0</v>
      </c>
      <c r="T179" s="1978">
        <f t="shared" si="76"/>
        <v>0</v>
      </c>
      <c r="U179" s="1978">
        <f t="shared" si="76"/>
        <v>0</v>
      </c>
      <c r="V179" s="1978">
        <f t="shared" si="76"/>
        <v>0</v>
      </c>
      <c r="W179" s="1978">
        <f t="shared" si="76"/>
        <v>0</v>
      </c>
      <c r="X179" s="1978">
        <f t="shared" si="76"/>
        <v>0</v>
      </c>
      <c r="Y179" s="1978">
        <f t="shared" si="76"/>
        <v>0</v>
      </c>
      <c r="Z179" s="1978">
        <f t="shared" si="76"/>
        <v>0</v>
      </c>
      <c r="AA179" s="1978">
        <f t="shared" si="76"/>
        <v>0</v>
      </c>
      <c r="AB179" s="1978">
        <f t="shared" si="76"/>
        <v>0</v>
      </c>
      <c r="AC179" s="1978">
        <f t="shared" si="76"/>
        <v>0</v>
      </c>
      <c r="AD179" s="1978">
        <f t="shared" si="76"/>
        <v>0</v>
      </c>
      <c r="AE179" s="1978">
        <f t="shared" si="76"/>
        <v>0</v>
      </c>
      <c r="AF179" s="1978">
        <f t="shared" si="76"/>
        <v>0</v>
      </c>
      <c r="AG179" s="1978">
        <f t="shared" si="76"/>
        <v>0</v>
      </c>
      <c r="AH179" s="1978">
        <f t="shared" si="76"/>
        <v>0</v>
      </c>
      <c r="AI179" s="1978">
        <f t="shared" si="76"/>
        <v>0</v>
      </c>
      <c r="AJ179" s="1978">
        <f t="shared" si="76"/>
        <v>0</v>
      </c>
      <c r="AK179" s="1978">
        <f t="shared" si="76"/>
        <v>0</v>
      </c>
      <c r="AL179" s="1978">
        <f t="shared" si="76"/>
        <v>0</v>
      </c>
      <c r="AM179" s="1978">
        <f t="shared" si="76"/>
        <v>0</v>
      </c>
      <c r="AN179" s="1978">
        <f t="shared" si="76"/>
        <v>0</v>
      </c>
      <c r="AO179" s="1978">
        <f t="shared" si="76"/>
        <v>0</v>
      </c>
      <c r="AP179" s="1978">
        <f t="shared" si="76"/>
        <v>0</v>
      </c>
      <c r="AQ179" s="1978">
        <f t="shared" si="76"/>
        <v>0</v>
      </c>
      <c r="AR179" s="1978">
        <f t="shared" si="76"/>
        <v>0</v>
      </c>
      <c r="AS179" s="1978">
        <f t="shared" si="76"/>
        <v>0</v>
      </c>
      <c r="AT179" s="1978">
        <f t="shared" si="76"/>
        <v>0</v>
      </c>
      <c r="AU179" s="1978">
        <f t="shared" si="76"/>
        <v>0</v>
      </c>
      <c r="AV179" s="1978">
        <f t="shared" si="76"/>
        <v>0</v>
      </c>
      <c r="AW179" s="1978">
        <f t="shared" si="76"/>
        <v>0</v>
      </c>
      <c r="AX179" s="1978">
        <f t="shared" si="76"/>
        <v>0</v>
      </c>
      <c r="AY179" s="1978">
        <f t="shared" si="76"/>
        <v>0</v>
      </c>
      <c r="AZ179" s="1978">
        <f t="shared" si="76"/>
        <v>0</v>
      </c>
      <c r="BA179" s="1978">
        <f t="shared" si="76"/>
        <v>0</v>
      </c>
      <c r="BB179" s="1978">
        <f t="shared" si="76"/>
        <v>0</v>
      </c>
      <c r="BC179" s="1978">
        <f t="shared" si="76"/>
        <v>0</v>
      </c>
      <c r="BD179" s="1978">
        <f t="shared" si="76"/>
        <v>0</v>
      </c>
      <c r="BE179" s="1978">
        <f t="shared" si="76"/>
        <v>0</v>
      </c>
      <c r="BF179" s="1978">
        <f t="shared" si="76"/>
        <v>0</v>
      </c>
      <c r="BG179" s="1978">
        <f t="shared" si="76"/>
        <v>0</v>
      </c>
      <c r="BH179" s="1978">
        <f t="shared" si="76"/>
        <v>0</v>
      </c>
      <c r="BI179" s="1978">
        <f t="shared" si="76"/>
        <v>0</v>
      </c>
      <c r="BJ179" s="1978">
        <f t="shared" si="76"/>
        <v>0</v>
      </c>
      <c r="BK179" s="1978">
        <f t="shared" si="76"/>
        <v>0</v>
      </c>
      <c r="BL179" s="1978">
        <f t="shared" si="76"/>
        <v>0</v>
      </c>
      <c r="BV179" s="951"/>
      <c r="CA179" s="446"/>
      <c r="CB179" s="446"/>
      <c r="CC179" s="446"/>
      <c r="CD179" s="446"/>
      <c r="CE179" s="446"/>
      <c r="CF179" s="446"/>
      <c r="CG179" s="446"/>
      <c r="CH179" s="446"/>
      <c r="CI179" s="446"/>
      <c r="CJ179" s="446"/>
      <c r="CK179" s="446"/>
      <c r="CL179" s="446"/>
      <c r="CM179" s="446"/>
      <c r="CN179" s="446"/>
      <c r="CO179" s="446"/>
      <c r="CP179" s="446"/>
      <c r="CQ179" s="446"/>
      <c r="CR179" s="446"/>
      <c r="CS179" s="446"/>
      <c r="CT179" s="446"/>
      <c r="CU179" s="446"/>
      <c r="CV179" s="445"/>
      <c r="CW179" s="445"/>
      <c r="CX179" s="445"/>
      <c r="CY179" s="446"/>
      <c r="CZ179" s="446"/>
      <c r="DA179" s="446"/>
      <c r="DB179" s="446"/>
      <c r="DC179" s="446"/>
      <c r="DD179" s="446"/>
      <c r="DE179" s="446"/>
      <c r="DF179" s="446"/>
      <c r="DG179" s="446"/>
      <c r="DH179" s="446"/>
      <c r="DI179" s="446"/>
      <c r="DJ179" s="446"/>
      <c r="DK179" s="446"/>
      <c r="DL179" s="446"/>
      <c r="DM179" s="446"/>
      <c r="DN179" s="446"/>
      <c r="DO179" s="446"/>
    </row>
    <row r="180" spans="1:119" s="160" customFormat="1" ht="14.25" hidden="1" customHeight="1">
      <c r="C180" s="2311"/>
      <c r="D180" s="160" t="s">
        <v>686</v>
      </c>
      <c r="E180" s="1970"/>
      <c r="F180" s="1970"/>
      <c r="G180" s="1970"/>
      <c r="H180" s="2006"/>
      <c r="I180" s="2006"/>
      <c r="J180" s="1970"/>
      <c r="K180" s="1970"/>
      <c r="L180" s="1970"/>
      <c r="M180" s="1970"/>
      <c r="N180" s="2006"/>
      <c r="O180" s="2006"/>
      <c r="P180" s="2006"/>
      <c r="Q180" s="1978">
        <f t="shared" ref="Q180:BL180" si="77">IF(OR(Q160&gt;=$P$13+$R$13+$S$13*12,Q160&lt;$P$13+$R$13),0,IF($S$13=0,0,$O$13/($S$13*12)))</f>
        <v>0</v>
      </c>
      <c r="R180" s="1978">
        <f t="shared" si="77"/>
        <v>0</v>
      </c>
      <c r="S180" s="1978">
        <f t="shared" si="77"/>
        <v>0</v>
      </c>
      <c r="T180" s="1978">
        <f t="shared" si="77"/>
        <v>0</v>
      </c>
      <c r="U180" s="1978">
        <f t="shared" si="77"/>
        <v>0</v>
      </c>
      <c r="V180" s="2003">
        <f t="shared" si="77"/>
        <v>0</v>
      </c>
      <c r="W180" s="2003">
        <f t="shared" si="77"/>
        <v>0</v>
      </c>
      <c r="X180" s="2003">
        <f t="shared" si="77"/>
        <v>0</v>
      </c>
      <c r="Y180" s="2003">
        <f t="shared" si="77"/>
        <v>0</v>
      </c>
      <c r="Z180" s="2003">
        <f t="shared" si="77"/>
        <v>0</v>
      </c>
      <c r="AA180" s="1978">
        <f t="shared" si="77"/>
        <v>0</v>
      </c>
      <c r="AB180" s="1978">
        <f t="shared" si="77"/>
        <v>0</v>
      </c>
      <c r="AC180" s="1978">
        <f t="shared" si="77"/>
        <v>0</v>
      </c>
      <c r="AD180" s="1978">
        <f t="shared" si="77"/>
        <v>0</v>
      </c>
      <c r="AE180" s="1978">
        <f t="shared" si="77"/>
        <v>0</v>
      </c>
      <c r="AF180" s="1978">
        <f t="shared" si="77"/>
        <v>0</v>
      </c>
      <c r="AG180" s="1978">
        <f t="shared" si="77"/>
        <v>0</v>
      </c>
      <c r="AH180" s="1978">
        <f t="shared" si="77"/>
        <v>0</v>
      </c>
      <c r="AI180" s="1978">
        <f t="shared" si="77"/>
        <v>0</v>
      </c>
      <c r="AJ180" s="1978">
        <f t="shared" si="77"/>
        <v>0</v>
      </c>
      <c r="AK180" s="1978">
        <f t="shared" si="77"/>
        <v>0</v>
      </c>
      <c r="AL180" s="1978">
        <f t="shared" si="77"/>
        <v>0</v>
      </c>
      <c r="AM180" s="1978">
        <f t="shared" si="77"/>
        <v>0</v>
      </c>
      <c r="AN180" s="1978">
        <f t="shared" si="77"/>
        <v>0</v>
      </c>
      <c r="AO180" s="1978">
        <f t="shared" si="77"/>
        <v>0</v>
      </c>
      <c r="AP180" s="1978">
        <f t="shared" si="77"/>
        <v>0</v>
      </c>
      <c r="AQ180" s="1978">
        <f t="shared" si="77"/>
        <v>0</v>
      </c>
      <c r="AR180" s="1978">
        <f t="shared" si="77"/>
        <v>0</v>
      </c>
      <c r="AS180" s="1978">
        <f t="shared" si="77"/>
        <v>0</v>
      </c>
      <c r="AT180" s="1978">
        <f t="shared" si="77"/>
        <v>0</v>
      </c>
      <c r="AU180" s="1978">
        <f t="shared" si="77"/>
        <v>0</v>
      </c>
      <c r="AV180" s="1978">
        <f t="shared" si="77"/>
        <v>0</v>
      </c>
      <c r="AW180" s="1978">
        <f t="shared" si="77"/>
        <v>0</v>
      </c>
      <c r="AX180" s="1978">
        <f t="shared" si="77"/>
        <v>0</v>
      </c>
      <c r="AY180" s="1978">
        <f t="shared" si="77"/>
        <v>0</v>
      </c>
      <c r="AZ180" s="1978">
        <f t="shared" si="77"/>
        <v>0</v>
      </c>
      <c r="BA180" s="1978">
        <f t="shared" si="77"/>
        <v>0</v>
      </c>
      <c r="BB180" s="1978">
        <f t="shared" si="77"/>
        <v>0</v>
      </c>
      <c r="BC180" s="1978">
        <f t="shared" si="77"/>
        <v>0</v>
      </c>
      <c r="BD180" s="1978">
        <f t="shared" si="77"/>
        <v>0</v>
      </c>
      <c r="BE180" s="1978">
        <f t="shared" si="77"/>
        <v>0</v>
      </c>
      <c r="BF180" s="1978">
        <f t="shared" si="77"/>
        <v>0</v>
      </c>
      <c r="BG180" s="1978">
        <f t="shared" si="77"/>
        <v>0</v>
      </c>
      <c r="BH180" s="1978">
        <f t="shared" si="77"/>
        <v>0</v>
      </c>
      <c r="BI180" s="1978">
        <f t="shared" si="77"/>
        <v>0</v>
      </c>
      <c r="BJ180" s="1978">
        <f t="shared" si="77"/>
        <v>0</v>
      </c>
      <c r="BK180" s="1978">
        <f t="shared" si="77"/>
        <v>0</v>
      </c>
      <c r="BL180" s="1978">
        <f t="shared" si="77"/>
        <v>0</v>
      </c>
      <c r="BV180" s="951"/>
      <c r="CA180" s="446"/>
      <c r="CB180" s="446"/>
      <c r="CC180" s="446"/>
      <c r="CD180" s="446"/>
      <c r="CE180" s="446"/>
      <c r="CF180" s="446"/>
      <c r="CG180" s="446"/>
      <c r="CH180" s="446"/>
      <c r="CI180" s="446"/>
      <c r="CJ180" s="446"/>
      <c r="CK180" s="446"/>
      <c r="CL180" s="446"/>
      <c r="CM180" s="446"/>
      <c r="CN180" s="446"/>
      <c r="CO180" s="446"/>
      <c r="CP180" s="446"/>
      <c r="CQ180" s="446"/>
      <c r="CR180" s="446"/>
      <c r="CS180" s="446"/>
      <c r="CT180" s="446"/>
      <c r="CU180" s="446"/>
      <c r="CV180" s="445"/>
      <c r="CW180" s="445"/>
      <c r="CX180" s="445"/>
      <c r="CY180" s="446"/>
      <c r="CZ180" s="446"/>
      <c r="DA180" s="446"/>
      <c r="DB180" s="446"/>
      <c r="DC180" s="446"/>
      <c r="DD180" s="446"/>
      <c r="DE180" s="446"/>
      <c r="DF180" s="446"/>
      <c r="DG180" s="446"/>
      <c r="DH180" s="446"/>
      <c r="DI180" s="446"/>
      <c r="DJ180" s="446"/>
      <c r="DK180" s="446"/>
      <c r="DL180" s="446"/>
      <c r="DM180" s="446"/>
      <c r="DN180" s="446"/>
      <c r="DO180" s="446"/>
    </row>
    <row r="181" spans="1:119" s="160" customFormat="1" ht="14.25" hidden="1" customHeight="1">
      <c r="C181" s="2311" t="str">
        <f>C152</f>
        <v>für Nachhaltigkeit</v>
      </c>
      <c r="D181" s="160" t="s">
        <v>683</v>
      </c>
      <c r="E181" s="1970"/>
      <c r="F181" s="1970"/>
      <c r="G181" s="1970"/>
      <c r="H181" s="2006"/>
      <c r="I181" s="2006"/>
      <c r="J181" s="1970"/>
      <c r="K181" s="1970"/>
      <c r="L181" s="1970"/>
      <c r="M181" s="1970"/>
      <c r="N181" s="2006"/>
      <c r="O181" s="2006"/>
      <c r="P181" s="2006"/>
      <c r="Q181" s="1978">
        <f t="shared" ref="Q181:BL181" ca="1" si="78">IF($Q$159=$O$6,IF(Q160=$P$14,$O$14,0),0)</f>
        <v>0</v>
      </c>
      <c r="R181" s="1978">
        <f t="shared" ca="1" si="78"/>
        <v>0</v>
      </c>
      <c r="S181" s="1978">
        <f t="shared" ca="1" si="78"/>
        <v>0</v>
      </c>
      <c r="T181" s="1978">
        <f t="shared" ca="1" si="78"/>
        <v>0</v>
      </c>
      <c r="U181" s="1978">
        <f t="shared" ca="1" si="78"/>
        <v>0</v>
      </c>
      <c r="V181" s="2003">
        <f t="shared" ca="1" si="78"/>
        <v>0</v>
      </c>
      <c r="W181" s="2003">
        <f t="shared" ca="1" si="78"/>
        <v>0</v>
      </c>
      <c r="X181" s="2003">
        <f t="shared" ca="1" si="78"/>
        <v>0</v>
      </c>
      <c r="Y181" s="2003">
        <f t="shared" ca="1" si="78"/>
        <v>0</v>
      </c>
      <c r="Z181" s="2003">
        <f t="shared" ca="1" si="78"/>
        <v>0</v>
      </c>
      <c r="AA181" s="1978">
        <f t="shared" ca="1" si="78"/>
        <v>0</v>
      </c>
      <c r="AB181" s="1978">
        <f t="shared" ca="1" si="78"/>
        <v>0</v>
      </c>
      <c r="AC181" s="1978">
        <f t="shared" ca="1" si="78"/>
        <v>0</v>
      </c>
      <c r="AD181" s="1978">
        <f t="shared" ca="1" si="78"/>
        <v>0</v>
      </c>
      <c r="AE181" s="1978">
        <f t="shared" ca="1" si="78"/>
        <v>0</v>
      </c>
      <c r="AF181" s="1978">
        <f t="shared" ca="1" si="78"/>
        <v>0</v>
      </c>
      <c r="AG181" s="1978">
        <f t="shared" ca="1" si="78"/>
        <v>0</v>
      </c>
      <c r="AH181" s="1978">
        <f t="shared" ca="1" si="78"/>
        <v>0</v>
      </c>
      <c r="AI181" s="1978">
        <f t="shared" ca="1" si="78"/>
        <v>0</v>
      </c>
      <c r="AJ181" s="1978">
        <f t="shared" ca="1" si="78"/>
        <v>0</v>
      </c>
      <c r="AK181" s="1978">
        <f t="shared" ca="1" si="78"/>
        <v>0</v>
      </c>
      <c r="AL181" s="1978">
        <f t="shared" ca="1" si="78"/>
        <v>0</v>
      </c>
      <c r="AM181" s="1978">
        <f t="shared" ca="1" si="78"/>
        <v>0</v>
      </c>
      <c r="AN181" s="1978">
        <f t="shared" ca="1" si="78"/>
        <v>0</v>
      </c>
      <c r="AO181" s="1978">
        <f t="shared" ca="1" si="78"/>
        <v>0</v>
      </c>
      <c r="AP181" s="1978">
        <f t="shared" ca="1" si="78"/>
        <v>0</v>
      </c>
      <c r="AQ181" s="1978">
        <f t="shared" ca="1" si="78"/>
        <v>0</v>
      </c>
      <c r="AR181" s="1978">
        <f t="shared" ca="1" si="78"/>
        <v>0</v>
      </c>
      <c r="AS181" s="1978">
        <f t="shared" ca="1" si="78"/>
        <v>0</v>
      </c>
      <c r="AT181" s="1978">
        <f t="shared" ca="1" si="78"/>
        <v>0</v>
      </c>
      <c r="AU181" s="1978">
        <f t="shared" ca="1" si="78"/>
        <v>0</v>
      </c>
      <c r="AV181" s="1978">
        <f t="shared" ca="1" si="78"/>
        <v>0</v>
      </c>
      <c r="AW181" s="1978">
        <f t="shared" ca="1" si="78"/>
        <v>0</v>
      </c>
      <c r="AX181" s="1978">
        <f t="shared" ca="1" si="78"/>
        <v>0</v>
      </c>
      <c r="AY181" s="1978">
        <f t="shared" ca="1" si="78"/>
        <v>0</v>
      </c>
      <c r="AZ181" s="1978">
        <f t="shared" ca="1" si="78"/>
        <v>0</v>
      </c>
      <c r="BA181" s="1978">
        <f t="shared" ca="1" si="78"/>
        <v>0</v>
      </c>
      <c r="BB181" s="1978">
        <f t="shared" ca="1" si="78"/>
        <v>0</v>
      </c>
      <c r="BC181" s="1978">
        <f t="shared" ca="1" si="78"/>
        <v>0</v>
      </c>
      <c r="BD181" s="1978">
        <f t="shared" ca="1" si="78"/>
        <v>0</v>
      </c>
      <c r="BE181" s="1978">
        <f t="shared" ca="1" si="78"/>
        <v>0</v>
      </c>
      <c r="BF181" s="1978">
        <f t="shared" ca="1" si="78"/>
        <v>0</v>
      </c>
      <c r="BG181" s="1978">
        <f t="shared" ca="1" si="78"/>
        <v>0</v>
      </c>
      <c r="BH181" s="1978">
        <f t="shared" ca="1" si="78"/>
        <v>0</v>
      </c>
      <c r="BI181" s="1978">
        <f t="shared" ca="1" si="78"/>
        <v>0</v>
      </c>
      <c r="BJ181" s="1978">
        <f t="shared" ca="1" si="78"/>
        <v>0</v>
      </c>
      <c r="BK181" s="1978">
        <f t="shared" ca="1" si="78"/>
        <v>0</v>
      </c>
      <c r="BL181" s="1978">
        <f t="shared" ca="1" si="78"/>
        <v>0</v>
      </c>
      <c r="BV181" s="951"/>
      <c r="CA181" s="446"/>
      <c r="CB181" s="446"/>
      <c r="CC181" s="446"/>
      <c r="CD181" s="446"/>
      <c r="CE181" s="446"/>
      <c r="CF181" s="446"/>
      <c r="CG181" s="446"/>
      <c r="CH181" s="446"/>
      <c r="CI181" s="446"/>
      <c r="CJ181" s="446"/>
      <c r="CK181" s="446"/>
      <c r="CL181" s="446"/>
      <c r="CM181" s="446"/>
      <c r="CN181" s="446"/>
      <c r="CO181" s="446"/>
      <c r="CP181" s="446"/>
      <c r="CQ181" s="446"/>
      <c r="CR181" s="446"/>
      <c r="CS181" s="446"/>
      <c r="CT181" s="446"/>
      <c r="CU181" s="446"/>
      <c r="CV181" s="445"/>
      <c r="CW181" s="445"/>
      <c r="CX181" s="445"/>
      <c r="CY181" s="446"/>
      <c r="CZ181" s="446"/>
      <c r="DA181" s="446"/>
      <c r="DB181" s="446"/>
      <c r="DC181" s="446"/>
      <c r="DD181" s="446"/>
      <c r="DE181" s="446"/>
      <c r="DF181" s="446"/>
      <c r="DG181" s="446"/>
      <c r="DH181" s="446"/>
      <c r="DI181" s="446"/>
      <c r="DJ181" s="446"/>
      <c r="DK181" s="446"/>
      <c r="DL181" s="446"/>
      <c r="DM181" s="446"/>
      <c r="DN181" s="446"/>
      <c r="DO181" s="446"/>
    </row>
    <row r="182" spans="1:119" s="160" customFormat="1" ht="14.25" hidden="1" customHeight="1">
      <c r="C182" s="2311"/>
      <c r="D182" s="160" t="s">
        <v>684</v>
      </c>
      <c r="E182" s="1970"/>
      <c r="F182" s="1970"/>
      <c r="G182" s="1970"/>
      <c r="H182" s="2006"/>
      <c r="I182" s="2006"/>
      <c r="J182" s="1970"/>
      <c r="K182" s="1970"/>
      <c r="L182" s="1970"/>
      <c r="M182" s="1970"/>
      <c r="N182" s="2006"/>
      <c r="O182" s="2006"/>
      <c r="P182" s="2006"/>
      <c r="Q182" s="1978">
        <f t="shared" ref="Q182:BL182" si="79">IF($P$14=Q160,($O$14*$Q$14)/12,0)</f>
        <v>0</v>
      </c>
      <c r="R182" s="1978">
        <f t="shared" si="79"/>
        <v>0</v>
      </c>
      <c r="S182" s="1978">
        <f t="shared" si="79"/>
        <v>0</v>
      </c>
      <c r="T182" s="1978">
        <f t="shared" si="79"/>
        <v>0</v>
      </c>
      <c r="U182" s="1978">
        <f t="shared" si="79"/>
        <v>0</v>
      </c>
      <c r="V182" s="2003">
        <f t="shared" si="79"/>
        <v>0</v>
      </c>
      <c r="W182" s="2003">
        <f t="shared" si="79"/>
        <v>0</v>
      </c>
      <c r="X182" s="2003">
        <f t="shared" si="79"/>
        <v>0</v>
      </c>
      <c r="Y182" s="2003">
        <f t="shared" si="79"/>
        <v>0</v>
      </c>
      <c r="Z182" s="2003">
        <f t="shared" si="79"/>
        <v>0</v>
      </c>
      <c r="AA182" s="1978">
        <f t="shared" si="79"/>
        <v>0</v>
      </c>
      <c r="AB182" s="1978">
        <f t="shared" si="79"/>
        <v>0</v>
      </c>
      <c r="AC182" s="1978">
        <f t="shared" si="79"/>
        <v>0</v>
      </c>
      <c r="AD182" s="1978">
        <f t="shared" si="79"/>
        <v>0</v>
      </c>
      <c r="AE182" s="1978">
        <f t="shared" si="79"/>
        <v>0</v>
      </c>
      <c r="AF182" s="1978">
        <f t="shared" si="79"/>
        <v>0</v>
      </c>
      <c r="AG182" s="1978">
        <f t="shared" si="79"/>
        <v>0</v>
      </c>
      <c r="AH182" s="1978">
        <f t="shared" si="79"/>
        <v>0</v>
      </c>
      <c r="AI182" s="1978">
        <f t="shared" si="79"/>
        <v>0</v>
      </c>
      <c r="AJ182" s="1978">
        <f t="shared" si="79"/>
        <v>0</v>
      </c>
      <c r="AK182" s="1978">
        <f t="shared" si="79"/>
        <v>0</v>
      </c>
      <c r="AL182" s="1978">
        <f t="shared" si="79"/>
        <v>0</v>
      </c>
      <c r="AM182" s="1978">
        <f t="shared" si="79"/>
        <v>0</v>
      </c>
      <c r="AN182" s="1978">
        <f t="shared" si="79"/>
        <v>0</v>
      </c>
      <c r="AO182" s="1978">
        <f t="shared" si="79"/>
        <v>0</v>
      </c>
      <c r="AP182" s="1978">
        <f t="shared" si="79"/>
        <v>0</v>
      </c>
      <c r="AQ182" s="1978">
        <f t="shared" si="79"/>
        <v>0</v>
      </c>
      <c r="AR182" s="1978">
        <f t="shared" si="79"/>
        <v>0</v>
      </c>
      <c r="AS182" s="1978">
        <f t="shared" si="79"/>
        <v>0</v>
      </c>
      <c r="AT182" s="1978">
        <f t="shared" si="79"/>
        <v>0</v>
      </c>
      <c r="AU182" s="1978">
        <f t="shared" si="79"/>
        <v>0</v>
      </c>
      <c r="AV182" s="1978">
        <f t="shared" si="79"/>
        <v>0</v>
      </c>
      <c r="AW182" s="1978">
        <f t="shared" si="79"/>
        <v>0</v>
      </c>
      <c r="AX182" s="1978">
        <f t="shared" si="79"/>
        <v>0</v>
      </c>
      <c r="AY182" s="1978">
        <f t="shared" si="79"/>
        <v>0</v>
      </c>
      <c r="AZ182" s="1978">
        <f t="shared" si="79"/>
        <v>0</v>
      </c>
      <c r="BA182" s="1978">
        <f t="shared" si="79"/>
        <v>0</v>
      </c>
      <c r="BB182" s="1978">
        <f t="shared" si="79"/>
        <v>0</v>
      </c>
      <c r="BC182" s="1978">
        <f t="shared" si="79"/>
        <v>0</v>
      </c>
      <c r="BD182" s="1978">
        <f t="shared" si="79"/>
        <v>0</v>
      </c>
      <c r="BE182" s="1978">
        <f t="shared" si="79"/>
        <v>0</v>
      </c>
      <c r="BF182" s="1978">
        <f t="shared" si="79"/>
        <v>0</v>
      </c>
      <c r="BG182" s="1978">
        <f t="shared" si="79"/>
        <v>0</v>
      </c>
      <c r="BH182" s="1978">
        <f t="shared" si="79"/>
        <v>0</v>
      </c>
      <c r="BI182" s="1978">
        <f t="shared" si="79"/>
        <v>0</v>
      </c>
      <c r="BJ182" s="1978">
        <f t="shared" si="79"/>
        <v>0</v>
      </c>
      <c r="BK182" s="1978">
        <f t="shared" si="79"/>
        <v>0</v>
      </c>
      <c r="BL182" s="1978">
        <f t="shared" si="79"/>
        <v>0</v>
      </c>
      <c r="BV182" s="951"/>
      <c r="CA182" s="446"/>
      <c r="CB182" s="446"/>
      <c r="CC182" s="446"/>
      <c r="CD182" s="446"/>
      <c r="CE182" s="446"/>
      <c r="CF182" s="446"/>
      <c r="CG182" s="446"/>
      <c r="CH182" s="446"/>
      <c r="CI182" s="446"/>
      <c r="CJ182" s="446"/>
      <c r="CK182" s="446"/>
      <c r="CL182" s="446"/>
      <c r="CM182" s="446"/>
      <c r="CN182" s="446"/>
      <c r="CO182" s="446"/>
      <c r="CP182" s="446"/>
      <c r="CQ182" s="446"/>
      <c r="CR182" s="446"/>
      <c r="CS182" s="446"/>
      <c r="CT182" s="446"/>
      <c r="CU182" s="446"/>
      <c r="CV182" s="445"/>
      <c r="CW182" s="445"/>
      <c r="CX182" s="445"/>
      <c r="CY182" s="446"/>
      <c r="CZ182" s="446"/>
      <c r="DA182" s="446"/>
      <c r="DB182" s="446"/>
      <c r="DC182" s="446"/>
      <c r="DD182" s="446"/>
      <c r="DE182" s="446"/>
      <c r="DF182" s="446"/>
      <c r="DG182" s="446"/>
      <c r="DH182" s="446"/>
      <c r="DI182" s="446"/>
      <c r="DJ182" s="446"/>
      <c r="DK182" s="446"/>
      <c r="DL182" s="446"/>
      <c r="DM182" s="446"/>
      <c r="DN182" s="446"/>
      <c r="DO182" s="446"/>
    </row>
    <row r="183" spans="1:119" s="160" customFormat="1" ht="14.25" hidden="1" customHeight="1">
      <c r="C183" s="2311"/>
      <c r="D183" s="160" t="s">
        <v>685</v>
      </c>
      <c r="E183" s="1970"/>
      <c r="F183" s="1970"/>
      <c r="G183" s="1970"/>
      <c r="H183" s="2006"/>
      <c r="I183" s="2006"/>
      <c r="J183" s="1970"/>
      <c r="K183" s="1970"/>
      <c r="L183" s="1970"/>
      <c r="M183" s="1970"/>
      <c r="N183" s="2006"/>
      <c r="O183" s="2006"/>
      <c r="P183" s="2006"/>
      <c r="Q183" s="1978">
        <f>IF(OR(Q160&gt;=$P$14+$R14+$S$14*12,Q160&lt;$P$14),0,$O$14*$Q$14/12)</f>
        <v>0</v>
      </c>
      <c r="R183" s="1978">
        <f>IF(OR(R160&gt;=$P$14+$R14+$S$14*12,R160&lt;$P$14),0,($O$14-SUM($Q$185:R185))*$Q$14/12)</f>
        <v>0</v>
      </c>
      <c r="S183" s="1978">
        <f>IF(OR(S160&gt;=$P$14+$R14+$S$14*12,S160&lt;$P$14),0,($O$14-SUM($Q$185:S185))*$Q$14/12)</f>
        <v>0</v>
      </c>
      <c r="T183" s="1978">
        <f>IF(OR(T160&gt;=$P$14+$R14+$S$14*12,T160&lt;$P$14),0,($O$14-SUM($Q$185:T185))*$Q$14/12)</f>
        <v>0</v>
      </c>
      <c r="U183" s="1978">
        <f>IF(OR(U160&gt;=$P$14+$R14+$S$14*12,U160&lt;$P$14),0,($O$14-SUM($Q$185:U185))*$Q$14/12)</f>
        <v>0</v>
      </c>
      <c r="V183" s="1978">
        <f>IF(OR(V160&gt;=$P$14+$R14+$S$14*12,V160&lt;$P$14),0,($O$14-SUM($Q$185:V185))*$Q$14/12)</f>
        <v>0</v>
      </c>
      <c r="W183" s="1978">
        <f>IF(OR(W160&gt;=$P$14+$R14+$S$14*12,W160&lt;$P$14),0,($O$14-SUM($Q$185:W185))*$Q$14/12)</f>
        <v>0</v>
      </c>
      <c r="X183" s="1978">
        <f>IF(OR(X160&gt;=$P$14+$R14+$S$14*12,X160&lt;$P$14),0,($O$14-SUM($Q$185:X185))*$Q$14/12)</f>
        <v>0</v>
      </c>
      <c r="Y183" s="1978">
        <f>IF(OR(Y160&gt;=$P$14+$R14+$S$14*12,Y160&lt;$P$14),0,($O$14-SUM($Q$185:Y185))*$Q$14/12)</f>
        <v>0</v>
      </c>
      <c r="Z183" s="1978">
        <f>IF(OR(Z160&gt;=$P$14+$R14+$S$14*12,Z160&lt;$P$14),0,($O$14-SUM($Q$185:Z185))*$Q$14/12)</f>
        <v>0</v>
      </c>
      <c r="AA183" s="1978">
        <f>IF(OR(AA160&gt;=$P$14+$R14+$S$14*12,AA160&lt;$P$14),0,($O$14-SUM($Q$185:AA185))*$Q$14/12)</f>
        <v>0</v>
      </c>
      <c r="AB183" s="1978">
        <f>IF(OR(AB160&gt;=$P$14+$R14+$S$14*12,AB160&lt;$P$14),0,($O$14-SUM($Q$185:AB185))*$Q$14/12)</f>
        <v>0</v>
      </c>
      <c r="AC183" s="1978">
        <f>IF(OR(AC160&gt;=$P$14+$R14+$S$14*12,AC160&lt;$P$14),0,($O$14-SUM($Q$185:AC185))*$Q$14/12)</f>
        <v>0</v>
      </c>
      <c r="AD183" s="1978">
        <f>IF(OR(AD160&gt;=$P$14+$R14+$S$14*12,AD160&lt;$P$14),0,($O$14-SUM($Q$185:AD185))*$Q$14/12)</f>
        <v>0</v>
      </c>
      <c r="AE183" s="1978">
        <f>IF(OR(AE160&gt;=$P$14+$R14+$S$14*12,AE160&lt;$P$14),0,($O$14-SUM($Q$185:AE185))*$Q$14/12)</f>
        <v>0</v>
      </c>
      <c r="AF183" s="1978">
        <f>IF(OR(AF160&gt;=$P$14+$R14+$S$14*12,AF160&lt;$P$14),0,($O$14-SUM($Q$185:AF185))*$Q$14/12)</f>
        <v>0</v>
      </c>
      <c r="AG183" s="1978">
        <f>IF(OR(AG160&gt;=$P$14+$R14+$S$14*12,AG160&lt;$P$14),0,($O$14-SUM($Q$185:AG185))*$Q$14/12)</f>
        <v>0</v>
      </c>
      <c r="AH183" s="1978">
        <f>IF(OR(AH160&gt;=$P$14+$R14+$S$14*12,AH160&lt;$P$14),0,($O$14-SUM($Q$185:AH185))*$Q$14/12)</f>
        <v>0</v>
      </c>
      <c r="AI183" s="1978">
        <f>IF(OR(AI160&gt;=$P$14+$R14+$S$14*12,AI160&lt;$P$14),0,($O$14-SUM($Q$185:AI185))*$Q$14/12)</f>
        <v>0</v>
      </c>
      <c r="AJ183" s="1978">
        <f>IF(OR(AJ160&gt;=$P$14+$R14+$S$14*12,AJ160&lt;$P$14),0,($O$14-SUM($Q$185:AJ185))*$Q$14/12)</f>
        <v>0</v>
      </c>
      <c r="AK183" s="1978">
        <f>IF(OR(AK160&gt;=$P$14+$R14+$S$14*12,AK160&lt;$P$14),0,($O$14-SUM($Q$185:AK185))*$Q$14/12)</f>
        <v>0</v>
      </c>
      <c r="AL183" s="1978">
        <f>IF(OR(AL160&gt;=$P$14+$R14+$S$14*12,AL160&lt;$P$14),0,($O$14-SUM($Q$185:AL185))*$Q$14/12)</f>
        <v>0</v>
      </c>
      <c r="AM183" s="1978">
        <f>IF(OR(AM160&gt;=$P$14+$R14+$S$14*12,AM160&lt;$P$14),0,($O$14-SUM($Q$185:AM185))*$Q$14/12)</f>
        <v>0</v>
      </c>
      <c r="AN183" s="1978">
        <f>IF(OR(AN160&gt;=$P$14+$R14+$S$14*12,AN160&lt;$P$14),0,($O$14-SUM($Q$185:AN185))*$Q$14/12)</f>
        <v>0</v>
      </c>
      <c r="AO183" s="1978">
        <f>IF(OR(AO160&gt;=$P$14+$R14+$S$14*12,AO160&lt;$P$14),0,($O$14-SUM($Q$185:AO185))*$Q$14/12)</f>
        <v>0</v>
      </c>
      <c r="AP183" s="1978">
        <f>IF(OR(AP160&gt;=$P$14+$R14+$S$14*12,AP160&lt;$P$14),0,($O$14-SUM($Q$185:AP185))*$Q$14/12)</f>
        <v>0</v>
      </c>
      <c r="AQ183" s="1978">
        <f>IF(OR(AQ160&gt;=$P$14+$R14+$S$14*12,AQ160&lt;$P$14),0,($O$14-SUM($Q$185:AQ185))*$Q$14/12)</f>
        <v>0</v>
      </c>
      <c r="AR183" s="1978">
        <f>IF(OR(AR160&gt;=$P$14+$R14+$S$14*12,AR160&lt;$P$14),0,($O$14-SUM($Q$185:AR185))*$Q$14/12)</f>
        <v>0</v>
      </c>
      <c r="AS183" s="1978">
        <f>IF(OR(AS160&gt;=$P$14+$R14+$S$14*12,AS160&lt;$P$14),0,($O$14-SUM($Q$185:AS185))*$Q$14/12)</f>
        <v>0</v>
      </c>
      <c r="AT183" s="1978">
        <f>IF(OR(AT160&gt;=$P$14+$R14+$S$14*12,AT160&lt;$P$14),0,($O$14-SUM($Q$185:AT185))*$Q$14/12)</f>
        <v>0</v>
      </c>
      <c r="AU183" s="1978">
        <f>IF(OR(AU160&gt;=$P$14+$R14+$S$14*12,AU160&lt;$P$14),0,($O$14-SUM($Q$185:AU185))*$Q$14/12)</f>
        <v>0</v>
      </c>
      <c r="AV183" s="1978">
        <f>IF(OR(AV160&gt;=$P$14+$R14+$S$14*12,AV160&lt;$P$14),0,($O$14-SUM($Q$185:AV185))*$Q$14/12)</f>
        <v>0</v>
      </c>
      <c r="AW183" s="1978">
        <f>IF(OR(AW160&gt;=$P$14+$R14+$S$14*12,AW160&lt;$P$14),0,($O$14-SUM($Q$185:AW185))*$Q$14/12)</f>
        <v>0</v>
      </c>
      <c r="AX183" s="1978">
        <f>IF(OR(AX160&gt;=$P$14+$R14+$S$14*12,AX160&lt;$P$14),0,($O$14-SUM($Q$185:AX185))*$Q$14/12)</f>
        <v>0</v>
      </c>
      <c r="AY183" s="1978">
        <f>IF(OR(AY160&gt;=$P$14+$R14+$S$14*12,AY160&lt;$P$14),0,($O$14-SUM($Q$185:AY185))*$Q$14/12)</f>
        <v>0</v>
      </c>
      <c r="AZ183" s="1978">
        <f>IF(OR(AZ160&gt;=$P$14+$R14+$S$14*12,AZ160&lt;$P$14),0,($O$14-SUM($Q$185:AZ185))*$Q$14/12)</f>
        <v>0</v>
      </c>
      <c r="BA183" s="1978">
        <f>IF(OR(BA160&gt;=$P$14+$R14+$S$14*12,BA160&lt;$P$14),0,($O$14-SUM($Q$185:BA185))*$Q$14/12)</f>
        <v>0</v>
      </c>
      <c r="BB183" s="1978">
        <f>IF(OR(BB160&gt;=$P$14+$R14+$S$14*12,BB160&lt;$P$14),0,($O$14-SUM($Q$185:BB185))*$Q$14/12)</f>
        <v>0</v>
      </c>
      <c r="BC183" s="1978">
        <f>IF(OR(BC160&gt;=$P$14+$R14+$S$14*12,BC160&lt;$P$14),0,($O$14-SUM($Q$185:BC185))*$Q$14/12)</f>
        <v>0</v>
      </c>
      <c r="BD183" s="1978">
        <f>IF(OR(BD160&gt;=$P$14+$R14+$S$14*12,BD160&lt;$P$14),0,($O$14-SUM($Q$185:BD185))*$Q$14/12)</f>
        <v>0</v>
      </c>
      <c r="BE183" s="1978">
        <f>IF(OR(BE160&gt;=$P$14+$R14+$S$14*12,BE160&lt;$P$14),0,($O$14-SUM($Q$185:BE185))*$Q$14/12)</f>
        <v>0</v>
      </c>
      <c r="BF183" s="1978">
        <f>IF(OR(BF160&gt;=$P$14+$R14+$S$14*12,BF160&lt;$P$14),0,($O$14-SUM($Q$185:BF185))*$Q$14/12)</f>
        <v>0</v>
      </c>
      <c r="BG183" s="1978">
        <f>IF(OR(BG160&gt;=$P$14+$R14+$S$14*12,BG160&lt;$P$14),0,($O$14-SUM($Q$185:BG185))*$Q$14/12)</f>
        <v>0</v>
      </c>
      <c r="BH183" s="1978">
        <f>IF(OR(BH160&gt;=$P$14+$R14+$S$14*12,BH160&lt;$P$14),0,($O$14-SUM($Q$185:BH185))*$Q$14/12)</f>
        <v>0</v>
      </c>
      <c r="BI183" s="1978">
        <f>IF(OR(BI160&gt;=$P$14+$R14+$S$14*12,BI160&lt;$P$14),0,($O$14-SUM($Q$185:BI185))*$Q$14/12)</f>
        <v>0</v>
      </c>
      <c r="BJ183" s="1978">
        <f>IF(OR(BJ160&gt;=$P$14+$R14+$S$14*12,BJ160&lt;$P$14),0,($O$14-SUM($Q$185:BJ185))*$Q$14/12)</f>
        <v>0</v>
      </c>
      <c r="BK183" s="1978">
        <f>IF(OR(BK160&gt;=$P$14+$R14+$S$14*12,BK160&lt;$P$14),0,($O$14-SUM($Q$185:BK185))*$Q$14/12)</f>
        <v>0</v>
      </c>
      <c r="BL183" s="1978">
        <f>IF(OR(BL160&gt;=$P$14+$R14+$S$14*12,BL160&lt;$P$14),0,($O$14-SUM($Q$185:BL185))*$Q$14/12)</f>
        <v>0</v>
      </c>
      <c r="BV183" s="951"/>
      <c r="CA183" s="446"/>
      <c r="CB183" s="446"/>
      <c r="CC183" s="446"/>
      <c r="CD183" s="446"/>
      <c r="CE183" s="446"/>
      <c r="CF183" s="446"/>
      <c r="CG183" s="446"/>
      <c r="CH183" s="446"/>
      <c r="CI183" s="446"/>
      <c r="CJ183" s="446"/>
      <c r="CK183" s="446"/>
      <c r="CL183" s="446"/>
      <c r="CM183" s="446"/>
      <c r="CN183" s="446"/>
      <c r="CO183" s="446"/>
      <c r="CP183" s="446"/>
      <c r="CQ183" s="446"/>
      <c r="CR183" s="446"/>
      <c r="CS183" s="446"/>
      <c r="CT183" s="446"/>
      <c r="CU183" s="446"/>
      <c r="CV183" s="445"/>
      <c r="CW183" s="445"/>
      <c r="CX183" s="445"/>
      <c r="CY183" s="446"/>
      <c r="CZ183" s="446"/>
      <c r="DA183" s="446"/>
      <c r="DB183" s="446"/>
      <c r="DC183" s="446"/>
      <c r="DD183" s="446"/>
      <c r="DE183" s="446"/>
      <c r="DF183" s="446"/>
      <c r="DG183" s="446"/>
      <c r="DH183" s="446"/>
      <c r="DI183" s="446"/>
      <c r="DJ183" s="446"/>
      <c r="DK183" s="446"/>
      <c r="DL183" s="446"/>
      <c r="DM183" s="446"/>
      <c r="DN183" s="446"/>
      <c r="DO183" s="446"/>
    </row>
    <row r="184" spans="1:119" s="160" customFormat="1" ht="14.25" hidden="1" customHeight="1">
      <c r="C184" s="2311"/>
      <c r="D184" s="160" t="s">
        <v>120</v>
      </c>
      <c r="E184" s="1970"/>
      <c r="F184" s="1970"/>
      <c r="G184" s="1970"/>
      <c r="H184" s="2006"/>
      <c r="I184" s="2006"/>
      <c r="J184" s="1970"/>
      <c r="K184" s="1970"/>
      <c r="L184" s="1970"/>
      <c r="M184" s="1970"/>
      <c r="N184" s="2006"/>
      <c r="O184" s="2006"/>
      <c r="P184" s="2006"/>
      <c r="Q184" s="1978">
        <f t="shared" ref="Q184:BL184" si="80">IF($P$14+$R$14=Q160,IF($S$14=0,0,$O$14/($S$14*12)),0)</f>
        <v>0</v>
      </c>
      <c r="R184" s="1978">
        <f t="shared" si="80"/>
        <v>0</v>
      </c>
      <c r="S184" s="1978">
        <f t="shared" si="80"/>
        <v>0</v>
      </c>
      <c r="T184" s="1978">
        <f t="shared" si="80"/>
        <v>0</v>
      </c>
      <c r="U184" s="1978">
        <f t="shared" si="80"/>
        <v>0</v>
      </c>
      <c r="V184" s="2003">
        <f t="shared" si="80"/>
        <v>0</v>
      </c>
      <c r="W184" s="2003">
        <f t="shared" si="80"/>
        <v>0</v>
      </c>
      <c r="X184" s="2003">
        <f t="shared" si="80"/>
        <v>0</v>
      </c>
      <c r="Y184" s="2003">
        <f t="shared" si="80"/>
        <v>0</v>
      </c>
      <c r="Z184" s="2003">
        <f t="shared" si="80"/>
        <v>0</v>
      </c>
      <c r="AA184" s="1978">
        <f t="shared" si="80"/>
        <v>0</v>
      </c>
      <c r="AB184" s="1978">
        <f t="shared" si="80"/>
        <v>0</v>
      </c>
      <c r="AC184" s="1978">
        <f t="shared" si="80"/>
        <v>0</v>
      </c>
      <c r="AD184" s="1978">
        <f t="shared" si="80"/>
        <v>0</v>
      </c>
      <c r="AE184" s="1978">
        <f t="shared" si="80"/>
        <v>0</v>
      </c>
      <c r="AF184" s="1978">
        <f t="shared" si="80"/>
        <v>0</v>
      </c>
      <c r="AG184" s="1978">
        <f t="shared" si="80"/>
        <v>0</v>
      </c>
      <c r="AH184" s="1978">
        <f t="shared" si="80"/>
        <v>0</v>
      </c>
      <c r="AI184" s="1978">
        <f t="shared" si="80"/>
        <v>0</v>
      </c>
      <c r="AJ184" s="1978">
        <f t="shared" si="80"/>
        <v>0</v>
      </c>
      <c r="AK184" s="1978">
        <f t="shared" si="80"/>
        <v>0</v>
      </c>
      <c r="AL184" s="1978">
        <f t="shared" si="80"/>
        <v>0</v>
      </c>
      <c r="AM184" s="1978">
        <f t="shared" si="80"/>
        <v>0</v>
      </c>
      <c r="AN184" s="1978">
        <f t="shared" si="80"/>
        <v>0</v>
      </c>
      <c r="AO184" s="1978">
        <f t="shared" si="80"/>
        <v>0</v>
      </c>
      <c r="AP184" s="1978">
        <f t="shared" si="80"/>
        <v>0</v>
      </c>
      <c r="AQ184" s="1978">
        <f t="shared" si="80"/>
        <v>0</v>
      </c>
      <c r="AR184" s="1978">
        <f t="shared" si="80"/>
        <v>0</v>
      </c>
      <c r="AS184" s="1978">
        <f t="shared" si="80"/>
        <v>0</v>
      </c>
      <c r="AT184" s="1978">
        <f t="shared" si="80"/>
        <v>0</v>
      </c>
      <c r="AU184" s="1978">
        <f t="shared" si="80"/>
        <v>0</v>
      </c>
      <c r="AV184" s="1978">
        <f t="shared" si="80"/>
        <v>0</v>
      </c>
      <c r="AW184" s="1978">
        <f t="shared" si="80"/>
        <v>0</v>
      </c>
      <c r="AX184" s="1978">
        <f t="shared" si="80"/>
        <v>0</v>
      </c>
      <c r="AY184" s="1978">
        <f t="shared" si="80"/>
        <v>0</v>
      </c>
      <c r="AZ184" s="1978">
        <f t="shared" si="80"/>
        <v>0</v>
      </c>
      <c r="BA184" s="1978">
        <f t="shared" si="80"/>
        <v>0</v>
      </c>
      <c r="BB184" s="1978">
        <f t="shared" si="80"/>
        <v>0</v>
      </c>
      <c r="BC184" s="1978">
        <f t="shared" si="80"/>
        <v>0</v>
      </c>
      <c r="BD184" s="1978">
        <f t="shared" si="80"/>
        <v>0</v>
      </c>
      <c r="BE184" s="1978">
        <f t="shared" si="80"/>
        <v>0</v>
      </c>
      <c r="BF184" s="1978">
        <f t="shared" si="80"/>
        <v>0</v>
      </c>
      <c r="BG184" s="1978">
        <f t="shared" si="80"/>
        <v>0</v>
      </c>
      <c r="BH184" s="1978">
        <f t="shared" si="80"/>
        <v>0</v>
      </c>
      <c r="BI184" s="1978">
        <f t="shared" si="80"/>
        <v>0</v>
      </c>
      <c r="BJ184" s="1978">
        <f t="shared" si="80"/>
        <v>0</v>
      </c>
      <c r="BK184" s="1978">
        <f t="shared" si="80"/>
        <v>0</v>
      </c>
      <c r="BL184" s="1978">
        <f t="shared" si="80"/>
        <v>0</v>
      </c>
      <c r="BV184" s="951"/>
      <c r="CA184" s="446"/>
      <c r="CB184" s="446"/>
      <c r="CC184" s="446"/>
      <c r="CD184" s="446"/>
      <c r="CE184" s="446"/>
      <c r="CF184" s="446"/>
      <c r="CG184" s="446"/>
      <c r="CH184" s="446"/>
      <c r="CI184" s="446"/>
      <c r="CJ184" s="446"/>
      <c r="CK184" s="446"/>
      <c r="CL184" s="446"/>
      <c r="CM184" s="446"/>
      <c r="CN184" s="446"/>
      <c r="CO184" s="446"/>
      <c r="CP184" s="446"/>
      <c r="CQ184" s="446"/>
      <c r="CR184" s="446"/>
      <c r="CS184" s="446"/>
      <c r="CT184" s="446"/>
      <c r="CU184" s="446"/>
      <c r="CV184" s="445"/>
      <c r="CW184" s="445"/>
      <c r="CX184" s="445"/>
      <c r="CY184" s="446"/>
      <c r="CZ184" s="446"/>
      <c r="DA184" s="446"/>
      <c r="DB184" s="446"/>
      <c r="DC184" s="446"/>
      <c r="DD184" s="446"/>
      <c r="DE184" s="446"/>
      <c r="DF184" s="446"/>
      <c r="DG184" s="446"/>
      <c r="DH184" s="446"/>
      <c r="DI184" s="446"/>
      <c r="DJ184" s="446"/>
      <c r="DK184" s="446"/>
      <c r="DL184" s="446"/>
      <c r="DM184" s="446"/>
      <c r="DN184" s="446"/>
      <c r="DO184" s="446"/>
    </row>
    <row r="185" spans="1:119" s="160" customFormat="1" ht="14.25" hidden="1" customHeight="1">
      <c r="C185" s="2311"/>
      <c r="D185" s="160" t="s">
        <v>686</v>
      </c>
      <c r="E185" s="1970"/>
      <c r="F185" s="1970"/>
      <c r="G185" s="1970"/>
      <c r="H185" s="2006"/>
      <c r="I185" s="2006"/>
      <c r="J185" s="1970"/>
      <c r="K185" s="1970"/>
      <c r="L185" s="1970"/>
      <c r="M185" s="1970"/>
      <c r="N185" s="2006"/>
      <c r="O185" s="2006"/>
      <c r="P185" s="2006"/>
      <c r="Q185" s="1978">
        <f t="shared" ref="Q185:BL185" si="81">IF(OR(Q160&gt;=$P$14+$R$14+$S$14*12,Q160&lt;$P$14+$R$14),0,IF($S$14=0,0,$O$14/($S$14*12)))</f>
        <v>0</v>
      </c>
      <c r="R185" s="1978">
        <f t="shared" si="81"/>
        <v>0</v>
      </c>
      <c r="S185" s="1978">
        <f t="shared" si="81"/>
        <v>0</v>
      </c>
      <c r="T185" s="1978">
        <f t="shared" si="81"/>
        <v>0</v>
      </c>
      <c r="U185" s="1978">
        <f t="shared" si="81"/>
        <v>0</v>
      </c>
      <c r="V185" s="2003">
        <f t="shared" si="81"/>
        <v>0</v>
      </c>
      <c r="W185" s="2003">
        <f t="shared" si="81"/>
        <v>0</v>
      </c>
      <c r="X185" s="2003">
        <f t="shared" si="81"/>
        <v>0</v>
      </c>
      <c r="Y185" s="2003">
        <f t="shared" si="81"/>
        <v>0</v>
      </c>
      <c r="Z185" s="2003">
        <f t="shared" si="81"/>
        <v>0</v>
      </c>
      <c r="AA185" s="1978">
        <f t="shared" si="81"/>
        <v>0</v>
      </c>
      <c r="AB185" s="1978">
        <f t="shared" si="81"/>
        <v>0</v>
      </c>
      <c r="AC185" s="1978">
        <f t="shared" si="81"/>
        <v>0</v>
      </c>
      <c r="AD185" s="1978">
        <f t="shared" si="81"/>
        <v>0</v>
      </c>
      <c r="AE185" s="1978">
        <f t="shared" si="81"/>
        <v>0</v>
      </c>
      <c r="AF185" s="1978">
        <f t="shared" si="81"/>
        <v>0</v>
      </c>
      <c r="AG185" s="1978">
        <f t="shared" si="81"/>
        <v>0</v>
      </c>
      <c r="AH185" s="1978">
        <f t="shared" si="81"/>
        <v>0</v>
      </c>
      <c r="AI185" s="1978">
        <f t="shared" si="81"/>
        <v>0</v>
      </c>
      <c r="AJ185" s="1978">
        <f t="shared" si="81"/>
        <v>0</v>
      </c>
      <c r="AK185" s="1978">
        <f t="shared" si="81"/>
        <v>0</v>
      </c>
      <c r="AL185" s="1978">
        <f t="shared" si="81"/>
        <v>0</v>
      </c>
      <c r="AM185" s="1978">
        <f t="shared" si="81"/>
        <v>0</v>
      </c>
      <c r="AN185" s="1978">
        <f t="shared" si="81"/>
        <v>0</v>
      </c>
      <c r="AO185" s="1978">
        <f t="shared" si="81"/>
        <v>0</v>
      </c>
      <c r="AP185" s="1978">
        <f t="shared" si="81"/>
        <v>0</v>
      </c>
      <c r="AQ185" s="1978">
        <f t="shared" si="81"/>
        <v>0</v>
      </c>
      <c r="AR185" s="1978">
        <f t="shared" si="81"/>
        <v>0</v>
      </c>
      <c r="AS185" s="1978">
        <f t="shared" si="81"/>
        <v>0</v>
      </c>
      <c r="AT185" s="1978">
        <f t="shared" si="81"/>
        <v>0</v>
      </c>
      <c r="AU185" s="1978">
        <f t="shared" si="81"/>
        <v>0</v>
      </c>
      <c r="AV185" s="1978">
        <f t="shared" si="81"/>
        <v>0</v>
      </c>
      <c r="AW185" s="1978">
        <f t="shared" si="81"/>
        <v>0</v>
      </c>
      <c r="AX185" s="1978">
        <f t="shared" si="81"/>
        <v>0</v>
      </c>
      <c r="AY185" s="1978">
        <f t="shared" si="81"/>
        <v>0</v>
      </c>
      <c r="AZ185" s="1978">
        <f t="shared" si="81"/>
        <v>0</v>
      </c>
      <c r="BA185" s="1978">
        <f t="shared" si="81"/>
        <v>0</v>
      </c>
      <c r="BB185" s="1978">
        <f t="shared" si="81"/>
        <v>0</v>
      </c>
      <c r="BC185" s="1978">
        <f t="shared" si="81"/>
        <v>0</v>
      </c>
      <c r="BD185" s="1978">
        <f t="shared" si="81"/>
        <v>0</v>
      </c>
      <c r="BE185" s="1978">
        <f t="shared" si="81"/>
        <v>0</v>
      </c>
      <c r="BF185" s="1978">
        <f t="shared" si="81"/>
        <v>0</v>
      </c>
      <c r="BG185" s="1978">
        <f t="shared" si="81"/>
        <v>0</v>
      </c>
      <c r="BH185" s="1978">
        <f t="shared" si="81"/>
        <v>0</v>
      </c>
      <c r="BI185" s="1978">
        <f t="shared" si="81"/>
        <v>0</v>
      </c>
      <c r="BJ185" s="1978">
        <f t="shared" si="81"/>
        <v>0</v>
      </c>
      <c r="BK185" s="1978">
        <f t="shared" si="81"/>
        <v>0</v>
      </c>
      <c r="BL185" s="1978">
        <f t="shared" si="81"/>
        <v>0</v>
      </c>
      <c r="BV185" s="951"/>
      <c r="CA185" s="446"/>
      <c r="CB185" s="446"/>
      <c r="CC185" s="446"/>
      <c r="CD185" s="446"/>
      <c r="CE185" s="446"/>
      <c r="CF185" s="446"/>
      <c r="CG185" s="446"/>
      <c r="CH185" s="446"/>
      <c r="CI185" s="446"/>
      <c r="CJ185" s="446"/>
      <c r="CK185" s="446"/>
      <c r="CL185" s="446"/>
      <c r="CM185" s="446"/>
      <c r="CN185" s="446"/>
      <c r="CO185" s="446"/>
      <c r="CP185" s="446"/>
      <c r="CQ185" s="446"/>
      <c r="CR185" s="446"/>
      <c r="CS185" s="446"/>
      <c r="CT185" s="446"/>
      <c r="CU185" s="446"/>
      <c r="CV185" s="445"/>
      <c r="CW185" s="445"/>
      <c r="CX185" s="445"/>
      <c r="CY185" s="446"/>
      <c r="CZ185" s="446"/>
      <c r="DA185" s="446"/>
      <c r="DB185" s="446"/>
      <c r="DC185" s="446"/>
      <c r="DD185" s="446"/>
      <c r="DE185" s="446"/>
      <c r="DF185" s="446"/>
      <c r="DG185" s="446"/>
      <c r="DH185" s="446"/>
      <c r="DI185" s="446"/>
      <c r="DJ185" s="446"/>
      <c r="DK185" s="446"/>
      <c r="DL185" s="446"/>
      <c r="DM185" s="446"/>
      <c r="DN185" s="446"/>
      <c r="DO185" s="446"/>
    </row>
    <row r="186" spans="1:119" s="160" customFormat="1" ht="14.25" hidden="1" customHeight="1">
      <c r="D186" s="1223"/>
      <c r="E186" s="2006"/>
      <c r="F186" s="2006"/>
      <c r="G186" s="2006"/>
      <c r="H186" s="2006"/>
      <c r="I186" s="2006"/>
      <c r="J186" s="2006"/>
      <c r="K186" s="2006"/>
      <c r="L186" s="2006"/>
      <c r="M186" s="2006"/>
      <c r="N186" s="2006"/>
      <c r="O186" s="2006"/>
      <c r="P186" s="2006"/>
      <c r="Q186" s="2006"/>
      <c r="R186" s="2006"/>
      <c r="S186" s="2006"/>
      <c r="T186" s="2006"/>
      <c r="U186" s="2006"/>
      <c r="V186" s="2009"/>
      <c r="W186" s="2009"/>
      <c r="X186" s="2009"/>
      <c r="Y186" s="2009"/>
      <c r="Z186" s="2009"/>
      <c r="AA186" s="2006"/>
      <c r="AB186" s="2006"/>
      <c r="AC186" s="2006"/>
      <c r="AD186" s="2006"/>
      <c r="AE186" s="2006"/>
      <c r="AF186" s="2006"/>
      <c r="AG186" s="2006"/>
      <c r="AH186" s="2006"/>
      <c r="AI186" s="2006"/>
      <c r="AJ186" s="2006"/>
      <c r="AK186" s="2006"/>
      <c r="AL186" s="2006"/>
      <c r="AM186" s="2006"/>
      <c r="AN186" s="2006"/>
      <c r="AO186" s="2006"/>
      <c r="AP186" s="2006"/>
      <c r="AQ186" s="2006"/>
      <c r="AR186" s="2006"/>
      <c r="AS186" s="2006"/>
      <c r="AT186" s="2006"/>
      <c r="AU186" s="2006"/>
      <c r="AV186" s="2006"/>
      <c r="AW186" s="2006"/>
      <c r="AX186" s="2006"/>
      <c r="AY186" s="2006"/>
      <c r="AZ186" s="2006"/>
      <c r="BA186" s="2006"/>
      <c r="BB186" s="2006"/>
      <c r="BC186" s="2006"/>
      <c r="BD186" s="2006"/>
      <c r="BE186" s="2006"/>
      <c r="BF186" s="2006"/>
      <c r="BG186" s="2006"/>
      <c r="BH186" s="2006"/>
      <c r="BI186" s="2006"/>
      <c r="BJ186" s="2006"/>
      <c r="BK186" s="2006"/>
      <c r="BL186" s="2006"/>
      <c r="BV186" s="951"/>
      <c r="CA186" s="446"/>
      <c r="CB186" s="446"/>
      <c r="CC186" s="446"/>
      <c r="CD186" s="446"/>
      <c r="CE186" s="446"/>
      <c r="CF186" s="446"/>
      <c r="CG186" s="446"/>
      <c r="CH186" s="446"/>
      <c r="CI186" s="446"/>
      <c r="CJ186" s="446"/>
      <c r="CK186" s="446"/>
      <c r="CL186" s="446"/>
      <c r="CM186" s="446"/>
      <c r="CN186" s="446"/>
      <c r="CO186" s="446"/>
      <c r="CP186" s="446"/>
      <c r="CQ186" s="446"/>
      <c r="CR186" s="446"/>
      <c r="CS186" s="446"/>
      <c r="CT186" s="446"/>
      <c r="CU186" s="446"/>
      <c r="CV186" s="445"/>
      <c r="CW186" s="514"/>
      <c r="CX186" s="445"/>
      <c r="CY186" s="446"/>
      <c r="CZ186" s="446"/>
      <c r="DA186" s="446"/>
      <c r="DB186" s="446"/>
      <c r="DC186" s="446"/>
      <c r="DD186" s="446"/>
      <c r="DE186" s="446"/>
      <c r="DF186" s="446"/>
      <c r="DG186" s="446"/>
      <c r="DH186" s="446"/>
      <c r="DI186" s="446"/>
      <c r="DJ186" s="446"/>
      <c r="DK186" s="446"/>
      <c r="DL186" s="446"/>
      <c r="DM186" s="446"/>
      <c r="DN186" s="446"/>
      <c r="DO186" s="446"/>
    </row>
    <row r="187" spans="1:119" s="446" customFormat="1" ht="12.6" hidden="1">
      <c r="A187" s="160"/>
      <c r="B187" s="160"/>
      <c r="E187" s="2002"/>
      <c r="F187" s="2002"/>
      <c r="G187" s="2002"/>
      <c r="H187" s="2002"/>
      <c r="I187" s="2002"/>
      <c r="J187" s="2002"/>
      <c r="K187" s="2002"/>
      <c r="L187" s="2002"/>
      <c r="M187" s="2002"/>
      <c r="N187" s="2002"/>
      <c r="O187" s="2010"/>
      <c r="P187" s="2002"/>
      <c r="Q187" s="2002"/>
      <c r="R187" s="1978"/>
      <c r="S187" s="1978"/>
      <c r="T187" s="1978"/>
      <c r="U187" s="1978"/>
      <c r="V187" s="2003"/>
      <c r="W187" s="2003"/>
      <c r="X187" s="2003"/>
      <c r="Y187" s="2003"/>
      <c r="Z187" s="2004"/>
      <c r="AA187" s="1970"/>
      <c r="AB187" s="1970"/>
      <c r="AC187" s="1970"/>
      <c r="AD187" s="1970"/>
      <c r="AE187" s="1970"/>
      <c r="AF187" s="1970"/>
      <c r="AG187" s="1970"/>
      <c r="AH187" s="1970"/>
      <c r="AI187" s="1970"/>
      <c r="AJ187" s="1970"/>
      <c r="AK187" s="1970"/>
      <c r="AL187" s="1970"/>
      <c r="AM187" s="1970"/>
      <c r="AN187" s="1970"/>
      <c r="AO187" s="1970"/>
      <c r="AP187" s="1970"/>
      <c r="AQ187" s="1970"/>
      <c r="AR187" s="1970"/>
      <c r="AS187" s="1970"/>
      <c r="AT187" s="1970"/>
      <c r="AU187" s="1970"/>
      <c r="AV187" s="1970"/>
      <c r="AW187" s="1970"/>
      <c r="AX187" s="1970"/>
      <c r="AY187" s="1970"/>
      <c r="AZ187" s="1970"/>
      <c r="BA187" s="1970"/>
      <c r="BB187" s="1970"/>
      <c r="BC187" s="1970"/>
      <c r="BD187" s="1970"/>
      <c r="BE187" s="1970"/>
      <c r="BF187" s="1970"/>
      <c r="BG187" s="1970"/>
      <c r="BH187" s="1970"/>
      <c r="BI187" s="1970"/>
      <c r="BJ187" s="1970"/>
      <c r="BK187" s="1970"/>
      <c r="BL187" s="1970"/>
      <c r="BV187" s="1225"/>
      <c r="CV187" s="445"/>
      <c r="CW187" s="445"/>
      <c r="CX187" s="445"/>
    </row>
    <row r="188" spans="1:119" s="446" customFormat="1" ht="14.25" hidden="1" customHeight="1">
      <c r="A188" s="160"/>
      <c r="B188" s="160"/>
      <c r="C188" s="160"/>
      <c r="D188" s="1223"/>
      <c r="E188" s="2006"/>
      <c r="F188" s="2006"/>
      <c r="G188" s="2006"/>
      <c r="H188" s="2006"/>
      <c r="I188" s="2006"/>
      <c r="J188" s="2006"/>
      <c r="K188" s="2006"/>
      <c r="L188" s="2006"/>
      <c r="M188" s="2006"/>
      <c r="N188" s="2006"/>
      <c r="O188" s="2006"/>
      <c r="P188" s="2006"/>
      <c r="Q188" s="2006"/>
      <c r="R188" s="2006"/>
      <c r="S188" s="2006"/>
      <c r="T188" s="2006"/>
      <c r="U188" s="2006"/>
      <c r="V188" s="2004"/>
      <c r="W188" s="1978"/>
      <c r="X188" s="1978"/>
      <c r="Y188" s="1978"/>
      <c r="Z188" s="1978"/>
      <c r="AA188" s="1978"/>
      <c r="AB188" s="1978"/>
      <c r="AC188" s="2008">
        <f ca="1">Q159+1</f>
        <v>2028</v>
      </c>
      <c r="AD188" s="2006"/>
      <c r="AE188" s="2006"/>
      <c r="AF188" s="2006"/>
      <c r="AG188" s="2006"/>
      <c r="AH188" s="1970"/>
      <c r="AI188" s="2006"/>
      <c r="AJ188" s="2006"/>
      <c r="AK188" s="2006"/>
      <c r="AL188" s="2006"/>
      <c r="AM188" s="2006"/>
      <c r="AN188" s="1970"/>
      <c r="AO188" s="2006"/>
      <c r="AP188" s="2006"/>
      <c r="AQ188" s="2006"/>
      <c r="AR188" s="2006"/>
      <c r="AS188" s="2006"/>
      <c r="AT188" s="1970"/>
      <c r="AU188" s="2006"/>
      <c r="AV188" s="2006"/>
      <c r="AW188" s="2006"/>
      <c r="AX188" s="2006"/>
      <c r="AY188" s="2006"/>
      <c r="AZ188" s="1970"/>
      <c r="BA188" s="2006"/>
      <c r="BB188" s="2006"/>
      <c r="BC188" s="2006"/>
      <c r="BD188" s="2006"/>
      <c r="BE188" s="2006"/>
      <c r="BF188" s="1970"/>
      <c r="BG188" s="2006"/>
      <c r="BH188" s="2006"/>
      <c r="BI188" s="2006"/>
      <c r="BJ188" s="2006"/>
      <c r="BK188" s="2006"/>
      <c r="BL188" s="2006"/>
      <c r="BV188" s="1225"/>
      <c r="CV188" s="445"/>
      <c r="CW188" s="2011"/>
      <c r="CX188" s="445"/>
    </row>
    <row r="189" spans="1:119" s="446" customFormat="1" ht="14.25" hidden="1" customHeight="1">
      <c r="A189" s="160"/>
      <c r="B189" s="160"/>
      <c r="C189" s="2007" t="s">
        <v>450</v>
      </c>
      <c r="D189" s="160"/>
      <c r="E189" s="2006"/>
      <c r="F189" s="2006"/>
      <c r="G189" s="2006"/>
      <c r="H189" s="2006"/>
      <c r="I189" s="2006"/>
      <c r="J189" s="2006"/>
      <c r="K189" s="2006"/>
      <c r="L189" s="2006"/>
      <c r="M189" s="2006"/>
      <c r="N189" s="2006"/>
      <c r="O189" s="2006"/>
      <c r="P189" s="2006"/>
      <c r="Q189" s="2006"/>
      <c r="R189" s="2006"/>
      <c r="S189" s="2006"/>
      <c r="T189" s="2006"/>
      <c r="U189" s="2006"/>
      <c r="V189" s="2004"/>
      <c r="W189" s="1978"/>
      <c r="X189" s="1978"/>
      <c r="Y189" s="1978"/>
      <c r="Z189" s="1978"/>
      <c r="AA189" s="1978"/>
      <c r="AB189" s="1978"/>
      <c r="AC189" s="2008">
        <v>1</v>
      </c>
      <c r="AD189" s="2008">
        <v>2</v>
      </c>
      <c r="AE189" s="2008">
        <v>3</v>
      </c>
      <c r="AF189" s="2008">
        <v>4</v>
      </c>
      <c r="AG189" s="2008">
        <v>5</v>
      </c>
      <c r="AH189" s="1978">
        <v>6</v>
      </c>
      <c r="AI189" s="2008">
        <v>7</v>
      </c>
      <c r="AJ189" s="2008">
        <v>8</v>
      </c>
      <c r="AK189" s="2008">
        <v>9</v>
      </c>
      <c r="AL189" s="2008">
        <v>10</v>
      </c>
      <c r="AM189" s="2008">
        <v>11</v>
      </c>
      <c r="AN189" s="1978">
        <v>12</v>
      </c>
      <c r="AO189" s="2008">
        <v>13</v>
      </c>
      <c r="AP189" s="2008">
        <v>14</v>
      </c>
      <c r="AQ189" s="2008">
        <v>15</v>
      </c>
      <c r="AR189" s="2008">
        <v>16</v>
      </c>
      <c r="AS189" s="2008">
        <v>17</v>
      </c>
      <c r="AT189" s="1978">
        <v>18</v>
      </c>
      <c r="AU189" s="2008">
        <v>19</v>
      </c>
      <c r="AV189" s="2008">
        <v>20</v>
      </c>
      <c r="AW189" s="2008">
        <v>21</v>
      </c>
      <c r="AX189" s="2008">
        <v>22</v>
      </c>
      <c r="AY189" s="2008">
        <v>23</v>
      </c>
      <c r="AZ189" s="1978">
        <v>24</v>
      </c>
      <c r="BA189" s="2008">
        <v>25</v>
      </c>
      <c r="BB189" s="2008">
        <v>26</v>
      </c>
      <c r="BC189" s="2008">
        <v>27</v>
      </c>
      <c r="BD189" s="2008">
        <v>28</v>
      </c>
      <c r="BE189" s="2008">
        <v>29</v>
      </c>
      <c r="BF189" s="1978">
        <v>30</v>
      </c>
      <c r="BG189" s="2008">
        <v>31</v>
      </c>
      <c r="BH189" s="2008">
        <v>32</v>
      </c>
      <c r="BI189" s="2008">
        <v>33</v>
      </c>
      <c r="BJ189" s="2008">
        <v>34</v>
      </c>
      <c r="BK189" s="2008">
        <v>35</v>
      </c>
      <c r="BL189" s="1978">
        <v>36</v>
      </c>
      <c r="BV189" s="1225"/>
      <c r="CV189" s="445"/>
      <c r="CW189" s="2011"/>
      <c r="CX189" s="445"/>
    </row>
    <row r="190" spans="1:119" s="446" customFormat="1" ht="14.25" hidden="1" customHeight="1">
      <c r="A190" s="160"/>
      <c r="B190" s="160"/>
      <c r="C190" s="2311" t="str">
        <f>C161</f>
        <v>Drittmittel</v>
      </c>
      <c r="D190" s="160" t="s">
        <v>683</v>
      </c>
      <c r="E190" s="2006"/>
      <c r="F190" s="2006"/>
      <c r="G190" s="2006"/>
      <c r="H190" s="2006"/>
      <c r="I190" s="2006"/>
      <c r="J190" s="2006"/>
      <c r="K190" s="2006"/>
      <c r="L190" s="2006"/>
      <c r="M190" s="2006"/>
      <c r="N190" s="2006"/>
      <c r="O190" s="2006"/>
      <c r="P190" s="2006"/>
      <c r="Q190" s="1983"/>
      <c r="R190" s="1983"/>
      <c r="S190" s="1983"/>
      <c r="T190" s="1983"/>
      <c r="U190" s="1983"/>
      <c r="V190" s="1975"/>
      <c r="W190" s="1978"/>
      <c r="X190" s="1978"/>
      <c r="Y190" s="1978"/>
      <c r="Z190" s="1978"/>
      <c r="AA190" s="1978"/>
      <c r="AB190" s="1978"/>
      <c r="AC190" s="1983">
        <f t="shared" ref="AC190:AR190" ca="1" si="82">IF($AC$188=E$20,IF(AC189=F$25,E$25,0),0)</f>
        <v>0</v>
      </c>
      <c r="AD190" s="1983">
        <f t="shared" ca="1" si="82"/>
        <v>0</v>
      </c>
      <c r="AE190" s="1983">
        <f t="shared" ca="1" si="82"/>
        <v>0</v>
      </c>
      <c r="AF190" s="1983">
        <f t="shared" ca="1" si="82"/>
        <v>0</v>
      </c>
      <c r="AG190" s="1983">
        <f t="shared" ca="1" si="82"/>
        <v>0</v>
      </c>
      <c r="AH190" s="1983">
        <f t="shared" ca="1" si="82"/>
        <v>0</v>
      </c>
      <c r="AI190" s="1983">
        <f t="shared" ca="1" si="82"/>
        <v>0</v>
      </c>
      <c r="AJ190" s="1983">
        <f t="shared" ca="1" si="82"/>
        <v>0</v>
      </c>
      <c r="AK190" s="1983">
        <f t="shared" ca="1" si="82"/>
        <v>0</v>
      </c>
      <c r="AL190" s="1983">
        <f t="shared" ca="1" si="82"/>
        <v>0</v>
      </c>
      <c r="AM190" s="1983">
        <f t="shared" ca="1" si="82"/>
        <v>0</v>
      </c>
      <c r="AN190" s="1983">
        <f t="shared" ca="1" si="82"/>
        <v>0</v>
      </c>
      <c r="AO190" s="1983">
        <f t="shared" ca="1" si="82"/>
        <v>0</v>
      </c>
      <c r="AP190" s="1983">
        <f t="shared" ca="1" si="82"/>
        <v>0</v>
      </c>
      <c r="AQ190" s="1983">
        <f t="shared" ca="1" si="82"/>
        <v>0</v>
      </c>
      <c r="AR190" s="1983">
        <f t="shared" ca="1" si="82"/>
        <v>0</v>
      </c>
      <c r="AS190" s="1983">
        <f ca="1">IF($AC$188=U$21,IF(AS189=V$25,U$25,0),0)</f>
        <v>0</v>
      </c>
      <c r="AT190" s="1983">
        <f t="shared" ref="AT190:BL190" ca="1" si="83">IF($AC$188=V$20,IF(AT189=W$25,V$25,0),0)</f>
        <v>0</v>
      </c>
      <c r="AU190" s="1983">
        <f t="shared" ca="1" si="83"/>
        <v>0</v>
      </c>
      <c r="AV190" s="1983">
        <f t="shared" ca="1" si="83"/>
        <v>0</v>
      </c>
      <c r="AW190" s="1983">
        <f t="shared" ca="1" si="83"/>
        <v>0</v>
      </c>
      <c r="AX190" s="1983">
        <f t="shared" ca="1" si="83"/>
        <v>0</v>
      </c>
      <c r="AY190" s="1983">
        <f t="shared" ca="1" si="83"/>
        <v>0</v>
      </c>
      <c r="AZ190" s="1983">
        <f t="shared" ca="1" si="83"/>
        <v>0</v>
      </c>
      <c r="BA190" s="1983">
        <f t="shared" ca="1" si="83"/>
        <v>0</v>
      </c>
      <c r="BB190" s="1983">
        <f t="shared" ca="1" si="83"/>
        <v>0</v>
      </c>
      <c r="BC190" s="1983">
        <f t="shared" ca="1" si="83"/>
        <v>0</v>
      </c>
      <c r="BD190" s="1983">
        <f t="shared" ca="1" si="83"/>
        <v>0</v>
      </c>
      <c r="BE190" s="1983">
        <f t="shared" ca="1" si="83"/>
        <v>0</v>
      </c>
      <c r="BF190" s="1983">
        <f t="shared" ca="1" si="83"/>
        <v>0</v>
      </c>
      <c r="BG190" s="1983">
        <f t="shared" ca="1" si="83"/>
        <v>0</v>
      </c>
      <c r="BH190" s="1983">
        <f t="shared" ca="1" si="83"/>
        <v>0</v>
      </c>
      <c r="BI190" s="1983">
        <f t="shared" ca="1" si="83"/>
        <v>0</v>
      </c>
      <c r="BJ190" s="1983">
        <f t="shared" ca="1" si="83"/>
        <v>0</v>
      </c>
      <c r="BK190" s="1983">
        <f t="shared" ca="1" si="83"/>
        <v>0</v>
      </c>
      <c r="BL190" s="1983">
        <f t="shared" ca="1" si="83"/>
        <v>0</v>
      </c>
      <c r="BV190" s="1225"/>
      <c r="CV190" s="445"/>
      <c r="CW190" s="2011"/>
      <c r="CX190" s="445"/>
    </row>
    <row r="191" spans="1:119" s="446" customFormat="1" ht="14.25" hidden="1" customHeight="1">
      <c r="A191" s="160"/>
      <c r="B191" s="160"/>
      <c r="C191" s="2311"/>
      <c r="D191" s="160" t="s">
        <v>684</v>
      </c>
      <c r="E191" s="2006"/>
      <c r="F191" s="2006"/>
      <c r="G191" s="2006"/>
      <c r="H191" s="2006"/>
      <c r="I191" s="2006"/>
      <c r="J191" s="2006"/>
      <c r="K191" s="2006"/>
      <c r="L191" s="2006"/>
      <c r="M191" s="2006"/>
      <c r="N191" s="2006"/>
      <c r="O191" s="2006"/>
      <c r="P191" s="2006"/>
      <c r="Q191" s="1983"/>
      <c r="R191" s="1983"/>
      <c r="S191" s="1983"/>
      <c r="T191" s="1983"/>
      <c r="U191" s="1983"/>
      <c r="V191" s="1975"/>
      <c r="W191" s="1978"/>
      <c r="X191" s="1978"/>
      <c r="Y191" s="1978"/>
      <c r="Z191" s="1978"/>
      <c r="AA191" s="1978"/>
      <c r="AB191" s="1978"/>
      <c r="AC191" s="1983">
        <f t="shared" ref="AC191:BL191" si="84">IF(F$25=AC189,(E$25*G$25)/12,0)</f>
        <v>0</v>
      </c>
      <c r="AD191" s="1983">
        <f t="shared" si="84"/>
        <v>0</v>
      </c>
      <c r="AE191" s="1983">
        <f t="shared" si="84"/>
        <v>0</v>
      </c>
      <c r="AF191" s="1983">
        <f t="shared" si="84"/>
        <v>0</v>
      </c>
      <c r="AG191" s="1983">
        <f t="shared" si="84"/>
        <v>0</v>
      </c>
      <c r="AH191" s="1983">
        <f t="shared" si="84"/>
        <v>0</v>
      </c>
      <c r="AI191" s="1983">
        <f t="shared" si="84"/>
        <v>0</v>
      </c>
      <c r="AJ191" s="1983">
        <f t="shared" si="84"/>
        <v>0</v>
      </c>
      <c r="AK191" s="1983">
        <f t="shared" si="84"/>
        <v>0</v>
      </c>
      <c r="AL191" s="1983">
        <f t="shared" si="84"/>
        <v>0</v>
      </c>
      <c r="AM191" s="1983">
        <f t="shared" si="84"/>
        <v>0</v>
      </c>
      <c r="AN191" s="1983">
        <f t="shared" si="84"/>
        <v>0</v>
      </c>
      <c r="AO191" s="1983">
        <f t="shared" si="84"/>
        <v>0</v>
      </c>
      <c r="AP191" s="1983">
        <f t="shared" si="84"/>
        <v>0</v>
      </c>
      <c r="AQ191" s="1983">
        <f t="shared" si="84"/>
        <v>0</v>
      </c>
      <c r="AR191" s="1983">
        <f t="shared" si="84"/>
        <v>0</v>
      </c>
      <c r="AS191" s="1983">
        <f t="shared" si="84"/>
        <v>0</v>
      </c>
      <c r="AT191" s="1983">
        <f t="shared" si="84"/>
        <v>0</v>
      </c>
      <c r="AU191" s="1983">
        <f t="shared" si="84"/>
        <v>0</v>
      </c>
      <c r="AV191" s="1983">
        <f t="shared" si="84"/>
        <v>0</v>
      </c>
      <c r="AW191" s="1983">
        <f t="shared" si="84"/>
        <v>0</v>
      </c>
      <c r="AX191" s="1983">
        <f t="shared" si="84"/>
        <v>0</v>
      </c>
      <c r="AY191" s="1983">
        <f t="shared" si="84"/>
        <v>0</v>
      </c>
      <c r="AZ191" s="1983">
        <f t="shared" si="84"/>
        <v>0</v>
      </c>
      <c r="BA191" s="1983">
        <f t="shared" si="84"/>
        <v>0</v>
      </c>
      <c r="BB191" s="1983">
        <f t="shared" si="84"/>
        <v>0</v>
      </c>
      <c r="BC191" s="1983">
        <f t="shared" si="84"/>
        <v>0</v>
      </c>
      <c r="BD191" s="1983">
        <f t="shared" si="84"/>
        <v>0</v>
      </c>
      <c r="BE191" s="1983">
        <f t="shared" si="84"/>
        <v>0</v>
      </c>
      <c r="BF191" s="1983">
        <f t="shared" si="84"/>
        <v>0</v>
      </c>
      <c r="BG191" s="1983">
        <f t="shared" si="84"/>
        <v>0</v>
      </c>
      <c r="BH191" s="1983">
        <f t="shared" si="84"/>
        <v>0</v>
      </c>
      <c r="BI191" s="1983">
        <f t="shared" si="84"/>
        <v>0</v>
      </c>
      <c r="BJ191" s="1983">
        <f t="shared" si="84"/>
        <v>0</v>
      </c>
      <c r="BK191" s="1983">
        <f t="shared" si="84"/>
        <v>0</v>
      </c>
      <c r="BL191" s="1983">
        <f t="shared" si="84"/>
        <v>0</v>
      </c>
      <c r="BV191" s="1225"/>
      <c r="CV191" s="445"/>
      <c r="CW191" s="2011"/>
      <c r="CX191" s="445"/>
    </row>
    <row r="192" spans="1:119" s="446" customFormat="1" ht="14.25" hidden="1" customHeight="1">
      <c r="A192" s="160"/>
      <c r="B192" s="160"/>
      <c r="C192" s="2311"/>
      <c r="D192" s="160" t="s">
        <v>685</v>
      </c>
      <c r="E192" s="2006"/>
      <c r="F192" s="2006"/>
      <c r="G192" s="2006"/>
      <c r="H192" s="2006"/>
      <c r="I192" s="2006"/>
      <c r="J192" s="2006"/>
      <c r="K192" s="2006"/>
      <c r="L192" s="2006"/>
      <c r="M192" s="2006"/>
      <c r="N192" s="2006"/>
      <c r="O192" s="2006"/>
      <c r="P192" s="2006"/>
      <c r="Q192" s="1983"/>
      <c r="R192" s="1983"/>
      <c r="S192" s="1983"/>
      <c r="T192" s="1983"/>
      <c r="U192" s="1983"/>
      <c r="V192" s="1975"/>
      <c r="W192" s="1978"/>
      <c r="X192" s="1978"/>
      <c r="Y192" s="1978"/>
      <c r="Z192" s="1978"/>
      <c r="AA192" s="1978"/>
      <c r="AB192" s="1978"/>
      <c r="AC192" s="1983">
        <f>IF(OR(AC189&gt;$F$25+$H$25+$I$25*12,AC189&lt;$F$25),0,$E$25*$G$25/12)</f>
        <v>0</v>
      </c>
      <c r="AD192" s="1983">
        <f>IF(OR(AD189&gt;$F$25+$H$25+$I$25*12,AD189&lt;$F$25),0,($E$25-SUM($AC$194:AD194))*$G$25/12)</f>
        <v>0</v>
      </c>
      <c r="AE192" s="1983">
        <f>IF(OR(AE189&gt;$F$25+$H$25+$I$25*12,AE189&lt;$F$25),0,($E$25-SUM($AC$194:AE194))*$G$25/12)</f>
        <v>0</v>
      </c>
      <c r="AF192" s="1983">
        <f>IF(OR(AF189&gt;$F$25+$H$25+$I$25*12,AF189&lt;$F$25),0,($E$25-SUM($AC$194:AF194))*$G$25/12)</f>
        <v>0</v>
      </c>
      <c r="AG192" s="1983">
        <f>IF(OR(AG189&gt;$F$25+$H$25+$I$25*12,AG189&lt;$F$25),0,($E$25-SUM($AC$194:AG194))*$G$25/12)</f>
        <v>0</v>
      </c>
      <c r="AH192" s="1983">
        <f>IF(OR(AH189&gt;$F$25+$H$25+$I$25*12,AH189&lt;$F$25),0,($E$25-SUM($AC$194:AH194))*$G$25/12)</f>
        <v>0</v>
      </c>
      <c r="AI192" s="1983">
        <f>IF(OR(AI189&gt;$F$25+$H$25+$I$25*12,AI189&lt;$F$25),0,($E$25-SUM($AC$194:AI194))*$G$25/12)</f>
        <v>0</v>
      </c>
      <c r="AJ192" s="1983">
        <f>IF(OR(AJ189&gt;$F$25+$H$25+$I$25*12,AJ189&lt;$F$25),0,($E$25-SUM($AC$194:AJ194))*$G$25/12)</f>
        <v>0</v>
      </c>
      <c r="AK192" s="1983">
        <f>IF(OR(AK189&gt;$F$25+$H$25+$I$25*12,AK189&lt;$F$25),0,($E$25-SUM($AC$194:AK194))*$G$25/12)</f>
        <v>0</v>
      </c>
      <c r="AL192" s="1983">
        <f>IF(OR(AL189&gt;$F$25+$H$25+$I$25*12,AL189&lt;$F$25),0,($E$25-SUM($AC$194:AL194))*$G$25/12)</f>
        <v>0</v>
      </c>
      <c r="AM192" s="1983">
        <f>IF(OR(AM189&gt;$F$25+$H$25+$I$25*12,AM189&lt;$F$25),0,($E$25-SUM($AC$194:AM194))*$G$25/12)</f>
        <v>0</v>
      </c>
      <c r="AN192" s="1983">
        <f>IF(OR(AN189&gt;$F$25+$H$25+$I$25*12,AN189&lt;$F$25),0,($E$25-SUM($AC$194:AN194))*$G$25/12)</f>
        <v>0</v>
      </c>
      <c r="AO192" s="1983">
        <f>IF(OR(AO189&gt;$F$25+$H$25+$I$25*12,AO189&lt;$F$25),0,($E$25-SUM($AC$194:AO194))*$G$25/12)</f>
        <v>0</v>
      </c>
      <c r="AP192" s="1983">
        <f>IF(OR(AP189&gt;$F$25+$H$25+$I$25*12,AP189&lt;$F$25),0,($E$25-SUM($AC$194:AP194))*$G$25/12)</f>
        <v>0</v>
      </c>
      <c r="AQ192" s="1983">
        <f>IF(OR(AQ189&gt;$F$25+$H$25+$I$25*12,AQ189&lt;$F$25),0,($E$25-SUM($AC$194:AQ194))*$G$25/12)</f>
        <v>0</v>
      </c>
      <c r="AR192" s="1983">
        <f>IF(OR(AR189&gt;$F$25+$H$25+$I$25*12,AR189&lt;$F$25),0,($E$25-SUM($AC$194:AR194))*$G$25/12)</f>
        <v>0</v>
      </c>
      <c r="AS192" s="1983">
        <f>IF(OR(AS189&gt;$F$25+$H$25+$I$25*12,AS189&lt;$F$25),0,($E$25-SUM($AC$194:AS194))*$G$25/12)</f>
        <v>0</v>
      </c>
      <c r="AT192" s="1983">
        <f>IF(OR(AT189&gt;$F$25+$H$25+$I$25*12,AT189&lt;$F$25),0,($E$25-SUM($AC$194:AT194))*$G$25/12)</f>
        <v>0</v>
      </c>
      <c r="AU192" s="1983">
        <f>IF(OR(AU189&gt;$F$25+$H$25+$I$25*12,AU189&lt;$F$25),0,($E$25-SUM($AC$194:AU194))*$G$25/12)</f>
        <v>0</v>
      </c>
      <c r="AV192" s="1983">
        <f>IF(OR(AV189&gt;$F$25+$H$25+$I$25*12,AV189&lt;$F$25),0,($E$25-SUM($AC$194:AV194))*$G$25/12)</f>
        <v>0</v>
      </c>
      <c r="AW192" s="1983">
        <f>IF(OR(AW189&gt;$F$25+$H$25+$I$25*12,AW189&lt;$F$25),0,($E$25-SUM($AC$194:AW194))*$G$25/12)</f>
        <v>0</v>
      </c>
      <c r="AX192" s="1983">
        <f>IF(OR(AX189&gt;$F$25+$H$25+$I$25*12,AX189&lt;$F$25),0,($E$25-SUM($AC$194:AX194))*$G$25/12)</f>
        <v>0</v>
      </c>
      <c r="AY192" s="1983">
        <f>IF(OR(AY189&gt;$F$25+$H$25+$I$25*12,AY189&lt;$F$25),0,($E$25-SUM($AC$194:AY194))*$G$25/12)</f>
        <v>0</v>
      </c>
      <c r="AZ192" s="1983">
        <f>IF(OR(AZ189&gt;$F$25+$H$25+$I$25*12,AZ189&lt;$F$25),0,($E$25-SUM($AC$194:AZ194))*$G$25/12)</f>
        <v>0</v>
      </c>
      <c r="BA192" s="1983">
        <f>IF(OR(BA189&gt;$F$25+$H$25+$I$25*12,BA189&lt;$F$25),0,($E$25-SUM($AC$194:BA194))*$G$25/12)</f>
        <v>0</v>
      </c>
      <c r="BB192" s="1983">
        <f>IF(OR(BB189&gt;$F$25+$H$25+$I$25*12,BB189&lt;$F$25),0,($E$25-SUM($AC$194:BB194))*$G$25/12)</f>
        <v>0</v>
      </c>
      <c r="BC192" s="1983">
        <f>IF(OR(BC189&gt;$F$25+$H$25+$I$25*12,BC189&lt;$F$25),0,($E$25-SUM($AC$194:BC194))*$G$25/12)</f>
        <v>0</v>
      </c>
      <c r="BD192" s="1983">
        <f>IF(OR(BD189&gt;$F$25+$H$25+$I$25*12,BD189&lt;$F$25),0,($E$25-SUM($AC$194:BD194))*$G$25/12)</f>
        <v>0</v>
      </c>
      <c r="BE192" s="1983">
        <f>IF(OR(BE189&gt;$F$25+$H$25+$I$25*12,BE189&lt;$F$25),0,($E$25-SUM($AC$194:BE194))*$G$25/12)</f>
        <v>0</v>
      </c>
      <c r="BF192" s="1983">
        <f>IF(OR(BF189&gt;$F$25+$H$25+$I$25*12,BF189&lt;$F$25),0,($E$25-SUM($AC$194:BF194))*$G$25/12)</f>
        <v>0</v>
      </c>
      <c r="BG192" s="1983">
        <f>IF(OR(BG189&gt;$F$25+$H$25+$I$25*12,BG189&lt;$F$25),0,($E$25-SUM($AC$194:BG194))*$G$25/12)</f>
        <v>0</v>
      </c>
      <c r="BH192" s="1983">
        <f>IF(OR(BH189&gt;$F$25+$H$25+$I$25*12,BH189&lt;$F$25),0,($E$25-SUM($AC$194:BH194))*$G$25/12)</f>
        <v>0</v>
      </c>
      <c r="BI192" s="1983">
        <f>IF(OR(BI189&gt;$F$25+$H$25+$I$25*12,BI189&lt;$F$25),0,($E$25-SUM($AC$194:BI194))*$G$25/12)</f>
        <v>0</v>
      </c>
      <c r="BJ192" s="1983">
        <f>IF(OR(BJ189&gt;$F$25+$H$25+$I$25*12,BJ189&lt;$F$25),0,($E$25-SUM($AC$194:BJ194))*$G$25/12)</f>
        <v>0</v>
      </c>
      <c r="BK192" s="1983">
        <f t="shared" ref="BK192" si="85">IF(OR(BK189&gt;$F$25+$H$25+$I$25*12,BK189&lt;$F$25),0,$E$25*$G$25/12)</f>
        <v>0</v>
      </c>
      <c r="BL192" s="1983">
        <f>IF(OR(BL189&gt;$F$25+$H$25+$I$25*12,BL189&lt;$F$25),0,($E$25-SUM($AC$194:BL194))*$G$25/12)</f>
        <v>0</v>
      </c>
      <c r="BV192" s="1225"/>
      <c r="CV192" s="445"/>
      <c r="CW192" s="2011"/>
      <c r="CX192" s="445"/>
    </row>
    <row r="193" spans="1:102" s="446" customFormat="1" ht="14.25" hidden="1" customHeight="1">
      <c r="A193" s="160"/>
      <c r="B193" s="160"/>
      <c r="C193" s="2311"/>
      <c r="D193" s="160" t="s">
        <v>120</v>
      </c>
      <c r="E193" s="2006"/>
      <c r="F193" s="2006"/>
      <c r="G193" s="2006"/>
      <c r="H193" s="2006"/>
      <c r="I193" s="2006"/>
      <c r="J193" s="2006"/>
      <c r="K193" s="2006"/>
      <c r="L193" s="2006"/>
      <c r="M193" s="2006"/>
      <c r="N193" s="2006"/>
      <c r="O193" s="2006"/>
      <c r="P193" s="2006"/>
      <c r="Q193" s="1983"/>
      <c r="R193" s="1983"/>
      <c r="S193" s="1983"/>
      <c r="T193" s="1983"/>
      <c r="U193" s="1983"/>
      <c r="V193" s="1975"/>
      <c r="W193" s="1978"/>
      <c r="X193" s="1978"/>
      <c r="Y193" s="1978"/>
      <c r="Z193" s="1978"/>
      <c r="AA193" s="1978"/>
      <c r="AB193" s="1978"/>
      <c r="AC193" s="1983">
        <f t="shared" ref="AC193:AD193" si="86">IF($F$25+$H$25=AC189,IF($I$25=0,0,$E$25/($I$25*12)),0)</f>
        <v>0</v>
      </c>
      <c r="AD193" s="1983">
        <f t="shared" si="86"/>
        <v>0</v>
      </c>
      <c r="AE193" s="1983">
        <f t="shared" ref="AE193:BL193" si="87">IF($F$25+$H$25=AE189,IF($I$25=0,0,$E$25/($I$25*12)),0)</f>
        <v>0</v>
      </c>
      <c r="AF193" s="1983">
        <f t="shared" si="87"/>
        <v>0</v>
      </c>
      <c r="AG193" s="1983">
        <f t="shared" si="87"/>
        <v>0</v>
      </c>
      <c r="AH193" s="1983">
        <f t="shared" si="87"/>
        <v>0</v>
      </c>
      <c r="AI193" s="1983">
        <f t="shared" si="87"/>
        <v>0</v>
      </c>
      <c r="AJ193" s="1983">
        <f t="shared" si="87"/>
        <v>0</v>
      </c>
      <c r="AK193" s="1983">
        <f t="shared" si="87"/>
        <v>0</v>
      </c>
      <c r="AL193" s="1983">
        <f t="shared" si="87"/>
        <v>0</v>
      </c>
      <c r="AM193" s="1983">
        <f t="shared" si="87"/>
        <v>0</v>
      </c>
      <c r="AN193" s="1983">
        <f t="shared" si="87"/>
        <v>0</v>
      </c>
      <c r="AO193" s="1983">
        <f t="shared" si="87"/>
        <v>0</v>
      </c>
      <c r="AP193" s="1983">
        <f t="shared" si="87"/>
        <v>0</v>
      </c>
      <c r="AQ193" s="1983">
        <f t="shared" si="87"/>
        <v>0</v>
      </c>
      <c r="AR193" s="1983">
        <f t="shared" si="87"/>
        <v>0</v>
      </c>
      <c r="AS193" s="1983">
        <f t="shared" si="87"/>
        <v>0</v>
      </c>
      <c r="AT193" s="1983">
        <f t="shared" si="87"/>
        <v>0</v>
      </c>
      <c r="AU193" s="1983">
        <f t="shared" si="87"/>
        <v>0</v>
      </c>
      <c r="AV193" s="1983">
        <f t="shared" si="87"/>
        <v>0</v>
      </c>
      <c r="AW193" s="1983">
        <f t="shared" si="87"/>
        <v>0</v>
      </c>
      <c r="AX193" s="1983">
        <f t="shared" si="87"/>
        <v>0</v>
      </c>
      <c r="AY193" s="1983">
        <f t="shared" si="87"/>
        <v>0</v>
      </c>
      <c r="AZ193" s="1983">
        <f t="shared" si="87"/>
        <v>0</v>
      </c>
      <c r="BA193" s="1983">
        <f t="shared" si="87"/>
        <v>0</v>
      </c>
      <c r="BB193" s="1983">
        <f t="shared" si="87"/>
        <v>0</v>
      </c>
      <c r="BC193" s="1983">
        <f t="shared" si="87"/>
        <v>0</v>
      </c>
      <c r="BD193" s="1983">
        <f t="shared" si="87"/>
        <v>0</v>
      </c>
      <c r="BE193" s="1983">
        <f t="shared" si="87"/>
        <v>0</v>
      </c>
      <c r="BF193" s="1983">
        <f t="shared" si="87"/>
        <v>0</v>
      </c>
      <c r="BG193" s="1983">
        <f t="shared" si="87"/>
        <v>0</v>
      </c>
      <c r="BH193" s="1983">
        <f t="shared" si="87"/>
        <v>0</v>
      </c>
      <c r="BI193" s="1983">
        <f t="shared" si="87"/>
        <v>0</v>
      </c>
      <c r="BJ193" s="1983">
        <f t="shared" si="87"/>
        <v>0</v>
      </c>
      <c r="BK193" s="1983">
        <f t="shared" si="87"/>
        <v>0</v>
      </c>
      <c r="BL193" s="1983">
        <f t="shared" si="87"/>
        <v>0</v>
      </c>
      <c r="BV193" s="1225"/>
      <c r="CV193" s="445"/>
      <c r="CW193" s="2011"/>
      <c r="CX193" s="445"/>
    </row>
    <row r="194" spans="1:102" s="446" customFormat="1" ht="14.25" hidden="1" customHeight="1">
      <c r="A194" s="160"/>
      <c r="B194" s="160"/>
      <c r="C194" s="2311"/>
      <c r="D194" s="160" t="s">
        <v>686</v>
      </c>
      <c r="E194" s="2006"/>
      <c r="F194" s="2006"/>
      <c r="G194" s="2006"/>
      <c r="H194" s="2006"/>
      <c r="I194" s="2006"/>
      <c r="J194" s="2006"/>
      <c r="K194" s="2006"/>
      <c r="L194" s="2006"/>
      <c r="M194" s="2006"/>
      <c r="N194" s="2006"/>
      <c r="O194" s="2006"/>
      <c r="P194" s="2006"/>
      <c r="Q194" s="1983"/>
      <c r="R194" s="1983"/>
      <c r="S194" s="1983"/>
      <c r="T194" s="1983"/>
      <c r="U194" s="1983"/>
      <c r="V194" s="1975"/>
      <c r="W194" s="1978"/>
      <c r="X194" s="1978"/>
      <c r="Y194" s="1978"/>
      <c r="Z194" s="1978"/>
      <c r="AA194" s="1978"/>
      <c r="AB194" s="1978"/>
      <c r="AC194" s="1983">
        <f t="shared" ref="AC194:AD194" si="88">IF(OR(AC189&gt;=$F$25+$H$25+$I$25*12,AC189&lt;$F$25+$H$25),0,IF($I$25=0,0,$E$25/($I$25*12)))</f>
        <v>0</v>
      </c>
      <c r="AD194" s="1983">
        <f t="shared" si="88"/>
        <v>0</v>
      </c>
      <c r="AE194" s="1983">
        <f t="shared" ref="AE194:BL194" si="89">IF(OR(AE189&gt;=$F$25+$H$25+$I$25*12,AE189&lt;$F$25+$H$25),0,IF($I$25=0,0,$E$25/($I$25*12)))</f>
        <v>0</v>
      </c>
      <c r="AF194" s="1983">
        <f t="shared" si="89"/>
        <v>0</v>
      </c>
      <c r="AG194" s="1983">
        <f t="shared" si="89"/>
        <v>0</v>
      </c>
      <c r="AH194" s="1983">
        <f t="shared" si="89"/>
        <v>0</v>
      </c>
      <c r="AI194" s="1983">
        <f t="shared" si="89"/>
        <v>0</v>
      </c>
      <c r="AJ194" s="1983">
        <f t="shared" si="89"/>
        <v>0</v>
      </c>
      <c r="AK194" s="1983">
        <f t="shared" si="89"/>
        <v>0</v>
      </c>
      <c r="AL194" s="1983">
        <f t="shared" si="89"/>
        <v>0</v>
      </c>
      <c r="AM194" s="1983">
        <f t="shared" si="89"/>
        <v>0</v>
      </c>
      <c r="AN194" s="1983">
        <f t="shared" si="89"/>
        <v>0</v>
      </c>
      <c r="AO194" s="1983">
        <f t="shared" si="89"/>
        <v>0</v>
      </c>
      <c r="AP194" s="1983">
        <f t="shared" si="89"/>
        <v>0</v>
      </c>
      <c r="AQ194" s="1983">
        <f t="shared" si="89"/>
        <v>0</v>
      </c>
      <c r="AR194" s="1983">
        <f t="shared" si="89"/>
        <v>0</v>
      </c>
      <c r="AS194" s="1983">
        <f t="shared" si="89"/>
        <v>0</v>
      </c>
      <c r="AT194" s="1983">
        <f t="shared" si="89"/>
        <v>0</v>
      </c>
      <c r="AU194" s="1983">
        <f t="shared" si="89"/>
        <v>0</v>
      </c>
      <c r="AV194" s="1983">
        <f t="shared" si="89"/>
        <v>0</v>
      </c>
      <c r="AW194" s="1983">
        <f t="shared" si="89"/>
        <v>0</v>
      </c>
      <c r="AX194" s="1983">
        <f t="shared" si="89"/>
        <v>0</v>
      </c>
      <c r="AY194" s="1983">
        <f t="shared" si="89"/>
        <v>0</v>
      </c>
      <c r="AZ194" s="1983">
        <f t="shared" si="89"/>
        <v>0</v>
      </c>
      <c r="BA194" s="1983">
        <f t="shared" si="89"/>
        <v>0</v>
      </c>
      <c r="BB194" s="1983">
        <f t="shared" si="89"/>
        <v>0</v>
      </c>
      <c r="BC194" s="1983">
        <f t="shared" si="89"/>
        <v>0</v>
      </c>
      <c r="BD194" s="1983">
        <f t="shared" si="89"/>
        <v>0</v>
      </c>
      <c r="BE194" s="1983">
        <f t="shared" si="89"/>
        <v>0</v>
      </c>
      <c r="BF194" s="1983">
        <f t="shared" si="89"/>
        <v>0</v>
      </c>
      <c r="BG194" s="1983">
        <f t="shared" si="89"/>
        <v>0</v>
      </c>
      <c r="BH194" s="1983">
        <f t="shared" si="89"/>
        <v>0</v>
      </c>
      <c r="BI194" s="1983">
        <f t="shared" si="89"/>
        <v>0</v>
      </c>
      <c r="BJ194" s="1983">
        <f t="shared" si="89"/>
        <v>0</v>
      </c>
      <c r="BK194" s="1983">
        <f t="shared" si="89"/>
        <v>0</v>
      </c>
      <c r="BL194" s="1983">
        <f t="shared" si="89"/>
        <v>0</v>
      </c>
      <c r="BV194" s="1225"/>
      <c r="CV194" s="445"/>
      <c r="CW194" s="2011"/>
      <c r="CX194" s="445"/>
    </row>
    <row r="195" spans="1:102" s="446" customFormat="1" ht="14.25" hidden="1" customHeight="1">
      <c r="A195" s="160"/>
      <c r="B195" s="160"/>
      <c r="C195" s="2311" t="str">
        <f>C166</f>
        <v>Kontokorrent</v>
      </c>
      <c r="D195" s="160" t="s">
        <v>683</v>
      </c>
      <c r="E195" s="2006"/>
      <c r="F195" s="2006"/>
      <c r="G195" s="2006"/>
      <c r="H195" s="2006"/>
      <c r="I195" s="2006"/>
      <c r="J195" s="2006"/>
      <c r="K195" s="2006"/>
      <c r="L195" s="2006"/>
      <c r="M195" s="2006"/>
      <c r="N195" s="2006"/>
      <c r="O195" s="2006"/>
      <c r="P195" s="2006"/>
      <c r="Q195" s="1983"/>
      <c r="R195" s="1983"/>
      <c r="S195" s="1983"/>
      <c r="T195" s="1983"/>
      <c r="U195" s="1983"/>
      <c r="V195" s="1975"/>
      <c r="W195" s="1978"/>
      <c r="X195" s="1978"/>
      <c r="Y195" s="1978"/>
      <c r="Z195" s="1978"/>
      <c r="AA195" s="1978"/>
      <c r="AB195" s="1978"/>
      <c r="AC195" s="1983">
        <f t="shared" ref="AC195:BL195" ca="1" si="90">IF($AC$188=$E$20,IF(AC189=$F$26,$E$26,0),0)</f>
        <v>0</v>
      </c>
      <c r="AD195" s="1983">
        <f t="shared" ca="1" si="90"/>
        <v>0</v>
      </c>
      <c r="AE195" s="1983">
        <f t="shared" ca="1" si="90"/>
        <v>0</v>
      </c>
      <c r="AF195" s="1983">
        <f t="shared" ca="1" si="90"/>
        <v>0</v>
      </c>
      <c r="AG195" s="1983">
        <f t="shared" ca="1" si="90"/>
        <v>0</v>
      </c>
      <c r="AH195" s="1983">
        <f t="shared" ca="1" si="90"/>
        <v>0</v>
      </c>
      <c r="AI195" s="1983">
        <f t="shared" ca="1" si="90"/>
        <v>0</v>
      </c>
      <c r="AJ195" s="1983">
        <f t="shared" ca="1" si="90"/>
        <v>0</v>
      </c>
      <c r="AK195" s="1983">
        <f t="shared" ca="1" si="90"/>
        <v>0</v>
      </c>
      <c r="AL195" s="1983">
        <f t="shared" ca="1" si="90"/>
        <v>0</v>
      </c>
      <c r="AM195" s="1983">
        <f t="shared" ca="1" si="90"/>
        <v>0</v>
      </c>
      <c r="AN195" s="1983">
        <f t="shared" ca="1" si="90"/>
        <v>0</v>
      </c>
      <c r="AO195" s="1983">
        <f t="shared" ca="1" si="90"/>
        <v>0</v>
      </c>
      <c r="AP195" s="1983">
        <f t="shared" ca="1" si="90"/>
        <v>0</v>
      </c>
      <c r="AQ195" s="1983">
        <f t="shared" ca="1" si="90"/>
        <v>0</v>
      </c>
      <c r="AR195" s="1983">
        <f t="shared" ca="1" si="90"/>
        <v>0</v>
      </c>
      <c r="AS195" s="1983">
        <f t="shared" ca="1" si="90"/>
        <v>0</v>
      </c>
      <c r="AT195" s="1983">
        <f t="shared" ca="1" si="90"/>
        <v>0</v>
      </c>
      <c r="AU195" s="1983">
        <f t="shared" ca="1" si="90"/>
        <v>0</v>
      </c>
      <c r="AV195" s="1983">
        <f t="shared" ca="1" si="90"/>
        <v>0</v>
      </c>
      <c r="AW195" s="1983">
        <f t="shared" ca="1" si="90"/>
        <v>0</v>
      </c>
      <c r="AX195" s="1983">
        <f t="shared" ca="1" si="90"/>
        <v>0</v>
      </c>
      <c r="AY195" s="1983">
        <f t="shared" ca="1" si="90"/>
        <v>0</v>
      </c>
      <c r="AZ195" s="1983">
        <f t="shared" ca="1" si="90"/>
        <v>0</v>
      </c>
      <c r="BA195" s="1983">
        <f t="shared" ca="1" si="90"/>
        <v>0</v>
      </c>
      <c r="BB195" s="1983">
        <f t="shared" ca="1" si="90"/>
        <v>0</v>
      </c>
      <c r="BC195" s="1983">
        <f t="shared" ca="1" si="90"/>
        <v>0</v>
      </c>
      <c r="BD195" s="1983">
        <f t="shared" ca="1" si="90"/>
        <v>0</v>
      </c>
      <c r="BE195" s="1983">
        <f t="shared" ca="1" si="90"/>
        <v>0</v>
      </c>
      <c r="BF195" s="1983">
        <f t="shared" ca="1" si="90"/>
        <v>0</v>
      </c>
      <c r="BG195" s="1983">
        <f t="shared" ca="1" si="90"/>
        <v>0</v>
      </c>
      <c r="BH195" s="1983">
        <f t="shared" ca="1" si="90"/>
        <v>0</v>
      </c>
      <c r="BI195" s="1983">
        <f t="shared" ca="1" si="90"/>
        <v>0</v>
      </c>
      <c r="BJ195" s="1983">
        <f t="shared" ca="1" si="90"/>
        <v>0</v>
      </c>
      <c r="BK195" s="1983">
        <f t="shared" ca="1" si="90"/>
        <v>0</v>
      </c>
      <c r="BL195" s="1983">
        <f t="shared" ca="1" si="90"/>
        <v>0</v>
      </c>
      <c r="BV195" s="1225"/>
      <c r="CV195" s="445"/>
      <c r="CW195" s="2011"/>
      <c r="CX195" s="445"/>
    </row>
    <row r="196" spans="1:102" s="446" customFormat="1" ht="14.25" hidden="1" customHeight="1">
      <c r="A196" s="160"/>
      <c r="B196" s="160"/>
      <c r="C196" s="2311"/>
      <c r="D196" s="160" t="s">
        <v>684</v>
      </c>
      <c r="E196" s="2006"/>
      <c r="F196" s="2006"/>
      <c r="G196" s="2006"/>
      <c r="H196" s="2006"/>
      <c r="I196" s="2006"/>
      <c r="J196" s="2006"/>
      <c r="K196" s="2006"/>
      <c r="L196" s="2006"/>
      <c r="M196" s="2006"/>
      <c r="N196" s="2006"/>
      <c r="O196" s="2006"/>
      <c r="P196" s="2006"/>
      <c r="Q196" s="1983"/>
      <c r="R196" s="1983"/>
      <c r="S196" s="1983"/>
      <c r="T196" s="1983"/>
      <c r="U196" s="1983"/>
      <c r="V196" s="1975"/>
      <c r="W196" s="1978"/>
      <c r="X196" s="1978"/>
      <c r="Y196" s="1978"/>
      <c r="Z196" s="1978"/>
      <c r="AA196" s="1978"/>
      <c r="AB196" s="1978"/>
      <c r="AC196" s="1983">
        <f t="shared" ref="AC196:AD196" si="91">IF($F$26=AC189,($E$26*$G$26)/12,0)</f>
        <v>0</v>
      </c>
      <c r="AD196" s="1983">
        <f t="shared" si="91"/>
        <v>0</v>
      </c>
      <c r="AE196" s="1983">
        <f t="shared" ref="AE196:BL196" si="92">IF($F$26=AE189,($E$26*$G$26)/12,0)</f>
        <v>0</v>
      </c>
      <c r="AF196" s="1983">
        <f t="shared" si="92"/>
        <v>0</v>
      </c>
      <c r="AG196" s="1983">
        <f t="shared" si="92"/>
        <v>0</v>
      </c>
      <c r="AH196" s="1983">
        <f t="shared" si="92"/>
        <v>0</v>
      </c>
      <c r="AI196" s="1983">
        <f t="shared" si="92"/>
        <v>0</v>
      </c>
      <c r="AJ196" s="1983">
        <f t="shared" si="92"/>
        <v>0</v>
      </c>
      <c r="AK196" s="1983">
        <f t="shared" si="92"/>
        <v>0</v>
      </c>
      <c r="AL196" s="1983">
        <f t="shared" si="92"/>
        <v>0</v>
      </c>
      <c r="AM196" s="1983">
        <f t="shared" si="92"/>
        <v>0</v>
      </c>
      <c r="AN196" s="1983">
        <f t="shared" si="92"/>
        <v>0</v>
      </c>
      <c r="AO196" s="1983">
        <f t="shared" si="92"/>
        <v>0</v>
      </c>
      <c r="AP196" s="1983">
        <f t="shared" si="92"/>
        <v>0</v>
      </c>
      <c r="AQ196" s="1983">
        <f t="shared" si="92"/>
        <v>0</v>
      </c>
      <c r="AR196" s="1983">
        <f t="shared" si="92"/>
        <v>0</v>
      </c>
      <c r="AS196" s="1983">
        <f t="shared" si="92"/>
        <v>0</v>
      </c>
      <c r="AT196" s="1983">
        <f t="shared" si="92"/>
        <v>0</v>
      </c>
      <c r="AU196" s="1983">
        <f t="shared" si="92"/>
        <v>0</v>
      </c>
      <c r="AV196" s="1983">
        <f t="shared" si="92"/>
        <v>0</v>
      </c>
      <c r="AW196" s="1983">
        <f t="shared" si="92"/>
        <v>0</v>
      </c>
      <c r="AX196" s="1983">
        <f t="shared" si="92"/>
        <v>0</v>
      </c>
      <c r="AY196" s="1983">
        <f t="shared" si="92"/>
        <v>0</v>
      </c>
      <c r="AZ196" s="1983">
        <f t="shared" si="92"/>
        <v>0</v>
      </c>
      <c r="BA196" s="1983">
        <f t="shared" si="92"/>
        <v>0</v>
      </c>
      <c r="BB196" s="1983">
        <f t="shared" si="92"/>
        <v>0</v>
      </c>
      <c r="BC196" s="1983">
        <f t="shared" si="92"/>
        <v>0</v>
      </c>
      <c r="BD196" s="1983">
        <f t="shared" si="92"/>
        <v>0</v>
      </c>
      <c r="BE196" s="1983">
        <f t="shared" si="92"/>
        <v>0</v>
      </c>
      <c r="BF196" s="1983">
        <f t="shared" si="92"/>
        <v>0</v>
      </c>
      <c r="BG196" s="1983">
        <f t="shared" si="92"/>
        <v>0</v>
      </c>
      <c r="BH196" s="1983">
        <f t="shared" si="92"/>
        <v>0</v>
      </c>
      <c r="BI196" s="1983">
        <f t="shared" si="92"/>
        <v>0</v>
      </c>
      <c r="BJ196" s="1983">
        <f t="shared" si="92"/>
        <v>0</v>
      </c>
      <c r="BK196" s="1983">
        <f t="shared" si="92"/>
        <v>0</v>
      </c>
      <c r="BL196" s="1983">
        <f t="shared" si="92"/>
        <v>0</v>
      </c>
      <c r="BV196" s="1225"/>
      <c r="CV196" s="445"/>
      <c r="CW196" s="2011"/>
      <c r="CX196" s="445"/>
    </row>
    <row r="197" spans="1:102" s="446" customFormat="1" ht="14.25" hidden="1" customHeight="1">
      <c r="A197" s="160"/>
      <c r="B197" s="160"/>
      <c r="C197" s="2311"/>
      <c r="D197" s="160" t="s">
        <v>685</v>
      </c>
      <c r="E197" s="2006"/>
      <c r="F197" s="2006"/>
      <c r="G197" s="2006"/>
      <c r="H197" s="2006"/>
      <c r="I197" s="2006"/>
      <c r="J197" s="2006"/>
      <c r="K197" s="2006"/>
      <c r="L197" s="2006"/>
      <c r="M197" s="2006"/>
      <c r="N197" s="2006"/>
      <c r="O197" s="2006"/>
      <c r="P197" s="2006"/>
      <c r="Q197" s="1983"/>
      <c r="R197" s="1983"/>
      <c r="S197" s="1983"/>
      <c r="T197" s="1983"/>
      <c r="U197" s="1983"/>
      <c r="V197" s="1975"/>
      <c r="W197" s="1978"/>
      <c r="X197" s="1978"/>
      <c r="Y197" s="1978"/>
      <c r="Z197" s="1978"/>
      <c r="AA197" s="1978"/>
      <c r="AB197" s="1978"/>
      <c r="AC197" s="1983">
        <f>IF(OR(AC189&gt;$F$26+$H$26+ $I$26*12,AC189&lt;$F$26),0,$E$26*$G$26/12)</f>
        <v>0</v>
      </c>
      <c r="AD197" s="1983">
        <f>IF(OR(AD189&gt;$F$26+$H$26+ $I$26*12,AD189&lt;$F$26),0,($E$26-SUM($AC$199:AD199))*$G$26/12)</f>
        <v>0</v>
      </c>
      <c r="AE197" s="1983">
        <f>IF(OR(AE189&gt;$F$26+$H$26+ $I$26*12,AE189&lt;$F$26),0,($E$26-SUM($AC$199:AE199))*$G$26/12)</f>
        <v>0</v>
      </c>
      <c r="AF197" s="1983">
        <f>IF(OR(AF189&gt;$F$26+$H$26+ $I$26*12,AF189&lt;$F$26),0,($E$26-SUM($AC$199:AF199))*$G$26/12)</f>
        <v>0</v>
      </c>
      <c r="AG197" s="1983">
        <f>IF(OR(AG189&gt;$F$26+$H$26+ $I$26*12,AG189&lt;$F$26),0,($E$26-SUM($AC$199:AG199))*$G$26/12)</f>
        <v>0</v>
      </c>
      <c r="AH197" s="1983">
        <f>IF(OR(AH189&gt;$F$26+$H$26+ $I$26*12,AH189&lt;$F$26),0,($E$26-SUM($AC$199:AH199))*$G$26/12)</f>
        <v>0</v>
      </c>
      <c r="AI197" s="1983">
        <f>IF(OR(AI189&gt;$F$26+$H$26+ $I$26*12,AI189&lt;$F$26),0,($E$26-SUM($AC$199:AI199))*$G$26/12)</f>
        <v>0</v>
      </c>
      <c r="AJ197" s="1983">
        <f>IF(OR(AJ189&gt;$F$26+$H$26+ $I$26*12,AJ189&lt;$F$26),0,($E$26-SUM($AC$199:AJ199))*$G$26/12)</f>
        <v>0</v>
      </c>
      <c r="AK197" s="1983">
        <f>IF(OR(AK189&gt;$F$26+$H$26+ $I$26*12,AK189&lt;$F$26),0,($E$26-SUM($AC$199:AK199))*$G$26/12)</f>
        <v>0</v>
      </c>
      <c r="AL197" s="1983">
        <f>IF(OR(AL189&gt;$F$26+$H$26+ $I$26*12,AL189&lt;$F$26),0,($E$26-SUM($AC$199:AL199))*$G$26/12)</f>
        <v>0</v>
      </c>
      <c r="AM197" s="1983">
        <f>IF(OR(AM189&gt;$F$26+$H$26+ $I$26*12,AM189&lt;$F$26),0,($E$26-SUM($AC$199:AM199))*$G$26/12)</f>
        <v>0</v>
      </c>
      <c r="AN197" s="1983">
        <f>IF(OR(AN189&gt;$F$26+$H$26+ $I$26*12,AN189&lt;$F$26),0,($E$26-SUM($AC$199:AN199))*$G$26/12)</f>
        <v>0</v>
      </c>
      <c r="AO197" s="1983">
        <f>IF(OR(AO189&gt;$F$26+$H$26+ $I$26*12,AO189&lt;$F$26),0,($E$26-SUM($AC$199:AO199))*$G$26/12)</f>
        <v>0</v>
      </c>
      <c r="AP197" s="1983">
        <f>IF(OR(AP189&gt;$F$26+$H$26+ $I$26*12,AP189&lt;$F$26),0,($E$26-SUM($AC$199:AP199))*$G$26/12)</f>
        <v>0</v>
      </c>
      <c r="AQ197" s="1983">
        <f>IF(OR(AQ189&gt;$F$26+$H$26+ $I$26*12,AQ189&lt;$F$26),0,($E$26-SUM($AC$199:AQ199))*$G$26/12)</f>
        <v>0</v>
      </c>
      <c r="AR197" s="1983">
        <f>IF(OR(AR189&gt;$F$26+$H$26+ $I$26*12,AR189&lt;$F$26),0,($E$26-SUM($AC$199:AR199))*$G$26/12)</f>
        <v>0</v>
      </c>
      <c r="AS197" s="1983">
        <f>IF(OR(AS189&gt;$F$26+$H$26+ $I$26*12,AS189&lt;$F$26),0,($E$26-SUM($AC$199:AS199))*$G$26/12)</f>
        <v>0</v>
      </c>
      <c r="AT197" s="1983">
        <f>IF(OR(AT189&gt;$F$26+$H$26+ $I$26*12,AT189&lt;$F$26),0,($E$26-SUM($AC$199:AT199))*$G$26/12)</f>
        <v>0</v>
      </c>
      <c r="AU197" s="1983">
        <f>IF(OR(AU189&gt;$F$26+$H$26+ $I$26*12,AU189&lt;$F$26),0,($E$26-SUM($AC$199:AU199))*$G$26/12)</f>
        <v>0</v>
      </c>
      <c r="AV197" s="1983">
        <f>IF(OR(AV189&gt;$F$26+$H$26+ $I$26*12,AV189&lt;$F$26),0,($E$26-SUM($AC$199:AV199))*$G$26/12)</f>
        <v>0</v>
      </c>
      <c r="AW197" s="1983">
        <f>IF(OR(AW189&gt;$F$26+$H$26+ $I$26*12,AW189&lt;$F$26),0,($E$26-SUM($AC$199:AW199))*$G$26/12)</f>
        <v>0</v>
      </c>
      <c r="AX197" s="1983">
        <f>IF(OR(AX189&gt;$F$26+$H$26+ $I$26*12,AX189&lt;$F$26),0,($E$26-SUM($AC$199:AX199))*$G$26/12)</f>
        <v>0</v>
      </c>
      <c r="AY197" s="1983">
        <f>IF(OR(AY189&gt;$F$26+$H$26+ $I$26*12,AY189&lt;$F$26),0,($E$26-SUM($AC$199:AY199))*$G$26/12)</f>
        <v>0</v>
      </c>
      <c r="AZ197" s="1983">
        <f>IF(OR(AZ189&gt;$F$26+$H$26+ $I$26*12,AZ189&lt;$F$26),0,($E$26-SUM($AC$199:AZ199))*$G$26/12)</f>
        <v>0</v>
      </c>
      <c r="BA197" s="1983">
        <f>IF(OR(BA189&gt;$F$26+$H$26+ $I$26*12,BA189&lt;$F$26),0,($E$26-SUM($AC$199:BA199))*$G$26/12)</f>
        <v>0</v>
      </c>
      <c r="BB197" s="1983">
        <f>IF(OR(BB189&gt;$F$26+$H$26+ $I$26*12,BB189&lt;$F$26),0,($E$26-SUM($AC$199:BB199))*$G$26/12)</f>
        <v>0</v>
      </c>
      <c r="BC197" s="1983">
        <f>IF(OR(BC189&gt;$F$26+$H$26+ $I$26*12,BC189&lt;$F$26),0,($E$26-SUM($AC$199:BC199))*$G$26/12)</f>
        <v>0</v>
      </c>
      <c r="BD197" s="1983">
        <f>IF(OR(BD189&gt;$F$26+$H$26+ $I$26*12,BD189&lt;$F$26),0,($E$26-SUM($AC$199:BD199))*$G$26/12)</f>
        <v>0</v>
      </c>
      <c r="BE197" s="1983">
        <f>IF(OR(BE189&gt;$F$26+$H$26+ $I$26*12,BE189&lt;$F$26),0,($E$26-SUM($AC$199:BE199))*$G$26/12)</f>
        <v>0</v>
      </c>
      <c r="BF197" s="1983">
        <f>IF(OR(BF189&gt;$F$26+$H$26+ $I$26*12,BF189&lt;$F$26),0,($E$26-SUM($AC$199:BF199))*$G$26/12)</f>
        <v>0</v>
      </c>
      <c r="BG197" s="1983">
        <f>IF(OR(BG189&gt;$F$26+$H$26+ $I$26*12,BG189&lt;$F$26),0,($E$26-SUM($AC$199:BG199))*$G$26/12)</f>
        <v>0</v>
      </c>
      <c r="BH197" s="1983">
        <f>IF(OR(BH189&gt;$F$26+$H$26+ $I$26*12,BH189&lt;$F$26),0,($E$26-SUM($AC$199:BH199))*$G$26/12)</f>
        <v>0</v>
      </c>
      <c r="BI197" s="1983">
        <f>IF(OR(BI189&gt;$F$26+$H$26+ $I$26*12,BI189&lt;$F$26),0,($E$26-SUM($AC$199:BI199))*$G$26/12)</f>
        <v>0</v>
      </c>
      <c r="BJ197" s="1983">
        <f>IF(OR(BJ189&gt;$F$26+$H$26+ $I$26*12,BJ189&lt;$F$26),0,($E$26-SUM($AC$199:BJ199))*$G$26/12)</f>
        <v>0</v>
      </c>
      <c r="BK197" s="1983">
        <f>IF(OR(BK189&gt;$F$26+$H$26+ $I$26*12,BK189&lt;$F$26),0,($E$26-SUM($AC$199:BK199))*$G$26/12)</f>
        <v>0</v>
      </c>
      <c r="BL197" s="1983">
        <f>IF(OR(BL189&gt;$F$26+$H$26+ $I$26*12,BL189&lt;$F$26),0,($E$26-SUM($AC$199:BL199))*$G$26/12)</f>
        <v>0</v>
      </c>
      <c r="BV197" s="1225"/>
      <c r="CV197" s="445"/>
      <c r="CW197" s="2011"/>
      <c r="CX197" s="445"/>
    </row>
    <row r="198" spans="1:102" s="446" customFormat="1" ht="14.25" hidden="1" customHeight="1">
      <c r="A198" s="160"/>
      <c r="B198" s="160"/>
      <c r="C198" s="2311"/>
      <c r="D198" s="160" t="s">
        <v>120</v>
      </c>
      <c r="E198" s="2006"/>
      <c r="F198" s="2006"/>
      <c r="G198" s="2006"/>
      <c r="H198" s="2006"/>
      <c r="I198" s="2006"/>
      <c r="J198" s="2006"/>
      <c r="K198" s="2006"/>
      <c r="L198" s="2006"/>
      <c r="M198" s="2006"/>
      <c r="N198" s="2006"/>
      <c r="O198" s="2006"/>
      <c r="P198" s="2006"/>
      <c r="Q198" s="1983"/>
      <c r="R198" s="1983"/>
      <c r="S198" s="1983"/>
      <c r="T198" s="1983"/>
      <c r="U198" s="1983"/>
      <c r="V198" s="1975"/>
      <c r="W198" s="1978"/>
      <c r="X198" s="1978"/>
      <c r="Y198" s="1978"/>
      <c r="Z198" s="1978"/>
      <c r="AA198" s="1978"/>
      <c r="AB198" s="1978"/>
      <c r="AC198" s="1983">
        <f t="shared" ref="AC198:AD198" si="93">IF($F$26+$H$26=AC189,IF($I$26=0,0,$E$26/($I$26*12)),0)</f>
        <v>0</v>
      </c>
      <c r="AD198" s="1983">
        <f t="shared" si="93"/>
        <v>0</v>
      </c>
      <c r="AE198" s="1983">
        <f t="shared" ref="AE198:BL198" si="94">IF($F$26+$H$26=AE189,IF($I$26=0,0,$E$26/($I$26*12)),0)</f>
        <v>0</v>
      </c>
      <c r="AF198" s="1983">
        <f t="shared" si="94"/>
        <v>0</v>
      </c>
      <c r="AG198" s="1983">
        <f t="shared" si="94"/>
        <v>0</v>
      </c>
      <c r="AH198" s="1983">
        <f t="shared" si="94"/>
        <v>0</v>
      </c>
      <c r="AI198" s="1983">
        <f t="shared" si="94"/>
        <v>0</v>
      </c>
      <c r="AJ198" s="1983">
        <f t="shared" si="94"/>
        <v>0</v>
      </c>
      <c r="AK198" s="1983">
        <f t="shared" si="94"/>
        <v>0</v>
      </c>
      <c r="AL198" s="1983">
        <f t="shared" si="94"/>
        <v>0</v>
      </c>
      <c r="AM198" s="1983">
        <f t="shared" si="94"/>
        <v>0</v>
      </c>
      <c r="AN198" s="1983">
        <f t="shared" si="94"/>
        <v>0</v>
      </c>
      <c r="AO198" s="1983">
        <f t="shared" si="94"/>
        <v>0</v>
      </c>
      <c r="AP198" s="1983">
        <f t="shared" si="94"/>
        <v>0</v>
      </c>
      <c r="AQ198" s="1983">
        <f t="shared" si="94"/>
        <v>0</v>
      </c>
      <c r="AR198" s="1983">
        <f t="shared" si="94"/>
        <v>0</v>
      </c>
      <c r="AS198" s="1983">
        <f t="shared" si="94"/>
        <v>0</v>
      </c>
      <c r="AT198" s="1983">
        <f t="shared" si="94"/>
        <v>0</v>
      </c>
      <c r="AU198" s="1983">
        <f t="shared" si="94"/>
        <v>0</v>
      </c>
      <c r="AV198" s="1983">
        <f t="shared" si="94"/>
        <v>0</v>
      </c>
      <c r="AW198" s="1983">
        <f t="shared" si="94"/>
        <v>0</v>
      </c>
      <c r="AX198" s="1983">
        <f t="shared" si="94"/>
        <v>0</v>
      </c>
      <c r="AY198" s="1983">
        <f t="shared" si="94"/>
        <v>0</v>
      </c>
      <c r="AZ198" s="1983">
        <f t="shared" si="94"/>
        <v>0</v>
      </c>
      <c r="BA198" s="1983">
        <f t="shared" si="94"/>
        <v>0</v>
      </c>
      <c r="BB198" s="1983">
        <f t="shared" si="94"/>
        <v>0</v>
      </c>
      <c r="BC198" s="1983">
        <f t="shared" si="94"/>
        <v>0</v>
      </c>
      <c r="BD198" s="1983">
        <f t="shared" si="94"/>
        <v>0</v>
      </c>
      <c r="BE198" s="1983">
        <f t="shared" si="94"/>
        <v>0</v>
      </c>
      <c r="BF198" s="1983">
        <f t="shared" si="94"/>
        <v>0</v>
      </c>
      <c r="BG198" s="1983">
        <f t="shared" si="94"/>
        <v>0</v>
      </c>
      <c r="BH198" s="1983">
        <f t="shared" si="94"/>
        <v>0</v>
      </c>
      <c r="BI198" s="1983">
        <f t="shared" si="94"/>
        <v>0</v>
      </c>
      <c r="BJ198" s="1983">
        <f t="shared" si="94"/>
        <v>0</v>
      </c>
      <c r="BK198" s="1983">
        <f t="shared" si="94"/>
        <v>0</v>
      </c>
      <c r="BL198" s="1983">
        <f t="shared" si="94"/>
        <v>0</v>
      </c>
      <c r="BV198" s="1225"/>
      <c r="CV198" s="445"/>
      <c r="CW198" s="2011"/>
      <c r="CX198" s="445"/>
    </row>
    <row r="199" spans="1:102" s="446" customFormat="1" ht="14.25" hidden="1" customHeight="1">
      <c r="A199" s="160"/>
      <c r="B199" s="160"/>
      <c r="C199" s="2311"/>
      <c r="D199" s="160" t="s">
        <v>686</v>
      </c>
      <c r="E199" s="2006"/>
      <c r="F199" s="2006"/>
      <c r="G199" s="2006"/>
      <c r="H199" s="2006"/>
      <c r="I199" s="2006"/>
      <c r="J199" s="2006"/>
      <c r="K199" s="2006"/>
      <c r="L199" s="2006"/>
      <c r="M199" s="2006"/>
      <c r="N199" s="2006"/>
      <c r="O199" s="2006"/>
      <c r="P199" s="2006"/>
      <c r="Q199" s="1983"/>
      <c r="R199" s="1983"/>
      <c r="S199" s="1983"/>
      <c r="T199" s="1983"/>
      <c r="U199" s="1983"/>
      <c r="V199" s="1975"/>
      <c r="W199" s="1978"/>
      <c r="X199" s="1978"/>
      <c r="Y199" s="1978"/>
      <c r="Z199" s="1978"/>
      <c r="AA199" s="1978"/>
      <c r="AB199" s="1978"/>
      <c r="AC199" s="1983">
        <f>IF(OR(AC189&gt;=$F$26+$H$26+$I$26*12,AC189&lt;$F$26+$H$26),0,IF($I$26=0,0,$E$26/($I$26*12)))</f>
        <v>0</v>
      </c>
      <c r="AD199" s="1983">
        <f t="shared" ref="AD199:AE199" si="95">IF(OR(AD189&gt;=$F$26+$H$26+$I$26*12,AD189&lt;$F$26+$H$26),0,IF($I$26=0,0,$E$26/($I$26*12)))</f>
        <v>0</v>
      </c>
      <c r="AE199" s="1983">
        <f t="shared" si="95"/>
        <v>0</v>
      </c>
      <c r="AF199" s="1983">
        <f t="shared" ref="AF199:BL199" si="96">IF(OR(AF189&gt;=$F$26+$H$26+$I$26*12,AF189&lt;$F$26+$H$26),0,IF($I$26=0,0,$E$26/($I$26*12)))</f>
        <v>0</v>
      </c>
      <c r="AG199" s="1983">
        <f t="shared" si="96"/>
        <v>0</v>
      </c>
      <c r="AH199" s="1983">
        <f t="shared" si="96"/>
        <v>0</v>
      </c>
      <c r="AI199" s="1983">
        <f t="shared" si="96"/>
        <v>0</v>
      </c>
      <c r="AJ199" s="1983">
        <f t="shared" si="96"/>
        <v>0</v>
      </c>
      <c r="AK199" s="1983">
        <f t="shared" si="96"/>
        <v>0</v>
      </c>
      <c r="AL199" s="1983">
        <f t="shared" si="96"/>
        <v>0</v>
      </c>
      <c r="AM199" s="1983">
        <f t="shared" si="96"/>
        <v>0</v>
      </c>
      <c r="AN199" s="1983">
        <f t="shared" si="96"/>
        <v>0</v>
      </c>
      <c r="AO199" s="1983">
        <f t="shared" si="96"/>
        <v>0</v>
      </c>
      <c r="AP199" s="1983">
        <f t="shared" si="96"/>
        <v>0</v>
      </c>
      <c r="AQ199" s="1983">
        <f t="shared" si="96"/>
        <v>0</v>
      </c>
      <c r="AR199" s="1983">
        <f t="shared" si="96"/>
        <v>0</v>
      </c>
      <c r="AS199" s="1983">
        <f t="shared" si="96"/>
        <v>0</v>
      </c>
      <c r="AT199" s="1983">
        <f t="shared" si="96"/>
        <v>0</v>
      </c>
      <c r="AU199" s="1983">
        <f t="shared" si="96"/>
        <v>0</v>
      </c>
      <c r="AV199" s="1983">
        <f t="shared" si="96"/>
        <v>0</v>
      </c>
      <c r="AW199" s="1983">
        <f t="shared" si="96"/>
        <v>0</v>
      </c>
      <c r="AX199" s="1983">
        <f t="shared" si="96"/>
        <v>0</v>
      </c>
      <c r="AY199" s="1983">
        <f t="shared" si="96"/>
        <v>0</v>
      </c>
      <c r="AZ199" s="1983">
        <f t="shared" si="96"/>
        <v>0</v>
      </c>
      <c r="BA199" s="1983">
        <f t="shared" si="96"/>
        <v>0</v>
      </c>
      <c r="BB199" s="1983">
        <f t="shared" si="96"/>
        <v>0</v>
      </c>
      <c r="BC199" s="1983">
        <f t="shared" si="96"/>
        <v>0</v>
      </c>
      <c r="BD199" s="1983">
        <f t="shared" si="96"/>
        <v>0</v>
      </c>
      <c r="BE199" s="1983">
        <f t="shared" si="96"/>
        <v>0</v>
      </c>
      <c r="BF199" s="1983">
        <f t="shared" si="96"/>
        <v>0</v>
      </c>
      <c r="BG199" s="1983">
        <f t="shared" si="96"/>
        <v>0</v>
      </c>
      <c r="BH199" s="1983">
        <f t="shared" si="96"/>
        <v>0</v>
      </c>
      <c r="BI199" s="1983">
        <f t="shared" si="96"/>
        <v>0</v>
      </c>
      <c r="BJ199" s="1983">
        <f t="shared" si="96"/>
        <v>0</v>
      </c>
      <c r="BK199" s="1983">
        <f t="shared" si="96"/>
        <v>0</v>
      </c>
      <c r="BL199" s="1983">
        <f t="shared" si="96"/>
        <v>0</v>
      </c>
      <c r="BV199" s="1225"/>
      <c r="CV199" s="445"/>
      <c r="CW199" s="2011"/>
      <c r="CX199" s="445"/>
    </row>
    <row r="200" spans="1:102" s="446" customFormat="1" ht="14.25" hidden="1" customHeight="1">
      <c r="A200" s="160"/>
      <c r="B200" s="160"/>
      <c r="C200" s="2311" t="str">
        <f>C171</f>
        <v>L - Bank-Darlehen</v>
      </c>
      <c r="D200" s="160" t="s">
        <v>683</v>
      </c>
      <c r="E200" s="2006"/>
      <c r="F200" s="2006"/>
      <c r="G200" s="2006"/>
      <c r="H200" s="2006"/>
      <c r="I200" s="2006"/>
      <c r="J200" s="2006"/>
      <c r="K200" s="2006"/>
      <c r="L200" s="2006"/>
      <c r="M200" s="2006"/>
      <c r="N200" s="2006"/>
      <c r="O200" s="2006"/>
      <c r="P200" s="2006"/>
      <c r="Q200" s="1983"/>
      <c r="R200" s="1983"/>
      <c r="S200" s="1983"/>
      <c r="T200" s="1983"/>
      <c r="U200" s="1983"/>
      <c r="V200" s="1975"/>
      <c r="W200" s="1978"/>
      <c r="X200" s="1978"/>
      <c r="Y200" s="1978"/>
      <c r="Z200" s="1978"/>
      <c r="AA200" s="1978"/>
      <c r="AB200" s="1978"/>
      <c r="AC200" s="1983">
        <f t="shared" ref="AC200:BL200" ca="1" si="97">IF($AC$188=$E$20,IF(AC189=$F$27,$E$27,0),0)</f>
        <v>0</v>
      </c>
      <c r="AD200" s="1983">
        <f t="shared" ca="1" si="97"/>
        <v>0</v>
      </c>
      <c r="AE200" s="1983">
        <f t="shared" ca="1" si="97"/>
        <v>0</v>
      </c>
      <c r="AF200" s="1983">
        <f t="shared" ca="1" si="97"/>
        <v>0</v>
      </c>
      <c r="AG200" s="1983">
        <f t="shared" ca="1" si="97"/>
        <v>0</v>
      </c>
      <c r="AH200" s="1983">
        <f t="shared" ca="1" si="97"/>
        <v>0</v>
      </c>
      <c r="AI200" s="1983">
        <f t="shared" ca="1" si="97"/>
        <v>0</v>
      </c>
      <c r="AJ200" s="1983">
        <f t="shared" ca="1" si="97"/>
        <v>0</v>
      </c>
      <c r="AK200" s="1983">
        <f t="shared" ca="1" si="97"/>
        <v>0</v>
      </c>
      <c r="AL200" s="1983">
        <f t="shared" ca="1" si="97"/>
        <v>0</v>
      </c>
      <c r="AM200" s="1983">
        <f t="shared" ca="1" si="97"/>
        <v>0</v>
      </c>
      <c r="AN200" s="1983">
        <f t="shared" ca="1" si="97"/>
        <v>0</v>
      </c>
      <c r="AO200" s="1983">
        <f t="shared" ca="1" si="97"/>
        <v>0</v>
      </c>
      <c r="AP200" s="1983">
        <f t="shared" ca="1" si="97"/>
        <v>0</v>
      </c>
      <c r="AQ200" s="1983">
        <f t="shared" ca="1" si="97"/>
        <v>0</v>
      </c>
      <c r="AR200" s="1983">
        <f t="shared" ca="1" si="97"/>
        <v>0</v>
      </c>
      <c r="AS200" s="1983">
        <f t="shared" ca="1" si="97"/>
        <v>0</v>
      </c>
      <c r="AT200" s="1983">
        <f t="shared" ca="1" si="97"/>
        <v>0</v>
      </c>
      <c r="AU200" s="1983">
        <f t="shared" ca="1" si="97"/>
        <v>0</v>
      </c>
      <c r="AV200" s="1983">
        <f t="shared" ca="1" si="97"/>
        <v>0</v>
      </c>
      <c r="AW200" s="1983">
        <f t="shared" ca="1" si="97"/>
        <v>0</v>
      </c>
      <c r="AX200" s="1983">
        <f t="shared" ca="1" si="97"/>
        <v>0</v>
      </c>
      <c r="AY200" s="1983">
        <f t="shared" ca="1" si="97"/>
        <v>0</v>
      </c>
      <c r="AZ200" s="1983">
        <f t="shared" ca="1" si="97"/>
        <v>0</v>
      </c>
      <c r="BA200" s="1983">
        <f t="shared" ca="1" si="97"/>
        <v>0</v>
      </c>
      <c r="BB200" s="1983">
        <f t="shared" ca="1" si="97"/>
        <v>0</v>
      </c>
      <c r="BC200" s="1983">
        <f t="shared" ca="1" si="97"/>
        <v>0</v>
      </c>
      <c r="BD200" s="1983">
        <f t="shared" ca="1" si="97"/>
        <v>0</v>
      </c>
      <c r="BE200" s="1983">
        <f t="shared" ca="1" si="97"/>
        <v>0</v>
      </c>
      <c r="BF200" s="1983">
        <f t="shared" ca="1" si="97"/>
        <v>0</v>
      </c>
      <c r="BG200" s="1983">
        <f t="shared" ca="1" si="97"/>
        <v>0</v>
      </c>
      <c r="BH200" s="1983">
        <f t="shared" ca="1" si="97"/>
        <v>0</v>
      </c>
      <c r="BI200" s="1983">
        <f t="shared" ca="1" si="97"/>
        <v>0</v>
      </c>
      <c r="BJ200" s="1983">
        <f t="shared" ca="1" si="97"/>
        <v>0</v>
      </c>
      <c r="BK200" s="1983">
        <f t="shared" ca="1" si="97"/>
        <v>0</v>
      </c>
      <c r="BL200" s="1983">
        <f t="shared" ca="1" si="97"/>
        <v>0</v>
      </c>
      <c r="BV200" s="1225"/>
      <c r="CV200" s="445"/>
      <c r="CW200" s="2011"/>
      <c r="CX200" s="445"/>
    </row>
    <row r="201" spans="1:102" s="446" customFormat="1" ht="14.25" hidden="1" customHeight="1">
      <c r="A201" s="160"/>
      <c r="B201" s="160"/>
      <c r="C201" s="2311"/>
      <c r="D201" s="160" t="s">
        <v>684</v>
      </c>
      <c r="E201" s="2006"/>
      <c r="F201" s="2006"/>
      <c r="G201" s="2006"/>
      <c r="H201" s="2006"/>
      <c r="I201" s="2006"/>
      <c r="J201" s="2006"/>
      <c r="K201" s="2006"/>
      <c r="L201" s="2006"/>
      <c r="M201" s="2006"/>
      <c r="N201" s="2006"/>
      <c r="O201" s="2006"/>
      <c r="P201" s="2006"/>
      <c r="Q201" s="1983"/>
      <c r="R201" s="1983"/>
      <c r="S201" s="1983"/>
      <c r="T201" s="1983"/>
      <c r="U201" s="1983"/>
      <c r="V201" s="1975"/>
      <c r="W201" s="1978"/>
      <c r="X201" s="1978"/>
      <c r="Y201" s="1978"/>
      <c r="Z201" s="1978"/>
      <c r="AA201" s="1978"/>
      <c r="AB201" s="1978"/>
      <c r="AC201" s="1983">
        <f t="shared" ref="AC201:AD201" si="98">IF($F$27=AC189,($E$27*$G$27)/12,0)</f>
        <v>0</v>
      </c>
      <c r="AD201" s="1983">
        <f t="shared" si="98"/>
        <v>0</v>
      </c>
      <c r="AE201" s="1983">
        <f t="shared" ref="AE201:BL201" si="99">IF($F$27=AE189,($E$27*$G$27)/12,0)</f>
        <v>0</v>
      </c>
      <c r="AF201" s="1983">
        <f t="shared" si="99"/>
        <v>0</v>
      </c>
      <c r="AG201" s="1983">
        <f t="shared" si="99"/>
        <v>0</v>
      </c>
      <c r="AH201" s="1983">
        <f t="shared" si="99"/>
        <v>0</v>
      </c>
      <c r="AI201" s="1983">
        <f t="shared" si="99"/>
        <v>0</v>
      </c>
      <c r="AJ201" s="1983">
        <f t="shared" si="99"/>
        <v>0</v>
      </c>
      <c r="AK201" s="1983">
        <f t="shared" si="99"/>
        <v>0</v>
      </c>
      <c r="AL201" s="1983">
        <f t="shared" si="99"/>
        <v>0</v>
      </c>
      <c r="AM201" s="1983">
        <f t="shared" si="99"/>
        <v>0</v>
      </c>
      <c r="AN201" s="1983">
        <f t="shared" si="99"/>
        <v>0</v>
      </c>
      <c r="AO201" s="1983">
        <f t="shared" si="99"/>
        <v>0</v>
      </c>
      <c r="AP201" s="1983">
        <f t="shared" si="99"/>
        <v>0</v>
      </c>
      <c r="AQ201" s="1983">
        <f t="shared" si="99"/>
        <v>0</v>
      </c>
      <c r="AR201" s="1983">
        <f t="shared" si="99"/>
        <v>0</v>
      </c>
      <c r="AS201" s="1983">
        <f t="shared" si="99"/>
        <v>0</v>
      </c>
      <c r="AT201" s="1983">
        <f t="shared" si="99"/>
        <v>0</v>
      </c>
      <c r="AU201" s="1983">
        <f t="shared" si="99"/>
        <v>0</v>
      </c>
      <c r="AV201" s="1983">
        <f t="shared" si="99"/>
        <v>0</v>
      </c>
      <c r="AW201" s="1983">
        <f t="shared" si="99"/>
        <v>0</v>
      </c>
      <c r="AX201" s="1983">
        <f t="shared" si="99"/>
        <v>0</v>
      </c>
      <c r="AY201" s="1983">
        <f t="shared" si="99"/>
        <v>0</v>
      </c>
      <c r="AZ201" s="1983">
        <f t="shared" si="99"/>
        <v>0</v>
      </c>
      <c r="BA201" s="1983">
        <f t="shared" si="99"/>
        <v>0</v>
      </c>
      <c r="BB201" s="1983">
        <f t="shared" si="99"/>
        <v>0</v>
      </c>
      <c r="BC201" s="1983">
        <f t="shared" si="99"/>
        <v>0</v>
      </c>
      <c r="BD201" s="1983">
        <f t="shared" si="99"/>
        <v>0</v>
      </c>
      <c r="BE201" s="1983">
        <f t="shared" si="99"/>
        <v>0</v>
      </c>
      <c r="BF201" s="1983">
        <f t="shared" si="99"/>
        <v>0</v>
      </c>
      <c r="BG201" s="1983">
        <f t="shared" si="99"/>
        <v>0</v>
      </c>
      <c r="BH201" s="1983">
        <f t="shared" si="99"/>
        <v>0</v>
      </c>
      <c r="BI201" s="1983">
        <f t="shared" si="99"/>
        <v>0</v>
      </c>
      <c r="BJ201" s="1983">
        <f t="shared" si="99"/>
        <v>0</v>
      </c>
      <c r="BK201" s="1983">
        <f t="shared" si="99"/>
        <v>0</v>
      </c>
      <c r="BL201" s="1983">
        <f t="shared" si="99"/>
        <v>0</v>
      </c>
      <c r="BV201" s="1225"/>
      <c r="CV201" s="445"/>
      <c r="CW201" s="2011"/>
      <c r="CX201" s="445"/>
    </row>
    <row r="202" spans="1:102" s="446" customFormat="1" ht="14.25" hidden="1" customHeight="1">
      <c r="A202" s="160"/>
      <c r="B202" s="160"/>
      <c r="C202" s="2311"/>
      <c r="D202" s="160" t="s">
        <v>685</v>
      </c>
      <c r="E202" s="2006"/>
      <c r="F202" s="2006"/>
      <c r="G202" s="2006"/>
      <c r="H202" s="2006"/>
      <c r="I202" s="2006"/>
      <c r="J202" s="2006"/>
      <c r="K202" s="2006"/>
      <c r="L202" s="2006"/>
      <c r="M202" s="2006"/>
      <c r="N202" s="2006"/>
      <c r="O202" s="2006"/>
      <c r="P202" s="2006"/>
      <c r="Q202" s="1983"/>
      <c r="R202" s="1983"/>
      <c r="S202" s="1983"/>
      <c r="T202" s="1983"/>
      <c r="U202" s="1983"/>
      <c r="V202" s="1975"/>
      <c r="W202" s="1978"/>
      <c r="X202" s="1978"/>
      <c r="Y202" s="1978"/>
      <c r="Z202" s="1978"/>
      <c r="AA202" s="1978"/>
      <c r="AB202" s="1978"/>
      <c r="AC202" s="1983">
        <f>IF(OR(AC189&gt;=$F$27+$H$27+$I$27*12,AC189&lt;$F$267+$F$27),0,$E$27*$G$27/12)</f>
        <v>0</v>
      </c>
      <c r="AD202" s="1983">
        <f>IF(OR(AD189&gt;$F$26+$H$26+ $I$26*12,AD189&lt;$F$26),0,($E$26-SUM($AC$204:AD204))*$G$26/12)</f>
        <v>0</v>
      </c>
      <c r="AE202" s="1983">
        <f>IF(OR(AE189&gt;$F$26+$H$26+ $I$26*12,AE189&lt;$F$26),0,($E$26-SUM($AC$204:AE204))*$G$26/12)</f>
        <v>0</v>
      </c>
      <c r="AF202" s="1983">
        <f>IF(OR(AF189&gt;$F$26+$H$26+ $I$26*12,AF189&lt;$F$26),0,($E$26-SUM($AC$204:AF204))*$G$26/12)</f>
        <v>0</v>
      </c>
      <c r="AG202" s="1983">
        <f>IF(OR(AG189&gt;$F$26+$H$26+ $I$26*12,AG189&lt;$F$26),0,($E$26-SUM($AC$204:AG204))*$G$26/12)</f>
        <v>0</v>
      </c>
      <c r="AH202" s="1983">
        <f>IF(OR(AH189&gt;$F$26+$H$26+ $I$26*12,AH189&lt;$F$26),0,($E$26-SUM($AC$204:AH204))*$G$26/12)</f>
        <v>0</v>
      </c>
      <c r="AI202" s="1983">
        <f>IF(OR(AI189&gt;$F$26+$H$26+ $I$26*12,AI189&lt;$F$26),0,($E$26-SUM($AC$204:AI204))*$G$26/12)</f>
        <v>0</v>
      </c>
      <c r="AJ202" s="1983">
        <f>IF(OR(AJ189&gt;$F$26+$H$26+ $I$26*12,AJ189&lt;$F$26),0,($E$26-SUM($AC$204:AJ204))*$G$26/12)</f>
        <v>0</v>
      </c>
      <c r="AK202" s="1983">
        <f>IF(OR(AK189&gt;$F$26+$H$26+ $I$26*12,AK189&lt;$F$26),0,($E$26-SUM($AC$204:AK204))*$G$26/12)</f>
        <v>0</v>
      </c>
      <c r="AL202" s="1983">
        <f>IF(OR(AL189&gt;$F$26+$H$26+ $I$26*12,AL189&lt;$F$26),0,($E$26-SUM($AC$204:AL204))*$G$26/12)</f>
        <v>0</v>
      </c>
      <c r="AM202" s="1983">
        <f>IF(OR(AM189&gt;$F$26+$H$26+ $I$26*12,AM189&lt;$F$26),0,($E$26-SUM($AC$204:AM204))*$G$26/12)</f>
        <v>0</v>
      </c>
      <c r="AN202" s="1983">
        <f>IF(OR(AN189&gt;$F$26+$H$26+ $I$26*12,AN189&lt;$F$26),0,($E$26-SUM($AC$204:AN204))*$G$26/12)</f>
        <v>0</v>
      </c>
      <c r="AO202" s="1983">
        <f>IF(OR(AO189&gt;$F$26+$H$26+ $I$26*12,AO189&lt;$F$26),0,($E$26-SUM($AC$204:AO204))*$G$26/12)</f>
        <v>0</v>
      </c>
      <c r="AP202" s="1983">
        <f>IF(OR(AP189&gt;$F$26+$H$26+ $I$26*12,AP189&lt;$F$26),0,($E$26-SUM($AC$204:AP204))*$G$26/12)</f>
        <v>0</v>
      </c>
      <c r="AQ202" s="1983">
        <f>IF(OR(AQ189&gt;$F$26+$H$26+ $I$26*12,AQ189&lt;$F$26),0,($E$26-SUM($AC$204:AQ204))*$G$26/12)</f>
        <v>0</v>
      </c>
      <c r="AR202" s="1983">
        <f>IF(OR(AR189&gt;$F$26+$H$26+ $I$26*12,AR189&lt;$F$26),0,($E$26-SUM($AC$204:AR204))*$G$26/12)</f>
        <v>0</v>
      </c>
      <c r="AS202" s="1983">
        <f>IF(OR(AS189&gt;$F$26+$H$26+ $I$26*12,AS189&lt;$F$26),0,($E$26-SUM($AC$204:AS204))*$G$26/12)</f>
        <v>0</v>
      </c>
      <c r="AT202" s="1983">
        <f>IF(OR(AT189&gt;$F$26+$H$26+ $I$26*12,AT189&lt;$F$26),0,($E$26-SUM($AC$204:AT204))*$G$26/12)</f>
        <v>0</v>
      </c>
      <c r="AU202" s="1983">
        <f>IF(OR(AU189&gt;$F$26+$H$26+ $I$26*12,AU189&lt;$F$26),0,($E$26-SUM($AC$204:AU204))*$G$26/12)</f>
        <v>0</v>
      </c>
      <c r="AV202" s="1983">
        <f>IF(OR(AV189&gt;$F$26+$H$26+ $I$26*12,AV189&lt;$F$26),0,($E$26-SUM($AC$204:AV204))*$G$26/12)</f>
        <v>0</v>
      </c>
      <c r="AW202" s="1983">
        <f>IF(OR(AW189&gt;$F$26+$H$26+ $I$26*12,AW189&lt;$F$26),0,($E$26-SUM($AC$204:AW204))*$G$26/12)</f>
        <v>0</v>
      </c>
      <c r="AX202" s="1983">
        <f>IF(OR(AX189&gt;$F$26+$H$26+ $I$26*12,AX189&lt;$F$26),0,($E$26-SUM($AC$204:AX204))*$G$26/12)</f>
        <v>0</v>
      </c>
      <c r="AY202" s="1983">
        <f>IF(OR(AY189&gt;$F$26+$H$26+ $I$26*12,AY189&lt;$F$26),0,($E$26-SUM($AC$204:AY204))*$G$26/12)</f>
        <v>0</v>
      </c>
      <c r="AZ202" s="1983">
        <f>IF(OR(AZ189&gt;$F$26+$H$26+ $I$26*12,AZ189&lt;$F$26),0,($E$26-SUM($AC$204:AZ204))*$G$26/12)</f>
        <v>0</v>
      </c>
      <c r="BA202" s="1983">
        <f>IF(OR(BA189&gt;$F$26+$H$26+ $I$26*12,BA189&lt;$F$26),0,($E$26-SUM($AC$204:BA204))*$G$26/12)</f>
        <v>0</v>
      </c>
      <c r="BB202" s="1983">
        <f>IF(OR(BB189&gt;$F$26+$H$26+ $I$26*12,BB189&lt;$F$26),0,($E$26-SUM($AC$204:BB204))*$G$26/12)</f>
        <v>0</v>
      </c>
      <c r="BC202" s="1983">
        <f>IF(OR(BC189&gt;$F$26+$H$26+ $I$26*12,BC189&lt;$F$26),0,($E$26-SUM($AC$204:BC204))*$G$26/12)</f>
        <v>0</v>
      </c>
      <c r="BD202" s="1983">
        <f>IF(OR(BD189&gt;$F$26+$H$26+ $I$26*12,BD189&lt;$F$26),0,($E$26-SUM($AC$204:BD204))*$G$26/12)</f>
        <v>0</v>
      </c>
      <c r="BE202" s="1983">
        <f>IF(OR(BE189&gt;$F$26+$H$26+ $I$26*12,BE189&lt;$F$26),0,($E$26-SUM($AC$204:BE204))*$G$26/12)</f>
        <v>0</v>
      </c>
      <c r="BF202" s="1983">
        <f>IF(OR(BF189&gt;$F$26+$H$26+ $I$26*12,BF189&lt;$F$26),0,($E$26-SUM($AC$204:BF204))*$G$26/12)</f>
        <v>0</v>
      </c>
      <c r="BG202" s="1983">
        <f>IF(OR(BG189&gt;$F$26+$H$26+ $I$26*12,BG189&lt;$F$26),0,($E$26-SUM($AC$204:BG204))*$G$26/12)</f>
        <v>0</v>
      </c>
      <c r="BH202" s="1983">
        <f>IF(OR(BH189&gt;$F$26+$H$26+ $I$26*12,BH189&lt;$F$26),0,($E$26-SUM($AC$204:BH204))*$G$26/12)</f>
        <v>0</v>
      </c>
      <c r="BI202" s="1983">
        <f>IF(OR(BI189&gt;$F$26+$H$26+ $I$26*12,BI189&lt;$F$26),0,($E$26-SUM($AC$204:BI204))*$G$26/12)</f>
        <v>0</v>
      </c>
      <c r="BJ202" s="1983">
        <f>IF(OR(BJ189&gt;$F$26+$H$26+ $I$26*12,BJ189&lt;$F$26),0,($E$26-SUM($AC$204:BJ204))*$G$26/12)</f>
        <v>0</v>
      </c>
      <c r="BK202" s="1983">
        <f>IF(OR(BK189&gt;$F$26+$H$26+ $I$26*12,BK189&lt;$F$26),0,($E$26-SUM($AC$204:BK204))*$G$26/12)</f>
        <v>0</v>
      </c>
      <c r="BL202" s="1983">
        <f>IF(OR(BL189&gt;$F$26+$H$26+ $I$26*12,BL189&lt;$F$26),0,($E$26-SUM($AC$204:BL204))*$G$26/12)</f>
        <v>0</v>
      </c>
      <c r="BV202" s="1225"/>
      <c r="CV202" s="445"/>
      <c r="CW202" s="2011"/>
      <c r="CX202" s="445"/>
    </row>
    <row r="203" spans="1:102" s="446" customFormat="1" ht="14.25" hidden="1" customHeight="1">
      <c r="A203" s="160"/>
      <c r="B203" s="160"/>
      <c r="C203" s="2311"/>
      <c r="D203" s="160" t="s">
        <v>120</v>
      </c>
      <c r="E203" s="2006"/>
      <c r="F203" s="2006"/>
      <c r="G203" s="2006"/>
      <c r="H203" s="2006"/>
      <c r="I203" s="2006"/>
      <c r="J203" s="2006"/>
      <c r="K203" s="2006"/>
      <c r="L203" s="2006"/>
      <c r="M203" s="2006"/>
      <c r="N203" s="2006"/>
      <c r="O203" s="2006"/>
      <c r="P203" s="2006"/>
      <c r="Q203" s="1983"/>
      <c r="R203" s="1983"/>
      <c r="S203" s="1983"/>
      <c r="T203" s="1983"/>
      <c r="U203" s="1983"/>
      <c r="V203" s="1975"/>
      <c r="W203" s="1978"/>
      <c r="X203" s="1978"/>
      <c r="Y203" s="1978"/>
      <c r="Z203" s="1978"/>
      <c r="AA203" s="1978"/>
      <c r="AB203" s="1978"/>
      <c r="AC203" s="1983">
        <f t="shared" ref="AC203:AD203" si="100">IF($F$27+$H$27=AC189,IF($I$27=0,0,$E$27/($I$27*12)),0)</f>
        <v>0</v>
      </c>
      <c r="AD203" s="1983">
        <f t="shared" si="100"/>
        <v>0</v>
      </c>
      <c r="AE203" s="1983">
        <f t="shared" ref="AE203:BL203" si="101">IF($F$27+$H$27=AE189,IF($I$27=0,0,$E$27/($I$27*12)),0)</f>
        <v>0</v>
      </c>
      <c r="AF203" s="1983">
        <f t="shared" si="101"/>
        <v>0</v>
      </c>
      <c r="AG203" s="1983">
        <f t="shared" si="101"/>
        <v>0</v>
      </c>
      <c r="AH203" s="1983">
        <f t="shared" si="101"/>
        <v>0</v>
      </c>
      <c r="AI203" s="1983">
        <f t="shared" si="101"/>
        <v>0</v>
      </c>
      <c r="AJ203" s="1983">
        <f t="shared" si="101"/>
        <v>0</v>
      </c>
      <c r="AK203" s="1983">
        <f t="shared" si="101"/>
        <v>0</v>
      </c>
      <c r="AL203" s="1983">
        <f t="shared" si="101"/>
        <v>0</v>
      </c>
      <c r="AM203" s="1983">
        <f t="shared" si="101"/>
        <v>0</v>
      </c>
      <c r="AN203" s="1983">
        <f t="shared" si="101"/>
        <v>0</v>
      </c>
      <c r="AO203" s="1983">
        <f t="shared" si="101"/>
        <v>0</v>
      </c>
      <c r="AP203" s="1983">
        <f t="shared" si="101"/>
        <v>0</v>
      </c>
      <c r="AQ203" s="1983">
        <f t="shared" si="101"/>
        <v>0</v>
      </c>
      <c r="AR203" s="1983">
        <f t="shared" si="101"/>
        <v>0</v>
      </c>
      <c r="AS203" s="1983">
        <f t="shared" si="101"/>
        <v>0</v>
      </c>
      <c r="AT203" s="1983">
        <f t="shared" si="101"/>
        <v>0</v>
      </c>
      <c r="AU203" s="1983">
        <f t="shared" si="101"/>
        <v>0</v>
      </c>
      <c r="AV203" s="1983">
        <f t="shared" si="101"/>
        <v>0</v>
      </c>
      <c r="AW203" s="1983">
        <f t="shared" si="101"/>
        <v>0</v>
      </c>
      <c r="AX203" s="1983">
        <f t="shared" si="101"/>
        <v>0</v>
      </c>
      <c r="AY203" s="1983">
        <f t="shared" si="101"/>
        <v>0</v>
      </c>
      <c r="AZ203" s="1983">
        <f t="shared" si="101"/>
        <v>0</v>
      </c>
      <c r="BA203" s="1983">
        <f t="shared" si="101"/>
        <v>0</v>
      </c>
      <c r="BB203" s="1983">
        <f t="shared" si="101"/>
        <v>0</v>
      </c>
      <c r="BC203" s="1983">
        <f t="shared" si="101"/>
        <v>0</v>
      </c>
      <c r="BD203" s="1983">
        <f t="shared" si="101"/>
        <v>0</v>
      </c>
      <c r="BE203" s="1983">
        <f t="shared" si="101"/>
        <v>0</v>
      </c>
      <c r="BF203" s="1983">
        <f t="shared" si="101"/>
        <v>0</v>
      </c>
      <c r="BG203" s="1983">
        <f t="shared" si="101"/>
        <v>0</v>
      </c>
      <c r="BH203" s="1983">
        <f t="shared" si="101"/>
        <v>0</v>
      </c>
      <c r="BI203" s="1983">
        <f t="shared" si="101"/>
        <v>0</v>
      </c>
      <c r="BJ203" s="1983">
        <f t="shared" si="101"/>
        <v>0</v>
      </c>
      <c r="BK203" s="1983">
        <f t="shared" si="101"/>
        <v>0</v>
      </c>
      <c r="BL203" s="1983">
        <f t="shared" si="101"/>
        <v>0</v>
      </c>
      <c r="BV203" s="1225"/>
      <c r="CV203" s="445"/>
      <c r="CW203" s="2011"/>
      <c r="CX203" s="445"/>
    </row>
    <row r="204" spans="1:102" s="446" customFormat="1" ht="14.25" hidden="1" customHeight="1">
      <c r="A204" s="160"/>
      <c r="B204" s="160"/>
      <c r="C204" s="2311"/>
      <c r="D204" s="160" t="s">
        <v>686</v>
      </c>
      <c r="E204" s="2006"/>
      <c r="F204" s="2006"/>
      <c r="G204" s="2006"/>
      <c r="H204" s="2006"/>
      <c r="I204" s="2006"/>
      <c r="J204" s="2006"/>
      <c r="K204" s="2006"/>
      <c r="L204" s="2006"/>
      <c r="M204" s="2006"/>
      <c r="N204" s="2006"/>
      <c r="O204" s="2006"/>
      <c r="P204" s="2006"/>
      <c r="Q204" s="1983"/>
      <c r="R204" s="1983"/>
      <c r="S204" s="1983"/>
      <c r="T204" s="1983"/>
      <c r="U204" s="1983"/>
      <c r="V204" s="1975"/>
      <c r="W204" s="1978"/>
      <c r="X204" s="1978"/>
      <c r="Y204" s="1978"/>
      <c r="Z204" s="1978"/>
      <c r="AA204" s="1978"/>
      <c r="AB204" s="1978"/>
      <c r="AC204" s="1983">
        <f t="shared" ref="AC204:AD204" si="102">IF(OR(AC189&gt;=$F$27+$H$27+$I$27*12,AC189&lt;$F$27+$H$27),0,IF($I$27=0,0,$E$27/($I$27*12)))</f>
        <v>0</v>
      </c>
      <c r="AD204" s="1983">
        <f t="shared" si="102"/>
        <v>0</v>
      </c>
      <c r="AE204" s="1983">
        <f t="shared" ref="AE204:BL204" si="103">IF(OR(AE189&gt;=$F$27+$H$27+$I$27*12,AE189&lt;$F$27+$H$27),0,IF($I$27=0,0,$E$27/($I$27*12)))</f>
        <v>0</v>
      </c>
      <c r="AF204" s="1983">
        <f t="shared" si="103"/>
        <v>0</v>
      </c>
      <c r="AG204" s="1983">
        <f t="shared" si="103"/>
        <v>0</v>
      </c>
      <c r="AH204" s="1983">
        <f t="shared" si="103"/>
        <v>0</v>
      </c>
      <c r="AI204" s="1983">
        <f t="shared" si="103"/>
        <v>0</v>
      </c>
      <c r="AJ204" s="1983">
        <f t="shared" si="103"/>
        <v>0</v>
      </c>
      <c r="AK204" s="1983">
        <f t="shared" si="103"/>
        <v>0</v>
      </c>
      <c r="AL204" s="1983">
        <f t="shared" si="103"/>
        <v>0</v>
      </c>
      <c r="AM204" s="1983">
        <f t="shared" si="103"/>
        <v>0</v>
      </c>
      <c r="AN204" s="1983">
        <f t="shared" si="103"/>
        <v>0</v>
      </c>
      <c r="AO204" s="1983">
        <f t="shared" si="103"/>
        <v>0</v>
      </c>
      <c r="AP204" s="1983">
        <f t="shared" si="103"/>
        <v>0</v>
      </c>
      <c r="AQ204" s="1983">
        <f t="shared" si="103"/>
        <v>0</v>
      </c>
      <c r="AR204" s="1983">
        <f t="shared" si="103"/>
        <v>0</v>
      </c>
      <c r="AS204" s="1983">
        <f t="shared" si="103"/>
        <v>0</v>
      </c>
      <c r="AT204" s="1983">
        <f t="shared" si="103"/>
        <v>0</v>
      </c>
      <c r="AU204" s="1983">
        <f t="shared" si="103"/>
        <v>0</v>
      </c>
      <c r="AV204" s="1983">
        <f t="shared" si="103"/>
        <v>0</v>
      </c>
      <c r="AW204" s="1983">
        <f t="shared" si="103"/>
        <v>0</v>
      </c>
      <c r="AX204" s="1983">
        <f t="shared" si="103"/>
        <v>0</v>
      </c>
      <c r="AY204" s="1983">
        <f t="shared" si="103"/>
        <v>0</v>
      </c>
      <c r="AZ204" s="1983">
        <f t="shared" si="103"/>
        <v>0</v>
      </c>
      <c r="BA204" s="1983">
        <f t="shared" si="103"/>
        <v>0</v>
      </c>
      <c r="BB204" s="1983">
        <f t="shared" si="103"/>
        <v>0</v>
      </c>
      <c r="BC204" s="1983">
        <f t="shared" si="103"/>
        <v>0</v>
      </c>
      <c r="BD204" s="1983">
        <f t="shared" si="103"/>
        <v>0</v>
      </c>
      <c r="BE204" s="1983">
        <f t="shared" si="103"/>
        <v>0</v>
      </c>
      <c r="BF204" s="1983">
        <f t="shared" si="103"/>
        <v>0</v>
      </c>
      <c r="BG204" s="1983">
        <f t="shared" si="103"/>
        <v>0</v>
      </c>
      <c r="BH204" s="1983">
        <f t="shared" si="103"/>
        <v>0</v>
      </c>
      <c r="BI204" s="1983">
        <f t="shared" si="103"/>
        <v>0</v>
      </c>
      <c r="BJ204" s="1983">
        <f t="shared" si="103"/>
        <v>0</v>
      </c>
      <c r="BK204" s="1983">
        <f t="shared" si="103"/>
        <v>0</v>
      </c>
      <c r="BL204" s="1983">
        <f t="shared" si="103"/>
        <v>0</v>
      </c>
      <c r="BV204" s="1225"/>
      <c r="CV204" s="445"/>
      <c r="CW204" s="2011"/>
      <c r="CX204" s="445"/>
    </row>
    <row r="205" spans="1:102" s="446" customFormat="1" ht="14.25" hidden="1" customHeight="1">
      <c r="A205" s="160"/>
      <c r="B205" s="160"/>
      <c r="C205" s="2311" t="str">
        <f>C176</f>
        <v>Wahl Kreditart</v>
      </c>
      <c r="D205" s="160" t="s">
        <v>683</v>
      </c>
      <c r="E205" s="2006"/>
      <c r="F205" s="2006"/>
      <c r="G205" s="2006"/>
      <c r="H205" s="2006"/>
      <c r="I205" s="2006"/>
      <c r="J205" s="2006"/>
      <c r="K205" s="2006"/>
      <c r="L205" s="2006"/>
      <c r="M205" s="2006"/>
      <c r="N205" s="2006"/>
      <c r="O205" s="2006"/>
      <c r="P205" s="2006"/>
      <c r="Q205" s="1983"/>
      <c r="R205" s="1983"/>
      <c r="S205" s="1983"/>
      <c r="T205" s="1983"/>
      <c r="U205" s="1983"/>
      <c r="V205" s="1975"/>
      <c r="W205" s="1978"/>
      <c r="X205" s="1978"/>
      <c r="Y205" s="1978"/>
      <c r="Z205" s="1978"/>
      <c r="AA205" s="1978"/>
      <c r="AB205" s="1978"/>
      <c r="AC205" s="1983">
        <f t="shared" ref="AC205:BL205" ca="1" si="104">IF($AC$188=$E$20,IF(AC189=$F$28,$E$28,0),0)</f>
        <v>0</v>
      </c>
      <c r="AD205" s="1983">
        <f t="shared" ca="1" si="104"/>
        <v>0</v>
      </c>
      <c r="AE205" s="1983">
        <f t="shared" ca="1" si="104"/>
        <v>0</v>
      </c>
      <c r="AF205" s="1983">
        <f t="shared" ca="1" si="104"/>
        <v>0</v>
      </c>
      <c r="AG205" s="1983">
        <f t="shared" ca="1" si="104"/>
        <v>0</v>
      </c>
      <c r="AH205" s="1983">
        <f t="shared" ca="1" si="104"/>
        <v>0</v>
      </c>
      <c r="AI205" s="1983">
        <f t="shared" ca="1" si="104"/>
        <v>0</v>
      </c>
      <c r="AJ205" s="1983">
        <f t="shared" ca="1" si="104"/>
        <v>0</v>
      </c>
      <c r="AK205" s="1983">
        <f t="shared" ca="1" si="104"/>
        <v>0</v>
      </c>
      <c r="AL205" s="1983">
        <f t="shared" ca="1" si="104"/>
        <v>0</v>
      </c>
      <c r="AM205" s="1983">
        <f t="shared" ca="1" si="104"/>
        <v>0</v>
      </c>
      <c r="AN205" s="1983">
        <f t="shared" ca="1" si="104"/>
        <v>0</v>
      </c>
      <c r="AO205" s="1983">
        <f t="shared" ca="1" si="104"/>
        <v>0</v>
      </c>
      <c r="AP205" s="1983">
        <f t="shared" ca="1" si="104"/>
        <v>0</v>
      </c>
      <c r="AQ205" s="1983">
        <f t="shared" ca="1" si="104"/>
        <v>0</v>
      </c>
      <c r="AR205" s="1983">
        <f t="shared" ca="1" si="104"/>
        <v>0</v>
      </c>
      <c r="AS205" s="1983">
        <f t="shared" ca="1" si="104"/>
        <v>0</v>
      </c>
      <c r="AT205" s="1983">
        <f t="shared" ca="1" si="104"/>
        <v>0</v>
      </c>
      <c r="AU205" s="1983">
        <f t="shared" ca="1" si="104"/>
        <v>0</v>
      </c>
      <c r="AV205" s="1983">
        <f t="shared" ca="1" si="104"/>
        <v>0</v>
      </c>
      <c r="AW205" s="1983">
        <f t="shared" ca="1" si="104"/>
        <v>0</v>
      </c>
      <c r="AX205" s="1983">
        <f t="shared" ca="1" si="104"/>
        <v>0</v>
      </c>
      <c r="AY205" s="1983">
        <f t="shared" ca="1" si="104"/>
        <v>0</v>
      </c>
      <c r="AZ205" s="1983">
        <f t="shared" ca="1" si="104"/>
        <v>0</v>
      </c>
      <c r="BA205" s="1983">
        <f t="shared" ca="1" si="104"/>
        <v>0</v>
      </c>
      <c r="BB205" s="1983">
        <f t="shared" ca="1" si="104"/>
        <v>0</v>
      </c>
      <c r="BC205" s="1983">
        <f t="shared" ca="1" si="104"/>
        <v>0</v>
      </c>
      <c r="BD205" s="1983">
        <f t="shared" ca="1" si="104"/>
        <v>0</v>
      </c>
      <c r="BE205" s="1983">
        <f t="shared" ca="1" si="104"/>
        <v>0</v>
      </c>
      <c r="BF205" s="1983">
        <f t="shared" ca="1" si="104"/>
        <v>0</v>
      </c>
      <c r="BG205" s="1983">
        <f t="shared" ca="1" si="104"/>
        <v>0</v>
      </c>
      <c r="BH205" s="1983">
        <f t="shared" ca="1" si="104"/>
        <v>0</v>
      </c>
      <c r="BI205" s="1983">
        <f t="shared" ca="1" si="104"/>
        <v>0</v>
      </c>
      <c r="BJ205" s="1983">
        <f t="shared" ca="1" si="104"/>
        <v>0</v>
      </c>
      <c r="BK205" s="1983">
        <f t="shared" ca="1" si="104"/>
        <v>0</v>
      </c>
      <c r="BL205" s="1983">
        <f t="shared" ca="1" si="104"/>
        <v>0</v>
      </c>
      <c r="BV205" s="1225"/>
      <c r="CV205" s="445"/>
      <c r="CW205" s="2011"/>
      <c r="CX205" s="445"/>
    </row>
    <row r="206" spans="1:102" s="446" customFormat="1" ht="14.25" hidden="1" customHeight="1">
      <c r="A206" s="160"/>
      <c r="B206" s="160"/>
      <c r="C206" s="2311"/>
      <c r="D206" s="160" t="s">
        <v>684</v>
      </c>
      <c r="E206" s="2006"/>
      <c r="F206" s="2006"/>
      <c r="G206" s="2006"/>
      <c r="H206" s="2006"/>
      <c r="I206" s="2006"/>
      <c r="J206" s="2006"/>
      <c r="K206" s="2006"/>
      <c r="L206" s="2006"/>
      <c r="M206" s="2006"/>
      <c r="N206" s="2006"/>
      <c r="O206" s="2006"/>
      <c r="P206" s="2006"/>
      <c r="Q206" s="1983"/>
      <c r="R206" s="1983"/>
      <c r="S206" s="1983"/>
      <c r="T206" s="1983"/>
      <c r="U206" s="1983"/>
      <c r="V206" s="1975"/>
      <c r="W206" s="1978"/>
      <c r="X206" s="1978"/>
      <c r="Y206" s="1978"/>
      <c r="Z206" s="1978"/>
      <c r="AA206" s="1978"/>
      <c r="AB206" s="1978"/>
      <c r="AC206" s="1983">
        <f t="shared" ref="AC206:AD206" si="105">IF($F$28=AC189,($E$28*$G$28)/12,0)</f>
        <v>0</v>
      </c>
      <c r="AD206" s="1983">
        <f t="shared" si="105"/>
        <v>0</v>
      </c>
      <c r="AE206" s="1983">
        <f t="shared" ref="AE206:BL206" si="106">IF($F$28=AE189,($E$28*$G$28)/12,0)</f>
        <v>0</v>
      </c>
      <c r="AF206" s="1983">
        <f t="shared" si="106"/>
        <v>0</v>
      </c>
      <c r="AG206" s="1983">
        <f t="shared" si="106"/>
        <v>0</v>
      </c>
      <c r="AH206" s="1983">
        <f t="shared" si="106"/>
        <v>0</v>
      </c>
      <c r="AI206" s="1983">
        <f t="shared" si="106"/>
        <v>0</v>
      </c>
      <c r="AJ206" s="1983">
        <f t="shared" si="106"/>
        <v>0</v>
      </c>
      <c r="AK206" s="1983">
        <f t="shared" si="106"/>
        <v>0</v>
      </c>
      <c r="AL206" s="1983">
        <f t="shared" si="106"/>
        <v>0</v>
      </c>
      <c r="AM206" s="1983">
        <f t="shared" si="106"/>
        <v>0</v>
      </c>
      <c r="AN206" s="1983">
        <f t="shared" si="106"/>
        <v>0</v>
      </c>
      <c r="AO206" s="1983">
        <f t="shared" si="106"/>
        <v>0</v>
      </c>
      <c r="AP206" s="1983">
        <f t="shared" si="106"/>
        <v>0</v>
      </c>
      <c r="AQ206" s="1983">
        <f t="shared" si="106"/>
        <v>0</v>
      </c>
      <c r="AR206" s="1983">
        <f t="shared" si="106"/>
        <v>0</v>
      </c>
      <c r="AS206" s="1983">
        <f t="shared" si="106"/>
        <v>0</v>
      </c>
      <c r="AT206" s="1983">
        <f t="shared" si="106"/>
        <v>0</v>
      </c>
      <c r="AU206" s="1983">
        <f t="shared" si="106"/>
        <v>0</v>
      </c>
      <c r="AV206" s="1983">
        <f t="shared" si="106"/>
        <v>0</v>
      </c>
      <c r="AW206" s="1983">
        <f t="shared" si="106"/>
        <v>0</v>
      </c>
      <c r="AX206" s="1983">
        <f t="shared" si="106"/>
        <v>0</v>
      </c>
      <c r="AY206" s="1983">
        <f t="shared" si="106"/>
        <v>0</v>
      </c>
      <c r="AZ206" s="1983">
        <f t="shared" si="106"/>
        <v>0</v>
      </c>
      <c r="BA206" s="1983">
        <f t="shared" si="106"/>
        <v>0</v>
      </c>
      <c r="BB206" s="1983">
        <f t="shared" si="106"/>
        <v>0</v>
      </c>
      <c r="BC206" s="1983">
        <f t="shared" si="106"/>
        <v>0</v>
      </c>
      <c r="BD206" s="1983">
        <f t="shared" si="106"/>
        <v>0</v>
      </c>
      <c r="BE206" s="1983">
        <f t="shared" si="106"/>
        <v>0</v>
      </c>
      <c r="BF206" s="1983">
        <f t="shared" si="106"/>
        <v>0</v>
      </c>
      <c r="BG206" s="1983">
        <f t="shared" si="106"/>
        <v>0</v>
      </c>
      <c r="BH206" s="1983">
        <f t="shared" si="106"/>
        <v>0</v>
      </c>
      <c r="BI206" s="1983">
        <f t="shared" si="106"/>
        <v>0</v>
      </c>
      <c r="BJ206" s="1983">
        <f t="shared" si="106"/>
        <v>0</v>
      </c>
      <c r="BK206" s="1983">
        <f t="shared" si="106"/>
        <v>0</v>
      </c>
      <c r="BL206" s="1983">
        <f t="shared" si="106"/>
        <v>0</v>
      </c>
      <c r="BV206" s="1225"/>
      <c r="CV206" s="445"/>
      <c r="CW206" s="2011"/>
      <c r="CX206" s="445"/>
    </row>
    <row r="207" spans="1:102" s="446" customFormat="1" ht="14.25" hidden="1" customHeight="1">
      <c r="A207" s="160"/>
      <c r="B207" s="160"/>
      <c r="C207" s="2311"/>
      <c r="D207" s="160" t="s">
        <v>685</v>
      </c>
      <c r="E207" s="2006"/>
      <c r="F207" s="2006"/>
      <c r="G207" s="2006"/>
      <c r="H207" s="2006"/>
      <c r="I207" s="2006"/>
      <c r="J207" s="2006"/>
      <c r="K207" s="2006"/>
      <c r="L207" s="2006"/>
      <c r="M207" s="2006"/>
      <c r="N207" s="2006"/>
      <c r="O207" s="2006"/>
      <c r="P207" s="2006"/>
      <c r="Q207" s="1983"/>
      <c r="R207" s="1983"/>
      <c r="S207" s="1983"/>
      <c r="T207" s="1983"/>
      <c r="U207" s="1983"/>
      <c r="V207" s="1975"/>
      <c r="W207" s="1978"/>
      <c r="X207" s="1978"/>
      <c r="Y207" s="1978"/>
      <c r="Z207" s="1978"/>
      <c r="AA207" s="1978"/>
      <c r="AB207" s="1978"/>
      <c r="AC207" s="1983">
        <f t="shared" ref="AC207" si="107">IF(OR(AC189&gt;=$F$28+$H$28+$I$28*12,AC189&lt;$F$28),0,$E$28*$G$28/12)</f>
        <v>0</v>
      </c>
      <c r="AD207" s="1983">
        <f>IF(OR(AD189&gt;$F$26+$H$26+ $I$26*12,AD189&lt;$F$26),0,($E$26-SUM($AC$209:AD209))*$G$26/12)</f>
        <v>0</v>
      </c>
      <c r="AE207" s="1983">
        <f>IF(OR(AE189&gt;$F$26+$H$26+ $I$26*12,AE189&lt;$F$26),0,($E$26-SUM($AC$209:AE209))*$G$26/12)</f>
        <v>0</v>
      </c>
      <c r="AF207" s="1983">
        <f>IF(OR(AF189&gt;$F$26+$H$26+ $I$26*12,AF189&lt;$F$26),0,($E$26-SUM($AC$209:AF209))*$G$26/12)</f>
        <v>0</v>
      </c>
      <c r="AG207" s="1983">
        <f>IF(OR(AG189&gt;$F$26+$H$26+ $I$26*12,AG189&lt;$F$26),0,($E$26-SUM($AC$209:AG209))*$G$26/12)</f>
        <v>0</v>
      </c>
      <c r="AH207" s="1983">
        <f>IF(OR(AH189&gt;$F$26+$H$26+ $I$26*12,AH189&lt;$F$26),0,($E$26-SUM($AC$209:AH209))*$G$26/12)</f>
        <v>0</v>
      </c>
      <c r="AI207" s="1983">
        <f>IF(OR(AI189&gt;$F$26+$H$26+ $I$26*12,AI189&lt;$F$26),0,($E$26-SUM($AC$209:AI209))*$G$26/12)</f>
        <v>0</v>
      </c>
      <c r="AJ207" s="1983">
        <f>IF(OR(AJ189&gt;$F$26+$H$26+ $I$26*12,AJ189&lt;$F$26),0,($E$26-SUM($AC$209:AJ209))*$G$26/12)</f>
        <v>0</v>
      </c>
      <c r="AK207" s="1983">
        <f>IF(OR(AK189&gt;$F$26+$H$26+ $I$26*12,AK189&lt;$F$26),0,($E$26-SUM($AC$209:AK209))*$G$26/12)</f>
        <v>0</v>
      </c>
      <c r="AL207" s="1983">
        <f>IF(OR(AL189&gt;$F$26+$H$26+ $I$26*12,AL189&lt;$F$26),0,($E$26-SUM($AC$209:AL209))*$G$26/12)</f>
        <v>0</v>
      </c>
      <c r="AM207" s="1983">
        <f>IF(OR(AM189&gt;$F$26+$H$26+ $I$26*12,AM189&lt;$F$26),0,($E$26-SUM($AC$209:AM209))*$G$26/12)</f>
        <v>0</v>
      </c>
      <c r="AN207" s="1983">
        <f>IF(OR(AN189&gt;$F$26+$H$26+ $I$26*12,AN189&lt;$F$26),0,($E$26-SUM($AC$209:AN209))*$G$26/12)</f>
        <v>0</v>
      </c>
      <c r="AO207" s="1983">
        <f>IF(OR(AO189&gt;$F$26+$H$26+ $I$26*12,AO189&lt;$F$26),0,($E$26-SUM($AC$209:AO209))*$G$26/12)</f>
        <v>0</v>
      </c>
      <c r="AP207" s="1983">
        <f>IF(OR(AP189&gt;$F$26+$H$26+ $I$26*12,AP189&lt;$F$26),0,($E$26-SUM($AC$209:AP209))*$G$26/12)</f>
        <v>0</v>
      </c>
      <c r="AQ207" s="1983">
        <f>IF(OR(AQ189&gt;$F$26+$H$26+ $I$26*12,AQ189&lt;$F$26),0,($E$26-SUM($AC$209:AQ209))*$G$26/12)</f>
        <v>0</v>
      </c>
      <c r="AR207" s="1983">
        <f>IF(OR(AR189&gt;$F$26+$H$26+ $I$26*12,AR189&lt;$F$26),0,($E$26-SUM($AC$209:AR209))*$G$26/12)</f>
        <v>0</v>
      </c>
      <c r="AS207" s="1983">
        <f>IF(OR(AS189&gt;$F$26+$H$26+ $I$26*12,AS189&lt;$F$26),0,($E$26-SUM($AC$209:AS209))*$G$26/12)</f>
        <v>0</v>
      </c>
      <c r="AT207" s="1983">
        <f>IF(OR(AT189&gt;$F$26+$H$26+ $I$26*12,AT189&lt;$F$26),0,($E$26-SUM($AC$209:AT209))*$G$26/12)</f>
        <v>0</v>
      </c>
      <c r="AU207" s="1983">
        <f>IF(OR(AU189&gt;$F$26+$H$26+ $I$26*12,AU189&lt;$F$26),0,($E$26-SUM($AC$209:AU209))*$G$26/12)</f>
        <v>0</v>
      </c>
      <c r="AV207" s="1983">
        <f>IF(OR(AV189&gt;$F$26+$H$26+ $I$26*12,AV189&lt;$F$26),0,($E$26-SUM($AC$209:AV209))*$G$26/12)</f>
        <v>0</v>
      </c>
      <c r="AW207" s="1983">
        <f>IF(OR(AW189&gt;$F$26+$H$26+ $I$26*12,AW189&lt;$F$26),0,($E$26-SUM($AC$209:AW209))*$G$26/12)</f>
        <v>0</v>
      </c>
      <c r="AX207" s="1983">
        <f>IF(OR(AX189&gt;$F$26+$H$26+ $I$26*12,AX189&lt;$F$26),0,($E$26-SUM($AC$209:AX209))*$G$26/12)</f>
        <v>0</v>
      </c>
      <c r="AY207" s="1983">
        <f>IF(OR(AY189&gt;$F$26+$H$26+ $I$26*12,AY189&lt;$F$26),0,($E$26-SUM($AC$209:AY209))*$G$26/12)</f>
        <v>0</v>
      </c>
      <c r="AZ207" s="1983">
        <f>IF(OR(AZ189&gt;$F$26+$H$26+ $I$26*12,AZ189&lt;$F$26),0,($E$26-SUM($AC$209:AZ209))*$G$26/12)</f>
        <v>0</v>
      </c>
      <c r="BA207" s="1983">
        <f>IF(OR(BA189&gt;$F$26+$H$26+ $I$26*12,BA189&lt;$F$26),0,($E$26-SUM($AC$209:BA209))*$G$26/12)</f>
        <v>0</v>
      </c>
      <c r="BB207" s="1983">
        <f>IF(OR(BB189&gt;$F$26+$H$26+ $I$26*12,BB189&lt;$F$26),0,($E$26-SUM($AC$209:BB209))*$G$26/12)</f>
        <v>0</v>
      </c>
      <c r="BC207" s="1983">
        <f>IF(OR(BC189&gt;$F$26+$H$26+ $I$26*12,BC189&lt;$F$26),0,($E$26-SUM($AC$209:BC209))*$G$26/12)</f>
        <v>0</v>
      </c>
      <c r="BD207" s="1983">
        <f>IF(OR(BD189&gt;$F$26+$H$26+ $I$26*12,BD189&lt;$F$26),0,($E$26-SUM($AC$209:BD209))*$G$26/12)</f>
        <v>0</v>
      </c>
      <c r="BE207" s="1983">
        <f>IF(OR(BE189&gt;$F$26+$H$26+ $I$26*12,BE189&lt;$F$26),0,($E$26-SUM($AC$209:BE209))*$G$26/12)</f>
        <v>0</v>
      </c>
      <c r="BF207" s="1983">
        <f>IF(OR(BF189&gt;$F$26+$H$26+ $I$26*12,BF189&lt;$F$26),0,($E$26-SUM($AC$209:BF209))*$G$26/12)</f>
        <v>0</v>
      </c>
      <c r="BG207" s="1983">
        <f>IF(OR(BG189&gt;$F$26+$H$26+ $I$26*12,BG189&lt;$F$26),0,($E$26-SUM($AC$209:BG209))*$G$26/12)</f>
        <v>0</v>
      </c>
      <c r="BH207" s="1983">
        <f>IF(OR(BH189&gt;$F$26+$H$26+ $I$26*12,BH189&lt;$F$26),0,($E$26-SUM($AC$209:BH209))*$G$26/12)</f>
        <v>0</v>
      </c>
      <c r="BI207" s="1983">
        <f>IF(OR(BI189&gt;$F$26+$H$26+ $I$26*12,BI189&lt;$F$26),0,($E$26-SUM($AC$209:BI209))*$G$26/12)</f>
        <v>0</v>
      </c>
      <c r="BJ207" s="1983">
        <f>IF(OR(BJ189&gt;$F$26+$H$26+ $I$26*12,BJ189&lt;$F$26),0,($E$26-SUM($AC$209:BJ209))*$G$26/12)</f>
        <v>0</v>
      </c>
      <c r="BK207" s="1983">
        <f>IF(OR(BK189&gt;$F$26+$H$26+ $I$26*12,BK189&lt;$F$26),0,($E$26-SUM($AC$209:BK209))*$G$26/12)</f>
        <v>0</v>
      </c>
      <c r="BL207" s="1983">
        <f>IF(OR(BL189&gt;$F$26+$H$26+ $I$26*12,BL189&lt;$F$26),0,($E$26-SUM($AC$209:BL209))*$G$26/12)</f>
        <v>0</v>
      </c>
      <c r="BV207" s="1225"/>
      <c r="CV207" s="445"/>
      <c r="CW207" s="2011"/>
      <c r="CX207" s="445"/>
    </row>
    <row r="208" spans="1:102" s="446" customFormat="1" ht="14.25" hidden="1" customHeight="1">
      <c r="A208" s="160"/>
      <c r="B208" s="160"/>
      <c r="C208" s="2311"/>
      <c r="D208" s="160" t="s">
        <v>120</v>
      </c>
      <c r="E208" s="2006"/>
      <c r="F208" s="2006"/>
      <c r="G208" s="2006"/>
      <c r="H208" s="2006"/>
      <c r="I208" s="2006"/>
      <c r="J208" s="2006"/>
      <c r="K208" s="2006"/>
      <c r="L208" s="2006"/>
      <c r="M208" s="2006"/>
      <c r="N208" s="2006"/>
      <c r="O208" s="2006"/>
      <c r="P208" s="2006"/>
      <c r="Q208" s="1983"/>
      <c r="R208" s="1983"/>
      <c r="S208" s="1983"/>
      <c r="T208" s="1983"/>
      <c r="U208" s="1983"/>
      <c r="V208" s="1975"/>
      <c r="W208" s="1978"/>
      <c r="X208" s="1978"/>
      <c r="Y208" s="1978"/>
      <c r="Z208" s="1978"/>
      <c r="AA208" s="1978"/>
      <c r="AB208" s="1978"/>
      <c r="AC208" s="1983">
        <f t="shared" ref="AC208:AD208" si="108">IF($F$28+$H$28=AC189,IF($I$28=0,0,$E$28/($I$28*12)),0)</f>
        <v>0</v>
      </c>
      <c r="AD208" s="1983">
        <f t="shared" si="108"/>
        <v>0</v>
      </c>
      <c r="AE208" s="1983">
        <f t="shared" ref="AE208:BL208" si="109">IF($F$28+$H$28=AE189,IF($I$28=0,0,$E$28/($I$28*12)),0)</f>
        <v>0</v>
      </c>
      <c r="AF208" s="1983">
        <f t="shared" si="109"/>
        <v>0</v>
      </c>
      <c r="AG208" s="1983">
        <f t="shared" si="109"/>
        <v>0</v>
      </c>
      <c r="AH208" s="1983">
        <f t="shared" si="109"/>
        <v>0</v>
      </c>
      <c r="AI208" s="1983">
        <f t="shared" si="109"/>
        <v>0</v>
      </c>
      <c r="AJ208" s="1983">
        <f t="shared" si="109"/>
        <v>0</v>
      </c>
      <c r="AK208" s="1983">
        <f t="shared" si="109"/>
        <v>0</v>
      </c>
      <c r="AL208" s="1983">
        <f t="shared" si="109"/>
        <v>0</v>
      </c>
      <c r="AM208" s="1983">
        <f t="shared" si="109"/>
        <v>0</v>
      </c>
      <c r="AN208" s="1983">
        <f t="shared" si="109"/>
        <v>0</v>
      </c>
      <c r="AO208" s="1983">
        <f t="shared" si="109"/>
        <v>0</v>
      </c>
      <c r="AP208" s="1983">
        <f t="shared" si="109"/>
        <v>0</v>
      </c>
      <c r="AQ208" s="1983">
        <f t="shared" si="109"/>
        <v>0</v>
      </c>
      <c r="AR208" s="1983">
        <f t="shared" si="109"/>
        <v>0</v>
      </c>
      <c r="AS208" s="1983">
        <f t="shared" si="109"/>
        <v>0</v>
      </c>
      <c r="AT208" s="1983">
        <f t="shared" si="109"/>
        <v>0</v>
      </c>
      <c r="AU208" s="1983">
        <f t="shared" si="109"/>
        <v>0</v>
      </c>
      <c r="AV208" s="1983">
        <f t="shared" si="109"/>
        <v>0</v>
      </c>
      <c r="AW208" s="1983">
        <f t="shared" si="109"/>
        <v>0</v>
      </c>
      <c r="AX208" s="1983">
        <f t="shared" si="109"/>
        <v>0</v>
      </c>
      <c r="AY208" s="1983">
        <f t="shared" si="109"/>
        <v>0</v>
      </c>
      <c r="AZ208" s="1983">
        <f t="shared" si="109"/>
        <v>0</v>
      </c>
      <c r="BA208" s="1983">
        <f t="shared" si="109"/>
        <v>0</v>
      </c>
      <c r="BB208" s="1983">
        <f t="shared" si="109"/>
        <v>0</v>
      </c>
      <c r="BC208" s="1983">
        <f t="shared" si="109"/>
        <v>0</v>
      </c>
      <c r="BD208" s="1983">
        <f t="shared" si="109"/>
        <v>0</v>
      </c>
      <c r="BE208" s="1983">
        <f t="shared" si="109"/>
        <v>0</v>
      </c>
      <c r="BF208" s="1983">
        <f t="shared" si="109"/>
        <v>0</v>
      </c>
      <c r="BG208" s="1983">
        <f t="shared" si="109"/>
        <v>0</v>
      </c>
      <c r="BH208" s="1983">
        <f t="shared" si="109"/>
        <v>0</v>
      </c>
      <c r="BI208" s="1983">
        <f t="shared" si="109"/>
        <v>0</v>
      </c>
      <c r="BJ208" s="1983">
        <f t="shared" si="109"/>
        <v>0</v>
      </c>
      <c r="BK208" s="1983">
        <f t="shared" si="109"/>
        <v>0</v>
      </c>
      <c r="BL208" s="1983">
        <f t="shared" si="109"/>
        <v>0</v>
      </c>
      <c r="BV208" s="1225"/>
      <c r="CV208" s="445"/>
      <c r="CW208" s="2011"/>
      <c r="CX208" s="445"/>
    </row>
    <row r="209" spans="1:119" s="446" customFormat="1" ht="14.25" hidden="1" customHeight="1">
      <c r="A209" s="160"/>
      <c r="B209" s="160"/>
      <c r="C209" s="2311"/>
      <c r="D209" s="160" t="s">
        <v>686</v>
      </c>
      <c r="E209" s="2006"/>
      <c r="F209" s="2006"/>
      <c r="G209" s="2006"/>
      <c r="H209" s="2006"/>
      <c r="I209" s="2006"/>
      <c r="J209" s="2006"/>
      <c r="K209" s="2006"/>
      <c r="L209" s="2006"/>
      <c r="M209" s="2006"/>
      <c r="N209" s="2006"/>
      <c r="O209" s="2006"/>
      <c r="P209" s="2006"/>
      <c r="Q209" s="1983"/>
      <c r="R209" s="1983"/>
      <c r="S209" s="1983"/>
      <c r="T209" s="1983"/>
      <c r="U209" s="1983"/>
      <c r="V209" s="1975"/>
      <c r="W209" s="1978"/>
      <c r="X209" s="1978"/>
      <c r="Y209" s="1978"/>
      <c r="Z209" s="1978"/>
      <c r="AA209" s="1978"/>
      <c r="AB209" s="1978"/>
      <c r="AC209" s="1983">
        <f t="shared" ref="AC209:BL209" si="110">IF(OR(AC189&gt;=$F$28+$H$28+$I$28*12,AC189&lt;$F$28+$H$28),0,IF($I$28=0,0,$E$28/($I$28*12)))</f>
        <v>0</v>
      </c>
      <c r="AD209" s="1983">
        <f t="shared" si="110"/>
        <v>0</v>
      </c>
      <c r="AE209" s="1983">
        <f t="shared" si="110"/>
        <v>0</v>
      </c>
      <c r="AF209" s="1983">
        <f t="shared" si="110"/>
        <v>0</v>
      </c>
      <c r="AG209" s="1983">
        <f t="shared" si="110"/>
        <v>0</v>
      </c>
      <c r="AH209" s="1983">
        <f t="shared" si="110"/>
        <v>0</v>
      </c>
      <c r="AI209" s="1983">
        <f t="shared" si="110"/>
        <v>0</v>
      </c>
      <c r="AJ209" s="1983">
        <f t="shared" si="110"/>
        <v>0</v>
      </c>
      <c r="AK209" s="1983">
        <f t="shared" si="110"/>
        <v>0</v>
      </c>
      <c r="AL209" s="1983">
        <f t="shared" si="110"/>
        <v>0</v>
      </c>
      <c r="AM209" s="1983">
        <f t="shared" si="110"/>
        <v>0</v>
      </c>
      <c r="AN209" s="1983">
        <f t="shared" si="110"/>
        <v>0</v>
      </c>
      <c r="AO209" s="1983">
        <f t="shared" si="110"/>
        <v>0</v>
      </c>
      <c r="AP209" s="1983">
        <f t="shared" si="110"/>
        <v>0</v>
      </c>
      <c r="AQ209" s="1983">
        <f t="shared" si="110"/>
        <v>0</v>
      </c>
      <c r="AR209" s="1983">
        <f t="shared" si="110"/>
        <v>0</v>
      </c>
      <c r="AS209" s="1983">
        <f t="shared" si="110"/>
        <v>0</v>
      </c>
      <c r="AT209" s="1983">
        <f t="shared" si="110"/>
        <v>0</v>
      </c>
      <c r="AU209" s="1983">
        <f t="shared" si="110"/>
        <v>0</v>
      </c>
      <c r="AV209" s="1983">
        <f t="shared" si="110"/>
        <v>0</v>
      </c>
      <c r="AW209" s="1983">
        <f t="shared" si="110"/>
        <v>0</v>
      </c>
      <c r="AX209" s="1983">
        <f t="shared" si="110"/>
        <v>0</v>
      </c>
      <c r="AY209" s="1983">
        <f t="shared" si="110"/>
        <v>0</v>
      </c>
      <c r="AZ209" s="1983">
        <f t="shared" si="110"/>
        <v>0</v>
      </c>
      <c r="BA209" s="1983">
        <f t="shared" si="110"/>
        <v>0</v>
      </c>
      <c r="BB209" s="1983">
        <f t="shared" si="110"/>
        <v>0</v>
      </c>
      <c r="BC209" s="1983">
        <f t="shared" si="110"/>
        <v>0</v>
      </c>
      <c r="BD209" s="1983">
        <f t="shared" si="110"/>
        <v>0</v>
      </c>
      <c r="BE209" s="1983">
        <f t="shared" si="110"/>
        <v>0</v>
      </c>
      <c r="BF209" s="1983">
        <f t="shared" si="110"/>
        <v>0</v>
      </c>
      <c r="BG209" s="1983">
        <f t="shared" si="110"/>
        <v>0</v>
      </c>
      <c r="BH209" s="1983">
        <f t="shared" si="110"/>
        <v>0</v>
      </c>
      <c r="BI209" s="1983">
        <f t="shared" si="110"/>
        <v>0</v>
      </c>
      <c r="BJ209" s="1983">
        <f t="shared" si="110"/>
        <v>0</v>
      </c>
      <c r="BK209" s="1983">
        <f t="shared" si="110"/>
        <v>0</v>
      </c>
      <c r="BL209" s="1983">
        <f t="shared" si="110"/>
        <v>0</v>
      </c>
      <c r="BV209" s="1225"/>
      <c r="CV209" s="445"/>
      <c r="CW209" s="2011"/>
      <c r="CX209" s="445"/>
    </row>
    <row r="210" spans="1:119" s="446" customFormat="1" ht="14.25" hidden="1" customHeight="1">
      <c r="A210" s="160"/>
      <c r="B210" s="160"/>
      <c r="C210" s="2311" t="str">
        <f>C181</f>
        <v>für Nachhaltigkeit</v>
      </c>
      <c r="D210" s="160" t="s">
        <v>683</v>
      </c>
      <c r="E210" s="2006"/>
      <c r="F210" s="2006"/>
      <c r="G210" s="2006"/>
      <c r="H210" s="2006"/>
      <c r="I210" s="2006"/>
      <c r="J210" s="2006"/>
      <c r="K210" s="2006"/>
      <c r="L210" s="2006"/>
      <c r="M210" s="2006"/>
      <c r="N210" s="2006"/>
      <c r="O210" s="2006"/>
      <c r="P210" s="2006"/>
      <c r="Q210" s="1983"/>
      <c r="R210" s="1983"/>
      <c r="S210" s="1983"/>
      <c r="T210" s="1983"/>
      <c r="U210" s="1983"/>
      <c r="V210" s="1975"/>
      <c r="W210" s="1984"/>
      <c r="X210" s="1984"/>
      <c r="Y210" s="1984"/>
      <c r="Z210" s="1984"/>
      <c r="AA210" s="1983"/>
      <c r="AB210" s="1967"/>
      <c r="AC210" s="1983">
        <f t="shared" ref="AC210:BL210" ca="1" si="111">IF($AC$188=$E$20,IF(AC189=$F$29,$E$29,0),0)</f>
        <v>0</v>
      </c>
      <c r="AD210" s="1983">
        <f t="shared" ca="1" si="111"/>
        <v>0</v>
      </c>
      <c r="AE210" s="1983">
        <f t="shared" ca="1" si="111"/>
        <v>0</v>
      </c>
      <c r="AF210" s="1983">
        <f t="shared" ca="1" si="111"/>
        <v>0</v>
      </c>
      <c r="AG210" s="1983">
        <f t="shared" ca="1" si="111"/>
        <v>0</v>
      </c>
      <c r="AH210" s="1983">
        <f t="shared" ca="1" si="111"/>
        <v>0</v>
      </c>
      <c r="AI210" s="1983">
        <f t="shared" ca="1" si="111"/>
        <v>0</v>
      </c>
      <c r="AJ210" s="1983">
        <f t="shared" ca="1" si="111"/>
        <v>0</v>
      </c>
      <c r="AK210" s="1983">
        <f t="shared" ca="1" si="111"/>
        <v>0</v>
      </c>
      <c r="AL210" s="1983">
        <f t="shared" ca="1" si="111"/>
        <v>0</v>
      </c>
      <c r="AM210" s="1983">
        <f t="shared" ca="1" si="111"/>
        <v>0</v>
      </c>
      <c r="AN210" s="1983">
        <f t="shared" ca="1" si="111"/>
        <v>0</v>
      </c>
      <c r="AO210" s="1983">
        <f t="shared" ca="1" si="111"/>
        <v>0</v>
      </c>
      <c r="AP210" s="1983">
        <f t="shared" ca="1" si="111"/>
        <v>0</v>
      </c>
      <c r="AQ210" s="1983">
        <f t="shared" ca="1" si="111"/>
        <v>0</v>
      </c>
      <c r="AR210" s="1983">
        <f t="shared" ca="1" si="111"/>
        <v>0</v>
      </c>
      <c r="AS210" s="1983">
        <f t="shared" ca="1" si="111"/>
        <v>0</v>
      </c>
      <c r="AT210" s="1983">
        <f t="shared" ca="1" si="111"/>
        <v>0</v>
      </c>
      <c r="AU210" s="1983">
        <f t="shared" ca="1" si="111"/>
        <v>0</v>
      </c>
      <c r="AV210" s="1983">
        <f t="shared" ca="1" si="111"/>
        <v>0</v>
      </c>
      <c r="AW210" s="1983">
        <f t="shared" ca="1" si="111"/>
        <v>0</v>
      </c>
      <c r="AX210" s="1983">
        <f t="shared" ca="1" si="111"/>
        <v>0</v>
      </c>
      <c r="AY210" s="1983">
        <f t="shared" ca="1" si="111"/>
        <v>0</v>
      </c>
      <c r="AZ210" s="1983">
        <f t="shared" ca="1" si="111"/>
        <v>0</v>
      </c>
      <c r="BA210" s="1983">
        <f t="shared" ca="1" si="111"/>
        <v>0</v>
      </c>
      <c r="BB210" s="1983">
        <f t="shared" ca="1" si="111"/>
        <v>0</v>
      </c>
      <c r="BC210" s="1983">
        <f t="shared" ca="1" si="111"/>
        <v>0</v>
      </c>
      <c r="BD210" s="1983">
        <f t="shared" ca="1" si="111"/>
        <v>0</v>
      </c>
      <c r="BE210" s="1983">
        <f t="shared" ca="1" si="111"/>
        <v>0</v>
      </c>
      <c r="BF210" s="1983">
        <f t="shared" ca="1" si="111"/>
        <v>0</v>
      </c>
      <c r="BG210" s="1983">
        <f t="shared" ca="1" si="111"/>
        <v>0</v>
      </c>
      <c r="BH210" s="1983">
        <f t="shared" ca="1" si="111"/>
        <v>0</v>
      </c>
      <c r="BI210" s="1983">
        <f t="shared" ca="1" si="111"/>
        <v>0</v>
      </c>
      <c r="BJ210" s="1983">
        <f t="shared" ca="1" si="111"/>
        <v>0</v>
      </c>
      <c r="BK210" s="1983">
        <f t="shared" ca="1" si="111"/>
        <v>0</v>
      </c>
      <c r="BL210" s="1983">
        <f t="shared" ca="1" si="111"/>
        <v>0</v>
      </c>
      <c r="BV210" s="1225"/>
      <c r="CV210" s="445"/>
      <c r="CW210" s="2011"/>
      <c r="CX210" s="445"/>
    </row>
    <row r="211" spans="1:119" s="446" customFormat="1" ht="14.25" hidden="1" customHeight="1">
      <c r="A211" s="160"/>
      <c r="B211" s="160"/>
      <c r="C211" s="2311"/>
      <c r="D211" s="160" t="s">
        <v>684</v>
      </c>
      <c r="E211" s="2006"/>
      <c r="F211" s="2006"/>
      <c r="G211" s="2006"/>
      <c r="H211" s="2006"/>
      <c r="I211" s="2006"/>
      <c r="J211" s="2006"/>
      <c r="K211" s="2006"/>
      <c r="L211" s="2006"/>
      <c r="M211" s="2006"/>
      <c r="N211" s="2006"/>
      <c r="O211" s="2006"/>
      <c r="P211" s="2006"/>
      <c r="Q211" s="1983"/>
      <c r="R211" s="1983"/>
      <c r="S211" s="1983"/>
      <c r="T211" s="1983"/>
      <c r="U211" s="1983"/>
      <c r="V211" s="1975"/>
      <c r="W211" s="1984"/>
      <c r="X211" s="1984"/>
      <c r="Y211" s="1984"/>
      <c r="Z211" s="1984"/>
      <c r="AA211" s="1983"/>
      <c r="AB211" s="1967"/>
      <c r="AC211" s="1983">
        <f t="shared" ref="AC211:BL211" si="112">IF($F$29=AC189,($E$29*$G$29)/12,0)</f>
        <v>0</v>
      </c>
      <c r="AD211" s="1983">
        <f t="shared" si="112"/>
        <v>0</v>
      </c>
      <c r="AE211" s="1983">
        <f t="shared" si="112"/>
        <v>0</v>
      </c>
      <c r="AF211" s="1983">
        <f t="shared" si="112"/>
        <v>0</v>
      </c>
      <c r="AG211" s="1983">
        <f t="shared" si="112"/>
        <v>0</v>
      </c>
      <c r="AH211" s="1983">
        <f t="shared" si="112"/>
        <v>0</v>
      </c>
      <c r="AI211" s="1983">
        <f t="shared" si="112"/>
        <v>0</v>
      </c>
      <c r="AJ211" s="1983">
        <f t="shared" si="112"/>
        <v>0</v>
      </c>
      <c r="AK211" s="1983">
        <f t="shared" si="112"/>
        <v>0</v>
      </c>
      <c r="AL211" s="1983">
        <f t="shared" si="112"/>
        <v>0</v>
      </c>
      <c r="AM211" s="1983">
        <f t="shared" si="112"/>
        <v>0</v>
      </c>
      <c r="AN211" s="1983">
        <f t="shared" si="112"/>
        <v>0</v>
      </c>
      <c r="AO211" s="1983">
        <f t="shared" si="112"/>
        <v>0</v>
      </c>
      <c r="AP211" s="1983">
        <f t="shared" si="112"/>
        <v>0</v>
      </c>
      <c r="AQ211" s="1983">
        <f t="shared" si="112"/>
        <v>0</v>
      </c>
      <c r="AR211" s="1983">
        <f t="shared" si="112"/>
        <v>0</v>
      </c>
      <c r="AS211" s="1983">
        <f t="shared" si="112"/>
        <v>0</v>
      </c>
      <c r="AT211" s="1983">
        <f t="shared" si="112"/>
        <v>0</v>
      </c>
      <c r="AU211" s="1983">
        <f t="shared" si="112"/>
        <v>0</v>
      </c>
      <c r="AV211" s="1983">
        <f t="shared" si="112"/>
        <v>0</v>
      </c>
      <c r="AW211" s="1983">
        <f t="shared" si="112"/>
        <v>0</v>
      </c>
      <c r="AX211" s="1983">
        <f t="shared" si="112"/>
        <v>0</v>
      </c>
      <c r="AY211" s="1983">
        <f t="shared" si="112"/>
        <v>0</v>
      </c>
      <c r="AZ211" s="1983">
        <f t="shared" si="112"/>
        <v>0</v>
      </c>
      <c r="BA211" s="1983">
        <f t="shared" si="112"/>
        <v>0</v>
      </c>
      <c r="BB211" s="1983">
        <f t="shared" si="112"/>
        <v>0</v>
      </c>
      <c r="BC211" s="1983">
        <f t="shared" si="112"/>
        <v>0</v>
      </c>
      <c r="BD211" s="1983">
        <f t="shared" si="112"/>
        <v>0</v>
      </c>
      <c r="BE211" s="1983">
        <f t="shared" si="112"/>
        <v>0</v>
      </c>
      <c r="BF211" s="1983">
        <f t="shared" si="112"/>
        <v>0</v>
      </c>
      <c r="BG211" s="1983">
        <f t="shared" si="112"/>
        <v>0</v>
      </c>
      <c r="BH211" s="1983">
        <f t="shared" si="112"/>
        <v>0</v>
      </c>
      <c r="BI211" s="1983">
        <f t="shared" si="112"/>
        <v>0</v>
      </c>
      <c r="BJ211" s="1983">
        <f t="shared" si="112"/>
        <v>0</v>
      </c>
      <c r="BK211" s="1983">
        <f t="shared" si="112"/>
        <v>0</v>
      </c>
      <c r="BL211" s="1983">
        <f t="shared" si="112"/>
        <v>0</v>
      </c>
      <c r="BV211" s="1225"/>
      <c r="CV211" s="445"/>
      <c r="CW211" s="2011"/>
      <c r="CX211" s="445"/>
    </row>
    <row r="212" spans="1:119" s="446" customFormat="1" ht="14.25" hidden="1" customHeight="1">
      <c r="A212" s="160"/>
      <c r="B212" s="160"/>
      <c r="C212" s="2311"/>
      <c r="D212" s="160" t="s">
        <v>685</v>
      </c>
      <c r="E212" s="2006"/>
      <c r="F212" s="2006"/>
      <c r="G212" s="2006"/>
      <c r="H212" s="2006"/>
      <c r="I212" s="2006"/>
      <c r="J212" s="2006"/>
      <c r="K212" s="2006"/>
      <c r="L212" s="2006"/>
      <c r="M212" s="2006"/>
      <c r="N212" s="2006"/>
      <c r="O212" s="2006"/>
      <c r="P212" s="2006"/>
      <c r="Q212" s="1983"/>
      <c r="R212" s="1983"/>
      <c r="S212" s="1983"/>
      <c r="T212" s="1983"/>
      <c r="U212" s="1983"/>
      <c r="V212" s="1975"/>
      <c r="W212" s="1984"/>
      <c r="X212" s="1984"/>
      <c r="Y212" s="1984"/>
      <c r="Z212" s="1984"/>
      <c r="AA212" s="1983"/>
      <c r="AB212" s="1967"/>
      <c r="AC212" s="1983">
        <f t="shared" ref="AC212:BL212" si="113">IF(OR(AC189&gt;=$F$29+$H$29+$I$29*12,AC189&lt;$F$29),0,$E$29*$G$29/12)</f>
        <v>0</v>
      </c>
      <c r="AD212" s="1983">
        <f t="shared" si="113"/>
        <v>0</v>
      </c>
      <c r="AE212" s="1983">
        <f t="shared" si="113"/>
        <v>0</v>
      </c>
      <c r="AF212" s="1983">
        <f t="shared" si="113"/>
        <v>0</v>
      </c>
      <c r="AG212" s="1983">
        <f t="shared" si="113"/>
        <v>0</v>
      </c>
      <c r="AH212" s="1983">
        <f t="shared" si="113"/>
        <v>0</v>
      </c>
      <c r="AI212" s="1983">
        <f t="shared" si="113"/>
        <v>0</v>
      </c>
      <c r="AJ212" s="1983">
        <f t="shared" si="113"/>
        <v>0</v>
      </c>
      <c r="AK212" s="1983">
        <f t="shared" si="113"/>
        <v>0</v>
      </c>
      <c r="AL212" s="1983">
        <f t="shared" si="113"/>
        <v>0</v>
      </c>
      <c r="AM212" s="1983">
        <f t="shared" si="113"/>
        <v>0</v>
      </c>
      <c r="AN212" s="1983">
        <f t="shared" si="113"/>
        <v>0</v>
      </c>
      <c r="AO212" s="1983">
        <f t="shared" si="113"/>
        <v>0</v>
      </c>
      <c r="AP212" s="1983">
        <f t="shared" si="113"/>
        <v>0</v>
      </c>
      <c r="AQ212" s="1983">
        <f t="shared" si="113"/>
        <v>0</v>
      </c>
      <c r="AR212" s="1983">
        <f t="shared" si="113"/>
        <v>0</v>
      </c>
      <c r="AS212" s="1983">
        <f t="shared" si="113"/>
        <v>0</v>
      </c>
      <c r="AT212" s="1983">
        <f t="shared" si="113"/>
        <v>0</v>
      </c>
      <c r="AU212" s="1983">
        <f t="shared" si="113"/>
        <v>0</v>
      </c>
      <c r="AV212" s="1983">
        <f t="shared" si="113"/>
        <v>0</v>
      </c>
      <c r="AW212" s="1983">
        <f t="shared" si="113"/>
        <v>0</v>
      </c>
      <c r="AX212" s="1983">
        <f t="shared" si="113"/>
        <v>0</v>
      </c>
      <c r="AY212" s="1983">
        <f t="shared" si="113"/>
        <v>0</v>
      </c>
      <c r="AZ212" s="1983">
        <f t="shared" si="113"/>
        <v>0</v>
      </c>
      <c r="BA212" s="1983">
        <f t="shared" si="113"/>
        <v>0</v>
      </c>
      <c r="BB212" s="1983">
        <f t="shared" si="113"/>
        <v>0</v>
      </c>
      <c r="BC212" s="1983">
        <f t="shared" si="113"/>
        <v>0</v>
      </c>
      <c r="BD212" s="1983">
        <f t="shared" si="113"/>
        <v>0</v>
      </c>
      <c r="BE212" s="1983">
        <f t="shared" si="113"/>
        <v>0</v>
      </c>
      <c r="BF212" s="1983">
        <f t="shared" si="113"/>
        <v>0</v>
      </c>
      <c r="BG212" s="1983">
        <f t="shared" si="113"/>
        <v>0</v>
      </c>
      <c r="BH212" s="1983">
        <f t="shared" si="113"/>
        <v>0</v>
      </c>
      <c r="BI212" s="1983">
        <f t="shared" si="113"/>
        <v>0</v>
      </c>
      <c r="BJ212" s="1983">
        <f t="shared" si="113"/>
        <v>0</v>
      </c>
      <c r="BK212" s="1983">
        <f t="shared" si="113"/>
        <v>0</v>
      </c>
      <c r="BL212" s="1983">
        <f t="shared" si="113"/>
        <v>0</v>
      </c>
      <c r="BV212" s="1225"/>
      <c r="CV212" s="445"/>
      <c r="CW212" s="2011"/>
      <c r="CX212" s="445"/>
    </row>
    <row r="213" spans="1:119" s="446" customFormat="1" ht="14.25" hidden="1" customHeight="1">
      <c r="A213" s="160"/>
      <c r="B213" s="160"/>
      <c r="C213" s="2311"/>
      <c r="D213" s="160" t="s">
        <v>120</v>
      </c>
      <c r="E213" s="2006"/>
      <c r="F213" s="2006"/>
      <c r="G213" s="2006"/>
      <c r="H213" s="2006"/>
      <c r="I213" s="2006"/>
      <c r="J213" s="2006"/>
      <c r="K213" s="2006"/>
      <c r="L213" s="2006"/>
      <c r="M213" s="2006"/>
      <c r="N213" s="2006"/>
      <c r="O213" s="2006"/>
      <c r="P213" s="2006"/>
      <c r="Q213" s="1983"/>
      <c r="R213" s="1983"/>
      <c r="S213" s="1983"/>
      <c r="T213" s="1983"/>
      <c r="U213" s="1983"/>
      <c r="V213" s="1975"/>
      <c r="W213" s="1984"/>
      <c r="X213" s="1984"/>
      <c r="Y213" s="1984"/>
      <c r="Z213" s="1984"/>
      <c r="AA213" s="1983"/>
      <c r="AB213" s="1967"/>
      <c r="AC213" s="1983">
        <f t="shared" ref="AC213:BL213" si="114">IF($F$29+$H$29=AC189,IF($I$29=0,0,$E$29/($I$29*12)),0)</f>
        <v>0</v>
      </c>
      <c r="AD213" s="1983">
        <f t="shared" si="114"/>
        <v>0</v>
      </c>
      <c r="AE213" s="1983">
        <f t="shared" si="114"/>
        <v>0</v>
      </c>
      <c r="AF213" s="1983">
        <f t="shared" si="114"/>
        <v>0</v>
      </c>
      <c r="AG213" s="1983">
        <f t="shared" si="114"/>
        <v>0</v>
      </c>
      <c r="AH213" s="1983">
        <f t="shared" si="114"/>
        <v>0</v>
      </c>
      <c r="AI213" s="1983">
        <f t="shared" si="114"/>
        <v>0</v>
      </c>
      <c r="AJ213" s="1983">
        <f t="shared" si="114"/>
        <v>0</v>
      </c>
      <c r="AK213" s="1983">
        <f t="shared" si="114"/>
        <v>0</v>
      </c>
      <c r="AL213" s="1983">
        <f t="shared" si="114"/>
        <v>0</v>
      </c>
      <c r="AM213" s="1983">
        <f t="shared" si="114"/>
        <v>0</v>
      </c>
      <c r="AN213" s="1983">
        <f t="shared" si="114"/>
        <v>0</v>
      </c>
      <c r="AO213" s="1983">
        <f t="shared" si="114"/>
        <v>0</v>
      </c>
      <c r="AP213" s="1983">
        <f t="shared" si="114"/>
        <v>0</v>
      </c>
      <c r="AQ213" s="1983">
        <f t="shared" si="114"/>
        <v>0</v>
      </c>
      <c r="AR213" s="1983">
        <f t="shared" si="114"/>
        <v>0</v>
      </c>
      <c r="AS213" s="1983">
        <f t="shared" si="114"/>
        <v>0</v>
      </c>
      <c r="AT213" s="1983">
        <f t="shared" si="114"/>
        <v>0</v>
      </c>
      <c r="AU213" s="1983">
        <f t="shared" si="114"/>
        <v>0</v>
      </c>
      <c r="AV213" s="1983">
        <f t="shared" si="114"/>
        <v>0</v>
      </c>
      <c r="AW213" s="1983">
        <f t="shared" si="114"/>
        <v>0</v>
      </c>
      <c r="AX213" s="1983">
        <f t="shared" si="114"/>
        <v>0</v>
      </c>
      <c r="AY213" s="1983">
        <f t="shared" si="114"/>
        <v>0</v>
      </c>
      <c r="AZ213" s="1983">
        <f t="shared" si="114"/>
        <v>0</v>
      </c>
      <c r="BA213" s="1983">
        <f t="shared" si="114"/>
        <v>0</v>
      </c>
      <c r="BB213" s="1983">
        <f t="shared" si="114"/>
        <v>0</v>
      </c>
      <c r="BC213" s="1983">
        <f t="shared" si="114"/>
        <v>0</v>
      </c>
      <c r="BD213" s="1983">
        <f t="shared" si="114"/>
        <v>0</v>
      </c>
      <c r="BE213" s="1983">
        <f t="shared" si="114"/>
        <v>0</v>
      </c>
      <c r="BF213" s="1983">
        <f t="shared" si="114"/>
        <v>0</v>
      </c>
      <c r="BG213" s="1983">
        <f t="shared" si="114"/>
        <v>0</v>
      </c>
      <c r="BH213" s="1983">
        <f t="shared" si="114"/>
        <v>0</v>
      </c>
      <c r="BI213" s="1983">
        <f t="shared" si="114"/>
        <v>0</v>
      </c>
      <c r="BJ213" s="1983">
        <f t="shared" si="114"/>
        <v>0</v>
      </c>
      <c r="BK213" s="1983">
        <f t="shared" si="114"/>
        <v>0</v>
      </c>
      <c r="BL213" s="1983">
        <f t="shared" si="114"/>
        <v>0</v>
      </c>
      <c r="BV213" s="1225"/>
      <c r="CV213" s="445"/>
      <c r="CW213" s="2011"/>
      <c r="CX213" s="445"/>
    </row>
    <row r="214" spans="1:119" s="446" customFormat="1" ht="14.25" hidden="1" customHeight="1">
      <c r="A214" s="160"/>
      <c r="B214" s="160"/>
      <c r="C214" s="2311"/>
      <c r="D214" s="160" t="s">
        <v>686</v>
      </c>
      <c r="E214" s="2006"/>
      <c r="F214" s="2006"/>
      <c r="G214" s="2006"/>
      <c r="H214" s="2006"/>
      <c r="I214" s="2006"/>
      <c r="J214" s="2006"/>
      <c r="K214" s="2006"/>
      <c r="L214" s="2006"/>
      <c r="M214" s="2006"/>
      <c r="N214" s="2006"/>
      <c r="O214" s="2006"/>
      <c r="P214" s="2006"/>
      <c r="Q214" s="1983"/>
      <c r="R214" s="1983"/>
      <c r="S214" s="1983"/>
      <c r="T214" s="1983"/>
      <c r="U214" s="1983"/>
      <c r="V214" s="1975"/>
      <c r="W214" s="1984"/>
      <c r="X214" s="1984"/>
      <c r="Y214" s="1984"/>
      <c r="Z214" s="1984"/>
      <c r="AA214" s="1983"/>
      <c r="AB214" s="1967"/>
      <c r="AC214" s="1983">
        <f t="shared" ref="AC214:BL214" si="115">IF(OR(AC189&gt;=$F$29+$H$29+$I$29*12,AC189&lt;$F$29+$H$29),0,IF($I$29=0,0,$E$29/($I$29*12)))</f>
        <v>0</v>
      </c>
      <c r="AD214" s="1983">
        <f t="shared" si="115"/>
        <v>0</v>
      </c>
      <c r="AE214" s="1983">
        <f t="shared" si="115"/>
        <v>0</v>
      </c>
      <c r="AF214" s="1983">
        <f t="shared" si="115"/>
        <v>0</v>
      </c>
      <c r="AG214" s="1983">
        <f t="shared" si="115"/>
        <v>0</v>
      </c>
      <c r="AH214" s="1983">
        <f t="shared" si="115"/>
        <v>0</v>
      </c>
      <c r="AI214" s="1983">
        <f t="shared" si="115"/>
        <v>0</v>
      </c>
      <c r="AJ214" s="1983">
        <f t="shared" si="115"/>
        <v>0</v>
      </c>
      <c r="AK214" s="1983">
        <f t="shared" si="115"/>
        <v>0</v>
      </c>
      <c r="AL214" s="1983">
        <f t="shared" si="115"/>
        <v>0</v>
      </c>
      <c r="AM214" s="1983">
        <f t="shared" si="115"/>
        <v>0</v>
      </c>
      <c r="AN214" s="1983">
        <f t="shared" si="115"/>
        <v>0</v>
      </c>
      <c r="AO214" s="1983">
        <f t="shared" si="115"/>
        <v>0</v>
      </c>
      <c r="AP214" s="1983">
        <f t="shared" si="115"/>
        <v>0</v>
      </c>
      <c r="AQ214" s="1983">
        <f t="shared" si="115"/>
        <v>0</v>
      </c>
      <c r="AR214" s="1983">
        <f t="shared" si="115"/>
        <v>0</v>
      </c>
      <c r="AS214" s="1983">
        <f t="shared" si="115"/>
        <v>0</v>
      </c>
      <c r="AT214" s="1983">
        <f t="shared" si="115"/>
        <v>0</v>
      </c>
      <c r="AU214" s="1983">
        <f t="shared" si="115"/>
        <v>0</v>
      </c>
      <c r="AV214" s="1983">
        <f t="shared" si="115"/>
        <v>0</v>
      </c>
      <c r="AW214" s="1983">
        <f t="shared" si="115"/>
        <v>0</v>
      </c>
      <c r="AX214" s="1983">
        <f t="shared" si="115"/>
        <v>0</v>
      </c>
      <c r="AY214" s="1983">
        <f t="shared" si="115"/>
        <v>0</v>
      </c>
      <c r="AZ214" s="1983">
        <f t="shared" si="115"/>
        <v>0</v>
      </c>
      <c r="BA214" s="1983">
        <f t="shared" si="115"/>
        <v>0</v>
      </c>
      <c r="BB214" s="1983">
        <f t="shared" si="115"/>
        <v>0</v>
      </c>
      <c r="BC214" s="1983">
        <f t="shared" si="115"/>
        <v>0</v>
      </c>
      <c r="BD214" s="1983">
        <f t="shared" si="115"/>
        <v>0</v>
      </c>
      <c r="BE214" s="1983">
        <f t="shared" si="115"/>
        <v>0</v>
      </c>
      <c r="BF214" s="1983">
        <f t="shared" si="115"/>
        <v>0</v>
      </c>
      <c r="BG214" s="1983">
        <f t="shared" si="115"/>
        <v>0</v>
      </c>
      <c r="BH214" s="1983">
        <f t="shared" si="115"/>
        <v>0</v>
      </c>
      <c r="BI214" s="1983">
        <f t="shared" si="115"/>
        <v>0</v>
      </c>
      <c r="BJ214" s="1983">
        <f t="shared" si="115"/>
        <v>0</v>
      </c>
      <c r="BK214" s="1983">
        <f t="shared" si="115"/>
        <v>0</v>
      </c>
      <c r="BL214" s="1983">
        <f t="shared" si="115"/>
        <v>0</v>
      </c>
      <c r="BV214" s="1225"/>
      <c r="CV214" s="445"/>
      <c r="CW214" s="2011"/>
      <c r="CX214" s="445"/>
    </row>
    <row r="215" spans="1:119" s="446" customFormat="1" ht="12.6" hidden="1">
      <c r="A215" s="160"/>
      <c r="B215" s="160"/>
      <c r="E215" s="2002"/>
      <c r="F215" s="2002"/>
      <c r="G215" s="2002"/>
      <c r="H215" s="2002"/>
      <c r="I215" s="2002"/>
      <c r="J215" s="2002"/>
      <c r="K215" s="2002"/>
      <c r="L215" s="2002"/>
      <c r="M215" s="2002"/>
      <c r="N215" s="2002"/>
      <c r="O215" s="2010"/>
      <c r="P215" s="2002"/>
      <c r="Q215" s="1968"/>
      <c r="R215" s="1967"/>
      <c r="S215" s="1967"/>
      <c r="T215" s="1967"/>
      <c r="U215" s="1967"/>
      <c r="V215" s="1975"/>
      <c r="W215" s="1975"/>
      <c r="X215" s="1975"/>
      <c r="Y215" s="1975"/>
      <c r="Z215" s="1975"/>
      <c r="AA215" s="1967"/>
      <c r="AB215" s="1967"/>
      <c r="AC215" s="1967"/>
      <c r="AD215" s="1967"/>
      <c r="AE215" s="1967"/>
      <c r="AF215" s="1967"/>
      <c r="AG215" s="1967"/>
      <c r="AH215" s="1967"/>
      <c r="AI215" s="1967"/>
      <c r="AJ215" s="1967"/>
      <c r="AK215" s="1967"/>
      <c r="AL215" s="1967"/>
      <c r="AM215" s="1967"/>
      <c r="AN215" s="1967"/>
      <c r="AO215" s="1967"/>
      <c r="AP215" s="1967"/>
      <c r="AQ215" s="1967"/>
      <c r="AR215" s="1967"/>
      <c r="AS215" s="1967"/>
      <c r="AT215" s="1967"/>
      <c r="AU215" s="1967"/>
      <c r="AV215" s="1967"/>
      <c r="AW215" s="1967"/>
      <c r="AX215" s="1967"/>
      <c r="AY215" s="1967"/>
      <c r="AZ215" s="1967"/>
      <c r="BA215" s="1967"/>
      <c r="BB215" s="1967"/>
      <c r="BC215" s="1967"/>
      <c r="BD215" s="1967"/>
      <c r="BE215" s="1967"/>
      <c r="BF215" s="1967"/>
      <c r="BG215" s="1967"/>
      <c r="BH215" s="1967"/>
      <c r="BI215" s="1967"/>
      <c r="BJ215" s="1967"/>
      <c r="BK215" s="1967"/>
      <c r="BL215" s="1967"/>
      <c r="BV215" s="1225"/>
      <c r="CV215" s="445"/>
      <c r="CW215" s="445"/>
      <c r="CX215" s="445"/>
    </row>
    <row r="216" spans="1:119" s="160" customFormat="1" ht="14.25" hidden="1" customHeight="1">
      <c r="D216" s="1223"/>
      <c r="E216" s="1970"/>
      <c r="F216" s="1970"/>
      <c r="G216" s="1970"/>
      <c r="H216" s="2006"/>
      <c r="I216" s="2006"/>
      <c r="J216" s="1970"/>
      <c r="K216" s="1970"/>
      <c r="L216" s="1970"/>
      <c r="M216" s="1970"/>
      <c r="N216" s="2006"/>
      <c r="O216" s="2006"/>
      <c r="P216" s="2006"/>
      <c r="Q216" s="1983"/>
      <c r="R216" s="1983"/>
      <c r="S216" s="1983"/>
      <c r="T216" s="1983"/>
      <c r="U216" s="1983"/>
      <c r="V216" s="1984"/>
      <c r="W216" s="1984"/>
      <c r="X216" s="1984"/>
      <c r="Y216" s="1984"/>
      <c r="Z216" s="1984"/>
      <c r="AA216" s="1983"/>
      <c r="AB216" s="1983"/>
      <c r="AC216" s="1983"/>
      <c r="AD216" s="1983"/>
      <c r="AE216" s="1983"/>
      <c r="AF216" s="1983"/>
      <c r="AG216" s="1983"/>
      <c r="AH216" s="1983"/>
      <c r="AI216" s="1983"/>
      <c r="AJ216" s="1983"/>
      <c r="AK216" s="1983"/>
      <c r="AL216" s="1983"/>
      <c r="AM216" s="1983"/>
      <c r="AN216" s="1983"/>
      <c r="AO216" s="1983"/>
      <c r="AP216" s="1983"/>
      <c r="AQ216" s="1983"/>
      <c r="AR216" s="1983"/>
      <c r="AS216" s="1983"/>
      <c r="AT216" s="1983"/>
      <c r="AU216" s="1983"/>
      <c r="AV216" s="1983"/>
      <c r="AW216" s="1983"/>
      <c r="AX216" s="1983"/>
      <c r="AY216" s="1983"/>
      <c r="AZ216" s="1983"/>
      <c r="BA216" s="1983"/>
      <c r="BB216" s="1983"/>
      <c r="BC216" s="1983"/>
      <c r="BD216" s="1983"/>
      <c r="BE216" s="1983"/>
      <c r="BF216" s="1983"/>
      <c r="BG216" s="1983"/>
      <c r="BH216" s="1983"/>
      <c r="BI216" s="1983"/>
      <c r="BJ216" s="1983"/>
      <c r="BK216" s="1983"/>
      <c r="BL216" s="1983"/>
      <c r="BM216" s="1223"/>
      <c r="BN216" s="1223"/>
      <c r="BV216" s="951"/>
      <c r="CA216" s="446"/>
      <c r="CB216" s="446"/>
      <c r="CC216" s="446"/>
      <c r="CD216" s="446"/>
      <c r="CE216" s="446"/>
      <c r="CF216" s="446"/>
      <c r="CG216" s="446"/>
      <c r="CH216" s="446"/>
      <c r="CI216" s="446"/>
      <c r="CJ216" s="446"/>
      <c r="CK216" s="446"/>
      <c r="CL216" s="446"/>
      <c r="CM216" s="446"/>
      <c r="CN216" s="446"/>
      <c r="CO216" s="446"/>
      <c r="CP216" s="446"/>
      <c r="CQ216" s="446"/>
      <c r="CR216" s="446"/>
      <c r="CS216" s="446"/>
      <c r="CT216" s="446"/>
      <c r="CU216" s="446"/>
      <c r="CV216" s="445"/>
      <c r="CW216" s="445"/>
      <c r="CX216" s="445"/>
      <c r="CY216" s="446"/>
      <c r="CZ216" s="446"/>
      <c r="DA216" s="446"/>
      <c r="DB216" s="446"/>
      <c r="DC216" s="446"/>
      <c r="DD216" s="446"/>
      <c r="DE216" s="446"/>
      <c r="DF216" s="446"/>
      <c r="DG216" s="446"/>
      <c r="DH216" s="446"/>
      <c r="DI216" s="446"/>
      <c r="DJ216" s="446"/>
      <c r="DK216" s="446"/>
      <c r="DL216" s="446"/>
      <c r="DM216" s="446"/>
      <c r="DN216" s="446"/>
      <c r="DO216" s="446"/>
    </row>
    <row r="217" spans="1:119" s="446" customFormat="1" ht="14.25" hidden="1" customHeight="1">
      <c r="A217" s="160"/>
      <c r="B217" s="160"/>
      <c r="C217" s="160"/>
      <c r="D217" s="1223"/>
      <c r="E217" s="2006"/>
      <c r="F217" s="2006"/>
      <c r="G217" s="2006"/>
      <c r="H217" s="2006"/>
      <c r="I217" s="2006"/>
      <c r="J217" s="2006"/>
      <c r="K217" s="2006"/>
      <c r="L217" s="2006"/>
      <c r="M217" s="2006"/>
      <c r="N217" s="2006"/>
      <c r="O217" s="2006"/>
      <c r="P217" s="2006"/>
      <c r="Q217" s="1983"/>
      <c r="R217" s="1983"/>
      <c r="S217" s="1983"/>
      <c r="T217" s="1983"/>
      <c r="U217" s="1983"/>
      <c r="V217" s="1984"/>
      <c r="W217" s="1984"/>
      <c r="X217" s="1984"/>
      <c r="Y217" s="1984"/>
      <c r="Z217" s="1984"/>
      <c r="AA217" s="1983"/>
      <c r="AB217" s="1983"/>
      <c r="AC217" s="1983"/>
      <c r="AD217" s="1983"/>
      <c r="AE217" s="1983"/>
      <c r="AF217" s="1983"/>
      <c r="AG217" s="1983"/>
      <c r="AH217" s="1983"/>
      <c r="AI217" s="1983"/>
      <c r="AJ217" s="1983"/>
      <c r="AK217" s="1983"/>
      <c r="AL217" s="1983"/>
      <c r="AM217" s="1983"/>
      <c r="AN217" s="1983"/>
      <c r="AO217" s="2008">
        <f ca="1">J$20</f>
        <v>2029</v>
      </c>
      <c r="AP217" s="1983"/>
      <c r="AQ217" s="1983"/>
      <c r="AR217" s="1983"/>
      <c r="AS217" s="1983"/>
      <c r="AT217" s="1983"/>
      <c r="AU217" s="1983"/>
      <c r="AV217" s="1983"/>
      <c r="AW217" s="1983"/>
      <c r="AX217" s="1983"/>
      <c r="AY217" s="1983"/>
      <c r="AZ217" s="1983"/>
      <c r="BA217" s="1983"/>
      <c r="BB217" s="1983"/>
      <c r="BC217" s="1983"/>
      <c r="BD217" s="1983"/>
      <c r="BE217" s="1983"/>
      <c r="BF217" s="1983"/>
      <c r="BG217" s="1983"/>
      <c r="BH217" s="1983"/>
      <c r="BI217" s="1983"/>
      <c r="BJ217" s="1983"/>
      <c r="BK217" s="1983"/>
      <c r="BL217" s="1983"/>
      <c r="BV217" s="1225"/>
      <c r="CV217" s="445"/>
      <c r="CW217" s="445"/>
      <c r="CX217" s="445"/>
    </row>
    <row r="218" spans="1:119" s="446" customFormat="1" ht="14.25" hidden="1" customHeight="1">
      <c r="A218" s="160"/>
      <c r="B218" s="160"/>
      <c r="C218" s="445" t="s">
        <v>450</v>
      </c>
      <c r="D218" s="160"/>
      <c r="E218" s="2006"/>
      <c r="F218" s="2006"/>
      <c r="G218" s="2006"/>
      <c r="H218" s="2006"/>
      <c r="I218" s="2006"/>
      <c r="J218" s="2006"/>
      <c r="K218" s="2006"/>
      <c r="L218" s="2006"/>
      <c r="M218" s="2006"/>
      <c r="N218" s="2006"/>
      <c r="O218" s="2006"/>
      <c r="P218" s="2006"/>
      <c r="Q218" s="1983"/>
      <c r="R218" s="1983"/>
      <c r="S218" s="1983"/>
      <c r="T218" s="1983"/>
      <c r="U218" s="1983"/>
      <c r="V218" s="1984"/>
      <c r="W218" s="1984"/>
      <c r="X218" s="1984"/>
      <c r="Y218" s="1984"/>
      <c r="Z218" s="1984"/>
      <c r="AA218" s="1983"/>
      <c r="AB218" s="1983"/>
      <c r="AC218" s="1983"/>
      <c r="AD218" s="1983"/>
      <c r="AE218" s="1983"/>
      <c r="AF218" s="1983"/>
      <c r="AG218" s="1983"/>
      <c r="AH218" s="1983"/>
      <c r="AI218" s="1983"/>
      <c r="AJ218" s="1983"/>
      <c r="AK218" s="1983"/>
      <c r="AL218" s="1983"/>
      <c r="AM218" s="1983"/>
      <c r="AN218" s="1983"/>
      <c r="AO218" s="1983">
        <v>1</v>
      </c>
      <c r="AP218" s="1983">
        <v>2</v>
      </c>
      <c r="AQ218" s="1983">
        <v>3</v>
      </c>
      <c r="AR218" s="1983">
        <v>4</v>
      </c>
      <c r="AS218" s="1983">
        <v>5</v>
      </c>
      <c r="AT218" s="1983">
        <v>6</v>
      </c>
      <c r="AU218" s="1983">
        <v>7</v>
      </c>
      <c r="AV218" s="1983">
        <v>8</v>
      </c>
      <c r="AW218" s="1983">
        <v>9</v>
      </c>
      <c r="AX218" s="1983">
        <v>10</v>
      </c>
      <c r="AY218" s="1983">
        <v>11</v>
      </c>
      <c r="AZ218" s="1983">
        <v>12</v>
      </c>
      <c r="BA218" s="1983">
        <v>13</v>
      </c>
      <c r="BB218" s="1983">
        <v>14</v>
      </c>
      <c r="BC218" s="1983">
        <v>15</v>
      </c>
      <c r="BD218" s="1983">
        <v>16</v>
      </c>
      <c r="BE218" s="1983">
        <v>17</v>
      </c>
      <c r="BF218" s="1983">
        <v>18</v>
      </c>
      <c r="BG218" s="1983">
        <v>19</v>
      </c>
      <c r="BH218" s="1983">
        <v>20</v>
      </c>
      <c r="BI218" s="1983">
        <v>21</v>
      </c>
      <c r="BJ218" s="1983">
        <v>22</v>
      </c>
      <c r="BK218" s="1983">
        <v>23</v>
      </c>
      <c r="BL218" s="1967">
        <v>24</v>
      </c>
      <c r="BV218" s="1225"/>
      <c r="CV218" s="445"/>
      <c r="CW218" s="445"/>
      <c r="CX218" s="445"/>
    </row>
    <row r="219" spans="1:119" s="446" customFormat="1" ht="14.25" hidden="1" customHeight="1">
      <c r="A219" s="160"/>
      <c r="B219" s="160"/>
      <c r="C219" s="2311" t="str">
        <f>C190</f>
        <v>Drittmittel</v>
      </c>
      <c r="D219" s="160" t="s">
        <v>683</v>
      </c>
      <c r="E219" s="2006"/>
      <c r="F219" s="2006"/>
      <c r="G219" s="2006"/>
      <c r="H219" s="2006"/>
      <c r="I219" s="2006"/>
      <c r="J219" s="2006"/>
      <c r="K219" s="2006"/>
      <c r="L219" s="2006"/>
      <c r="M219" s="2006"/>
      <c r="N219" s="2006"/>
      <c r="O219" s="2006"/>
      <c r="P219" s="2006"/>
      <c r="Q219" s="1983"/>
      <c r="R219" s="1983"/>
      <c r="S219" s="1983"/>
      <c r="T219" s="1983"/>
      <c r="U219" s="1983"/>
      <c r="V219" s="1984"/>
      <c r="W219" s="1984"/>
      <c r="X219" s="1984"/>
      <c r="Y219" s="1984"/>
      <c r="Z219" s="1984"/>
      <c r="AA219" s="1983"/>
      <c r="AB219" s="1983"/>
      <c r="AC219" s="1983"/>
      <c r="AD219" s="1983"/>
      <c r="AE219" s="1983"/>
      <c r="AF219" s="1983"/>
      <c r="AG219" s="1983"/>
      <c r="AH219" s="1983"/>
      <c r="AI219" s="1983"/>
      <c r="AJ219" s="1983"/>
      <c r="AK219" s="1983"/>
      <c r="AL219" s="1983"/>
      <c r="AM219" s="1983"/>
      <c r="AN219" s="1983"/>
      <c r="AO219" s="1983">
        <f t="shared" ref="AO219:BL219" ca="1" si="116">IF($AO$217=$J$20,IF(AO218=$K$25,$J$25,0),0)</f>
        <v>0</v>
      </c>
      <c r="AP219" s="1983">
        <f t="shared" ca="1" si="116"/>
        <v>0</v>
      </c>
      <c r="AQ219" s="1983">
        <f t="shared" ca="1" si="116"/>
        <v>0</v>
      </c>
      <c r="AR219" s="1983">
        <f t="shared" ca="1" si="116"/>
        <v>0</v>
      </c>
      <c r="AS219" s="1983">
        <f t="shared" ca="1" si="116"/>
        <v>0</v>
      </c>
      <c r="AT219" s="1983">
        <f t="shared" ca="1" si="116"/>
        <v>0</v>
      </c>
      <c r="AU219" s="1983">
        <f t="shared" ca="1" si="116"/>
        <v>0</v>
      </c>
      <c r="AV219" s="1983">
        <f t="shared" ca="1" si="116"/>
        <v>0</v>
      </c>
      <c r="AW219" s="1983">
        <f t="shared" ca="1" si="116"/>
        <v>0</v>
      </c>
      <c r="AX219" s="1983">
        <f t="shared" ca="1" si="116"/>
        <v>0</v>
      </c>
      <c r="AY219" s="1983">
        <f t="shared" ca="1" si="116"/>
        <v>0</v>
      </c>
      <c r="AZ219" s="1983">
        <f t="shared" ca="1" si="116"/>
        <v>0</v>
      </c>
      <c r="BA219" s="1983">
        <f t="shared" ca="1" si="116"/>
        <v>0</v>
      </c>
      <c r="BB219" s="1983">
        <f t="shared" ca="1" si="116"/>
        <v>0</v>
      </c>
      <c r="BC219" s="1983">
        <f t="shared" ca="1" si="116"/>
        <v>0</v>
      </c>
      <c r="BD219" s="1983">
        <f t="shared" ca="1" si="116"/>
        <v>0</v>
      </c>
      <c r="BE219" s="1983">
        <f t="shared" ca="1" si="116"/>
        <v>0</v>
      </c>
      <c r="BF219" s="1983">
        <f t="shared" ca="1" si="116"/>
        <v>0</v>
      </c>
      <c r="BG219" s="1983">
        <f t="shared" ca="1" si="116"/>
        <v>0</v>
      </c>
      <c r="BH219" s="1983">
        <f t="shared" ca="1" si="116"/>
        <v>0</v>
      </c>
      <c r="BI219" s="1983">
        <f t="shared" ca="1" si="116"/>
        <v>0</v>
      </c>
      <c r="BJ219" s="1983">
        <f t="shared" ca="1" si="116"/>
        <v>0</v>
      </c>
      <c r="BK219" s="1983">
        <f t="shared" ca="1" si="116"/>
        <v>0</v>
      </c>
      <c r="BL219" s="1983">
        <f t="shared" ca="1" si="116"/>
        <v>0</v>
      </c>
      <c r="BV219" s="1225"/>
      <c r="CV219" s="445"/>
      <c r="CW219" s="445"/>
      <c r="CX219" s="445"/>
    </row>
    <row r="220" spans="1:119" s="446" customFormat="1" ht="14.25" hidden="1" customHeight="1">
      <c r="A220" s="160"/>
      <c r="B220" s="160"/>
      <c r="C220" s="2311"/>
      <c r="D220" s="160" t="s">
        <v>684</v>
      </c>
      <c r="E220" s="2006"/>
      <c r="F220" s="2006"/>
      <c r="G220" s="2006"/>
      <c r="H220" s="2006"/>
      <c r="I220" s="2006"/>
      <c r="J220" s="2006"/>
      <c r="K220" s="2006"/>
      <c r="L220" s="2006"/>
      <c r="M220" s="2006"/>
      <c r="N220" s="2006"/>
      <c r="O220" s="2006"/>
      <c r="P220" s="2006"/>
      <c r="Q220" s="1983"/>
      <c r="R220" s="1983"/>
      <c r="S220" s="1983"/>
      <c r="T220" s="1983"/>
      <c r="U220" s="1983"/>
      <c r="V220" s="1984"/>
      <c r="W220" s="1984"/>
      <c r="X220" s="1984"/>
      <c r="Y220" s="1984"/>
      <c r="Z220" s="1984"/>
      <c r="AA220" s="1983"/>
      <c r="AB220" s="1983"/>
      <c r="AC220" s="1983"/>
      <c r="AD220" s="1983"/>
      <c r="AE220" s="1983"/>
      <c r="AF220" s="1983"/>
      <c r="AG220" s="1983"/>
      <c r="AH220" s="1983"/>
      <c r="AI220" s="1983"/>
      <c r="AJ220" s="1983"/>
      <c r="AK220" s="1983"/>
      <c r="AL220" s="1983"/>
      <c r="AM220" s="1983"/>
      <c r="AN220" s="1983"/>
      <c r="AO220" s="1983">
        <f>IF($K$25=AO218,($J$25*$L$25)/12,0)</f>
        <v>0</v>
      </c>
      <c r="AP220" s="1983">
        <f t="shared" ref="AP220:BL220" si="117">IF($K$25=AP218,($J$25*$L$25)/12,0)</f>
        <v>0</v>
      </c>
      <c r="AQ220" s="1983">
        <f t="shared" si="117"/>
        <v>0</v>
      </c>
      <c r="AR220" s="1983">
        <f t="shared" si="117"/>
        <v>0</v>
      </c>
      <c r="AS220" s="1983">
        <f t="shared" si="117"/>
        <v>0</v>
      </c>
      <c r="AT220" s="1983">
        <f t="shared" si="117"/>
        <v>0</v>
      </c>
      <c r="AU220" s="1983">
        <f t="shared" si="117"/>
        <v>0</v>
      </c>
      <c r="AV220" s="1983">
        <f t="shared" si="117"/>
        <v>0</v>
      </c>
      <c r="AW220" s="1983">
        <f t="shared" si="117"/>
        <v>0</v>
      </c>
      <c r="AX220" s="1983">
        <f t="shared" si="117"/>
        <v>0</v>
      </c>
      <c r="AY220" s="1983">
        <f t="shared" si="117"/>
        <v>0</v>
      </c>
      <c r="AZ220" s="1983">
        <f t="shared" si="117"/>
        <v>0</v>
      </c>
      <c r="BA220" s="1983">
        <f t="shared" si="117"/>
        <v>0</v>
      </c>
      <c r="BB220" s="1983">
        <f t="shared" si="117"/>
        <v>0</v>
      </c>
      <c r="BC220" s="1983">
        <f t="shared" si="117"/>
        <v>0</v>
      </c>
      <c r="BD220" s="1983">
        <f t="shared" si="117"/>
        <v>0</v>
      </c>
      <c r="BE220" s="1983">
        <f t="shared" si="117"/>
        <v>0</v>
      </c>
      <c r="BF220" s="1983">
        <f t="shared" si="117"/>
        <v>0</v>
      </c>
      <c r="BG220" s="1983">
        <f t="shared" si="117"/>
        <v>0</v>
      </c>
      <c r="BH220" s="1983">
        <f t="shared" si="117"/>
        <v>0</v>
      </c>
      <c r="BI220" s="1983">
        <f t="shared" si="117"/>
        <v>0</v>
      </c>
      <c r="BJ220" s="1983">
        <f t="shared" si="117"/>
        <v>0</v>
      </c>
      <c r="BK220" s="1983">
        <f t="shared" si="117"/>
        <v>0</v>
      </c>
      <c r="BL220" s="1983">
        <f t="shared" si="117"/>
        <v>0</v>
      </c>
      <c r="BV220" s="1225"/>
      <c r="CV220" s="445"/>
      <c r="CW220" s="445"/>
      <c r="CX220" s="445"/>
    </row>
    <row r="221" spans="1:119" s="446" customFormat="1" ht="14.25" hidden="1" customHeight="1">
      <c r="A221" s="160"/>
      <c r="B221" s="160"/>
      <c r="C221" s="2311"/>
      <c r="D221" s="160" t="s">
        <v>685</v>
      </c>
      <c r="E221" s="2006"/>
      <c r="F221" s="2006"/>
      <c r="G221" s="2006"/>
      <c r="H221" s="2006"/>
      <c r="I221" s="2006"/>
      <c r="J221" s="2006"/>
      <c r="K221" s="2006"/>
      <c r="L221" s="2006"/>
      <c r="M221" s="2006"/>
      <c r="N221" s="2006"/>
      <c r="O221" s="2006"/>
      <c r="P221" s="2006"/>
      <c r="Q221" s="1983"/>
      <c r="R221" s="1983"/>
      <c r="S221" s="1983"/>
      <c r="T221" s="1983"/>
      <c r="U221" s="1983"/>
      <c r="V221" s="1984"/>
      <c r="W221" s="1984"/>
      <c r="X221" s="1984"/>
      <c r="Y221" s="1984"/>
      <c r="Z221" s="1984"/>
      <c r="AA221" s="1983"/>
      <c r="AB221" s="1983"/>
      <c r="AC221" s="1983"/>
      <c r="AD221" s="1983"/>
      <c r="AE221" s="1983"/>
      <c r="AF221" s="1983"/>
      <c r="AG221" s="1983"/>
      <c r="AH221" s="1983"/>
      <c r="AI221" s="1983"/>
      <c r="AJ221" s="1983"/>
      <c r="AK221" s="1983"/>
      <c r="AL221" s="1983"/>
      <c r="AM221" s="1983"/>
      <c r="AN221" s="1983"/>
      <c r="AO221" s="1983">
        <f>IF(OR(AO218&gt;$K$25+$M$25+$N$25*12,AO218&lt;$K$25),0,$J$25*$L$25/12)</f>
        <v>0</v>
      </c>
      <c r="AP221" s="1983">
        <f>IF(OR(AP218&gt;$K$25+$M$25+$N$25*12,AP218&lt;$K$25),0,($J$25-SUM($AO$223:AP223))*$L$25/12)</f>
        <v>0</v>
      </c>
      <c r="AQ221" s="1983">
        <f>IF(OR(AQ218&gt;$K$25+$M$25+$N$25*12,AQ218&lt;$K$25),0,($J$25-SUM($AO$223:AQ223))*$L$25/12)</f>
        <v>0</v>
      </c>
      <c r="AR221" s="1983">
        <f>IF(OR(AR218&gt;$K$25+$M$25+$N$25*12,AR218&lt;$K$25),0,($J$25-SUM($AO$223:AR223))*$L$25/12)</f>
        <v>0</v>
      </c>
      <c r="AS221" s="1983">
        <f>IF(OR(AS218&gt;$K$25+$M$25+$N$25*12,AS218&lt;$K$25),0,($J$25-SUM($AO$223:AS223))*$L$25/12)</f>
        <v>0</v>
      </c>
      <c r="AT221" s="1983">
        <f>IF(OR(AT218&gt;$K$25+$M$25+$N$25*12,AT218&lt;$K$25),0,($J$25-SUM($AO$223:AT223))*$L$25/12)</f>
        <v>0</v>
      </c>
      <c r="AU221" s="1983">
        <f>IF(OR(AU218&gt;$K$25+$M$25+$N$25*12,AU218&lt;$K$25),0,($J$25-SUM($AO$223:AU223))*$L$25/12)</f>
        <v>0</v>
      </c>
      <c r="AV221" s="1983">
        <f>IF(OR(AV218&gt;$K$25+$M$25+$N$25*12,AV218&lt;$K$25),0,($J$25-SUM($AO$223:AV223))*$L$25/12)</f>
        <v>0</v>
      </c>
      <c r="AW221" s="1983">
        <f>IF(OR(AW218&gt;$K$25+$M$25+$N$25*12,AW218&lt;$K$25),0,($J$25-SUM($AO$223:AW223))*$L$25/12)</f>
        <v>0</v>
      </c>
      <c r="AX221" s="1983">
        <f>IF(OR(AX218&gt;$K$25+$M$25+$N$25*12,AX218&lt;$K$25),0,($J$25-SUM($AO$223:AX223))*$L$25/12)</f>
        <v>0</v>
      </c>
      <c r="AY221" s="1983">
        <f>IF(OR(AY218&gt;$K$25+$M$25+$N$25*12,AY218&lt;$K$25),0,($J$25-SUM($AO$223:AY223))*$L$25/12)</f>
        <v>0</v>
      </c>
      <c r="AZ221" s="1983">
        <f>IF(OR(AZ218&gt;$K$25+$M$25+$N$25*12,AZ218&lt;$K$25),0,($J$25-SUM($AO$223:AZ223))*$L$25/12)</f>
        <v>0</v>
      </c>
      <c r="BA221" s="1983">
        <f>IF(OR(BA218&gt;$K$25+$M$25+$N$25*12,BA218&lt;$K$25),0,($J$25-SUM($AO$223:BA223))*$L$25/12)</f>
        <v>0</v>
      </c>
      <c r="BB221" s="1983">
        <f>IF(OR(BB218&gt;$K$25+$M$25+$N$25*12,BB218&lt;$K$25),0,($J$25-SUM($AO$223:BB223))*$L$25/12)</f>
        <v>0</v>
      </c>
      <c r="BC221" s="1983">
        <f>IF(OR(BC218&gt;$K$25+$M$25+$N$25*12,BC218&lt;$K$25),0,($J$25-SUM($AO$223:BC223))*$L$25/12)</f>
        <v>0</v>
      </c>
      <c r="BD221" s="1983">
        <f>IF(OR(BD218&gt;$K$25+$M$25+$N$25*12,BD218&lt;$K$25),0,($J$25-SUM($AO$223:BD223))*$L$25/12)</f>
        <v>0</v>
      </c>
      <c r="BE221" s="1983">
        <f>IF(OR(BE218&gt;$K$25+$M$25+$N$25*12,BE218&lt;$K$25),0,($J$25-SUM($AO$223:BE223))*$L$25/12)</f>
        <v>0</v>
      </c>
      <c r="BF221" s="1983">
        <f>IF(OR(BF218&gt;$K$25+$M$25+$N$25*12,BF218&lt;$K$25),0,($J$25-SUM($AO$223:BF223))*$L$25/12)</f>
        <v>0</v>
      </c>
      <c r="BG221" s="1983">
        <f>IF(OR(BG218&gt;$K$25+$M$25+$N$25*12,BG218&lt;$K$25),0,($J$25-SUM($AO$223:BG223))*$L$25/12)</f>
        <v>0</v>
      </c>
      <c r="BH221" s="1983">
        <f>IF(OR(BH218&gt;$K$25+$M$25+$N$25*12,BH218&lt;$K$25),0,($J$25-SUM($AO$223:BH223))*$L$25/12)</f>
        <v>0</v>
      </c>
      <c r="BI221" s="1983">
        <f>IF(OR(BI218&gt;$K$25+$M$25+$N$25*12,BI218&lt;$K$25),0,($J$25-SUM($AO$223:BI223))*$L$25/12)</f>
        <v>0</v>
      </c>
      <c r="BJ221" s="1983">
        <f>IF(OR(BJ218&gt;$K$25+$M$25+$N$25*12,BJ218&lt;$K$25),0,($J$25-SUM($AO$223:BJ223))*$L$25/12)</f>
        <v>0</v>
      </c>
      <c r="BK221" s="1983">
        <f>IF(OR(BK218&gt;$K$25+$M$25+$N$25*12,BK218&lt;$K$25),0,($J$25-SUM($AO$223:BK223))*$L$25/12)</f>
        <v>0</v>
      </c>
      <c r="BL221" s="1983">
        <f>IF(OR(BL218&gt;$K$25+$M$25+$N$25*12,BL218&lt;$K$25),0,($J$25-SUM($AO$223:BL223))*$L$25/12)</f>
        <v>0</v>
      </c>
      <c r="BV221" s="1225"/>
      <c r="CV221" s="445"/>
      <c r="CW221" s="445"/>
      <c r="CX221" s="445"/>
    </row>
    <row r="222" spans="1:119" s="446" customFormat="1" ht="14.25" hidden="1" customHeight="1">
      <c r="A222" s="160"/>
      <c r="B222" s="160"/>
      <c r="C222" s="2311"/>
      <c r="D222" s="160" t="s">
        <v>120</v>
      </c>
      <c r="E222" s="2006"/>
      <c r="F222" s="2006"/>
      <c r="G222" s="2006"/>
      <c r="H222" s="2006"/>
      <c r="I222" s="2006"/>
      <c r="J222" s="2006"/>
      <c r="K222" s="2006"/>
      <c r="L222" s="2006"/>
      <c r="M222" s="2006"/>
      <c r="N222" s="2006"/>
      <c r="O222" s="2006"/>
      <c r="P222" s="2006"/>
      <c r="Q222" s="1983"/>
      <c r="R222" s="1983"/>
      <c r="S222" s="1983"/>
      <c r="T222" s="1983"/>
      <c r="U222" s="1983"/>
      <c r="V222" s="1984"/>
      <c r="W222" s="1984"/>
      <c r="X222" s="1984"/>
      <c r="Y222" s="1984"/>
      <c r="Z222" s="1984"/>
      <c r="AA222" s="1983"/>
      <c r="AB222" s="1983"/>
      <c r="AC222" s="1983"/>
      <c r="AD222" s="1983"/>
      <c r="AE222" s="1983"/>
      <c r="AF222" s="1983"/>
      <c r="AG222" s="1983"/>
      <c r="AH222" s="1983"/>
      <c r="AI222" s="1983"/>
      <c r="AJ222" s="1983"/>
      <c r="AK222" s="1983"/>
      <c r="AL222" s="1983"/>
      <c r="AM222" s="1983"/>
      <c r="AN222" s="1983"/>
      <c r="AO222" s="1983">
        <f>IF($K$25+$M$25=AO218,IF($N$25=0,0,$J$25/($N$25*12)),0)</f>
        <v>0</v>
      </c>
      <c r="AP222" s="1983">
        <f t="shared" ref="AP222:BL222" si="118">IF($K$25+$M$25=AP218,IF($N$25=0,0,$J$25/($N$25*12)),0)</f>
        <v>0</v>
      </c>
      <c r="AQ222" s="1983">
        <f t="shared" si="118"/>
        <v>0</v>
      </c>
      <c r="AR222" s="1983">
        <f t="shared" si="118"/>
        <v>0</v>
      </c>
      <c r="AS222" s="1983">
        <f t="shared" si="118"/>
        <v>0</v>
      </c>
      <c r="AT222" s="1983">
        <f t="shared" si="118"/>
        <v>0</v>
      </c>
      <c r="AU222" s="1983">
        <f t="shared" si="118"/>
        <v>0</v>
      </c>
      <c r="AV222" s="1983">
        <f t="shared" si="118"/>
        <v>0</v>
      </c>
      <c r="AW222" s="1983">
        <f t="shared" si="118"/>
        <v>0</v>
      </c>
      <c r="AX222" s="1983">
        <f t="shared" si="118"/>
        <v>0</v>
      </c>
      <c r="AY222" s="1983">
        <f t="shared" si="118"/>
        <v>0</v>
      </c>
      <c r="AZ222" s="1983">
        <f t="shared" si="118"/>
        <v>0</v>
      </c>
      <c r="BA222" s="1983">
        <f t="shared" si="118"/>
        <v>0</v>
      </c>
      <c r="BB222" s="1983">
        <f t="shared" si="118"/>
        <v>0</v>
      </c>
      <c r="BC222" s="1983">
        <f t="shared" si="118"/>
        <v>0</v>
      </c>
      <c r="BD222" s="1983">
        <f t="shared" si="118"/>
        <v>0</v>
      </c>
      <c r="BE222" s="1983">
        <f t="shared" si="118"/>
        <v>0</v>
      </c>
      <c r="BF222" s="1983">
        <f t="shared" si="118"/>
        <v>0</v>
      </c>
      <c r="BG222" s="1983">
        <f t="shared" si="118"/>
        <v>0</v>
      </c>
      <c r="BH222" s="1983">
        <f t="shared" si="118"/>
        <v>0</v>
      </c>
      <c r="BI222" s="1983">
        <f t="shared" si="118"/>
        <v>0</v>
      </c>
      <c r="BJ222" s="1983">
        <f t="shared" si="118"/>
        <v>0</v>
      </c>
      <c r="BK222" s="1983">
        <f t="shared" si="118"/>
        <v>0</v>
      </c>
      <c r="BL222" s="1983">
        <f t="shared" si="118"/>
        <v>0</v>
      </c>
      <c r="BV222" s="1225"/>
      <c r="CV222" s="445"/>
      <c r="CW222" s="445"/>
      <c r="CX222" s="445"/>
    </row>
    <row r="223" spans="1:119" s="446" customFormat="1" ht="14.25" hidden="1" customHeight="1">
      <c r="A223" s="160"/>
      <c r="B223" s="160"/>
      <c r="C223" s="2311"/>
      <c r="D223" s="160" t="s">
        <v>686</v>
      </c>
      <c r="E223" s="2006"/>
      <c r="F223" s="2006"/>
      <c r="G223" s="2006"/>
      <c r="H223" s="2006"/>
      <c r="I223" s="2006"/>
      <c r="J223" s="2006"/>
      <c r="K223" s="2006"/>
      <c r="L223" s="2006"/>
      <c r="M223" s="2006"/>
      <c r="N223" s="2006"/>
      <c r="O223" s="2006"/>
      <c r="P223" s="2006"/>
      <c r="Q223" s="1983"/>
      <c r="R223" s="1983"/>
      <c r="S223" s="1983"/>
      <c r="T223" s="1983"/>
      <c r="U223" s="1983"/>
      <c r="V223" s="1984"/>
      <c r="W223" s="1984"/>
      <c r="X223" s="1984"/>
      <c r="Y223" s="1984"/>
      <c r="Z223" s="1984"/>
      <c r="AA223" s="1983"/>
      <c r="AB223" s="1983"/>
      <c r="AC223" s="1983"/>
      <c r="AD223" s="1983"/>
      <c r="AE223" s="1983"/>
      <c r="AF223" s="1983"/>
      <c r="AG223" s="1983"/>
      <c r="AH223" s="1983"/>
      <c r="AI223" s="1983"/>
      <c r="AJ223" s="1983"/>
      <c r="AK223" s="1983"/>
      <c r="AL223" s="1983"/>
      <c r="AM223" s="1983"/>
      <c r="AN223" s="1983"/>
      <c r="AO223" s="1983">
        <f>IF(OR(AO218&gt;=$K$25+$M$25+$N$25*12,AO218&lt;$K$25+$M$25),0,IF($N$25=0,0,$J$25/($N$25*12)))</f>
        <v>0</v>
      </c>
      <c r="AP223" s="1983">
        <f t="shared" ref="AP223:BL223" si="119">IF(OR(AP218&gt;=$K$25+$M$25+$N$25*12,AP218&lt;$K$25+$M$25),0,IF($N$25=0,0,$J$25/($N$25*12)))</f>
        <v>0</v>
      </c>
      <c r="AQ223" s="1983">
        <f t="shared" si="119"/>
        <v>0</v>
      </c>
      <c r="AR223" s="1983">
        <f t="shared" si="119"/>
        <v>0</v>
      </c>
      <c r="AS223" s="1983">
        <f t="shared" si="119"/>
        <v>0</v>
      </c>
      <c r="AT223" s="1983">
        <f t="shared" si="119"/>
        <v>0</v>
      </c>
      <c r="AU223" s="1983">
        <f t="shared" si="119"/>
        <v>0</v>
      </c>
      <c r="AV223" s="1983">
        <f t="shared" si="119"/>
        <v>0</v>
      </c>
      <c r="AW223" s="1983">
        <f t="shared" si="119"/>
        <v>0</v>
      </c>
      <c r="AX223" s="1983">
        <f t="shared" si="119"/>
        <v>0</v>
      </c>
      <c r="AY223" s="1983">
        <f t="shared" si="119"/>
        <v>0</v>
      </c>
      <c r="AZ223" s="1983">
        <f t="shared" si="119"/>
        <v>0</v>
      </c>
      <c r="BA223" s="1983">
        <f t="shared" si="119"/>
        <v>0</v>
      </c>
      <c r="BB223" s="1983">
        <f t="shared" si="119"/>
        <v>0</v>
      </c>
      <c r="BC223" s="1983">
        <f t="shared" si="119"/>
        <v>0</v>
      </c>
      <c r="BD223" s="1983">
        <f t="shared" si="119"/>
        <v>0</v>
      </c>
      <c r="BE223" s="1983">
        <f t="shared" si="119"/>
        <v>0</v>
      </c>
      <c r="BF223" s="1983">
        <f t="shared" si="119"/>
        <v>0</v>
      </c>
      <c r="BG223" s="1983">
        <f t="shared" si="119"/>
        <v>0</v>
      </c>
      <c r="BH223" s="1983">
        <f t="shared" si="119"/>
        <v>0</v>
      </c>
      <c r="BI223" s="1983">
        <f t="shared" si="119"/>
        <v>0</v>
      </c>
      <c r="BJ223" s="1983">
        <f t="shared" si="119"/>
        <v>0</v>
      </c>
      <c r="BK223" s="1983">
        <f t="shared" si="119"/>
        <v>0</v>
      </c>
      <c r="BL223" s="1983">
        <f t="shared" si="119"/>
        <v>0</v>
      </c>
      <c r="BV223" s="1225"/>
      <c r="CV223" s="445"/>
      <c r="CW223" s="445"/>
      <c r="CX223" s="445"/>
    </row>
    <row r="224" spans="1:119" s="446" customFormat="1" ht="14.25" hidden="1" customHeight="1">
      <c r="A224" s="160"/>
      <c r="B224" s="160"/>
      <c r="C224" s="2312" t="str">
        <f>C195</f>
        <v>Kontokorrent</v>
      </c>
      <c r="D224" s="160" t="s">
        <v>683</v>
      </c>
      <c r="E224" s="2006"/>
      <c r="F224" s="2006"/>
      <c r="G224" s="2006"/>
      <c r="H224" s="2006"/>
      <c r="I224" s="2006"/>
      <c r="J224" s="2006"/>
      <c r="K224" s="2006"/>
      <c r="L224" s="2006"/>
      <c r="M224" s="2006"/>
      <c r="N224" s="2006"/>
      <c r="O224" s="2006"/>
      <c r="P224" s="2006"/>
      <c r="Q224" s="1983"/>
      <c r="R224" s="1983"/>
      <c r="S224" s="1983"/>
      <c r="T224" s="1983"/>
      <c r="U224" s="1983"/>
      <c r="V224" s="1984"/>
      <c r="W224" s="1984"/>
      <c r="X224" s="1984"/>
      <c r="Y224" s="1984"/>
      <c r="Z224" s="1984"/>
      <c r="AA224" s="1983"/>
      <c r="AB224" s="1983"/>
      <c r="AC224" s="1983"/>
      <c r="AD224" s="1983"/>
      <c r="AE224" s="1983"/>
      <c r="AF224" s="1983"/>
      <c r="AG224" s="1983"/>
      <c r="AH224" s="1983"/>
      <c r="AI224" s="1983"/>
      <c r="AJ224" s="1983"/>
      <c r="AK224" s="1983"/>
      <c r="AL224" s="1983"/>
      <c r="AM224" s="1983"/>
      <c r="AN224" s="1983"/>
      <c r="AO224" s="1983">
        <f t="shared" ref="AO224:BL224" ca="1" si="120">IF($AO$217=$J$20,IF(AO218=$K$26,$J$26,0),0)</f>
        <v>0</v>
      </c>
      <c r="AP224" s="1983">
        <f t="shared" ca="1" si="120"/>
        <v>0</v>
      </c>
      <c r="AQ224" s="1983">
        <f t="shared" ca="1" si="120"/>
        <v>0</v>
      </c>
      <c r="AR224" s="1983">
        <f t="shared" ca="1" si="120"/>
        <v>0</v>
      </c>
      <c r="AS224" s="1983">
        <f t="shared" ca="1" si="120"/>
        <v>0</v>
      </c>
      <c r="AT224" s="1983">
        <f t="shared" ca="1" si="120"/>
        <v>0</v>
      </c>
      <c r="AU224" s="1983">
        <f t="shared" ca="1" si="120"/>
        <v>0</v>
      </c>
      <c r="AV224" s="1983">
        <f t="shared" ca="1" si="120"/>
        <v>0</v>
      </c>
      <c r="AW224" s="1983">
        <f t="shared" ca="1" si="120"/>
        <v>0</v>
      </c>
      <c r="AX224" s="1983">
        <f t="shared" ca="1" si="120"/>
        <v>0</v>
      </c>
      <c r="AY224" s="1983">
        <f t="shared" ca="1" si="120"/>
        <v>0</v>
      </c>
      <c r="AZ224" s="1983">
        <f t="shared" ca="1" si="120"/>
        <v>0</v>
      </c>
      <c r="BA224" s="1983">
        <f t="shared" ca="1" si="120"/>
        <v>0</v>
      </c>
      <c r="BB224" s="1983">
        <f t="shared" ca="1" si="120"/>
        <v>0</v>
      </c>
      <c r="BC224" s="1983">
        <f t="shared" ca="1" si="120"/>
        <v>0</v>
      </c>
      <c r="BD224" s="1983">
        <f t="shared" ca="1" si="120"/>
        <v>0</v>
      </c>
      <c r="BE224" s="1983">
        <f t="shared" ca="1" si="120"/>
        <v>0</v>
      </c>
      <c r="BF224" s="1983">
        <f t="shared" ca="1" si="120"/>
        <v>0</v>
      </c>
      <c r="BG224" s="1983">
        <f t="shared" ca="1" si="120"/>
        <v>0</v>
      </c>
      <c r="BH224" s="1983">
        <f t="shared" ca="1" si="120"/>
        <v>0</v>
      </c>
      <c r="BI224" s="1983">
        <f t="shared" ca="1" si="120"/>
        <v>0</v>
      </c>
      <c r="BJ224" s="1983">
        <f t="shared" ca="1" si="120"/>
        <v>0</v>
      </c>
      <c r="BK224" s="1983">
        <f t="shared" ca="1" si="120"/>
        <v>0</v>
      </c>
      <c r="BL224" s="1983">
        <f t="shared" ca="1" si="120"/>
        <v>0</v>
      </c>
      <c r="BV224" s="1225"/>
      <c r="CV224" s="445"/>
      <c r="CW224" s="445"/>
      <c r="CX224" s="445"/>
    </row>
    <row r="225" spans="1:102" s="446" customFormat="1" ht="14.25" hidden="1" customHeight="1">
      <c r="A225" s="160"/>
      <c r="B225" s="160"/>
      <c r="C225" s="2312"/>
      <c r="D225" s="160" t="s">
        <v>684</v>
      </c>
      <c r="E225" s="1970"/>
      <c r="F225" s="1970"/>
      <c r="G225" s="1970"/>
      <c r="H225" s="1970"/>
      <c r="I225" s="1970"/>
      <c r="J225" s="1970"/>
      <c r="K225" s="1970"/>
      <c r="L225" s="1970"/>
      <c r="M225" s="1970"/>
      <c r="N225" s="1970"/>
      <c r="O225" s="1970"/>
      <c r="P225" s="1970"/>
      <c r="Q225" s="1967"/>
      <c r="R225" s="1967"/>
      <c r="S225" s="1967"/>
      <c r="T225" s="1967"/>
      <c r="U225" s="1967"/>
      <c r="V225" s="1975"/>
      <c r="W225" s="1975"/>
      <c r="X225" s="1975"/>
      <c r="Y225" s="1975"/>
      <c r="Z225" s="1975"/>
      <c r="AA225" s="1967"/>
      <c r="AB225" s="1967"/>
      <c r="AC225" s="1967"/>
      <c r="AD225" s="1967"/>
      <c r="AE225" s="1967"/>
      <c r="AF225" s="1967"/>
      <c r="AG225" s="1967"/>
      <c r="AH225" s="1967"/>
      <c r="AI225" s="1967"/>
      <c r="AJ225" s="1967"/>
      <c r="AK225" s="1967"/>
      <c r="AL225" s="1967"/>
      <c r="AM225" s="1967"/>
      <c r="AN225" s="1967"/>
      <c r="AO225" s="1967">
        <f>IF($K$26=AO218,($J$26*$L$26)/12,0)</f>
        <v>0</v>
      </c>
      <c r="AP225" s="1967">
        <f t="shared" ref="AP225:BL225" si="121">IF($K$26=AP218,($J$26*$L$26)/12,0)</f>
        <v>0</v>
      </c>
      <c r="AQ225" s="1967">
        <f t="shared" si="121"/>
        <v>0</v>
      </c>
      <c r="AR225" s="1967">
        <f t="shared" si="121"/>
        <v>0</v>
      </c>
      <c r="AS225" s="1967">
        <f t="shared" si="121"/>
        <v>0</v>
      </c>
      <c r="AT225" s="1967">
        <f t="shared" si="121"/>
        <v>0</v>
      </c>
      <c r="AU225" s="1967">
        <f t="shared" si="121"/>
        <v>0</v>
      </c>
      <c r="AV225" s="1967">
        <f t="shared" si="121"/>
        <v>0</v>
      </c>
      <c r="AW225" s="1967">
        <f t="shared" si="121"/>
        <v>0</v>
      </c>
      <c r="AX225" s="1967">
        <f t="shared" si="121"/>
        <v>0</v>
      </c>
      <c r="AY225" s="1967">
        <f t="shared" si="121"/>
        <v>0</v>
      </c>
      <c r="AZ225" s="1967">
        <f t="shared" si="121"/>
        <v>0</v>
      </c>
      <c r="BA225" s="1967">
        <f t="shared" si="121"/>
        <v>0</v>
      </c>
      <c r="BB225" s="1967">
        <f t="shared" si="121"/>
        <v>0</v>
      </c>
      <c r="BC225" s="1967">
        <f t="shared" si="121"/>
        <v>0</v>
      </c>
      <c r="BD225" s="1967">
        <f t="shared" si="121"/>
        <v>0</v>
      </c>
      <c r="BE225" s="1967">
        <f t="shared" si="121"/>
        <v>0</v>
      </c>
      <c r="BF225" s="1967">
        <f t="shared" si="121"/>
        <v>0</v>
      </c>
      <c r="BG225" s="1967">
        <f t="shared" si="121"/>
        <v>0</v>
      </c>
      <c r="BH225" s="1967">
        <f t="shared" si="121"/>
        <v>0</v>
      </c>
      <c r="BI225" s="1967">
        <f t="shared" si="121"/>
        <v>0</v>
      </c>
      <c r="BJ225" s="1967">
        <f t="shared" si="121"/>
        <v>0</v>
      </c>
      <c r="BK225" s="1967">
        <f t="shared" si="121"/>
        <v>0</v>
      </c>
      <c r="BL225" s="1967">
        <f t="shared" si="121"/>
        <v>0</v>
      </c>
      <c r="BV225" s="1225"/>
      <c r="CV225" s="445"/>
      <c r="CW225" s="445"/>
      <c r="CX225" s="445"/>
    </row>
    <row r="226" spans="1:102" s="446" customFormat="1" ht="14.25" hidden="1" customHeight="1">
      <c r="A226" s="160"/>
      <c r="B226" s="160"/>
      <c r="C226" s="2312"/>
      <c r="D226" s="160" t="s">
        <v>685</v>
      </c>
      <c r="E226" s="1970"/>
      <c r="F226" s="1970"/>
      <c r="G226" s="1970"/>
      <c r="H226" s="1970"/>
      <c r="I226" s="1970"/>
      <c r="J226" s="1970"/>
      <c r="K226" s="1970"/>
      <c r="L226" s="1970"/>
      <c r="M226" s="1970"/>
      <c r="N226" s="1970"/>
      <c r="O226" s="1970"/>
      <c r="P226" s="1970"/>
      <c r="Q226" s="1967"/>
      <c r="R226" s="1967"/>
      <c r="S226" s="1967"/>
      <c r="T226" s="1967"/>
      <c r="U226" s="1967"/>
      <c r="V226" s="1975"/>
      <c r="W226" s="1975"/>
      <c r="X226" s="1975"/>
      <c r="Y226" s="1975"/>
      <c r="Z226" s="1975"/>
      <c r="AA226" s="1967"/>
      <c r="AB226" s="1967"/>
      <c r="AC226" s="1967"/>
      <c r="AD226" s="1967"/>
      <c r="AE226" s="1967"/>
      <c r="AF226" s="1967"/>
      <c r="AG226" s="1967"/>
      <c r="AH226" s="1967"/>
      <c r="AI226" s="1967"/>
      <c r="AJ226" s="1967"/>
      <c r="AK226" s="1967"/>
      <c r="AL226" s="1967"/>
      <c r="AM226" s="1967"/>
      <c r="AN226" s="1967"/>
      <c r="AO226" s="1967">
        <f>IF(OR(AO218&gt;$K$26+ $M$26+$N$26*12,AO218&lt;$K$26),0,$J$26*$L$26/12)</f>
        <v>0</v>
      </c>
      <c r="AP226" s="1967">
        <f>IF(OR(AP218&gt;$K$26+ $M$26+$N$26*12,AP218&lt;$K$26),0,($J$26-SUM($AO$228:AP228))*$L$26/12)</f>
        <v>0</v>
      </c>
      <c r="AQ226" s="1967">
        <f>IF(OR(AQ218&gt;$K$26+ $M$26+$N$26*12,AQ218&lt;$K$26),0,($J$26-SUM($AO$228:AQ228))*$L$26/12)</f>
        <v>0</v>
      </c>
      <c r="AR226" s="1967">
        <f>IF(OR(AR218&gt;$K$26+ $M$26+$N$26*12,AR218&lt;$K$26),0,($J$26-SUM($AO$228:AR228))*$L$26/12)</f>
        <v>0</v>
      </c>
      <c r="AS226" s="1967">
        <f>IF(OR(AS218&gt;$K$26+ $M$26+$N$26*12,AS218&lt;$K$26),0,($J$26-SUM($AO$228:AS228))*$L$26/12)</f>
        <v>0</v>
      </c>
      <c r="AT226" s="1967">
        <f>IF(OR(AT218&gt;$K$26+ $M$26+$N$26*12,AT218&lt;$K$26),0,($J$26-SUM($AO$228:AT228))*$L$26/12)</f>
        <v>0</v>
      </c>
      <c r="AU226" s="1967">
        <f>IF(OR(AU218&gt;$K$26+ $M$26+$N$26*12,AU218&lt;$K$26),0,($J$26-SUM($AO$228:AU228))*$L$26/12)</f>
        <v>0</v>
      </c>
      <c r="AV226" s="1967">
        <f>IF(OR(AV218&gt;$K$26+ $M$26+$N$26*12,AV218&lt;$K$26),0,($J$26-SUM($AO$228:AV228))*$L$26/12)</f>
        <v>0</v>
      </c>
      <c r="AW226" s="1967">
        <f>IF(OR(AW218&gt;$K$26+ $M$26+$N$26*12,AW218&lt;$K$26),0,($J$26-SUM($AO$228:AW228))*$L$26/12)</f>
        <v>0</v>
      </c>
      <c r="AX226" s="1967">
        <f>IF(OR(AX218&gt;$K$26+ $M$26+$N$26*12,AX218&lt;$K$26),0,($J$26-SUM($AO$228:AX228))*$L$26/12)</f>
        <v>0</v>
      </c>
      <c r="AY226" s="1967">
        <f>IF(OR(AY218&gt;$K$26+ $M$26+$N$26*12,AY218&lt;$K$26),0,($J$26-SUM($AO$228:AY228))*$L$26/12)</f>
        <v>0</v>
      </c>
      <c r="AZ226" s="1967">
        <f>IF(OR(AZ218&gt;$K$26+ $M$26+$N$26*12,AZ218&lt;$K$26),0,($J$26-SUM($AO$228:AZ228))*$L$26/12)</f>
        <v>0</v>
      </c>
      <c r="BA226" s="1967">
        <f>IF(OR(BA218&gt;$K$26+ $M$26+$N$26*12,BA218&lt;$K$26),0,($J$26-SUM($AO$228:BA228))*$L$26/12)</f>
        <v>0</v>
      </c>
      <c r="BB226" s="1967">
        <f>IF(OR(BB218&gt;$K$26+ $M$26+$N$26*12,BB218&lt;$K$26),0,($J$26-SUM($AO$228:BB228))*$L$26/12)</f>
        <v>0</v>
      </c>
      <c r="BC226" s="1967">
        <f>IF(OR(BC218&gt;$K$26+ $M$26+$N$26*12,BC218&lt;$K$26),0,($J$26-SUM($AO$228:BC228))*$L$26/12)</f>
        <v>0</v>
      </c>
      <c r="BD226" s="1967">
        <f>IF(OR(BD218&gt;$K$26+ $M$26+$N$26*12,BD218&lt;$K$26),0,($J$26-SUM($AO$228:BD228))*$L$26/12)</f>
        <v>0</v>
      </c>
      <c r="BE226" s="1967">
        <f>IF(OR(BE218&gt;$K$26+ $M$26+$N$26*12,BE218&lt;$K$26),0,($J$26-SUM($AO$228:BE228))*$L$26/12)</f>
        <v>0</v>
      </c>
      <c r="BF226" s="1967">
        <f>IF(OR(BF218&gt;$K$26+ $M$26+$N$26*12,BF218&lt;$K$26),0,($J$26-SUM($AO$228:BF228))*$L$26/12)</f>
        <v>0</v>
      </c>
      <c r="BG226" s="1967">
        <f>IF(OR(BG218&gt;$K$26+ $M$26+$N$26*12,BG218&lt;$K$26),0,($J$26-SUM($AO$228:BG228))*$L$26/12)</f>
        <v>0</v>
      </c>
      <c r="BH226" s="1967">
        <f>IF(OR(BH218&gt;$K$26+ $M$26+$N$26*12,BH218&lt;$K$26),0,($J$26-SUM($AO$228:BH228))*$L$26/12)</f>
        <v>0</v>
      </c>
      <c r="BI226" s="1967">
        <f>IF(OR(BI218&gt;$K$26+ $M$26+$N$26*12,BI218&lt;$K$26),0,($J$26-SUM($AO$228:BI228))*$L$26/12)</f>
        <v>0</v>
      </c>
      <c r="BJ226" s="1967">
        <f>IF(OR(BJ218&gt;$K$26+ $M$26+$N$26*12,BJ218&lt;$K$26),0,($J$26-SUM($AO$228:BJ228))*$L$26/12)</f>
        <v>0</v>
      </c>
      <c r="BK226" s="1967">
        <f>IF(OR(BK218&gt;$K$26+ $M$26+$N$26*12,BK218&lt;$K$26),0,($J$26-SUM($AO$228:BK228))*$L$26/12)</f>
        <v>0</v>
      </c>
      <c r="BL226" s="1967">
        <f>IF(OR(BL218&gt;$K$26+ $M$26+$N$26*12,BL218&lt;$K$26),0,($J$26-SUM($AO$228:BL228))*$L$26/12)</f>
        <v>0</v>
      </c>
      <c r="BV226" s="1225"/>
      <c r="CV226" s="445"/>
      <c r="CW226" s="445"/>
      <c r="CX226" s="445"/>
    </row>
    <row r="227" spans="1:102" s="446" customFormat="1" ht="14.25" hidden="1" customHeight="1">
      <c r="A227" s="160"/>
      <c r="B227" s="160"/>
      <c r="C227" s="2312"/>
      <c r="D227" s="160" t="s">
        <v>120</v>
      </c>
      <c r="E227" s="1970"/>
      <c r="F227" s="1970"/>
      <c r="G227" s="1970"/>
      <c r="H227" s="1970"/>
      <c r="I227" s="1970"/>
      <c r="J227" s="1970"/>
      <c r="K227" s="1970"/>
      <c r="L227" s="1970"/>
      <c r="M227" s="1970"/>
      <c r="N227" s="1970"/>
      <c r="O227" s="1970"/>
      <c r="P227" s="1970"/>
      <c r="Q227" s="1967"/>
      <c r="R227" s="1967"/>
      <c r="S227" s="1967"/>
      <c r="T227" s="1967"/>
      <c r="U227" s="1967"/>
      <c r="V227" s="1975"/>
      <c r="W227" s="1975"/>
      <c r="X227" s="1975"/>
      <c r="Y227" s="1975"/>
      <c r="Z227" s="1975"/>
      <c r="AA227" s="1967"/>
      <c r="AB227" s="1967"/>
      <c r="AC227" s="1967"/>
      <c r="AD227" s="1967"/>
      <c r="AE227" s="1967"/>
      <c r="AF227" s="1967"/>
      <c r="AG227" s="1967"/>
      <c r="AH227" s="1967"/>
      <c r="AI227" s="1967"/>
      <c r="AJ227" s="1967"/>
      <c r="AK227" s="1967"/>
      <c r="AL227" s="1967"/>
      <c r="AM227" s="1967"/>
      <c r="AN227" s="1967"/>
      <c r="AO227" s="1967">
        <f>IF($K$26+$M$26=AO218,IF($N$26=0,0,$J$26/($N$26*12)),0)</f>
        <v>0</v>
      </c>
      <c r="AP227" s="1967">
        <f t="shared" ref="AP227:BL227" si="122">IF($K$26+$M$26=AP218,IF($N$26=0,0,$J$26/($N$26*12)),0)</f>
        <v>0</v>
      </c>
      <c r="AQ227" s="1967">
        <f t="shared" si="122"/>
        <v>0</v>
      </c>
      <c r="AR227" s="1967">
        <f t="shared" si="122"/>
        <v>0</v>
      </c>
      <c r="AS227" s="1967">
        <f t="shared" si="122"/>
        <v>0</v>
      </c>
      <c r="AT227" s="1967">
        <f t="shared" si="122"/>
        <v>0</v>
      </c>
      <c r="AU227" s="1967">
        <f t="shared" si="122"/>
        <v>0</v>
      </c>
      <c r="AV227" s="1967">
        <f t="shared" si="122"/>
        <v>0</v>
      </c>
      <c r="AW227" s="1967">
        <f t="shared" si="122"/>
        <v>0</v>
      </c>
      <c r="AX227" s="1967">
        <f t="shared" si="122"/>
        <v>0</v>
      </c>
      <c r="AY227" s="1967">
        <f t="shared" si="122"/>
        <v>0</v>
      </c>
      <c r="AZ227" s="1967">
        <f t="shared" si="122"/>
        <v>0</v>
      </c>
      <c r="BA227" s="1967">
        <f t="shared" si="122"/>
        <v>0</v>
      </c>
      <c r="BB227" s="1967">
        <f t="shared" si="122"/>
        <v>0</v>
      </c>
      <c r="BC227" s="1967">
        <f t="shared" si="122"/>
        <v>0</v>
      </c>
      <c r="BD227" s="1967">
        <f t="shared" si="122"/>
        <v>0</v>
      </c>
      <c r="BE227" s="1967">
        <f t="shared" si="122"/>
        <v>0</v>
      </c>
      <c r="BF227" s="1967">
        <f t="shared" si="122"/>
        <v>0</v>
      </c>
      <c r="BG227" s="1967">
        <f t="shared" si="122"/>
        <v>0</v>
      </c>
      <c r="BH227" s="1967">
        <f t="shared" si="122"/>
        <v>0</v>
      </c>
      <c r="BI227" s="1967">
        <f t="shared" si="122"/>
        <v>0</v>
      </c>
      <c r="BJ227" s="1967">
        <f t="shared" si="122"/>
        <v>0</v>
      </c>
      <c r="BK227" s="1967">
        <f t="shared" si="122"/>
        <v>0</v>
      </c>
      <c r="BL227" s="1967">
        <f t="shared" si="122"/>
        <v>0</v>
      </c>
      <c r="BV227" s="1225"/>
      <c r="CV227" s="445"/>
      <c r="CW227" s="445"/>
      <c r="CX227" s="445"/>
    </row>
    <row r="228" spans="1:102" s="446" customFormat="1" ht="14.25" hidden="1" customHeight="1">
      <c r="A228" s="160"/>
      <c r="B228" s="160"/>
      <c r="C228" s="2312"/>
      <c r="D228" s="160" t="s">
        <v>686</v>
      </c>
      <c r="E228" s="1970"/>
      <c r="F228" s="1970"/>
      <c r="G228" s="1970"/>
      <c r="H228" s="1970"/>
      <c r="I228" s="1970"/>
      <c r="J228" s="1970"/>
      <c r="K228" s="1970"/>
      <c r="L228" s="1970"/>
      <c r="M228" s="1970"/>
      <c r="N228" s="1970"/>
      <c r="O228" s="1970"/>
      <c r="P228" s="1970"/>
      <c r="Q228" s="1967"/>
      <c r="R228" s="1967"/>
      <c r="S228" s="1967"/>
      <c r="T228" s="1967"/>
      <c r="U228" s="1967"/>
      <c r="V228" s="1975"/>
      <c r="W228" s="1975"/>
      <c r="X228" s="1975"/>
      <c r="Y228" s="1975"/>
      <c r="Z228" s="1975"/>
      <c r="AA228" s="1967"/>
      <c r="AB228" s="1967"/>
      <c r="AC228" s="1967"/>
      <c r="AD228" s="1967"/>
      <c r="AE228" s="1967"/>
      <c r="AF228" s="1967"/>
      <c r="AG228" s="1967"/>
      <c r="AH228" s="1967"/>
      <c r="AI228" s="1967"/>
      <c r="AJ228" s="1967"/>
      <c r="AK228" s="1967"/>
      <c r="AL228" s="1967"/>
      <c r="AM228" s="1967"/>
      <c r="AN228" s="1967"/>
      <c r="AO228" s="1967">
        <f>IF(OR(AO218&gt;=$K$26+$M$26+$N$26*12,AO218&lt;$K$26+$M$26),0,IF($N$26=0,0,$J$26/($N$26*12)))</f>
        <v>0</v>
      </c>
      <c r="AP228" s="1967">
        <f t="shared" ref="AP228:BL228" si="123">IF(OR(AP218&gt;=$K$26+$M$26+$N$26*12,AP218&lt;$K$26+$M$26),0,IF($N$26=0,0,$J$26/($N$26*12)))</f>
        <v>0</v>
      </c>
      <c r="AQ228" s="1967">
        <f t="shared" si="123"/>
        <v>0</v>
      </c>
      <c r="AR228" s="1967">
        <f t="shared" si="123"/>
        <v>0</v>
      </c>
      <c r="AS228" s="1967">
        <f t="shared" si="123"/>
        <v>0</v>
      </c>
      <c r="AT228" s="1967">
        <f t="shared" si="123"/>
        <v>0</v>
      </c>
      <c r="AU228" s="1967">
        <f t="shared" si="123"/>
        <v>0</v>
      </c>
      <c r="AV228" s="1967">
        <f t="shared" si="123"/>
        <v>0</v>
      </c>
      <c r="AW228" s="1967">
        <f t="shared" si="123"/>
        <v>0</v>
      </c>
      <c r="AX228" s="1967">
        <f t="shared" si="123"/>
        <v>0</v>
      </c>
      <c r="AY228" s="1967">
        <f t="shared" si="123"/>
        <v>0</v>
      </c>
      <c r="AZ228" s="1967">
        <f t="shared" si="123"/>
        <v>0</v>
      </c>
      <c r="BA228" s="1967">
        <f t="shared" si="123"/>
        <v>0</v>
      </c>
      <c r="BB228" s="1967">
        <f t="shared" si="123"/>
        <v>0</v>
      </c>
      <c r="BC228" s="1967">
        <f t="shared" si="123"/>
        <v>0</v>
      </c>
      <c r="BD228" s="1967">
        <f t="shared" si="123"/>
        <v>0</v>
      </c>
      <c r="BE228" s="1967">
        <f t="shared" si="123"/>
        <v>0</v>
      </c>
      <c r="BF228" s="1967">
        <f t="shared" si="123"/>
        <v>0</v>
      </c>
      <c r="BG228" s="1967">
        <f t="shared" si="123"/>
        <v>0</v>
      </c>
      <c r="BH228" s="1967">
        <f t="shared" si="123"/>
        <v>0</v>
      </c>
      <c r="BI228" s="1967">
        <f t="shared" si="123"/>
        <v>0</v>
      </c>
      <c r="BJ228" s="1967">
        <f t="shared" si="123"/>
        <v>0</v>
      </c>
      <c r="BK228" s="1967">
        <f t="shared" si="123"/>
        <v>0</v>
      </c>
      <c r="BL228" s="1967">
        <f t="shared" si="123"/>
        <v>0</v>
      </c>
      <c r="BV228" s="1225"/>
      <c r="CV228" s="445"/>
      <c r="CW228" s="445"/>
      <c r="CX228" s="445"/>
    </row>
    <row r="229" spans="1:102" s="446" customFormat="1" ht="14.25" hidden="1" customHeight="1">
      <c r="A229" s="160"/>
      <c r="B229" s="160"/>
      <c r="C229" s="2311" t="str">
        <f>C200</f>
        <v>L - Bank-Darlehen</v>
      </c>
      <c r="D229" s="160" t="s">
        <v>683</v>
      </c>
      <c r="E229" s="1970"/>
      <c r="F229" s="1970"/>
      <c r="G229" s="1970"/>
      <c r="H229" s="1970"/>
      <c r="I229" s="1970"/>
      <c r="J229" s="1970"/>
      <c r="K229" s="1970"/>
      <c r="L229" s="1970"/>
      <c r="M229" s="1970"/>
      <c r="N229" s="1970"/>
      <c r="O229" s="1970"/>
      <c r="P229" s="1970"/>
      <c r="Q229" s="1967"/>
      <c r="R229" s="1967"/>
      <c r="S229" s="1967"/>
      <c r="T229" s="1967"/>
      <c r="U229" s="1967"/>
      <c r="V229" s="1975"/>
      <c r="W229" s="1975"/>
      <c r="X229" s="1975"/>
      <c r="Y229" s="1975"/>
      <c r="Z229" s="1975"/>
      <c r="AA229" s="1967"/>
      <c r="AB229" s="1967"/>
      <c r="AC229" s="1967"/>
      <c r="AD229" s="1967"/>
      <c r="AE229" s="1967"/>
      <c r="AF229" s="1967"/>
      <c r="AG229" s="1967"/>
      <c r="AH229" s="1967"/>
      <c r="AI229" s="1967"/>
      <c r="AJ229" s="1967"/>
      <c r="AK229" s="1967"/>
      <c r="AL229" s="1967"/>
      <c r="AM229" s="1967"/>
      <c r="AN229" s="1967"/>
      <c r="AO229" s="1967">
        <f t="shared" ref="AO229:BL229" ca="1" si="124">IF($AO$217=$J$20,IF(AO218=$K$27,$J$27,0),0)</f>
        <v>0</v>
      </c>
      <c r="AP229" s="1967">
        <f t="shared" ca="1" si="124"/>
        <v>0</v>
      </c>
      <c r="AQ229" s="1967">
        <f t="shared" ca="1" si="124"/>
        <v>0</v>
      </c>
      <c r="AR229" s="1967">
        <f t="shared" ca="1" si="124"/>
        <v>0</v>
      </c>
      <c r="AS229" s="1967">
        <f t="shared" ca="1" si="124"/>
        <v>0</v>
      </c>
      <c r="AT229" s="1967">
        <f t="shared" ca="1" si="124"/>
        <v>0</v>
      </c>
      <c r="AU229" s="1967">
        <f t="shared" ca="1" si="124"/>
        <v>0</v>
      </c>
      <c r="AV229" s="1967">
        <f t="shared" ca="1" si="124"/>
        <v>0</v>
      </c>
      <c r="AW229" s="1967">
        <f t="shared" ca="1" si="124"/>
        <v>0</v>
      </c>
      <c r="AX229" s="1967">
        <f t="shared" ca="1" si="124"/>
        <v>0</v>
      </c>
      <c r="AY229" s="1967">
        <f t="shared" ca="1" si="124"/>
        <v>0</v>
      </c>
      <c r="AZ229" s="1967">
        <f t="shared" ca="1" si="124"/>
        <v>0</v>
      </c>
      <c r="BA229" s="1967">
        <f t="shared" ca="1" si="124"/>
        <v>0</v>
      </c>
      <c r="BB229" s="1967">
        <f t="shared" ca="1" si="124"/>
        <v>0</v>
      </c>
      <c r="BC229" s="1967">
        <f t="shared" ca="1" si="124"/>
        <v>0</v>
      </c>
      <c r="BD229" s="1967">
        <f t="shared" ca="1" si="124"/>
        <v>0</v>
      </c>
      <c r="BE229" s="1967">
        <f t="shared" ca="1" si="124"/>
        <v>0</v>
      </c>
      <c r="BF229" s="1967">
        <f t="shared" ca="1" si="124"/>
        <v>0</v>
      </c>
      <c r="BG229" s="1967">
        <f t="shared" ca="1" si="124"/>
        <v>0</v>
      </c>
      <c r="BH229" s="1967">
        <f t="shared" ca="1" si="124"/>
        <v>0</v>
      </c>
      <c r="BI229" s="1967">
        <f t="shared" ca="1" si="124"/>
        <v>0</v>
      </c>
      <c r="BJ229" s="1967">
        <f t="shared" ca="1" si="124"/>
        <v>0</v>
      </c>
      <c r="BK229" s="1967">
        <f t="shared" ca="1" si="124"/>
        <v>0</v>
      </c>
      <c r="BL229" s="1967">
        <f t="shared" ca="1" si="124"/>
        <v>0</v>
      </c>
      <c r="BV229" s="1225"/>
      <c r="CV229" s="445"/>
      <c r="CW229" s="445"/>
      <c r="CX229" s="445"/>
    </row>
    <row r="230" spans="1:102" s="446" customFormat="1" ht="14.25" hidden="1" customHeight="1">
      <c r="A230" s="160"/>
      <c r="B230" s="160"/>
      <c r="C230" s="2311"/>
      <c r="D230" s="160" t="s">
        <v>684</v>
      </c>
      <c r="E230" s="1970"/>
      <c r="F230" s="1970"/>
      <c r="G230" s="1970"/>
      <c r="H230" s="1970"/>
      <c r="I230" s="1970"/>
      <c r="J230" s="1970"/>
      <c r="K230" s="1970"/>
      <c r="L230" s="1970"/>
      <c r="M230" s="1970"/>
      <c r="N230" s="1970"/>
      <c r="O230" s="1970"/>
      <c r="P230" s="1970"/>
      <c r="Q230" s="1967"/>
      <c r="R230" s="1967"/>
      <c r="S230" s="1967"/>
      <c r="T230" s="1967"/>
      <c r="U230" s="1967"/>
      <c r="V230" s="1975"/>
      <c r="W230" s="1975"/>
      <c r="X230" s="1975"/>
      <c r="Y230" s="1975"/>
      <c r="Z230" s="1975"/>
      <c r="AA230" s="1967"/>
      <c r="AB230" s="1967"/>
      <c r="AC230" s="1967"/>
      <c r="AD230" s="1967"/>
      <c r="AE230" s="1967"/>
      <c r="AF230" s="1967"/>
      <c r="AG230" s="1967"/>
      <c r="AH230" s="1967"/>
      <c r="AI230" s="1967"/>
      <c r="AJ230" s="1967"/>
      <c r="AK230" s="1967"/>
      <c r="AL230" s="1967"/>
      <c r="AM230" s="1967"/>
      <c r="AN230" s="1967"/>
      <c r="AO230" s="1967">
        <f>IF($K$27=AO218,($J$27*$L$27)/12,0)</f>
        <v>0</v>
      </c>
      <c r="AP230" s="1967">
        <f t="shared" ref="AP230:BL230" si="125">IF($K$27=AP218,($J$27*$L$27)/12,0)</f>
        <v>0</v>
      </c>
      <c r="AQ230" s="1967">
        <f t="shared" si="125"/>
        <v>0</v>
      </c>
      <c r="AR230" s="1967">
        <f t="shared" si="125"/>
        <v>0</v>
      </c>
      <c r="AS230" s="1967">
        <f t="shared" si="125"/>
        <v>0</v>
      </c>
      <c r="AT230" s="1967">
        <f t="shared" si="125"/>
        <v>0</v>
      </c>
      <c r="AU230" s="1967">
        <f t="shared" si="125"/>
        <v>0</v>
      </c>
      <c r="AV230" s="1967">
        <f t="shared" si="125"/>
        <v>0</v>
      </c>
      <c r="AW230" s="1967">
        <f t="shared" si="125"/>
        <v>0</v>
      </c>
      <c r="AX230" s="1967">
        <f t="shared" si="125"/>
        <v>0</v>
      </c>
      <c r="AY230" s="1967">
        <f t="shared" si="125"/>
        <v>0</v>
      </c>
      <c r="AZ230" s="1967">
        <f t="shared" si="125"/>
        <v>0</v>
      </c>
      <c r="BA230" s="1967">
        <f t="shared" si="125"/>
        <v>0</v>
      </c>
      <c r="BB230" s="1967">
        <f t="shared" si="125"/>
        <v>0</v>
      </c>
      <c r="BC230" s="1967">
        <f t="shared" si="125"/>
        <v>0</v>
      </c>
      <c r="BD230" s="1967">
        <f t="shared" si="125"/>
        <v>0</v>
      </c>
      <c r="BE230" s="1967">
        <f t="shared" si="125"/>
        <v>0</v>
      </c>
      <c r="BF230" s="1967">
        <f t="shared" si="125"/>
        <v>0</v>
      </c>
      <c r="BG230" s="1967">
        <f t="shared" si="125"/>
        <v>0</v>
      </c>
      <c r="BH230" s="1967">
        <f t="shared" si="125"/>
        <v>0</v>
      </c>
      <c r="BI230" s="1967">
        <f t="shared" si="125"/>
        <v>0</v>
      </c>
      <c r="BJ230" s="1967">
        <f t="shared" si="125"/>
        <v>0</v>
      </c>
      <c r="BK230" s="1967">
        <f t="shared" si="125"/>
        <v>0</v>
      </c>
      <c r="BL230" s="1967">
        <f t="shared" si="125"/>
        <v>0</v>
      </c>
      <c r="BV230" s="1225"/>
      <c r="CV230" s="445"/>
      <c r="CW230" s="445"/>
      <c r="CX230" s="445"/>
    </row>
    <row r="231" spans="1:102" s="446" customFormat="1" ht="14.25" hidden="1" customHeight="1">
      <c r="A231" s="160"/>
      <c r="B231" s="160"/>
      <c r="C231" s="2311"/>
      <c r="D231" s="160" t="s">
        <v>685</v>
      </c>
      <c r="E231" s="1970"/>
      <c r="F231" s="1970"/>
      <c r="G231" s="1970"/>
      <c r="H231" s="1970"/>
      <c r="I231" s="1970"/>
      <c r="J231" s="1970"/>
      <c r="K231" s="1970"/>
      <c r="L231" s="1970"/>
      <c r="M231" s="1970"/>
      <c r="N231" s="1970"/>
      <c r="O231" s="1970"/>
      <c r="P231" s="1970"/>
      <c r="Q231" s="1967"/>
      <c r="R231" s="1967"/>
      <c r="S231" s="1967"/>
      <c r="T231" s="1967"/>
      <c r="U231" s="1967"/>
      <c r="V231" s="1975"/>
      <c r="W231" s="1975"/>
      <c r="X231" s="1975"/>
      <c r="Y231" s="1975"/>
      <c r="Z231" s="1975"/>
      <c r="AA231" s="1967"/>
      <c r="AB231" s="1967"/>
      <c r="AC231" s="1967"/>
      <c r="AD231" s="1967"/>
      <c r="AE231" s="1967"/>
      <c r="AF231" s="1967"/>
      <c r="AG231" s="1967"/>
      <c r="AH231" s="1967"/>
      <c r="AI231" s="1967"/>
      <c r="AJ231" s="1967"/>
      <c r="AK231" s="1967"/>
      <c r="AL231" s="1967"/>
      <c r="AM231" s="1967"/>
      <c r="AN231" s="1967"/>
      <c r="AO231" s="1967">
        <f>IF(OR(AO218&gt;=$K$27+$M$27+$N$27*12,AO218&lt;$F$267+$K$27),0,$J$27*$L$27/12)</f>
        <v>0</v>
      </c>
      <c r="AP231" s="1967">
        <f>IF(OR(AP218&gt;=$K$27+$M$27+$N$27*12,AP218&lt;$F$267+$K$27),0,($J$27-SUM($AO$233:AP233))*$L$27/12)</f>
        <v>0</v>
      </c>
      <c r="AQ231" s="1967">
        <f>IF(OR(AQ218&gt;=$K$27+$M$27+$N$27*12,AQ218&lt;$F$267+$K$27),0,($J$27-SUM($AO$233:AQ233))*$L$27/12)</f>
        <v>0</v>
      </c>
      <c r="AR231" s="1967">
        <f>IF(OR(AR218&gt;=$K$27+$M$27+$N$27*12,AR218&lt;$F$267+$K$27),0,($J$27-SUM($AO$233:AR233))*$L$27/12)</f>
        <v>0</v>
      </c>
      <c r="AS231" s="1967">
        <f>IF(OR(AS218&gt;=$K$27+$M$27+$N$27*12,AS218&lt;$F$267+$K$27),0,($J$27-SUM($AO$233:AS233))*$L$27/12)</f>
        <v>0</v>
      </c>
      <c r="AT231" s="1967">
        <f>IF(OR(AT218&gt;=$K$27+$M$27+$N$27*12,AT218&lt;$F$267+$K$27),0,($J$27-SUM($AO$233:AT233))*$L$27/12)</f>
        <v>0</v>
      </c>
      <c r="AU231" s="1967">
        <f>IF(OR(AU218&gt;=$K$27+$M$27+$N$27*12,AU218&lt;$F$267+$K$27),0,($J$27-SUM($AO$233:AU233))*$L$27/12)</f>
        <v>0</v>
      </c>
      <c r="AV231" s="1967">
        <f>IF(OR(AV218&gt;=$K$27+$M$27+$N$27*12,AV218&lt;$F$267+$K$27),0,($J$27-SUM($AO$233:AV233))*$L$27/12)</f>
        <v>0</v>
      </c>
      <c r="AW231" s="1967">
        <f>IF(OR(AW218&gt;=$K$27+$M$27+$N$27*12,AW218&lt;$F$267+$K$27),0,($J$27-SUM($AO$233:AW233))*$L$27/12)</f>
        <v>0</v>
      </c>
      <c r="AX231" s="1967">
        <f>IF(OR(AX218&gt;=$K$27+$M$27+$N$27*12,AX218&lt;$F$267+$K$27),0,($J$27-SUM($AO$233:AX233))*$L$27/12)</f>
        <v>0</v>
      </c>
      <c r="AY231" s="1967">
        <f>IF(OR(AY218&gt;=$K$27+$M$27+$N$27*12,AY218&lt;$F$267+$K$27),0,($J$27-SUM($AO$233:AY233))*$L$27/12)</f>
        <v>0</v>
      </c>
      <c r="AZ231" s="1967">
        <f>IF(OR(AZ218&gt;=$K$27+$M$27+$N$27*12,AZ218&lt;$F$267+$K$27),0,($J$27-SUM($AO$233:AZ233))*$L$27/12)</f>
        <v>0</v>
      </c>
      <c r="BA231" s="1967">
        <f>IF(OR(BA218&gt;=$K$27+$M$27+$N$27*12,BA218&lt;$F$267+$K$27),0,($J$27-SUM($AO$233:BA233))*$L$27/12)</f>
        <v>0</v>
      </c>
      <c r="BB231" s="1967">
        <f>IF(OR(BB218&gt;=$K$27+$M$27+$N$27*12,BB218&lt;$F$267+$K$27),0,($J$27-SUM($AO$233:BB233))*$L$27/12)</f>
        <v>0</v>
      </c>
      <c r="BC231" s="1967">
        <f>IF(OR(BC218&gt;=$K$27+$M$27+$N$27*12,BC218&lt;$F$267+$K$27),0,($J$27-SUM($AO$233:BC233))*$L$27/12)</f>
        <v>0</v>
      </c>
      <c r="BD231" s="1967">
        <f>IF(OR(BD218&gt;=$K$27+$M$27+$N$27*12,BD218&lt;$F$267+$K$27),0,($J$27-SUM($AO$233:BD233))*$L$27/12)</f>
        <v>0</v>
      </c>
      <c r="BE231" s="1967">
        <f>IF(OR(BE218&gt;=$K$27+$M$27+$N$27*12,BE218&lt;$F$267+$K$27),0,($J$27-SUM($AO$233:BE233))*$L$27/12)</f>
        <v>0</v>
      </c>
      <c r="BF231" s="1967">
        <f>IF(OR(BF218&gt;=$K$27+$M$27+$N$27*12,BF218&lt;$F$267+$K$27),0,($J$27-SUM($AO$233:BF233))*$L$27/12)</f>
        <v>0</v>
      </c>
      <c r="BG231" s="1967">
        <f>IF(OR(BG218&gt;=$K$27+$M$27+$N$27*12,BG218&lt;$F$267+$K$27),0,($J$27-SUM($AO$233:BG233))*$L$27/12)</f>
        <v>0</v>
      </c>
      <c r="BH231" s="1967">
        <f>IF(OR(BH218&gt;=$K$27+$M$27+$N$27*12,BH218&lt;$F$267+$K$27),0,($J$27-SUM($AO$233:BH233))*$L$27/12)</f>
        <v>0</v>
      </c>
      <c r="BI231" s="1967">
        <f>IF(OR(BI218&gt;=$K$27+$M$27+$N$27*12,BI218&lt;$F$267+$K$27),0,($J$27-SUM($AO$233:BI233))*$L$27/12)</f>
        <v>0</v>
      </c>
      <c r="BJ231" s="1967">
        <f>IF(OR(BJ218&gt;=$K$27+$M$27+$N$27*12,BJ218&lt;$F$267+$K$27),0,($J$27-SUM($AO$233:BJ233))*$L$27/12)</f>
        <v>0</v>
      </c>
      <c r="BK231" s="1967">
        <f>IF(OR(BK218&gt;=$K$27+$M$27+$N$27*12,BK218&lt;$F$267+$K$27),0,($J$27-SUM($AO$233:BK233))*$L$27/12)</f>
        <v>0</v>
      </c>
      <c r="BL231" s="1967">
        <f>IF(OR(BL218&gt;=$K$27+$M$27+$N$27*12,BL218&lt;$F$267+$K$27),0,($J$27-SUM($AO$233:BL233))*$L$27/12)</f>
        <v>0</v>
      </c>
      <c r="BV231" s="1225"/>
      <c r="CV231" s="445"/>
      <c r="CW231" s="445"/>
      <c r="CX231" s="445"/>
    </row>
    <row r="232" spans="1:102" s="446" customFormat="1" ht="14.25" hidden="1" customHeight="1">
      <c r="A232" s="160"/>
      <c r="B232" s="160"/>
      <c r="C232" s="2311"/>
      <c r="D232" s="160" t="s">
        <v>120</v>
      </c>
      <c r="E232" s="1970"/>
      <c r="F232" s="1970"/>
      <c r="G232" s="1970"/>
      <c r="H232" s="1970"/>
      <c r="I232" s="1970"/>
      <c r="J232" s="1970"/>
      <c r="K232" s="1970"/>
      <c r="L232" s="1970"/>
      <c r="M232" s="1970"/>
      <c r="N232" s="1970"/>
      <c r="O232" s="1970"/>
      <c r="P232" s="1970"/>
      <c r="Q232" s="1967"/>
      <c r="R232" s="1967"/>
      <c r="S232" s="1967"/>
      <c r="T232" s="1967"/>
      <c r="U232" s="1967"/>
      <c r="V232" s="1975"/>
      <c r="W232" s="1975"/>
      <c r="X232" s="1975"/>
      <c r="Y232" s="1975"/>
      <c r="Z232" s="1975"/>
      <c r="AA232" s="1967"/>
      <c r="AB232" s="1967"/>
      <c r="AC232" s="1967"/>
      <c r="AD232" s="1967"/>
      <c r="AE232" s="1967"/>
      <c r="AF232" s="1967"/>
      <c r="AG232" s="1967"/>
      <c r="AH232" s="1967"/>
      <c r="AI232" s="1967"/>
      <c r="AJ232" s="1967"/>
      <c r="AK232" s="1967"/>
      <c r="AL232" s="1967"/>
      <c r="AM232" s="1967"/>
      <c r="AN232" s="1967"/>
      <c r="AO232" s="1967">
        <f>IF($K$27+$M$27=AO218,IF($N$27=0,0,$J$27/($N$27*12)),0)</f>
        <v>0</v>
      </c>
      <c r="AP232" s="1967">
        <f t="shared" ref="AP232:BL232" si="126">IF($K$27+$M$27=AP218,IF($N$27=0,0,$J$27/($N$27*12)),0)</f>
        <v>0</v>
      </c>
      <c r="AQ232" s="1967">
        <f t="shared" si="126"/>
        <v>0</v>
      </c>
      <c r="AR232" s="1967">
        <f t="shared" si="126"/>
        <v>0</v>
      </c>
      <c r="AS232" s="1967">
        <f t="shared" si="126"/>
        <v>0</v>
      </c>
      <c r="AT232" s="1967">
        <f t="shared" si="126"/>
        <v>0</v>
      </c>
      <c r="AU232" s="1967">
        <f t="shared" si="126"/>
        <v>0</v>
      </c>
      <c r="AV232" s="1967">
        <f t="shared" si="126"/>
        <v>0</v>
      </c>
      <c r="AW232" s="1967">
        <f t="shared" si="126"/>
        <v>0</v>
      </c>
      <c r="AX232" s="1967">
        <f t="shared" si="126"/>
        <v>0</v>
      </c>
      <c r="AY232" s="1967">
        <f t="shared" si="126"/>
        <v>0</v>
      </c>
      <c r="AZ232" s="1967">
        <f t="shared" si="126"/>
        <v>0</v>
      </c>
      <c r="BA232" s="1967">
        <f t="shared" si="126"/>
        <v>0</v>
      </c>
      <c r="BB232" s="1967">
        <f t="shared" si="126"/>
        <v>0</v>
      </c>
      <c r="BC232" s="1967">
        <f t="shared" si="126"/>
        <v>0</v>
      </c>
      <c r="BD232" s="1967">
        <f t="shared" si="126"/>
        <v>0</v>
      </c>
      <c r="BE232" s="1967">
        <f t="shared" si="126"/>
        <v>0</v>
      </c>
      <c r="BF232" s="1967">
        <f t="shared" si="126"/>
        <v>0</v>
      </c>
      <c r="BG232" s="1967">
        <f t="shared" si="126"/>
        <v>0</v>
      </c>
      <c r="BH232" s="1967">
        <f t="shared" si="126"/>
        <v>0</v>
      </c>
      <c r="BI232" s="1967">
        <f t="shared" si="126"/>
        <v>0</v>
      </c>
      <c r="BJ232" s="1967">
        <f t="shared" si="126"/>
        <v>0</v>
      </c>
      <c r="BK232" s="1967">
        <f t="shared" si="126"/>
        <v>0</v>
      </c>
      <c r="BL232" s="1967">
        <f t="shared" si="126"/>
        <v>0</v>
      </c>
      <c r="BV232" s="1225"/>
      <c r="CV232" s="445"/>
      <c r="CW232" s="445"/>
      <c r="CX232" s="445"/>
    </row>
    <row r="233" spans="1:102" s="446" customFormat="1" ht="14.25" hidden="1" customHeight="1">
      <c r="A233" s="160"/>
      <c r="B233" s="160"/>
      <c r="C233" s="2311"/>
      <c r="D233" s="160" t="s">
        <v>686</v>
      </c>
      <c r="E233" s="1970"/>
      <c r="F233" s="1970"/>
      <c r="G233" s="1970"/>
      <c r="H233" s="1970"/>
      <c r="I233" s="1970"/>
      <c r="J233" s="1970"/>
      <c r="K233" s="1970"/>
      <c r="L233" s="1970"/>
      <c r="M233" s="1970"/>
      <c r="N233" s="1970"/>
      <c r="O233" s="1970"/>
      <c r="P233" s="1970"/>
      <c r="Q233" s="1967"/>
      <c r="R233" s="1967"/>
      <c r="S233" s="1967"/>
      <c r="T233" s="1967"/>
      <c r="U233" s="1967"/>
      <c r="V233" s="1975"/>
      <c r="W233" s="1975"/>
      <c r="X233" s="1975"/>
      <c r="Y233" s="1975"/>
      <c r="Z233" s="1975"/>
      <c r="AA233" s="1967"/>
      <c r="AB233" s="1967"/>
      <c r="AC233" s="1967"/>
      <c r="AD233" s="1967"/>
      <c r="AE233" s="1967"/>
      <c r="AF233" s="1967"/>
      <c r="AG233" s="1967"/>
      <c r="AH233" s="1967"/>
      <c r="AI233" s="1967"/>
      <c r="AJ233" s="1967"/>
      <c r="AK233" s="1967"/>
      <c r="AL233" s="1967"/>
      <c r="AM233" s="1967"/>
      <c r="AN233" s="1967"/>
      <c r="AO233" s="1967">
        <f>IF(OR(AO218&gt;=$K$27+$M$27+$N$27*12,AO218&lt;$K$27+$M$27),0,IF($N$27=0,0,$J$27/($N$27*12)))</f>
        <v>0</v>
      </c>
      <c r="AP233" s="1967">
        <f t="shared" ref="AP233:BL233" si="127">IF(OR(AP218&gt;=$K$27+$M$27+$N$27*12,AP218&lt;$K$27+$M$27),0,IF($N$27=0,0,$J$27/($N$27*12)))</f>
        <v>0</v>
      </c>
      <c r="AQ233" s="1967">
        <f t="shared" si="127"/>
        <v>0</v>
      </c>
      <c r="AR233" s="1967">
        <f t="shared" si="127"/>
        <v>0</v>
      </c>
      <c r="AS233" s="1967">
        <f t="shared" si="127"/>
        <v>0</v>
      </c>
      <c r="AT233" s="1967">
        <f t="shared" si="127"/>
        <v>0</v>
      </c>
      <c r="AU233" s="1967">
        <f t="shared" si="127"/>
        <v>0</v>
      </c>
      <c r="AV233" s="1967">
        <f t="shared" si="127"/>
        <v>0</v>
      </c>
      <c r="AW233" s="1967">
        <f t="shared" si="127"/>
        <v>0</v>
      </c>
      <c r="AX233" s="1967">
        <f t="shared" si="127"/>
        <v>0</v>
      </c>
      <c r="AY233" s="1967">
        <f t="shared" si="127"/>
        <v>0</v>
      </c>
      <c r="AZ233" s="1967">
        <f t="shared" si="127"/>
        <v>0</v>
      </c>
      <c r="BA233" s="1967">
        <f t="shared" si="127"/>
        <v>0</v>
      </c>
      <c r="BB233" s="1967">
        <f t="shared" si="127"/>
        <v>0</v>
      </c>
      <c r="BC233" s="1967">
        <f t="shared" si="127"/>
        <v>0</v>
      </c>
      <c r="BD233" s="1967">
        <f t="shared" si="127"/>
        <v>0</v>
      </c>
      <c r="BE233" s="1967">
        <f t="shared" si="127"/>
        <v>0</v>
      </c>
      <c r="BF233" s="1967">
        <f t="shared" si="127"/>
        <v>0</v>
      </c>
      <c r="BG233" s="1967">
        <f t="shared" si="127"/>
        <v>0</v>
      </c>
      <c r="BH233" s="1967">
        <f t="shared" si="127"/>
        <v>0</v>
      </c>
      <c r="BI233" s="1967">
        <f t="shared" si="127"/>
        <v>0</v>
      </c>
      <c r="BJ233" s="1967">
        <f t="shared" si="127"/>
        <v>0</v>
      </c>
      <c r="BK233" s="1967">
        <f t="shared" si="127"/>
        <v>0</v>
      </c>
      <c r="BL233" s="1967">
        <f t="shared" si="127"/>
        <v>0</v>
      </c>
      <c r="BV233" s="1225"/>
      <c r="CV233" s="445"/>
      <c r="CW233" s="445"/>
      <c r="CX233" s="445"/>
    </row>
    <row r="234" spans="1:102" s="446" customFormat="1" ht="13.65" hidden="1" customHeight="1">
      <c r="A234" s="160"/>
      <c r="B234" s="160"/>
      <c r="C234" s="2311" t="str">
        <f>C205</f>
        <v>Wahl Kreditart</v>
      </c>
      <c r="D234" s="160" t="s">
        <v>683</v>
      </c>
      <c r="E234" s="1970"/>
      <c r="F234" s="1970"/>
      <c r="G234" s="1970"/>
      <c r="H234" s="1970"/>
      <c r="I234" s="1970"/>
      <c r="J234" s="1970"/>
      <c r="K234" s="1970"/>
      <c r="L234" s="1970"/>
      <c r="M234" s="1970"/>
      <c r="N234" s="1970"/>
      <c r="O234" s="1970"/>
      <c r="P234" s="1970"/>
      <c r="Q234" s="1967"/>
      <c r="R234" s="1967"/>
      <c r="S234" s="1967"/>
      <c r="T234" s="1967"/>
      <c r="U234" s="1967"/>
      <c r="V234" s="1975"/>
      <c r="W234" s="1975"/>
      <c r="X234" s="1975"/>
      <c r="Y234" s="1975"/>
      <c r="Z234" s="1975"/>
      <c r="AA234" s="1967"/>
      <c r="AB234" s="1967"/>
      <c r="AC234" s="1967"/>
      <c r="AD234" s="1967"/>
      <c r="AE234" s="1967"/>
      <c r="AF234" s="1967"/>
      <c r="AG234" s="1967"/>
      <c r="AH234" s="1967"/>
      <c r="AI234" s="1967"/>
      <c r="AJ234" s="1967"/>
      <c r="AK234" s="1967"/>
      <c r="AL234" s="1967"/>
      <c r="AM234" s="1967"/>
      <c r="AN234" s="1967"/>
      <c r="AO234" s="1967">
        <f t="shared" ref="AO234:BL234" ca="1" si="128">IF($AO$217=$J$20,IF(AO218=$K$28,$J$28,0),0)</f>
        <v>0</v>
      </c>
      <c r="AP234" s="1967">
        <f t="shared" ca="1" si="128"/>
        <v>0</v>
      </c>
      <c r="AQ234" s="1967">
        <f t="shared" ca="1" si="128"/>
        <v>0</v>
      </c>
      <c r="AR234" s="1967">
        <f t="shared" ca="1" si="128"/>
        <v>0</v>
      </c>
      <c r="AS234" s="1967">
        <f t="shared" ca="1" si="128"/>
        <v>0</v>
      </c>
      <c r="AT234" s="1967">
        <f t="shared" ca="1" si="128"/>
        <v>0</v>
      </c>
      <c r="AU234" s="1967">
        <f t="shared" ca="1" si="128"/>
        <v>0</v>
      </c>
      <c r="AV234" s="1967">
        <f t="shared" ca="1" si="128"/>
        <v>0</v>
      </c>
      <c r="AW234" s="1967">
        <f t="shared" ca="1" si="128"/>
        <v>0</v>
      </c>
      <c r="AX234" s="1967">
        <f t="shared" ca="1" si="128"/>
        <v>0</v>
      </c>
      <c r="AY234" s="1967">
        <f t="shared" ca="1" si="128"/>
        <v>0</v>
      </c>
      <c r="AZ234" s="1967">
        <f t="shared" ca="1" si="128"/>
        <v>0</v>
      </c>
      <c r="BA234" s="1967">
        <f t="shared" ca="1" si="128"/>
        <v>0</v>
      </c>
      <c r="BB234" s="1967">
        <f t="shared" ca="1" si="128"/>
        <v>0</v>
      </c>
      <c r="BC234" s="1967">
        <f t="shared" ca="1" si="128"/>
        <v>0</v>
      </c>
      <c r="BD234" s="1967">
        <f t="shared" ca="1" si="128"/>
        <v>0</v>
      </c>
      <c r="BE234" s="1967">
        <f t="shared" ca="1" si="128"/>
        <v>0</v>
      </c>
      <c r="BF234" s="1967">
        <f t="shared" ca="1" si="128"/>
        <v>0</v>
      </c>
      <c r="BG234" s="1967">
        <f t="shared" ca="1" si="128"/>
        <v>0</v>
      </c>
      <c r="BH234" s="1967">
        <f t="shared" ca="1" si="128"/>
        <v>0</v>
      </c>
      <c r="BI234" s="1967">
        <f t="shared" ca="1" si="128"/>
        <v>0</v>
      </c>
      <c r="BJ234" s="1967">
        <f t="shared" ca="1" si="128"/>
        <v>0</v>
      </c>
      <c r="BK234" s="1967">
        <f t="shared" ca="1" si="128"/>
        <v>0</v>
      </c>
      <c r="BL234" s="1967">
        <f t="shared" ca="1" si="128"/>
        <v>0</v>
      </c>
      <c r="BV234" s="1225"/>
      <c r="CV234" s="445"/>
      <c r="CW234" s="445"/>
      <c r="CX234" s="445"/>
    </row>
    <row r="235" spans="1:102" s="446" customFormat="1" ht="14.25" hidden="1" customHeight="1">
      <c r="A235" s="160"/>
      <c r="B235" s="160"/>
      <c r="C235" s="2311"/>
      <c r="D235" s="160" t="s">
        <v>684</v>
      </c>
      <c r="E235" s="1970"/>
      <c r="F235" s="1970"/>
      <c r="G235" s="1970"/>
      <c r="H235" s="1970"/>
      <c r="I235" s="1970"/>
      <c r="J235" s="1970"/>
      <c r="K235" s="1970"/>
      <c r="L235" s="1970"/>
      <c r="M235" s="1970"/>
      <c r="N235" s="1970"/>
      <c r="O235" s="1970"/>
      <c r="P235" s="1970"/>
      <c r="Q235" s="1967"/>
      <c r="R235" s="1967"/>
      <c r="S235" s="1967"/>
      <c r="T235" s="1967"/>
      <c r="U235" s="1967"/>
      <c r="V235" s="1975"/>
      <c r="W235" s="1975"/>
      <c r="X235" s="1975"/>
      <c r="Y235" s="1975"/>
      <c r="Z235" s="1975"/>
      <c r="AA235" s="1967"/>
      <c r="AB235" s="1967"/>
      <c r="AC235" s="1967"/>
      <c r="AD235" s="1967"/>
      <c r="AE235" s="1967"/>
      <c r="AF235" s="1967"/>
      <c r="AG235" s="1967"/>
      <c r="AH235" s="1967"/>
      <c r="AI235" s="1967"/>
      <c r="AJ235" s="1967"/>
      <c r="AK235" s="1967"/>
      <c r="AL235" s="1967"/>
      <c r="AM235" s="1967"/>
      <c r="AN235" s="1967"/>
      <c r="AO235" s="1967">
        <f>IF($K$28=AO218,(J$28*$L$28)/12,0)</f>
        <v>0</v>
      </c>
      <c r="AP235" s="1967">
        <f t="shared" ref="AP235:BL235" si="129">IF($K$28=AP218,(K$28*$L$28)/12,0)</f>
        <v>0</v>
      </c>
      <c r="AQ235" s="1967">
        <f t="shared" si="129"/>
        <v>0</v>
      </c>
      <c r="AR235" s="1967">
        <f t="shared" si="129"/>
        <v>0</v>
      </c>
      <c r="AS235" s="1967">
        <f t="shared" si="129"/>
        <v>0</v>
      </c>
      <c r="AT235" s="1967">
        <f t="shared" si="129"/>
        <v>0</v>
      </c>
      <c r="AU235" s="1967">
        <f t="shared" si="129"/>
        <v>0</v>
      </c>
      <c r="AV235" s="1967">
        <f t="shared" si="129"/>
        <v>0</v>
      </c>
      <c r="AW235" s="1967">
        <f t="shared" si="129"/>
        <v>0</v>
      </c>
      <c r="AX235" s="1967">
        <f t="shared" si="129"/>
        <v>0</v>
      </c>
      <c r="AY235" s="1967">
        <f t="shared" si="129"/>
        <v>0</v>
      </c>
      <c r="AZ235" s="1967">
        <f t="shared" si="129"/>
        <v>0</v>
      </c>
      <c r="BA235" s="1967">
        <f t="shared" si="129"/>
        <v>0</v>
      </c>
      <c r="BB235" s="1967">
        <f t="shared" si="129"/>
        <v>0</v>
      </c>
      <c r="BC235" s="1967">
        <f t="shared" si="129"/>
        <v>0</v>
      </c>
      <c r="BD235" s="1967">
        <f t="shared" si="129"/>
        <v>0</v>
      </c>
      <c r="BE235" s="1967">
        <f t="shared" si="129"/>
        <v>0</v>
      </c>
      <c r="BF235" s="1967">
        <f t="shared" si="129"/>
        <v>0</v>
      </c>
      <c r="BG235" s="1967">
        <f t="shared" si="129"/>
        <v>0</v>
      </c>
      <c r="BH235" s="1967">
        <f t="shared" si="129"/>
        <v>0</v>
      </c>
      <c r="BI235" s="1967">
        <f t="shared" si="129"/>
        <v>0</v>
      </c>
      <c r="BJ235" s="1967">
        <f t="shared" si="129"/>
        <v>0</v>
      </c>
      <c r="BK235" s="1967">
        <f t="shared" si="129"/>
        <v>0</v>
      </c>
      <c r="BL235" s="1967">
        <f t="shared" si="129"/>
        <v>0</v>
      </c>
      <c r="BV235" s="1225"/>
      <c r="CV235" s="445"/>
      <c r="CW235" s="445"/>
      <c r="CX235" s="445"/>
    </row>
    <row r="236" spans="1:102" s="446" customFormat="1" ht="14.25" hidden="1" customHeight="1">
      <c r="A236" s="160"/>
      <c r="B236" s="160"/>
      <c r="C236" s="2311"/>
      <c r="D236" s="160" t="s">
        <v>685</v>
      </c>
      <c r="E236" s="1970"/>
      <c r="F236" s="1970"/>
      <c r="G236" s="1970"/>
      <c r="H236" s="1970"/>
      <c r="I236" s="1970"/>
      <c r="J236" s="1970"/>
      <c r="K236" s="1970"/>
      <c r="L236" s="1970"/>
      <c r="M236" s="1970"/>
      <c r="N236" s="1970"/>
      <c r="O236" s="1970"/>
      <c r="P236" s="1970"/>
      <c r="Q236" s="1967"/>
      <c r="R236" s="1967"/>
      <c r="S236" s="1967"/>
      <c r="T236" s="1967"/>
      <c r="U236" s="1967"/>
      <c r="V236" s="1975"/>
      <c r="W236" s="1975"/>
      <c r="X236" s="1975"/>
      <c r="Y236" s="1975"/>
      <c r="Z236" s="1975"/>
      <c r="AA236" s="1967"/>
      <c r="AB236" s="1967"/>
      <c r="AC236" s="1967"/>
      <c r="AD236" s="1967"/>
      <c r="AE236" s="1967"/>
      <c r="AF236" s="1967"/>
      <c r="AG236" s="1967"/>
      <c r="AH236" s="1967"/>
      <c r="AI236" s="1967"/>
      <c r="AJ236" s="1967"/>
      <c r="AK236" s="1967"/>
      <c r="AL236" s="1967"/>
      <c r="AM236" s="1967"/>
      <c r="AN236" s="1967"/>
      <c r="AO236" s="1967">
        <f>IF(OR(AO218&gt;=$K$28+$M$28+$N$28*12,AO218&lt;$K$28),0,$J$28*$L$28/12)</f>
        <v>0</v>
      </c>
      <c r="AP236" s="1967">
        <f>IF(OR(AP218&gt;=$K$28+$M$28+$N$28*12,AP218&lt;$K$28),0,($J$28-SUM($AO$238:AP238))*$L$28/12)</f>
        <v>0</v>
      </c>
      <c r="AQ236" s="1967">
        <f>IF(OR(AQ218&gt;=$K$28+$M$28+$N$28*12,AQ218&lt;$K$28),0,($J$28-SUM($AO$238:AQ238))*$L$28/12)</f>
        <v>0</v>
      </c>
      <c r="AR236" s="1967">
        <f>IF(OR(AR218&gt;=$K$28+$M$28+$N$28*12,AR218&lt;$K$28),0,($J$28-SUM($AO$238:AR238))*$L$28/12)</f>
        <v>0</v>
      </c>
      <c r="AS236" s="1967">
        <f>IF(OR(AS218&gt;=$K$28+$M$28+$N$28*12,AS218&lt;$K$28),0,($J$28-SUM($AO$238:AS238))*$L$28/12)</f>
        <v>0</v>
      </c>
      <c r="AT236" s="1967">
        <f>IF(OR(AT218&gt;=$K$28+$M$28+$N$28*12,AT218&lt;$K$28),0,($J$28-SUM($AO$238:AT238))*$L$28/12)</f>
        <v>0</v>
      </c>
      <c r="AU236" s="1967">
        <f>IF(OR(AU218&gt;=$K$28+$M$28+$N$28*12,AU218&lt;$K$28),0,($J$28-SUM($AO$238:AU238))*$L$28/12)</f>
        <v>0</v>
      </c>
      <c r="AV236" s="1967">
        <f>IF(OR(AV218&gt;=$K$28+$M$28+$N$28*12,AV218&lt;$K$28),0,($J$28-SUM($AO$238:AV238))*$L$28/12)</f>
        <v>0</v>
      </c>
      <c r="AW236" s="1967">
        <f>IF(OR(AW218&gt;=$K$28+$M$28+$N$28*12,AW218&lt;$K$28),0,($J$28-SUM($AO$238:AW238))*$L$28/12)</f>
        <v>0</v>
      </c>
      <c r="AX236" s="1967">
        <f>IF(OR(AX218&gt;=$K$28+$M$28+$N$28*12,AX218&lt;$K$28),0,($J$28-SUM($AO$238:AX238))*$L$28/12)</f>
        <v>0</v>
      </c>
      <c r="AY236" s="1967">
        <f>IF(OR(AY218&gt;=$K$28+$M$28+$N$28*12,AY218&lt;$K$28),0,($J$28-SUM($AO$238:AY238))*$L$28/12)</f>
        <v>0</v>
      </c>
      <c r="AZ236" s="1967">
        <f>IF(OR(AZ218&gt;=$K$28+$M$28+$N$28*12,AZ218&lt;$K$28),0,($J$28-SUM($AO$238:AZ238))*$L$28/12)</f>
        <v>0</v>
      </c>
      <c r="BA236" s="1967">
        <f>IF(OR(BA218&gt;=$K$28+$M$28+$N$28*12,BA218&lt;$K$28),0,($J$28-SUM($AO$238:BA238))*$L$28/12)</f>
        <v>0</v>
      </c>
      <c r="BB236" s="1967">
        <f>IF(OR(BB218&gt;=$K$28+$M$28+$N$28*12,BB218&lt;$K$28),0,($J$28-SUM($AO$238:BB238))*$L$28/12)</f>
        <v>0</v>
      </c>
      <c r="BC236" s="1967">
        <f>IF(OR(BC218&gt;=$K$28+$M$28+$N$28*12,BC218&lt;$K$28),0,($J$28-SUM($AO$238:BC238))*$L$28/12)</f>
        <v>0</v>
      </c>
      <c r="BD236" s="1967">
        <f>IF(OR(BD218&gt;=$K$28+$M$28+$N$28*12,BD218&lt;$K$28),0,($J$28-SUM($AO$238:BD238))*$L$28/12)</f>
        <v>0</v>
      </c>
      <c r="BE236" s="1967">
        <f>IF(OR(BE218&gt;=$K$28+$M$28+$N$28*12,BE218&lt;$K$28),0,($J$28-SUM($AO$238:BE238))*$L$28/12)</f>
        <v>0</v>
      </c>
      <c r="BF236" s="1967">
        <f>IF(OR(BF218&gt;=$K$28+$M$28+$N$28*12,BF218&lt;$K$28),0,($J$28-SUM($AO$238:BF238))*$L$28/12)</f>
        <v>0</v>
      </c>
      <c r="BG236" s="1967">
        <f>IF(OR(BG218&gt;=$K$28+$M$28+$N$28*12,BG218&lt;$K$28),0,($J$28-SUM($AO$238:BG238))*$L$28/12)</f>
        <v>0</v>
      </c>
      <c r="BH236" s="1967">
        <f>IF(OR(BH218&gt;=$K$28+$M$28+$N$28*12,BH218&lt;$K$28),0,($J$28-SUM($AO$238:BH238))*$L$28/12)</f>
        <v>0</v>
      </c>
      <c r="BI236" s="1967">
        <f>IF(OR(BI218&gt;=$K$28+$M$28+$N$28*12,BI218&lt;$K$28),0,($J$28-SUM($AO$238:BI238))*$L$28/12)</f>
        <v>0</v>
      </c>
      <c r="BJ236" s="1967">
        <f>IF(OR(BJ218&gt;=$K$28+$M$28+$N$28*12,BJ218&lt;$K$28),0,($J$28-SUM($AO$238:BJ238))*$L$28/12)</f>
        <v>0</v>
      </c>
      <c r="BK236" s="1967">
        <f>IF(OR(BK218&gt;=$K$28+$M$28+$N$28*12,BK218&lt;$K$28),0,($J$28-SUM($AO$238:BK238))*$L$28/12)</f>
        <v>0</v>
      </c>
      <c r="BL236" s="1967">
        <f>IF(OR(BL218&gt;=$K$28+$M$28+$N$28*12,BL218&lt;$K$28),0,($J$28-SUM($AO$238:BL238))*$L$28/12)</f>
        <v>0</v>
      </c>
      <c r="BV236" s="1225"/>
      <c r="CV236" s="445"/>
      <c r="CW236" s="445"/>
      <c r="CX236" s="445"/>
    </row>
    <row r="237" spans="1:102" s="446" customFormat="1" ht="14.25" hidden="1" customHeight="1">
      <c r="A237" s="160"/>
      <c r="B237" s="160"/>
      <c r="C237" s="2311"/>
      <c r="D237" s="160" t="s">
        <v>120</v>
      </c>
      <c r="E237" s="1970"/>
      <c r="F237" s="1970"/>
      <c r="G237" s="1970"/>
      <c r="H237" s="1970"/>
      <c r="I237" s="1970"/>
      <c r="J237" s="1970"/>
      <c r="K237" s="1970"/>
      <c r="L237" s="1970"/>
      <c r="M237" s="1970"/>
      <c r="N237" s="1970"/>
      <c r="O237" s="1970"/>
      <c r="P237" s="1970"/>
      <c r="Q237" s="1967"/>
      <c r="R237" s="1967"/>
      <c r="S237" s="1967"/>
      <c r="T237" s="1967"/>
      <c r="U237" s="1967"/>
      <c r="V237" s="1975"/>
      <c r="W237" s="1975"/>
      <c r="X237" s="1975"/>
      <c r="Y237" s="1975"/>
      <c r="Z237" s="1975"/>
      <c r="AA237" s="1967"/>
      <c r="AB237" s="1967"/>
      <c r="AC237" s="1967"/>
      <c r="AD237" s="1967"/>
      <c r="AE237" s="1967"/>
      <c r="AF237" s="1967"/>
      <c r="AG237" s="1967"/>
      <c r="AH237" s="1967"/>
      <c r="AI237" s="1967"/>
      <c r="AJ237" s="1967"/>
      <c r="AK237" s="1967"/>
      <c r="AL237" s="1967"/>
      <c r="AM237" s="1967"/>
      <c r="AN237" s="1967"/>
      <c r="AO237" s="1967">
        <f>IF($K$28+$M$28=AO218,IF($K$28=0,0,$J$28/($N$28*12)),0)</f>
        <v>0</v>
      </c>
      <c r="AP237" s="1967">
        <f t="shared" ref="AP237:BL237" si="130">IF($K$28+$M$28=AP218,IF($K$28=0,0,$J$28/($N$28*12)),0)</f>
        <v>0</v>
      </c>
      <c r="AQ237" s="1967">
        <f t="shared" si="130"/>
        <v>0</v>
      </c>
      <c r="AR237" s="1967">
        <f t="shared" si="130"/>
        <v>0</v>
      </c>
      <c r="AS237" s="1967">
        <f t="shared" si="130"/>
        <v>0</v>
      </c>
      <c r="AT237" s="1967">
        <f t="shared" si="130"/>
        <v>0</v>
      </c>
      <c r="AU237" s="1967">
        <f t="shared" si="130"/>
        <v>0</v>
      </c>
      <c r="AV237" s="1967">
        <f t="shared" si="130"/>
        <v>0</v>
      </c>
      <c r="AW237" s="1967">
        <f t="shared" si="130"/>
        <v>0</v>
      </c>
      <c r="AX237" s="1967">
        <f t="shared" si="130"/>
        <v>0</v>
      </c>
      <c r="AY237" s="1967">
        <f t="shared" si="130"/>
        <v>0</v>
      </c>
      <c r="AZ237" s="1967">
        <f t="shared" si="130"/>
        <v>0</v>
      </c>
      <c r="BA237" s="1967">
        <f t="shared" si="130"/>
        <v>0</v>
      </c>
      <c r="BB237" s="1967">
        <f t="shared" si="130"/>
        <v>0</v>
      </c>
      <c r="BC237" s="1967">
        <f t="shared" si="130"/>
        <v>0</v>
      </c>
      <c r="BD237" s="1967">
        <f t="shared" si="130"/>
        <v>0</v>
      </c>
      <c r="BE237" s="1967">
        <f t="shared" si="130"/>
        <v>0</v>
      </c>
      <c r="BF237" s="1967">
        <f t="shared" si="130"/>
        <v>0</v>
      </c>
      <c r="BG237" s="1967">
        <f t="shared" si="130"/>
        <v>0</v>
      </c>
      <c r="BH237" s="1967">
        <f t="shared" si="130"/>
        <v>0</v>
      </c>
      <c r="BI237" s="1967">
        <f t="shared" si="130"/>
        <v>0</v>
      </c>
      <c r="BJ237" s="1967">
        <f t="shared" si="130"/>
        <v>0</v>
      </c>
      <c r="BK237" s="1967">
        <f t="shared" si="130"/>
        <v>0</v>
      </c>
      <c r="BL237" s="1967">
        <f t="shared" si="130"/>
        <v>0</v>
      </c>
      <c r="BV237" s="1225"/>
      <c r="CV237" s="445"/>
      <c r="CW237" s="445"/>
      <c r="CX237" s="445"/>
    </row>
    <row r="238" spans="1:102" s="446" customFormat="1" ht="14.25" hidden="1" customHeight="1">
      <c r="A238" s="160"/>
      <c r="B238" s="160"/>
      <c r="C238" s="2311"/>
      <c r="D238" s="160" t="s">
        <v>686</v>
      </c>
      <c r="E238" s="1970"/>
      <c r="F238" s="1970"/>
      <c r="G238" s="1970"/>
      <c r="H238" s="1970"/>
      <c r="I238" s="1970"/>
      <c r="J238" s="1970"/>
      <c r="K238" s="1970"/>
      <c r="L238" s="1970"/>
      <c r="M238" s="1970"/>
      <c r="N238" s="1970"/>
      <c r="O238" s="1970"/>
      <c r="P238" s="1970"/>
      <c r="Q238" s="1967"/>
      <c r="R238" s="1967"/>
      <c r="S238" s="1967"/>
      <c r="T238" s="1967"/>
      <c r="U238" s="1967"/>
      <c r="V238" s="1975"/>
      <c r="W238" s="1975"/>
      <c r="X238" s="1975"/>
      <c r="Y238" s="1975"/>
      <c r="Z238" s="1975"/>
      <c r="AA238" s="1967"/>
      <c r="AB238" s="1967"/>
      <c r="AC238" s="1967"/>
      <c r="AD238" s="1967"/>
      <c r="AE238" s="1967"/>
      <c r="AF238" s="1967"/>
      <c r="AG238" s="1967"/>
      <c r="AH238" s="1967"/>
      <c r="AI238" s="1967"/>
      <c r="AJ238" s="1967"/>
      <c r="AK238" s="1967"/>
      <c r="AL238" s="1967"/>
      <c r="AM238" s="1967"/>
      <c r="AN238" s="1967"/>
      <c r="AO238" s="1967">
        <f>IF(OR(AO218&gt;=$K$28+$M$28+$N$28*12,AO218&lt;$K$28+$M$28),0,IF($N$28=0,0,$J$28/($N$28*12)))</f>
        <v>0</v>
      </c>
      <c r="AP238" s="1967">
        <f t="shared" ref="AP238:BL238" si="131">IF(OR(AP218&gt;=$K$28+$M$28+$N$28*12,AP218&lt;$K$28+$M$28),0,IF($N$28=0,0,$J$28/($N$28*12)))</f>
        <v>0</v>
      </c>
      <c r="AQ238" s="1967">
        <f t="shared" si="131"/>
        <v>0</v>
      </c>
      <c r="AR238" s="1967">
        <f t="shared" si="131"/>
        <v>0</v>
      </c>
      <c r="AS238" s="1967">
        <f t="shared" si="131"/>
        <v>0</v>
      </c>
      <c r="AT238" s="1967">
        <f t="shared" si="131"/>
        <v>0</v>
      </c>
      <c r="AU238" s="1967">
        <f t="shared" si="131"/>
        <v>0</v>
      </c>
      <c r="AV238" s="1967">
        <f t="shared" si="131"/>
        <v>0</v>
      </c>
      <c r="AW238" s="1967">
        <f t="shared" si="131"/>
        <v>0</v>
      </c>
      <c r="AX238" s="1967">
        <f t="shared" si="131"/>
        <v>0</v>
      </c>
      <c r="AY238" s="1967">
        <f t="shared" si="131"/>
        <v>0</v>
      </c>
      <c r="AZ238" s="1967">
        <f t="shared" si="131"/>
        <v>0</v>
      </c>
      <c r="BA238" s="1967">
        <f t="shared" si="131"/>
        <v>0</v>
      </c>
      <c r="BB238" s="1967">
        <f t="shared" si="131"/>
        <v>0</v>
      </c>
      <c r="BC238" s="1967">
        <f t="shared" si="131"/>
        <v>0</v>
      </c>
      <c r="BD238" s="1967">
        <f t="shared" si="131"/>
        <v>0</v>
      </c>
      <c r="BE238" s="1967">
        <f t="shared" si="131"/>
        <v>0</v>
      </c>
      <c r="BF238" s="1967">
        <f t="shared" si="131"/>
        <v>0</v>
      </c>
      <c r="BG238" s="1967">
        <f t="shared" si="131"/>
        <v>0</v>
      </c>
      <c r="BH238" s="1967">
        <f t="shared" si="131"/>
        <v>0</v>
      </c>
      <c r="BI238" s="1967">
        <f t="shared" si="131"/>
        <v>0</v>
      </c>
      <c r="BJ238" s="1967">
        <f t="shared" si="131"/>
        <v>0</v>
      </c>
      <c r="BK238" s="1967">
        <f t="shared" si="131"/>
        <v>0</v>
      </c>
      <c r="BL238" s="1967">
        <f t="shared" si="131"/>
        <v>0</v>
      </c>
      <c r="BV238" s="1225"/>
      <c r="CV238" s="445"/>
      <c r="CW238" s="445"/>
      <c r="CX238" s="445"/>
    </row>
    <row r="239" spans="1:102" s="446" customFormat="1" ht="14.25" hidden="1" customHeight="1">
      <c r="A239" s="160"/>
      <c r="B239" s="160"/>
      <c r="C239" s="2311" t="str">
        <f>C210</f>
        <v>für Nachhaltigkeit</v>
      </c>
      <c r="D239" s="160" t="s">
        <v>683</v>
      </c>
      <c r="E239" s="1970"/>
      <c r="F239" s="1970"/>
      <c r="G239" s="1970"/>
      <c r="H239" s="1970"/>
      <c r="I239" s="1970"/>
      <c r="J239" s="1970"/>
      <c r="K239" s="1970"/>
      <c r="L239" s="1970"/>
      <c r="M239" s="1970"/>
      <c r="N239" s="1970"/>
      <c r="O239" s="1970"/>
      <c r="P239" s="1970"/>
      <c r="Q239" s="1967"/>
      <c r="R239" s="1967"/>
      <c r="S239" s="1967"/>
      <c r="T239" s="1967"/>
      <c r="U239" s="1967"/>
      <c r="V239" s="1975"/>
      <c r="W239" s="1975"/>
      <c r="X239" s="1975"/>
      <c r="Y239" s="1975"/>
      <c r="Z239" s="1975"/>
      <c r="AA239" s="1967"/>
      <c r="AB239" s="1967"/>
      <c r="AC239" s="1967"/>
      <c r="AD239" s="1967"/>
      <c r="AE239" s="1967"/>
      <c r="AF239" s="1967"/>
      <c r="AG239" s="1967"/>
      <c r="AH239" s="1967"/>
      <c r="AI239" s="1967"/>
      <c r="AJ239" s="1967"/>
      <c r="AK239" s="1967"/>
      <c r="AL239" s="1967"/>
      <c r="AM239" s="1967"/>
      <c r="AN239" s="1967"/>
      <c r="AO239" s="1967">
        <f t="shared" ref="AO239:BL239" ca="1" si="132">IF($AO$217=$J$20,IF(AO218=$K$29,$J$29,0),0)</f>
        <v>0</v>
      </c>
      <c r="AP239" s="1967">
        <f t="shared" ca="1" si="132"/>
        <v>0</v>
      </c>
      <c r="AQ239" s="1967">
        <f t="shared" ca="1" si="132"/>
        <v>0</v>
      </c>
      <c r="AR239" s="1967">
        <f t="shared" ca="1" si="132"/>
        <v>0</v>
      </c>
      <c r="AS239" s="1967">
        <f t="shared" ca="1" si="132"/>
        <v>0</v>
      </c>
      <c r="AT239" s="1967">
        <f t="shared" ca="1" si="132"/>
        <v>0</v>
      </c>
      <c r="AU239" s="1967">
        <f t="shared" ca="1" si="132"/>
        <v>0</v>
      </c>
      <c r="AV239" s="1967">
        <f t="shared" ca="1" si="132"/>
        <v>0</v>
      </c>
      <c r="AW239" s="1967">
        <f t="shared" ca="1" si="132"/>
        <v>0</v>
      </c>
      <c r="AX239" s="1967">
        <f t="shared" ca="1" si="132"/>
        <v>0</v>
      </c>
      <c r="AY239" s="1967">
        <f t="shared" ca="1" si="132"/>
        <v>0</v>
      </c>
      <c r="AZ239" s="1967">
        <f t="shared" ca="1" si="132"/>
        <v>0</v>
      </c>
      <c r="BA239" s="1967">
        <f t="shared" ca="1" si="132"/>
        <v>0</v>
      </c>
      <c r="BB239" s="1967">
        <f t="shared" ca="1" si="132"/>
        <v>0</v>
      </c>
      <c r="BC239" s="1967">
        <f t="shared" ca="1" si="132"/>
        <v>0</v>
      </c>
      <c r="BD239" s="1967">
        <f t="shared" ca="1" si="132"/>
        <v>0</v>
      </c>
      <c r="BE239" s="1967">
        <f t="shared" ca="1" si="132"/>
        <v>0</v>
      </c>
      <c r="BF239" s="1967">
        <f t="shared" ca="1" si="132"/>
        <v>0</v>
      </c>
      <c r="BG239" s="1967">
        <f t="shared" ca="1" si="132"/>
        <v>0</v>
      </c>
      <c r="BH239" s="1967">
        <f t="shared" ca="1" si="132"/>
        <v>0</v>
      </c>
      <c r="BI239" s="1967">
        <f t="shared" ca="1" si="132"/>
        <v>0</v>
      </c>
      <c r="BJ239" s="1967">
        <f t="shared" ca="1" si="132"/>
        <v>0</v>
      </c>
      <c r="BK239" s="1967">
        <f t="shared" ca="1" si="132"/>
        <v>0</v>
      </c>
      <c r="BL239" s="1967">
        <f t="shared" ca="1" si="132"/>
        <v>0</v>
      </c>
      <c r="BV239" s="1225"/>
      <c r="CV239" s="445"/>
      <c r="CW239" s="445"/>
      <c r="CX239" s="445"/>
    </row>
    <row r="240" spans="1:102" s="446" customFormat="1" ht="14.25" hidden="1" customHeight="1">
      <c r="A240" s="160"/>
      <c r="B240" s="160"/>
      <c r="C240" s="2311"/>
      <c r="D240" s="160" t="s">
        <v>684</v>
      </c>
      <c r="E240" s="1970"/>
      <c r="F240" s="1970"/>
      <c r="G240" s="1970"/>
      <c r="H240" s="1970"/>
      <c r="I240" s="1970"/>
      <c r="J240" s="1970"/>
      <c r="K240" s="1970"/>
      <c r="L240" s="1970"/>
      <c r="M240" s="1970"/>
      <c r="N240" s="1970"/>
      <c r="O240" s="1970"/>
      <c r="P240" s="1970"/>
      <c r="Q240" s="1967"/>
      <c r="R240" s="1967"/>
      <c r="S240" s="1967"/>
      <c r="T240" s="1967"/>
      <c r="U240" s="1967"/>
      <c r="V240" s="1975"/>
      <c r="W240" s="1975"/>
      <c r="X240" s="1975"/>
      <c r="Y240" s="1975"/>
      <c r="Z240" s="1975"/>
      <c r="AA240" s="1967"/>
      <c r="AB240" s="1967"/>
      <c r="AC240" s="1967"/>
      <c r="AD240" s="1967"/>
      <c r="AE240" s="1967"/>
      <c r="AF240" s="1967"/>
      <c r="AG240" s="1967"/>
      <c r="AH240" s="1967"/>
      <c r="AI240" s="1967"/>
      <c r="AJ240" s="1967"/>
      <c r="AK240" s="1967"/>
      <c r="AL240" s="1967"/>
      <c r="AM240" s="1967"/>
      <c r="AN240" s="1967"/>
      <c r="AO240" s="1967">
        <f>IF($K$29=AO218,($J$29*$L$29)/12,0)</f>
        <v>0</v>
      </c>
      <c r="AP240" s="1967">
        <f t="shared" ref="AP240:BL240" si="133">IF($K$29=AP218,($J$29*$L$29)/12,0)</f>
        <v>0</v>
      </c>
      <c r="AQ240" s="1967">
        <f t="shared" si="133"/>
        <v>0</v>
      </c>
      <c r="AR240" s="1967">
        <f t="shared" si="133"/>
        <v>0</v>
      </c>
      <c r="AS240" s="1967">
        <f t="shared" si="133"/>
        <v>0</v>
      </c>
      <c r="AT240" s="1967">
        <f t="shared" si="133"/>
        <v>0</v>
      </c>
      <c r="AU240" s="1967">
        <f t="shared" si="133"/>
        <v>0</v>
      </c>
      <c r="AV240" s="1967">
        <f t="shared" si="133"/>
        <v>0</v>
      </c>
      <c r="AW240" s="1967">
        <f t="shared" si="133"/>
        <v>0</v>
      </c>
      <c r="AX240" s="1967">
        <f t="shared" si="133"/>
        <v>0</v>
      </c>
      <c r="AY240" s="1967">
        <f t="shared" si="133"/>
        <v>0</v>
      </c>
      <c r="AZ240" s="1967">
        <f t="shared" si="133"/>
        <v>0</v>
      </c>
      <c r="BA240" s="1967">
        <f t="shared" si="133"/>
        <v>0</v>
      </c>
      <c r="BB240" s="1967">
        <f t="shared" si="133"/>
        <v>0</v>
      </c>
      <c r="BC240" s="1967">
        <f t="shared" si="133"/>
        <v>0</v>
      </c>
      <c r="BD240" s="1967">
        <f t="shared" si="133"/>
        <v>0</v>
      </c>
      <c r="BE240" s="1967">
        <f t="shared" si="133"/>
        <v>0</v>
      </c>
      <c r="BF240" s="1967">
        <f t="shared" si="133"/>
        <v>0</v>
      </c>
      <c r="BG240" s="1967">
        <f t="shared" si="133"/>
        <v>0</v>
      </c>
      <c r="BH240" s="1967">
        <f t="shared" si="133"/>
        <v>0</v>
      </c>
      <c r="BI240" s="1967">
        <f t="shared" si="133"/>
        <v>0</v>
      </c>
      <c r="BJ240" s="1967">
        <f t="shared" si="133"/>
        <v>0</v>
      </c>
      <c r="BK240" s="1967">
        <f t="shared" si="133"/>
        <v>0</v>
      </c>
      <c r="BL240" s="1967">
        <f t="shared" si="133"/>
        <v>0</v>
      </c>
      <c r="BV240" s="1225"/>
      <c r="CV240" s="445"/>
      <c r="CW240" s="445"/>
      <c r="CX240" s="445"/>
    </row>
    <row r="241" spans="1:102" s="446" customFormat="1" ht="14.25" hidden="1" customHeight="1">
      <c r="A241" s="160"/>
      <c r="B241" s="160"/>
      <c r="C241" s="2311"/>
      <c r="D241" s="160" t="s">
        <v>685</v>
      </c>
      <c r="E241" s="1970"/>
      <c r="F241" s="1970"/>
      <c r="G241" s="1970"/>
      <c r="H241" s="1970"/>
      <c r="I241" s="1970"/>
      <c r="J241" s="1970"/>
      <c r="K241" s="1970"/>
      <c r="L241" s="1970"/>
      <c r="M241" s="1970"/>
      <c r="N241" s="1970"/>
      <c r="O241" s="1970"/>
      <c r="P241" s="1970"/>
      <c r="Q241" s="1967"/>
      <c r="R241" s="1967"/>
      <c r="S241" s="1967"/>
      <c r="T241" s="1967"/>
      <c r="U241" s="1967"/>
      <c r="V241" s="1975"/>
      <c r="W241" s="1975"/>
      <c r="X241" s="1975"/>
      <c r="Y241" s="1975"/>
      <c r="Z241" s="1975"/>
      <c r="AA241" s="1967"/>
      <c r="AB241" s="1967"/>
      <c r="AC241" s="1967"/>
      <c r="AD241" s="1967"/>
      <c r="AE241" s="1967"/>
      <c r="AF241" s="1967"/>
      <c r="AG241" s="1967"/>
      <c r="AH241" s="1967"/>
      <c r="AI241" s="1967"/>
      <c r="AJ241" s="1967"/>
      <c r="AK241" s="1967"/>
      <c r="AL241" s="1967"/>
      <c r="AM241" s="1967"/>
      <c r="AN241" s="1967"/>
      <c r="AO241" s="1967">
        <f>IF(OR(AO218&gt;=$K$29+$M$29+$N$29*12,AO218&lt;$K$29),0,$J$29*$L$29/12)</f>
        <v>0</v>
      </c>
      <c r="AP241" s="1967">
        <f>IF(OR(AP218&gt;=$K$29+$M$29+$N$29*12,AP218&lt;$K$29),0,($J$29-AO243)*$L$29/12)</f>
        <v>0</v>
      </c>
      <c r="AQ241" s="1967">
        <f>IF(OR(AQ218&gt;=$K$29+$M$29+$N$29*12,AQ218&lt;$K$29),0,($J$29-SUM($AO$243:AP243))*$L$29/12)</f>
        <v>0</v>
      </c>
      <c r="AR241" s="1967">
        <f>IF(OR(AR218&gt;=$K$29+$M$29+$N$29*12,AR218&lt;$K$29),0,($J$29-SUM($AO$243:AQ243))*$L$29/12)</f>
        <v>0</v>
      </c>
      <c r="AS241" s="1967">
        <f>IF(OR(AS218&gt;=$K$29+$M$29+$N$29*12,AS218&lt;$K$29),0,($J$29-SUM($AO$243:AR243))*$L$29/12)</f>
        <v>0</v>
      </c>
      <c r="AT241" s="1967">
        <f>IF(OR(AT218&gt;=$K$29+$M$29+$N$29*12,AT218&lt;$K$29),0,($J$29-SUM($AO$243:AS243))*$L$29/12)</f>
        <v>0</v>
      </c>
      <c r="AU241" s="1967">
        <f>IF(OR(AU218&gt;=$K$29+$M$29+$N$29*12,AU218&lt;$K$29),0,($J$29-SUM($AO$243:AT243))*$L$29/12)</f>
        <v>0</v>
      </c>
      <c r="AV241" s="1967">
        <f>IF(OR(AV218&gt;=$K$29+$M$29+$N$29*12,AV218&lt;$K$29),0,($J$29-SUM($AO$243:AU243))*$L$29/12)</f>
        <v>0</v>
      </c>
      <c r="AW241" s="1967">
        <f>IF(OR(AW218&gt;=$K$29+$M$29+$N$29*12,AW218&lt;$K$29),0,($J$29-SUM($AO$243:AV243))*$L$29/12)</f>
        <v>0</v>
      </c>
      <c r="AX241" s="1967">
        <f>IF(OR(AX218&gt;=$K$29+$M$29+$N$29*12,AX218&lt;$K$29),0,($J$29-SUM($AO$243:AW243))*$L$29/12)</f>
        <v>0</v>
      </c>
      <c r="AY241" s="1967">
        <f>IF(OR(AY218&gt;=$K$29+$M$29+$N$29*12,AY218&lt;$K$29),0,($J$29-SUM($AO$243:AX243))*$L$29/12)</f>
        <v>0</v>
      </c>
      <c r="AZ241" s="1967">
        <f>IF(OR(AZ218&gt;=$K$29+$M$29+$N$29*12,AZ218&lt;$K$29),0,($J$29-SUM($AO$243:AY243))*$L$29/12)</f>
        <v>0</v>
      </c>
      <c r="BA241" s="1967">
        <f>IF(OR(BA218&gt;=$K$29+$M$29+$N$29*12,BA218&lt;$K$29),0,($J$29-SUM($AO$243:AZ243))*$L$29/12)</f>
        <v>0</v>
      </c>
      <c r="BB241" s="1967">
        <f>IF(OR(BB218&gt;=$K$29+$M$29+$N$29*12,BB218&lt;$K$29),0,($J$29-SUM($AO$243:BA243))*$L$29/12)</f>
        <v>0</v>
      </c>
      <c r="BC241" s="1967">
        <f>IF(OR(BC218&gt;=$K$29+$M$29+$N$29*12,BC218&lt;$K$29),0,($J$29-SUM($AO$243:BB243))*$L$29/12)</f>
        <v>0</v>
      </c>
      <c r="BD241" s="1967">
        <f>IF(OR(BD218&gt;=$K$29+$M$29+$N$29*12,BD218&lt;$K$29),0,($J$29-SUM($AO$243:BC243))*$L$29/12)</f>
        <v>0</v>
      </c>
      <c r="BE241" s="1967">
        <f>IF(OR(BE218&gt;=$K$29+$M$29+$N$29*12,BE218&lt;$K$29),0,($J$29-SUM($AO$243:BD243))*$L$29/12)</f>
        <v>0</v>
      </c>
      <c r="BF241" s="1967">
        <f>IF(OR(BF218&gt;=$K$29+$M$29+$N$29*12,BF218&lt;$K$29),0,($J$29-SUM($AO$243:BE243))*$L$29/12)</f>
        <v>0</v>
      </c>
      <c r="BG241" s="1967">
        <f>IF(OR(BG218&gt;=$K$29+$M$29+$N$29*12,BG218&lt;$K$29),0,($J$29-SUM($AO$243:BF243))*$L$29/12)</f>
        <v>0</v>
      </c>
      <c r="BH241" s="1967">
        <f>IF(OR(BH218&gt;=$K$29+$M$29+$N$29*12,BH218&lt;$K$29),0,($J$29-SUM($AO$243:BG243))*$L$29/12)</f>
        <v>0</v>
      </c>
      <c r="BI241" s="1967">
        <f>IF(OR(BI218&gt;=$K$29+$M$29+$N$29*12,BI218&lt;$K$29),0,($J$29-SUM($AO$243:BH243))*$L$29/12)</f>
        <v>0</v>
      </c>
      <c r="BJ241" s="1967">
        <f>IF(OR(BJ218&gt;=$K$29+$M$29+$N$29*12,BJ218&lt;$K$29),0,($J$29-SUM($AO$243:BI243))*$L$29/12)</f>
        <v>0</v>
      </c>
      <c r="BK241" s="1967">
        <f>IF(OR(BK218&gt;=$K$29+$M$29+$N$29*12,BK218&lt;$K$29),0,($J$29-SUM($AO$243:BJ243))*$L$29/12)</f>
        <v>0</v>
      </c>
      <c r="BL241" s="1967">
        <f>IF(OR(BL218&gt;=$K$29+$M$29+$N$29*12,BL218&lt;$K$29),0,($J$29-SUM($AO$243:BK243))*$L$29/12)</f>
        <v>0</v>
      </c>
      <c r="BV241" s="1225"/>
      <c r="CV241" s="445"/>
      <c r="CW241" s="445"/>
      <c r="CX241" s="445"/>
    </row>
    <row r="242" spans="1:102" s="446" customFormat="1" ht="14.25" hidden="1" customHeight="1">
      <c r="A242" s="160"/>
      <c r="B242" s="160"/>
      <c r="C242" s="2311"/>
      <c r="D242" s="160" t="s">
        <v>120</v>
      </c>
      <c r="E242" s="1970"/>
      <c r="F242" s="1970"/>
      <c r="G242" s="1970"/>
      <c r="H242" s="1970"/>
      <c r="I242" s="1970"/>
      <c r="J242" s="1970"/>
      <c r="K242" s="1970"/>
      <c r="L242" s="1970"/>
      <c r="M242" s="1970"/>
      <c r="N242" s="1970"/>
      <c r="O242" s="1970"/>
      <c r="P242" s="1970"/>
      <c r="Q242" s="1967"/>
      <c r="R242" s="1967"/>
      <c r="S242" s="1967"/>
      <c r="T242" s="1967"/>
      <c r="U242" s="1967"/>
      <c r="V242" s="1975"/>
      <c r="W242" s="1975"/>
      <c r="X242" s="1975"/>
      <c r="Y242" s="1975"/>
      <c r="Z242" s="1975"/>
      <c r="AA242" s="1967"/>
      <c r="AB242" s="1967"/>
      <c r="AC242" s="1967"/>
      <c r="AD242" s="1967"/>
      <c r="AE242" s="1967"/>
      <c r="AF242" s="1967"/>
      <c r="AG242" s="1967"/>
      <c r="AH242" s="1967"/>
      <c r="AI242" s="1967"/>
      <c r="AJ242" s="1967"/>
      <c r="AK242" s="1967"/>
      <c r="AL242" s="1967"/>
      <c r="AM242" s="1967"/>
      <c r="AN242" s="1967"/>
      <c r="AO242" s="1967">
        <f>IF($K$29+$M$29=AO218,IF($N$29=0,0,$J$29/($N$29*12)),0)</f>
        <v>0</v>
      </c>
      <c r="AP242" s="1967">
        <f t="shared" ref="AP242:BL242" si="134">IF($K$29+$M$29=AP218,IF($N$29=0,0,$J$29/($N$29*12)),0)</f>
        <v>0</v>
      </c>
      <c r="AQ242" s="1967">
        <f t="shared" si="134"/>
        <v>0</v>
      </c>
      <c r="AR242" s="1967">
        <f t="shared" si="134"/>
        <v>0</v>
      </c>
      <c r="AS242" s="1967">
        <f t="shared" si="134"/>
        <v>0</v>
      </c>
      <c r="AT242" s="1967">
        <f t="shared" si="134"/>
        <v>0</v>
      </c>
      <c r="AU242" s="1967">
        <f t="shared" si="134"/>
        <v>0</v>
      </c>
      <c r="AV242" s="1967">
        <f t="shared" si="134"/>
        <v>0</v>
      </c>
      <c r="AW242" s="1967">
        <f t="shared" si="134"/>
        <v>0</v>
      </c>
      <c r="AX242" s="1967">
        <f t="shared" si="134"/>
        <v>0</v>
      </c>
      <c r="AY242" s="1967">
        <f t="shared" si="134"/>
        <v>0</v>
      </c>
      <c r="AZ242" s="1967">
        <f t="shared" si="134"/>
        <v>0</v>
      </c>
      <c r="BA242" s="1967">
        <f t="shared" si="134"/>
        <v>0</v>
      </c>
      <c r="BB242" s="1967">
        <f t="shared" si="134"/>
        <v>0</v>
      </c>
      <c r="BC242" s="1967">
        <f t="shared" si="134"/>
        <v>0</v>
      </c>
      <c r="BD242" s="1967">
        <f t="shared" si="134"/>
        <v>0</v>
      </c>
      <c r="BE242" s="1967">
        <f t="shared" si="134"/>
        <v>0</v>
      </c>
      <c r="BF242" s="1967">
        <f t="shared" si="134"/>
        <v>0</v>
      </c>
      <c r="BG242" s="1967">
        <f t="shared" si="134"/>
        <v>0</v>
      </c>
      <c r="BH242" s="1967">
        <f t="shared" si="134"/>
        <v>0</v>
      </c>
      <c r="BI242" s="1967">
        <f t="shared" si="134"/>
        <v>0</v>
      </c>
      <c r="BJ242" s="1967">
        <f t="shared" si="134"/>
        <v>0</v>
      </c>
      <c r="BK242" s="1967">
        <f t="shared" si="134"/>
        <v>0</v>
      </c>
      <c r="BL242" s="1967">
        <f t="shared" si="134"/>
        <v>0</v>
      </c>
      <c r="BV242" s="1225"/>
      <c r="CV242" s="445"/>
      <c r="CW242" s="445"/>
      <c r="CX242" s="445"/>
    </row>
    <row r="243" spans="1:102" s="446" customFormat="1" ht="14.25" hidden="1" customHeight="1">
      <c r="A243" s="160"/>
      <c r="B243" s="160"/>
      <c r="C243" s="2311"/>
      <c r="D243" s="160" t="s">
        <v>686</v>
      </c>
      <c r="E243" s="1970"/>
      <c r="F243" s="1970"/>
      <c r="G243" s="1970"/>
      <c r="H243" s="1970"/>
      <c r="I243" s="1970"/>
      <c r="J243" s="1970"/>
      <c r="K243" s="1970"/>
      <c r="L243" s="1970"/>
      <c r="M243" s="1970"/>
      <c r="N243" s="1970"/>
      <c r="O243" s="1970"/>
      <c r="P243" s="1970"/>
      <c r="Q243" s="1967"/>
      <c r="R243" s="1967"/>
      <c r="S243" s="1967"/>
      <c r="T243" s="1967"/>
      <c r="U243" s="1967"/>
      <c r="V243" s="1975"/>
      <c r="W243" s="1975"/>
      <c r="X243" s="1975"/>
      <c r="Y243" s="1975"/>
      <c r="Z243" s="1975"/>
      <c r="AA243" s="1967"/>
      <c r="AB243" s="1967"/>
      <c r="AC243" s="1967"/>
      <c r="AD243" s="1967"/>
      <c r="AE243" s="1967"/>
      <c r="AF243" s="1967"/>
      <c r="AG243" s="1967"/>
      <c r="AH243" s="1967"/>
      <c r="AI243" s="1967"/>
      <c r="AJ243" s="1967"/>
      <c r="AK243" s="1967"/>
      <c r="AL243" s="1967"/>
      <c r="AM243" s="1967"/>
      <c r="AN243" s="1967"/>
      <c r="AO243" s="1967">
        <f>IF(OR(AO218&gt;=$K$29+$M$29+$N$29*12,AO218&lt;$K$29+$M$29),0,IF($N$29=0,0,$J$29/($N$29*12)))</f>
        <v>0</v>
      </c>
      <c r="AP243" s="1967">
        <f t="shared" ref="AP243:BL243" si="135">IF(OR(AP218&gt;=$K$29+$M$29+$N$29*12,AP218&lt;$K$29+$M$29),0,IF($N$29=0,0,$J$29/($N$29*12)))</f>
        <v>0</v>
      </c>
      <c r="AQ243" s="1967">
        <f t="shared" si="135"/>
        <v>0</v>
      </c>
      <c r="AR243" s="1967">
        <f t="shared" si="135"/>
        <v>0</v>
      </c>
      <c r="AS243" s="1967">
        <f t="shared" si="135"/>
        <v>0</v>
      </c>
      <c r="AT243" s="1967">
        <f t="shared" si="135"/>
        <v>0</v>
      </c>
      <c r="AU243" s="1967">
        <f t="shared" si="135"/>
        <v>0</v>
      </c>
      <c r="AV243" s="1967">
        <f t="shared" si="135"/>
        <v>0</v>
      </c>
      <c r="AW243" s="1967">
        <f t="shared" si="135"/>
        <v>0</v>
      </c>
      <c r="AX243" s="1967">
        <f t="shared" si="135"/>
        <v>0</v>
      </c>
      <c r="AY243" s="1967">
        <f t="shared" si="135"/>
        <v>0</v>
      </c>
      <c r="AZ243" s="1967">
        <f t="shared" si="135"/>
        <v>0</v>
      </c>
      <c r="BA243" s="1967">
        <f t="shared" si="135"/>
        <v>0</v>
      </c>
      <c r="BB243" s="1967">
        <f t="shared" si="135"/>
        <v>0</v>
      </c>
      <c r="BC243" s="1967">
        <f t="shared" si="135"/>
        <v>0</v>
      </c>
      <c r="BD243" s="1967">
        <f t="shared" si="135"/>
        <v>0</v>
      </c>
      <c r="BE243" s="1967">
        <f t="shared" si="135"/>
        <v>0</v>
      </c>
      <c r="BF243" s="1967">
        <f t="shared" si="135"/>
        <v>0</v>
      </c>
      <c r="BG243" s="1967">
        <f t="shared" si="135"/>
        <v>0</v>
      </c>
      <c r="BH243" s="1967">
        <f t="shared" si="135"/>
        <v>0</v>
      </c>
      <c r="BI243" s="1967">
        <f t="shared" si="135"/>
        <v>0</v>
      </c>
      <c r="BJ243" s="1967">
        <f t="shared" si="135"/>
        <v>0</v>
      </c>
      <c r="BK243" s="1967">
        <f t="shared" si="135"/>
        <v>0</v>
      </c>
      <c r="BL243" s="1967">
        <f t="shared" si="135"/>
        <v>0</v>
      </c>
      <c r="BV243" s="1225"/>
      <c r="CV243" s="445"/>
      <c r="CW243" s="445"/>
      <c r="CX243" s="445"/>
    </row>
    <row r="244" spans="1:102" s="446" customFormat="1" ht="12.6" hidden="1">
      <c r="A244" s="160"/>
      <c r="B244" s="160"/>
      <c r="E244" s="2002"/>
      <c r="F244" s="2002"/>
      <c r="G244" s="2002"/>
      <c r="H244" s="2002"/>
      <c r="I244" s="2002"/>
      <c r="J244" s="2002"/>
      <c r="K244" s="2002"/>
      <c r="L244" s="2002"/>
      <c r="M244" s="2002"/>
      <c r="N244" s="2002"/>
      <c r="O244" s="2010"/>
      <c r="P244" s="2002"/>
      <c r="Q244" s="1968"/>
      <c r="R244" s="1967"/>
      <c r="S244" s="1967"/>
      <c r="T244" s="1967"/>
      <c r="U244" s="1967"/>
      <c r="V244" s="1975"/>
      <c r="W244" s="1975"/>
      <c r="X244" s="1975"/>
      <c r="Y244" s="1975"/>
      <c r="Z244" s="1975"/>
      <c r="AA244" s="1967"/>
      <c r="AB244" s="1967"/>
      <c r="AC244" s="1967"/>
      <c r="AD244" s="1967"/>
      <c r="AE244" s="1967"/>
      <c r="AF244" s="1967"/>
      <c r="AG244" s="1967"/>
      <c r="AH244" s="1967"/>
      <c r="AI244" s="1967"/>
      <c r="AJ244" s="1967"/>
      <c r="AK244" s="1967"/>
      <c r="AL244" s="1967"/>
      <c r="AM244" s="1967"/>
      <c r="AN244" s="1967"/>
      <c r="AO244" s="1967"/>
      <c r="AP244" s="1967"/>
      <c r="AQ244" s="1967"/>
      <c r="AR244" s="1967"/>
      <c r="AS244" s="1967"/>
      <c r="AT244" s="1967"/>
      <c r="AU244" s="1967"/>
      <c r="AV244" s="1967"/>
      <c r="AW244" s="1967"/>
      <c r="AX244" s="1967"/>
      <c r="AY244" s="1967"/>
      <c r="AZ244" s="1967"/>
      <c r="BA244" s="1967"/>
      <c r="BB244" s="1967"/>
      <c r="BC244" s="1967"/>
      <c r="BD244" s="1967"/>
      <c r="BE244" s="1967"/>
      <c r="BF244" s="1967"/>
      <c r="BG244" s="1967"/>
      <c r="BH244" s="1967"/>
      <c r="BI244" s="1967"/>
      <c r="BJ244" s="1967"/>
      <c r="BK244" s="1967"/>
      <c r="BL244" s="1967"/>
      <c r="BV244" s="1225"/>
      <c r="CV244" s="445"/>
      <c r="CW244" s="445"/>
      <c r="CX244" s="445"/>
    </row>
    <row r="245" spans="1:102" s="446" customFormat="1" ht="12.6" hidden="1">
      <c r="A245" s="160"/>
      <c r="B245" s="160"/>
      <c r="E245" s="2002"/>
      <c r="F245" s="2002"/>
      <c r="G245" s="2002"/>
      <c r="H245" s="2002"/>
      <c r="I245" s="2002"/>
      <c r="J245" s="2002"/>
      <c r="K245" s="2002"/>
      <c r="L245" s="2002"/>
      <c r="M245" s="2002"/>
      <c r="N245" s="2002"/>
      <c r="O245" s="2010"/>
      <c r="P245" s="2002"/>
      <c r="Q245" s="1968"/>
      <c r="R245" s="1967"/>
      <c r="S245" s="1967"/>
      <c r="T245" s="1967"/>
      <c r="U245" s="1967"/>
      <c r="V245" s="1975"/>
      <c r="W245" s="1975"/>
      <c r="X245" s="1975"/>
      <c r="Y245" s="1975"/>
      <c r="Z245" s="1975"/>
      <c r="AA245" s="1967"/>
      <c r="AB245" s="1967"/>
      <c r="AC245" s="1967"/>
      <c r="AD245" s="1967"/>
      <c r="AE245" s="1967"/>
      <c r="AF245" s="1967"/>
      <c r="AG245" s="1967"/>
      <c r="AH245" s="1967"/>
      <c r="AI245" s="1967"/>
      <c r="AJ245" s="1967"/>
      <c r="AK245" s="1967"/>
      <c r="AL245" s="1967"/>
      <c r="AM245" s="1967"/>
      <c r="AN245" s="1967"/>
      <c r="AO245" s="1967"/>
      <c r="AP245" s="1967"/>
      <c r="AQ245" s="1967"/>
      <c r="AR245" s="1967"/>
      <c r="AS245" s="1967"/>
      <c r="AT245" s="1967"/>
      <c r="AU245" s="1967"/>
      <c r="AV245" s="1967"/>
      <c r="AW245" s="1967"/>
      <c r="AX245" s="1967"/>
      <c r="AY245" s="1967"/>
      <c r="AZ245" s="1967"/>
      <c r="BA245" s="1967"/>
      <c r="BB245" s="1967"/>
      <c r="BC245" s="1967"/>
      <c r="BD245" s="1967"/>
      <c r="BE245" s="1967"/>
      <c r="BF245" s="1967"/>
      <c r="BG245" s="1967"/>
      <c r="BH245" s="1967"/>
      <c r="BI245" s="1967"/>
      <c r="BJ245" s="1967"/>
      <c r="BK245" s="1967"/>
      <c r="BL245" s="1967"/>
      <c r="BV245" s="1225"/>
      <c r="CV245" s="445"/>
      <c r="CW245" s="445"/>
      <c r="CX245" s="445"/>
    </row>
    <row r="246" spans="1:102" s="446" customFormat="1" ht="14.25" hidden="1" customHeight="1">
      <c r="A246" s="160"/>
      <c r="B246" s="160"/>
      <c r="C246" s="160"/>
      <c r="D246" s="1969"/>
      <c r="E246" s="1978"/>
      <c r="F246" s="1978"/>
      <c r="G246" s="1978"/>
      <c r="H246" s="1978"/>
      <c r="I246" s="1978"/>
      <c r="J246" s="1978"/>
      <c r="K246" s="1978"/>
      <c r="L246" s="1978"/>
      <c r="M246" s="1978"/>
      <c r="N246" s="1978"/>
      <c r="O246" s="1978"/>
      <c r="P246" s="1978"/>
      <c r="Q246" s="1967"/>
      <c r="R246" s="1967"/>
      <c r="S246" s="1967"/>
      <c r="T246" s="1967"/>
      <c r="U246" s="1967"/>
      <c r="V246" s="1975"/>
      <c r="W246" s="1975"/>
      <c r="X246" s="1975"/>
      <c r="Y246" s="1975"/>
      <c r="Z246" s="1975"/>
      <c r="AA246" s="1967"/>
      <c r="AB246" s="1967"/>
      <c r="AC246" s="1967"/>
      <c r="AD246" s="1967"/>
      <c r="AE246" s="1967"/>
      <c r="AF246" s="1967"/>
      <c r="AG246" s="1967"/>
      <c r="AH246" s="1967"/>
      <c r="AI246" s="1967"/>
      <c r="AJ246" s="1967"/>
      <c r="AK246" s="1967"/>
      <c r="AL246" s="1967"/>
      <c r="AM246" s="1967"/>
      <c r="AN246" s="1967"/>
      <c r="AO246" s="1967"/>
      <c r="AP246" s="1967"/>
      <c r="AQ246" s="1967"/>
      <c r="AR246" s="1967"/>
      <c r="AS246" s="1967"/>
      <c r="AT246" s="1967"/>
      <c r="AU246" s="1967"/>
      <c r="AV246" s="1967"/>
      <c r="AW246" s="1967"/>
      <c r="AX246" s="1967"/>
      <c r="AY246" s="1967"/>
      <c r="AZ246" s="1967"/>
      <c r="BA246" s="1967">
        <f ca="1">O$20</f>
        <v>2030</v>
      </c>
      <c r="BB246" s="1967"/>
      <c r="BC246" s="1967"/>
      <c r="BD246" s="1967"/>
      <c r="BE246" s="1967"/>
      <c r="BF246" s="1967"/>
      <c r="BG246" s="1967"/>
      <c r="BH246" s="1967"/>
      <c r="BI246" s="1967"/>
      <c r="BJ246" s="1967"/>
      <c r="BK246" s="1967"/>
      <c r="BL246" s="1967"/>
      <c r="BV246" s="1225"/>
      <c r="CV246" s="445"/>
      <c r="CW246" s="2011"/>
      <c r="CX246" s="445"/>
    </row>
    <row r="247" spans="1:102" s="446" customFormat="1" ht="14.25" hidden="1" customHeight="1">
      <c r="A247" s="160"/>
      <c r="B247" s="160"/>
      <c r="C247" s="445" t="s">
        <v>450</v>
      </c>
      <c r="D247" s="160"/>
      <c r="E247" s="1978"/>
      <c r="F247" s="1978"/>
      <c r="G247" s="1978"/>
      <c r="H247" s="1978"/>
      <c r="I247" s="1978"/>
      <c r="J247" s="1978"/>
      <c r="K247" s="1978"/>
      <c r="L247" s="1978"/>
      <c r="M247" s="1978"/>
      <c r="N247" s="1978"/>
      <c r="O247" s="1978"/>
      <c r="P247" s="1978"/>
      <c r="Q247" s="1967"/>
      <c r="R247" s="1967"/>
      <c r="S247" s="1967"/>
      <c r="T247" s="1967"/>
      <c r="U247" s="1967"/>
      <c r="V247" s="1975"/>
      <c r="W247" s="1975"/>
      <c r="X247" s="1975"/>
      <c r="Y247" s="1975"/>
      <c r="Z247" s="1975"/>
      <c r="AA247" s="1967"/>
      <c r="AB247" s="1967"/>
      <c r="AC247" s="1967"/>
      <c r="AD247" s="1967"/>
      <c r="AE247" s="1967"/>
      <c r="AF247" s="1967"/>
      <c r="AG247" s="1967"/>
      <c r="AH247" s="1967"/>
      <c r="AI247" s="1967"/>
      <c r="AJ247" s="1967"/>
      <c r="AK247" s="1967"/>
      <c r="AL247" s="1967"/>
      <c r="AM247" s="1967"/>
      <c r="AN247" s="1967"/>
      <c r="AO247" s="1967"/>
      <c r="AP247" s="1967"/>
      <c r="AQ247" s="1967"/>
      <c r="AR247" s="1967"/>
      <c r="AS247" s="1967"/>
      <c r="AT247" s="1967"/>
      <c r="AU247" s="1967"/>
      <c r="AV247" s="1967"/>
      <c r="AW247" s="1967"/>
      <c r="AX247" s="1967"/>
      <c r="AY247" s="1967"/>
      <c r="AZ247" s="1967"/>
      <c r="BA247" s="1967">
        <v>1</v>
      </c>
      <c r="BB247" s="1967">
        <v>2</v>
      </c>
      <c r="BC247" s="1967">
        <v>3</v>
      </c>
      <c r="BD247" s="1967">
        <v>4</v>
      </c>
      <c r="BE247" s="1967">
        <v>5</v>
      </c>
      <c r="BF247" s="1967">
        <v>6</v>
      </c>
      <c r="BG247" s="1967">
        <v>7</v>
      </c>
      <c r="BH247" s="1967">
        <v>8</v>
      </c>
      <c r="BI247" s="1967">
        <v>9</v>
      </c>
      <c r="BJ247" s="1967">
        <v>10</v>
      </c>
      <c r="BK247" s="1967">
        <v>11</v>
      </c>
      <c r="BL247" s="1967">
        <v>12</v>
      </c>
      <c r="BV247" s="1225"/>
      <c r="CV247" s="445"/>
      <c r="CW247" s="2011"/>
      <c r="CX247" s="445"/>
    </row>
    <row r="248" spans="1:102" s="446" customFormat="1" ht="14.25" hidden="1" customHeight="1">
      <c r="A248" s="160"/>
      <c r="B248" s="160"/>
      <c r="C248" s="2311" t="str">
        <f>C219</f>
        <v>Drittmittel</v>
      </c>
      <c r="D248" s="160" t="s">
        <v>683</v>
      </c>
      <c r="E248" s="1978"/>
      <c r="F248" s="1978"/>
      <c r="G248" s="1978"/>
      <c r="H248" s="1978"/>
      <c r="I248" s="1978"/>
      <c r="J248" s="1978"/>
      <c r="K248" s="1978"/>
      <c r="L248" s="1978"/>
      <c r="M248" s="1978"/>
      <c r="N248" s="1978"/>
      <c r="O248" s="1978"/>
      <c r="P248" s="1978"/>
      <c r="Q248" s="1967"/>
      <c r="R248" s="1967"/>
      <c r="S248" s="1967"/>
      <c r="T248" s="1967"/>
      <c r="U248" s="1967"/>
      <c r="V248" s="1975"/>
      <c r="W248" s="1975"/>
      <c r="X248" s="1975"/>
      <c r="Y248" s="1975"/>
      <c r="Z248" s="1975"/>
      <c r="AA248" s="1967"/>
      <c r="AB248" s="1967"/>
      <c r="AC248" s="1967"/>
      <c r="AD248" s="1967"/>
      <c r="AE248" s="1967"/>
      <c r="AF248" s="1967"/>
      <c r="AG248" s="1967"/>
      <c r="AH248" s="1967"/>
      <c r="AI248" s="1967"/>
      <c r="AJ248" s="1967"/>
      <c r="AK248" s="1967"/>
      <c r="AL248" s="1967"/>
      <c r="AM248" s="1967"/>
      <c r="AN248" s="1967"/>
      <c r="AO248" s="1967"/>
      <c r="AP248" s="1967"/>
      <c r="AQ248" s="1967"/>
      <c r="AR248" s="1967"/>
      <c r="AS248" s="1967"/>
      <c r="AT248" s="1967"/>
      <c r="AU248" s="1967"/>
      <c r="AV248" s="1967"/>
      <c r="AW248" s="1967"/>
      <c r="AX248" s="1967"/>
      <c r="AY248" s="1967"/>
      <c r="AZ248" s="1967"/>
      <c r="BA248" s="1983">
        <f t="shared" ref="BA248:BL248" ca="1" si="136">IF($BA$246=$O$20,IF(BA247=$P$25,$O$25,0),0)</f>
        <v>0</v>
      </c>
      <c r="BB248" s="1983">
        <f t="shared" ca="1" si="136"/>
        <v>0</v>
      </c>
      <c r="BC248" s="1983">
        <f t="shared" ca="1" si="136"/>
        <v>0</v>
      </c>
      <c r="BD248" s="1983">
        <f t="shared" ca="1" si="136"/>
        <v>0</v>
      </c>
      <c r="BE248" s="1983">
        <f t="shared" ca="1" si="136"/>
        <v>0</v>
      </c>
      <c r="BF248" s="1983">
        <f t="shared" ca="1" si="136"/>
        <v>0</v>
      </c>
      <c r="BG248" s="1983">
        <f t="shared" ca="1" si="136"/>
        <v>0</v>
      </c>
      <c r="BH248" s="1983">
        <f t="shared" ca="1" si="136"/>
        <v>0</v>
      </c>
      <c r="BI248" s="1983">
        <f t="shared" ca="1" si="136"/>
        <v>0</v>
      </c>
      <c r="BJ248" s="1983">
        <f t="shared" ca="1" si="136"/>
        <v>0</v>
      </c>
      <c r="BK248" s="1983">
        <f t="shared" ca="1" si="136"/>
        <v>0</v>
      </c>
      <c r="BL248" s="1983">
        <f t="shared" ca="1" si="136"/>
        <v>0</v>
      </c>
      <c r="BV248" s="1225"/>
      <c r="CV248" s="445"/>
      <c r="CW248" s="2011"/>
      <c r="CX248" s="445"/>
    </row>
    <row r="249" spans="1:102" s="446" customFormat="1" ht="14.25" hidden="1" customHeight="1">
      <c r="A249" s="160"/>
      <c r="B249" s="160"/>
      <c r="C249" s="2311"/>
      <c r="D249" s="160" t="s">
        <v>684</v>
      </c>
      <c r="E249" s="1978"/>
      <c r="F249" s="1978"/>
      <c r="G249" s="1978"/>
      <c r="H249" s="1978"/>
      <c r="I249" s="1978"/>
      <c r="J249" s="1978"/>
      <c r="K249" s="1978"/>
      <c r="L249" s="1978"/>
      <c r="M249" s="1978"/>
      <c r="N249" s="1978"/>
      <c r="O249" s="1978"/>
      <c r="P249" s="1978"/>
      <c r="Q249" s="1967"/>
      <c r="R249" s="1967"/>
      <c r="S249" s="1967"/>
      <c r="T249" s="1967"/>
      <c r="U249" s="1967"/>
      <c r="V249" s="1975"/>
      <c r="W249" s="1975"/>
      <c r="X249" s="1975"/>
      <c r="Y249" s="1975"/>
      <c r="Z249" s="1975"/>
      <c r="AA249" s="1967"/>
      <c r="AB249" s="1967"/>
      <c r="AC249" s="1967"/>
      <c r="AD249" s="1967"/>
      <c r="AE249" s="1967"/>
      <c r="AF249" s="1967"/>
      <c r="AG249" s="1967"/>
      <c r="AH249" s="1967"/>
      <c r="AI249" s="1967"/>
      <c r="AJ249" s="1967"/>
      <c r="AK249" s="1967"/>
      <c r="AL249" s="1967"/>
      <c r="AM249" s="1967"/>
      <c r="AN249" s="1967"/>
      <c r="AO249" s="1967"/>
      <c r="AP249" s="1967"/>
      <c r="AQ249" s="1967"/>
      <c r="AR249" s="1967"/>
      <c r="AS249" s="1967"/>
      <c r="AT249" s="1967"/>
      <c r="AU249" s="1967"/>
      <c r="AV249" s="1967"/>
      <c r="AW249" s="1967"/>
      <c r="AX249" s="1967"/>
      <c r="AY249" s="1967"/>
      <c r="AZ249" s="1967"/>
      <c r="BA249" s="1983">
        <f>IF($P$25=BA247,($O$25*$Q$25)/12,0)</f>
        <v>0</v>
      </c>
      <c r="BB249" s="1983">
        <f t="shared" ref="BB249:BL249" si="137">IF($P$25=BB247,($O$25*$Q$25)/12,0)</f>
        <v>0</v>
      </c>
      <c r="BC249" s="1983">
        <f t="shared" si="137"/>
        <v>0</v>
      </c>
      <c r="BD249" s="1983">
        <f t="shared" si="137"/>
        <v>0</v>
      </c>
      <c r="BE249" s="1983">
        <f t="shared" si="137"/>
        <v>0</v>
      </c>
      <c r="BF249" s="1983">
        <f t="shared" si="137"/>
        <v>0</v>
      </c>
      <c r="BG249" s="1983">
        <f t="shared" si="137"/>
        <v>0</v>
      </c>
      <c r="BH249" s="1983">
        <f t="shared" si="137"/>
        <v>0</v>
      </c>
      <c r="BI249" s="1983">
        <f t="shared" si="137"/>
        <v>0</v>
      </c>
      <c r="BJ249" s="1983">
        <f t="shared" si="137"/>
        <v>0</v>
      </c>
      <c r="BK249" s="1983">
        <f t="shared" si="137"/>
        <v>0</v>
      </c>
      <c r="BL249" s="1983">
        <f t="shared" si="137"/>
        <v>0</v>
      </c>
      <c r="BV249" s="1225"/>
      <c r="CV249" s="445"/>
      <c r="CW249" s="2011"/>
      <c r="CX249" s="445"/>
    </row>
    <row r="250" spans="1:102" s="446" customFormat="1" ht="14.25" hidden="1" customHeight="1">
      <c r="A250" s="160"/>
      <c r="B250" s="160"/>
      <c r="C250" s="2311"/>
      <c r="D250" s="160" t="s">
        <v>685</v>
      </c>
      <c r="E250" s="1978"/>
      <c r="F250" s="1978"/>
      <c r="G250" s="1978"/>
      <c r="H250" s="1978"/>
      <c r="I250" s="1978"/>
      <c r="J250" s="1978"/>
      <c r="K250" s="1978"/>
      <c r="L250" s="1978"/>
      <c r="M250" s="1978"/>
      <c r="N250" s="1978"/>
      <c r="O250" s="1978"/>
      <c r="P250" s="1978"/>
      <c r="Q250" s="1967"/>
      <c r="R250" s="1967"/>
      <c r="S250" s="1967"/>
      <c r="T250" s="1967"/>
      <c r="U250" s="1967"/>
      <c r="V250" s="1975"/>
      <c r="W250" s="1975"/>
      <c r="X250" s="1975"/>
      <c r="Y250" s="1975"/>
      <c r="Z250" s="1975"/>
      <c r="AA250" s="1967"/>
      <c r="AB250" s="1967"/>
      <c r="AC250" s="1967"/>
      <c r="AD250" s="1967"/>
      <c r="AE250" s="1967"/>
      <c r="AF250" s="1967"/>
      <c r="AG250" s="1967"/>
      <c r="AH250" s="1967"/>
      <c r="AI250" s="1967"/>
      <c r="AJ250" s="1967"/>
      <c r="AK250" s="1967"/>
      <c r="AL250" s="1967"/>
      <c r="AM250" s="1967"/>
      <c r="AN250" s="1967"/>
      <c r="AO250" s="1967"/>
      <c r="AP250" s="1967"/>
      <c r="AQ250" s="1967"/>
      <c r="AR250" s="1967"/>
      <c r="AS250" s="1967"/>
      <c r="AT250" s="1967"/>
      <c r="AU250" s="1967"/>
      <c r="AV250" s="1967"/>
      <c r="AW250" s="1967"/>
      <c r="AX250" s="1967"/>
      <c r="AY250" s="1967"/>
      <c r="AZ250" s="1967"/>
      <c r="BA250" s="1983">
        <f>IF(OR(BA247&gt;=$P$25+$R$25+$S$25*12,BA247&lt;$P$25),0,$O$25*$Q$25/12)</f>
        <v>0</v>
      </c>
      <c r="BB250" s="1983">
        <f>IF(OR(BB247&gt;=$P$25+$R$25+$S$25*12,BB247&lt;$P$25),0,($O$25-SUM($BA$252:BB252))*$Q$25/12)</f>
        <v>0</v>
      </c>
      <c r="BC250" s="1983">
        <f>IF(OR(BC247&gt;=$P$25+$R$25+$S$25*12,BC247&lt;$P$25),0,($O$25-SUM($BA$252:BC252))*$Q$25/12)</f>
        <v>0</v>
      </c>
      <c r="BD250" s="1983">
        <f>IF(OR(BD247&gt;=$P$25+$R$25+$S$25*12,BD247&lt;$P$25),0,($O$25-SUM($BA$252:BD252))*$Q$25/12)</f>
        <v>0</v>
      </c>
      <c r="BE250" s="1983">
        <f>IF(OR(BE247&gt;=$P$25+$R$25+$S$25*12,BE247&lt;$P$25),0,($O$25-SUM($BA$252:BE252))*$Q$25/12)</f>
        <v>0</v>
      </c>
      <c r="BF250" s="1983">
        <f>IF(OR(BF247&gt;=$P$25+$R$25+$S$25*12,BF247&lt;$P$25),0,($O$25-SUM($BA$252:BF252))*$Q$25/12)</f>
        <v>0</v>
      </c>
      <c r="BG250" s="1983">
        <f>IF(OR(BG247&gt;=$P$25+$R$25+$S$25*12,BG247&lt;$P$25),0,($O$25-SUM($BA$252:BG252))*$Q$25/12)</f>
        <v>0</v>
      </c>
      <c r="BH250" s="1983">
        <f>IF(OR(BH247&gt;=$P$25+$R$25+$S$25*12,BH247&lt;$P$25),0,($O$25-SUM($BA$252:BH252))*$Q$25/12)</f>
        <v>0</v>
      </c>
      <c r="BI250" s="1983">
        <f>IF(OR(BI247&gt;=$P$25+$R$25+$S$25*12,BI247&lt;$P$25),0,($O$25-SUM($BA$252:BI252))*$Q$25/12)</f>
        <v>0</v>
      </c>
      <c r="BJ250" s="1983">
        <f>IF(OR(BJ247&gt;=$P$25+$R$25+$S$25*12,BJ247&lt;$P$25),0,($O$25-SUM($BA$252:BJ252))*$Q$25/12)</f>
        <v>0</v>
      </c>
      <c r="BK250" s="1983">
        <f>IF(OR(BK247&gt;=$P$25+$R$25+$S$25*12,BK247&lt;$P$25),0,($O$25-SUM($BA$252:BK252))*$Q$25/12)</f>
        <v>0</v>
      </c>
      <c r="BL250" s="1983">
        <f>IF(OR(BL247&gt;=$P$25+$R$25+$S$25*12,BL247&lt;$P$25),0,($O$25-SUM($BA$252:BL252))*$Q$25/12)</f>
        <v>0</v>
      </c>
      <c r="BV250" s="1225"/>
      <c r="CV250" s="445"/>
      <c r="CW250" s="2011"/>
      <c r="CX250" s="445"/>
    </row>
    <row r="251" spans="1:102" s="446" customFormat="1" ht="14.25" hidden="1" customHeight="1">
      <c r="A251" s="160"/>
      <c r="B251" s="160"/>
      <c r="C251" s="2311"/>
      <c r="D251" s="160" t="s">
        <v>120</v>
      </c>
      <c r="E251" s="1978"/>
      <c r="F251" s="1978"/>
      <c r="G251" s="1978"/>
      <c r="H251" s="1978"/>
      <c r="I251" s="1978"/>
      <c r="J251" s="1978"/>
      <c r="K251" s="1978"/>
      <c r="L251" s="1978"/>
      <c r="M251" s="1978"/>
      <c r="N251" s="1978"/>
      <c r="O251" s="1978"/>
      <c r="P251" s="1978"/>
      <c r="Q251" s="1967"/>
      <c r="R251" s="1967"/>
      <c r="S251" s="1967"/>
      <c r="T251" s="1967"/>
      <c r="U251" s="1967"/>
      <c r="V251" s="1975"/>
      <c r="W251" s="1975"/>
      <c r="X251" s="1975"/>
      <c r="Y251" s="1975"/>
      <c r="Z251" s="1975"/>
      <c r="AA251" s="1967"/>
      <c r="AB251" s="1967"/>
      <c r="AC251" s="1967"/>
      <c r="AD251" s="1967"/>
      <c r="AE251" s="1967"/>
      <c r="AF251" s="1967"/>
      <c r="AG251" s="1967"/>
      <c r="AH251" s="1967"/>
      <c r="AI251" s="1967"/>
      <c r="AJ251" s="1967"/>
      <c r="AK251" s="1967"/>
      <c r="AL251" s="1967"/>
      <c r="AM251" s="1967"/>
      <c r="AN251" s="1967"/>
      <c r="AO251" s="1967"/>
      <c r="AP251" s="1967"/>
      <c r="AQ251" s="1967"/>
      <c r="AR251" s="1967"/>
      <c r="AS251" s="1967"/>
      <c r="AT251" s="1967"/>
      <c r="AU251" s="1967"/>
      <c r="AV251" s="1967"/>
      <c r="AW251" s="1967"/>
      <c r="AX251" s="1967"/>
      <c r="AY251" s="1967"/>
      <c r="AZ251" s="1967"/>
      <c r="BA251" s="1983">
        <f>IF($P$25+$R$25=BA247,IF($S$25=0,0,$O$25/($S$25*12)),0)</f>
        <v>0</v>
      </c>
      <c r="BB251" s="1983">
        <f t="shared" ref="BB251:BL251" si="138">IF($P$25+$R$25=BB247,IF($S$25=0,0,$O$25/($S$25*12)),0)</f>
        <v>0</v>
      </c>
      <c r="BC251" s="1983">
        <f t="shared" si="138"/>
        <v>0</v>
      </c>
      <c r="BD251" s="1983">
        <f t="shared" si="138"/>
        <v>0</v>
      </c>
      <c r="BE251" s="1983">
        <f t="shared" si="138"/>
        <v>0</v>
      </c>
      <c r="BF251" s="1983">
        <f t="shared" si="138"/>
        <v>0</v>
      </c>
      <c r="BG251" s="1983">
        <f t="shared" si="138"/>
        <v>0</v>
      </c>
      <c r="BH251" s="1983">
        <f t="shared" si="138"/>
        <v>0</v>
      </c>
      <c r="BI251" s="1983">
        <f t="shared" si="138"/>
        <v>0</v>
      </c>
      <c r="BJ251" s="1983">
        <f t="shared" si="138"/>
        <v>0</v>
      </c>
      <c r="BK251" s="1983">
        <f t="shared" si="138"/>
        <v>0</v>
      </c>
      <c r="BL251" s="1983">
        <f t="shared" si="138"/>
        <v>0</v>
      </c>
      <c r="BV251" s="1225"/>
      <c r="CV251" s="445"/>
      <c r="CW251" s="2011"/>
      <c r="CX251" s="445"/>
    </row>
    <row r="252" spans="1:102" s="446" customFormat="1" ht="14.25" hidden="1" customHeight="1">
      <c r="A252" s="160"/>
      <c r="B252" s="160"/>
      <c r="C252" s="2311"/>
      <c r="D252" s="160" t="s">
        <v>686</v>
      </c>
      <c r="E252" s="1978"/>
      <c r="F252" s="1978"/>
      <c r="G252" s="1978"/>
      <c r="H252" s="1978"/>
      <c r="I252" s="1978"/>
      <c r="J252" s="1978"/>
      <c r="K252" s="1978"/>
      <c r="L252" s="1978"/>
      <c r="M252" s="1978"/>
      <c r="N252" s="1978"/>
      <c r="O252" s="1978"/>
      <c r="P252" s="1978"/>
      <c r="Q252" s="1967"/>
      <c r="R252" s="1967"/>
      <c r="S252" s="1967"/>
      <c r="T252" s="1967"/>
      <c r="U252" s="1967"/>
      <c r="V252" s="1975"/>
      <c r="W252" s="1975"/>
      <c r="X252" s="1975"/>
      <c r="Y252" s="1975"/>
      <c r="Z252" s="1975"/>
      <c r="AA252" s="1967"/>
      <c r="AB252" s="1967"/>
      <c r="AC252" s="1967"/>
      <c r="AD252" s="1967"/>
      <c r="AE252" s="1967"/>
      <c r="AF252" s="1967"/>
      <c r="AG252" s="1967"/>
      <c r="AH252" s="1967"/>
      <c r="AI252" s="1967"/>
      <c r="AJ252" s="1967"/>
      <c r="AK252" s="1967"/>
      <c r="AL252" s="1967"/>
      <c r="AM252" s="1967"/>
      <c r="AN252" s="1967"/>
      <c r="AO252" s="1967"/>
      <c r="AP252" s="1967"/>
      <c r="AQ252" s="1967"/>
      <c r="AR252" s="1967"/>
      <c r="AS252" s="1967"/>
      <c r="AT252" s="1967"/>
      <c r="AU252" s="1967"/>
      <c r="AV252" s="1967"/>
      <c r="AW252" s="1967"/>
      <c r="AX252" s="1967"/>
      <c r="AY252" s="1967"/>
      <c r="AZ252" s="1967"/>
      <c r="BA252" s="1983">
        <f>IF(OR(BA247&gt;=$P$25+$R$25+$S$25*12,BA247&lt;$P$25+$R$25),0,IF($S$25=0,0,$O$25/($S$25*12)))</f>
        <v>0</v>
      </c>
      <c r="BB252" s="1983">
        <f t="shared" ref="BB252:BL252" si="139">IF(OR(BB247&gt;=$P$25+$R$25+$S$25*12,BB247&lt;$P$25+$R$25),0,IF($S$25=0,0,$O$25/($S$25*12)))</f>
        <v>0</v>
      </c>
      <c r="BC252" s="1983">
        <f t="shared" si="139"/>
        <v>0</v>
      </c>
      <c r="BD252" s="1983">
        <f t="shared" si="139"/>
        <v>0</v>
      </c>
      <c r="BE252" s="1983">
        <f t="shared" si="139"/>
        <v>0</v>
      </c>
      <c r="BF252" s="1983">
        <f t="shared" si="139"/>
        <v>0</v>
      </c>
      <c r="BG252" s="1983">
        <f t="shared" si="139"/>
        <v>0</v>
      </c>
      <c r="BH252" s="1983">
        <f t="shared" si="139"/>
        <v>0</v>
      </c>
      <c r="BI252" s="1983">
        <f t="shared" si="139"/>
        <v>0</v>
      </c>
      <c r="BJ252" s="1983">
        <f t="shared" si="139"/>
        <v>0</v>
      </c>
      <c r="BK252" s="1983">
        <f t="shared" si="139"/>
        <v>0</v>
      </c>
      <c r="BL252" s="1983">
        <f t="shared" si="139"/>
        <v>0</v>
      </c>
      <c r="BV252" s="1225"/>
      <c r="CV252" s="445"/>
      <c r="CW252" s="2011"/>
      <c r="CX252" s="445"/>
    </row>
    <row r="253" spans="1:102" s="446" customFormat="1" ht="14.25" hidden="1" customHeight="1">
      <c r="A253" s="160"/>
      <c r="B253" s="160"/>
      <c r="C253" s="2311" t="str">
        <f>C224</f>
        <v>Kontokorrent</v>
      </c>
      <c r="D253" s="160" t="s">
        <v>683</v>
      </c>
      <c r="E253" s="1970"/>
      <c r="F253" s="1970"/>
      <c r="G253" s="1970"/>
      <c r="H253" s="1970"/>
      <c r="I253" s="1970"/>
      <c r="J253" s="1970"/>
      <c r="K253" s="1970"/>
      <c r="L253" s="1970"/>
      <c r="M253" s="1970"/>
      <c r="N253" s="1970"/>
      <c r="O253" s="1970"/>
      <c r="P253" s="1970"/>
      <c r="Q253" s="1967"/>
      <c r="R253" s="1967"/>
      <c r="S253" s="1967"/>
      <c r="T253" s="1967"/>
      <c r="U253" s="1967"/>
      <c r="V253" s="1975"/>
      <c r="W253" s="1975"/>
      <c r="X253" s="1975"/>
      <c r="Y253" s="1975"/>
      <c r="Z253" s="1975"/>
      <c r="AA253" s="1967"/>
      <c r="AB253" s="1967"/>
      <c r="AC253" s="1967"/>
      <c r="AD253" s="1967"/>
      <c r="AE253" s="1967"/>
      <c r="AF253" s="1967"/>
      <c r="AG253" s="1967"/>
      <c r="AH253" s="1967"/>
      <c r="AI253" s="1967"/>
      <c r="AJ253" s="1967"/>
      <c r="AK253" s="1967"/>
      <c r="AL253" s="1967"/>
      <c r="AM253" s="1967"/>
      <c r="AN253" s="1967"/>
      <c r="AO253" s="1967"/>
      <c r="AP253" s="1967"/>
      <c r="AQ253" s="1967"/>
      <c r="AR253" s="1967"/>
      <c r="AS253" s="1967"/>
      <c r="AT253" s="1967"/>
      <c r="AU253" s="1967"/>
      <c r="AV253" s="1967"/>
      <c r="AW253" s="1967"/>
      <c r="AX253" s="1967"/>
      <c r="AY253" s="1967"/>
      <c r="AZ253" s="1967"/>
      <c r="BA253" s="1983">
        <f t="shared" ref="BA253:BL253" ca="1" si="140">IF($BA$246=$O$20,IF(BA247=$P$26,$O$26,0),0)</f>
        <v>0</v>
      </c>
      <c r="BB253" s="1983">
        <f t="shared" ca="1" si="140"/>
        <v>0</v>
      </c>
      <c r="BC253" s="1983">
        <f t="shared" ca="1" si="140"/>
        <v>0</v>
      </c>
      <c r="BD253" s="1983">
        <f t="shared" ca="1" si="140"/>
        <v>0</v>
      </c>
      <c r="BE253" s="1983">
        <f t="shared" ca="1" si="140"/>
        <v>0</v>
      </c>
      <c r="BF253" s="1983">
        <f t="shared" ca="1" si="140"/>
        <v>0</v>
      </c>
      <c r="BG253" s="1983">
        <f t="shared" ca="1" si="140"/>
        <v>0</v>
      </c>
      <c r="BH253" s="1983">
        <f t="shared" ca="1" si="140"/>
        <v>0</v>
      </c>
      <c r="BI253" s="1983">
        <f t="shared" ca="1" si="140"/>
        <v>0</v>
      </c>
      <c r="BJ253" s="1983">
        <f t="shared" ca="1" si="140"/>
        <v>0</v>
      </c>
      <c r="BK253" s="1983">
        <f t="shared" ca="1" si="140"/>
        <v>0</v>
      </c>
      <c r="BL253" s="1983">
        <f t="shared" ca="1" si="140"/>
        <v>0</v>
      </c>
      <c r="BV253" s="1225"/>
      <c r="CV253" s="445"/>
      <c r="CW253" s="2011"/>
      <c r="CX253" s="445"/>
    </row>
    <row r="254" spans="1:102" s="446" customFormat="1" ht="14.25" hidden="1" customHeight="1">
      <c r="A254" s="160"/>
      <c r="B254" s="160"/>
      <c r="C254" s="2311"/>
      <c r="D254" s="160" t="s">
        <v>684</v>
      </c>
      <c r="E254" s="1970"/>
      <c r="F254" s="1970"/>
      <c r="G254" s="1970"/>
      <c r="H254" s="1970"/>
      <c r="I254" s="1970"/>
      <c r="J254" s="1970"/>
      <c r="K254" s="1970"/>
      <c r="L254" s="1970"/>
      <c r="M254" s="1970"/>
      <c r="N254" s="1970"/>
      <c r="O254" s="1970"/>
      <c r="P254" s="1970"/>
      <c r="Q254" s="1967"/>
      <c r="R254" s="1967"/>
      <c r="S254" s="1967"/>
      <c r="T254" s="1967"/>
      <c r="U254" s="1967"/>
      <c r="V254" s="1975"/>
      <c r="W254" s="1975"/>
      <c r="X254" s="1975"/>
      <c r="Y254" s="1975"/>
      <c r="Z254" s="1975"/>
      <c r="AA254" s="1967"/>
      <c r="AB254" s="1967"/>
      <c r="AC254" s="1967"/>
      <c r="AD254" s="1967"/>
      <c r="AE254" s="1967"/>
      <c r="AF254" s="1967"/>
      <c r="AG254" s="1967"/>
      <c r="AH254" s="1967"/>
      <c r="AI254" s="1967"/>
      <c r="AJ254" s="1967"/>
      <c r="AK254" s="1967"/>
      <c r="AL254" s="1967"/>
      <c r="AM254" s="1967"/>
      <c r="AN254" s="1967"/>
      <c r="AO254" s="1967"/>
      <c r="AP254" s="1967"/>
      <c r="AQ254" s="1967"/>
      <c r="AR254" s="1967"/>
      <c r="AS254" s="1967"/>
      <c r="AT254" s="1967"/>
      <c r="AU254" s="1967"/>
      <c r="AV254" s="1967"/>
      <c r="AW254" s="1967"/>
      <c r="AX254" s="1967"/>
      <c r="AY254" s="1967"/>
      <c r="AZ254" s="1967"/>
      <c r="BA254" s="1983">
        <f>IF($P$26=BA247,($O$26*$Q$26)/12,0)</f>
        <v>0</v>
      </c>
      <c r="BB254" s="1983">
        <f t="shared" ref="BB254:BL254" si="141">IF($P$26=BB247,($O$26*$Q$26)/12,0)</f>
        <v>0</v>
      </c>
      <c r="BC254" s="1983">
        <f t="shared" si="141"/>
        <v>0</v>
      </c>
      <c r="BD254" s="1983">
        <f t="shared" si="141"/>
        <v>0</v>
      </c>
      <c r="BE254" s="1983">
        <f t="shared" si="141"/>
        <v>0</v>
      </c>
      <c r="BF254" s="1983">
        <f t="shared" si="141"/>
        <v>0</v>
      </c>
      <c r="BG254" s="1983">
        <f t="shared" si="141"/>
        <v>0</v>
      </c>
      <c r="BH254" s="1983">
        <f t="shared" si="141"/>
        <v>0</v>
      </c>
      <c r="BI254" s="1983">
        <f t="shared" si="141"/>
        <v>0</v>
      </c>
      <c r="BJ254" s="1983">
        <f t="shared" si="141"/>
        <v>0</v>
      </c>
      <c r="BK254" s="1983">
        <f t="shared" si="141"/>
        <v>0</v>
      </c>
      <c r="BL254" s="1983">
        <f t="shared" si="141"/>
        <v>0</v>
      </c>
      <c r="BV254" s="1225"/>
      <c r="CV254" s="445"/>
      <c r="CW254" s="2011"/>
      <c r="CX254" s="445"/>
    </row>
    <row r="255" spans="1:102" s="446" customFormat="1" ht="14.25" hidden="1" customHeight="1">
      <c r="A255" s="160"/>
      <c r="B255" s="160"/>
      <c r="C255" s="2311"/>
      <c r="D255" s="160" t="s">
        <v>685</v>
      </c>
      <c r="E255" s="2012"/>
      <c r="F255" s="2012"/>
      <c r="G255" s="2012"/>
      <c r="H255" s="2012"/>
      <c r="I255" s="2012"/>
      <c r="J255" s="2012"/>
      <c r="K255" s="2012"/>
      <c r="L255" s="2012"/>
      <c r="M255" s="2012"/>
      <c r="N255" s="2012"/>
      <c r="O255" s="2012"/>
      <c r="P255" s="2012"/>
      <c r="Q255" s="2013"/>
      <c r="R255" s="2013"/>
      <c r="S255" s="2013"/>
      <c r="T255" s="2013"/>
      <c r="U255" s="2013"/>
      <c r="V255" s="2014"/>
      <c r="W255" s="2014"/>
      <c r="X255" s="2014"/>
      <c r="Y255" s="2014"/>
      <c r="Z255" s="2014"/>
      <c r="AA255" s="2013"/>
      <c r="AB255" s="2013"/>
      <c r="AC255" s="2013"/>
      <c r="AD255" s="2013"/>
      <c r="AE255" s="2013"/>
      <c r="AF255" s="2013"/>
      <c r="AG255" s="2013"/>
      <c r="AH255" s="2013"/>
      <c r="AI255" s="2013"/>
      <c r="AJ255" s="2013"/>
      <c r="AK255" s="2013"/>
      <c r="AL255" s="2013"/>
      <c r="AM255" s="2013"/>
      <c r="AN255" s="2013"/>
      <c r="AO255" s="2013"/>
      <c r="AP255" s="2013"/>
      <c r="AQ255" s="2013"/>
      <c r="AR255" s="2013"/>
      <c r="AS255" s="2013"/>
      <c r="AT255" s="2013"/>
      <c r="AU255" s="2013"/>
      <c r="AV255" s="2013"/>
      <c r="AW255" s="2013"/>
      <c r="AX255" s="2013"/>
      <c r="AY255" s="2013"/>
      <c r="AZ255" s="2013"/>
      <c r="BA255" s="1983">
        <f>IF(OR(BA247&gt;=$P$26+ $R$26+$S$26*12,BA247&lt;$P$26),0,$O$26*$Q$26/12)</f>
        <v>0</v>
      </c>
      <c r="BB255" s="1983">
        <f>IF(OR(BB247&gt;=$P$26+ $R$26+$S$26*12,BB247&lt;$P$26),0,($O$26-SUM($BA$257:BB257))*$Q$26/12)</f>
        <v>0</v>
      </c>
      <c r="BC255" s="1983">
        <f>IF(OR(BC247&gt;=$P$26+ $R$26+$S$26*12,BC247&lt;$P$26),0,($O$26-SUM($BA$257:BC257))*$Q$26/12)</f>
        <v>0</v>
      </c>
      <c r="BD255" s="1983">
        <f>IF(OR(BD247&gt;=$P$26+ $R$26+$S$26*12,BD247&lt;$P$26),0,($O$26-SUM($BA$257:BD257))*$Q$26/12)</f>
        <v>0</v>
      </c>
      <c r="BE255" s="1983">
        <f>IF(OR(BE247&gt;=$P$26+ $R$26+$S$26*12,BE247&lt;$P$26),0,($O$26-SUM($BA$257:BE257))*$Q$26/12)</f>
        <v>0</v>
      </c>
      <c r="BF255" s="1983">
        <f>IF(OR(BF247&gt;=$P$26+ $R$26+$S$26*12,BF247&lt;$P$26),0,($O$26-SUM($BA$257:BF257))*$Q$26/12)</f>
        <v>0</v>
      </c>
      <c r="BG255" s="1983">
        <f>IF(OR(BG247&gt;=$P$26+ $R$26+$S$26*12,BG247&lt;$P$26),0,($O$26-SUM($BA$257:BG257))*$Q$26/12)</f>
        <v>0</v>
      </c>
      <c r="BH255" s="1983">
        <f>IF(OR(BH247&gt;=$P$26+ $R$26+$S$26*12,BH247&lt;$P$26),0,($O$26-SUM($BA$257:BH257))*$Q$26/12)</f>
        <v>0</v>
      </c>
      <c r="BI255" s="1983">
        <f>IF(OR(BI247&gt;=$P$26+ $R$26+$S$26*12,BI247&lt;$P$26),0,($O$26-SUM($BA$257:BI257))*$Q$26/12)</f>
        <v>0</v>
      </c>
      <c r="BJ255" s="1983">
        <f>IF(OR(BJ247&gt;=$P$26+ $R$26+$S$26*12,BJ247&lt;$P$26),0,($O$26-SUM($BA$257:BJ257))*$Q$26/12)</f>
        <v>0</v>
      </c>
      <c r="BK255" s="1983">
        <f>IF(OR(BK247&gt;=$P$26+ $R$26+$S$26*12,BK247&lt;$P$26),0,($O$26-SUM($BA$257:BK257))*$Q$26/12)</f>
        <v>0</v>
      </c>
      <c r="BL255" s="1983">
        <f>IF(OR(BL247&gt;=$P$26+ $R$26+$S$26*12,BL247&lt;$P$26),0,($O$26-SUM($BA$257:BL257))*$Q$26/12)</f>
        <v>0</v>
      </c>
      <c r="BV255" s="1225"/>
      <c r="CV255" s="445"/>
      <c r="CW255" s="2011"/>
      <c r="CX255" s="445"/>
    </row>
    <row r="256" spans="1:102" s="446" customFormat="1" ht="14.25" hidden="1" customHeight="1">
      <c r="A256" s="160"/>
      <c r="B256" s="160"/>
      <c r="C256" s="2311"/>
      <c r="D256" s="160" t="s">
        <v>120</v>
      </c>
      <c r="E256" s="2012"/>
      <c r="F256" s="2012"/>
      <c r="G256" s="2012"/>
      <c r="H256" s="2012"/>
      <c r="I256" s="2012"/>
      <c r="J256" s="2012"/>
      <c r="K256" s="2012"/>
      <c r="L256" s="2012"/>
      <c r="M256" s="2012"/>
      <c r="N256" s="2012"/>
      <c r="O256" s="2012"/>
      <c r="P256" s="2012"/>
      <c r="Q256" s="2013"/>
      <c r="R256" s="2013"/>
      <c r="S256" s="2013"/>
      <c r="T256" s="2013"/>
      <c r="U256" s="2013"/>
      <c r="V256" s="2014"/>
      <c r="W256" s="2014"/>
      <c r="X256" s="2014"/>
      <c r="Y256" s="2014"/>
      <c r="Z256" s="2014"/>
      <c r="AA256" s="2013"/>
      <c r="AB256" s="2013"/>
      <c r="AC256" s="2013"/>
      <c r="AD256" s="2013"/>
      <c r="AE256" s="2013"/>
      <c r="AF256" s="2013"/>
      <c r="AG256" s="2013"/>
      <c r="AH256" s="2013"/>
      <c r="AI256" s="2013"/>
      <c r="AJ256" s="2013"/>
      <c r="AK256" s="2013"/>
      <c r="AL256" s="2013"/>
      <c r="AM256" s="2013"/>
      <c r="AN256" s="2013"/>
      <c r="AO256" s="2013"/>
      <c r="AP256" s="2013"/>
      <c r="AQ256" s="2013"/>
      <c r="AR256" s="2013"/>
      <c r="AS256" s="2013"/>
      <c r="AT256" s="2013"/>
      <c r="AU256" s="2013"/>
      <c r="AV256" s="2013"/>
      <c r="AW256" s="2013"/>
      <c r="AX256" s="2013"/>
      <c r="AY256" s="2013"/>
      <c r="AZ256" s="2013"/>
      <c r="BA256" s="1983">
        <f>IF($P$26+$R$26=BA247,IF($S$26=0,0,$O$26/($S$26*12)),0)</f>
        <v>0</v>
      </c>
      <c r="BB256" s="1983">
        <f t="shared" ref="BB256:BL256" si="142">IF($P$26+$R$26=BB247,IF($S$26=0,0,$O$26/($S$26*12)),0)</f>
        <v>0</v>
      </c>
      <c r="BC256" s="1983">
        <f t="shared" si="142"/>
        <v>0</v>
      </c>
      <c r="BD256" s="1983">
        <f t="shared" si="142"/>
        <v>0</v>
      </c>
      <c r="BE256" s="1983">
        <f t="shared" si="142"/>
        <v>0</v>
      </c>
      <c r="BF256" s="1983">
        <f t="shared" si="142"/>
        <v>0</v>
      </c>
      <c r="BG256" s="1983">
        <f t="shared" si="142"/>
        <v>0</v>
      </c>
      <c r="BH256" s="1983">
        <f t="shared" si="142"/>
        <v>0</v>
      </c>
      <c r="BI256" s="1983">
        <f t="shared" si="142"/>
        <v>0</v>
      </c>
      <c r="BJ256" s="1983">
        <f t="shared" si="142"/>
        <v>0</v>
      </c>
      <c r="BK256" s="1983">
        <f t="shared" si="142"/>
        <v>0</v>
      </c>
      <c r="BL256" s="1983">
        <f t="shared" si="142"/>
        <v>0</v>
      </c>
      <c r="BV256" s="1225"/>
      <c r="CV256" s="445"/>
      <c r="CW256" s="2011"/>
      <c r="CX256" s="445"/>
    </row>
    <row r="257" spans="1:102" s="446" customFormat="1" ht="14.25" hidden="1" customHeight="1">
      <c r="A257" s="160"/>
      <c r="B257" s="160"/>
      <c r="C257" s="2311"/>
      <c r="D257" s="160" t="s">
        <v>686</v>
      </c>
      <c r="E257" s="2012"/>
      <c r="F257" s="2012"/>
      <c r="G257" s="2012"/>
      <c r="H257" s="2012"/>
      <c r="I257" s="2012"/>
      <c r="J257" s="2012"/>
      <c r="K257" s="2012"/>
      <c r="L257" s="2012"/>
      <c r="M257" s="2012"/>
      <c r="N257" s="2012"/>
      <c r="O257" s="2012"/>
      <c r="P257" s="2012"/>
      <c r="Q257" s="2013"/>
      <c r="R257" s="2013"/>
      <c r="S257" s="2013"/>
      <c r="T257" s="2013"/>
      <c r="U257" s="2013"/>
      <c r="V257" s="2014"/>
      <c r="W257" s="2014"/>
      <c r="X257" s="2014"/>
      <c r="Y257" s="2014"/>
      <c r="Z257" s="2014"/>
      <c r="AA257" s="2013"/>
      <c r="AB257" s="2013"/>
      <c r="AC257" s="2013"/>
      <c r="AD257" s="2013"/>
      <c r="AE257" s="2013"/>
      <c r="AF257" s="2013"/>
      <c r="AG257" s="2013"/>
      <c r="AH257" s="2013"/>
      <c r="AI257" s="2013"/>
      <c r="AJ257" s="2013"/>
      <c r="AK257" s="2013"/>
      <c r="AL257" s="2013"/>
      <c r="AM257" s="2013"/>
      <c r="AN257" s="2013"/>
      <c r="AO257" s="2013"/>
      <c r="AP257" s="2013"/>
      <c r="AQ257" s="2013"/>
      <c r="AR257" s="2013"/>
      <c r="AS257" s="2013"/>
      <c r="AT257" s="2013"/>
      <c r="AU257" s="2013"/>
      <c r="AV257" s="2013"/>
      <c r="AW257" s="2013"/>
      <c r="AX257" s="2013"/>
      <c r="AY257" s="2013"/>
      <c r="AZ257" s="2013"/>
      <c r="BA257" s="1983">
        <f>IF(OR(BA247&gt;=$P$26+$R$26+$S$26*12,BA247&lt;$P$26+$R$26),0,IF($S$26=0,0,$O$26/($S$26*12)))</f>
        <v>0</v>
      </c>
      <c r="BB257" s="1983">
        <f t="shared" ref="BB257:BL257" si="143">IF(OR(BB247&gt;=$P$26+$R$26+$S$26*12,BB247&lt;$P$26+$R$26),0,IF($S$26=0,0,$O$26/($S$26*12)))</f>
        <v>0</v>
      </c>
      <c r="BC257" s="1983">
        <f t="shared" si="143"/>
        <v>0</v>
      </c>
      <c r="BD257" s="1983">
        <f t="shared" si="143"/>
        <v>0</v>
      </c>
      <c r="BE257" s="1983">
        <f t="shared" si="143"/>
        <v>0</v>
      </c>
      <c r="BF257" s="1983">
        <f t="shared" si="143"/>
        <v>0</v>
      </c>
      <c r="BG257" s="1983">
        <f t="shared" si="143"/>
        <v>0</v>
      </c>
      <c r="BH257" s="1983">
        <f t="shared" si="143"/>
        <v>0</v>
      </c>
      <c r="BI257" s="1983">
        <f t="shared" si="143"/>
        <v>0</v>
      </c>
      <c r="BJ257" s="1983">
        <f t="shared" si="143"/>
        <v>0</v>
      </c>
      <c r="BK257" s="1983">
        <f t="shared" si="143"/>
        <v>0</v>
      </c>
      <c r="BL257" s="1983">
        <f t="shared" si="143"/>
        <v>0</v>
      </c>
      <c r="BV257" s="1225"/>
      <c r="CV257" s="445"/>
      <c r="CW257" s="2011"/>
      <c r="CX257" s="445"/>
    </row>
    <row r="258" spans="1:102" s="446" customFormat="1" ht="14.25" hidden="1" customHeight="1">
      <c r="A258" s="160"/>
      <c r="B258" s="160"/>
      <c r="C258" s="2311" t="str">
        <f>C229</f>
        <v>L - Bank-Darlehen</v>
      </c>
      <c r="D258" s="160" t="s">
        <v>683</v>
      </c>
      <c r="E258" s="2012"/>
      <c r="F258" s="2012"/>
      <c r="G258" s="2012"/>
      <c r="H258" s="2012"/>
      <c r="I258" s="2012"/>
      <c r="J258" s="2012"/>
      <c r="K258" s="2012"/>
      <c r="L258" s="2012"/>
      <c r="M258" s="2012"/>
      <c r="N258" s="2012"/>
      <c r="O258" s="2012"/>
      <c r="P258" s="2012"/>
      <c r="Q258" s="2013"/>
      <c r="R258" s="2013"/>
      <c r="S258" s="2013"/>
      <c r="T258" s="2013"/>
      <c r="U258" s="2013"/>
      <c r="V258" s="2014"/>
      <c r="W258" s="2014"/>
      <c r="X258" s="2014"/>
      <c r="Y258" s="2014"/>
      <c r="Z258" s="2014"/>
      <c r="AA258" s="2013"/>
      <c r="AB258" s="2013"/>
      <c r="AC258" s="2013"/>
      <c r="AD258" s="2013"/>
      <c r="AE258" s="2013"/>
      <c r="AF258" s="2013"/>
      <c r="AG258" s="2013"/>
      <c r="AH258" s="2013"/>
      <c r="AI258" s="2013"/>
      <c r="AJ258" s="2013"/>
      <c r="AK258" s="2013"/>
      <c r="AL258" s="2013"/>
      <c r="AM258" s="2013"/>
      <c r="AN258" s="2013"/>
      <c r="AO258" s="2013"/>
      <c r="AP258" s="2013"/>
      <c r="AQ258" s="2013"/>
      <c r="AR258" s="2013"/>
      <c r="AS258" s="2013"/>
      <c r="AT258" s="2013"/>
      <c r="AU258" s="2013"/>
      <c r="AV258" s="2013"/>
      <c r="AW258" s="2013"/>
      <c r="AX258" s="2013"/>
      <c r="AY258" s="2013"/>
      <c r="AZ258" s="2013"/>
      <c r="BA258" s="1983">
        <f t="shared" ref="BA258:BL258" ca="1" si="144">IF($BA$246=$O$20,IF(BA247=$P$27,$O$27,0),0)</f>
        <v>0</v>
      </c>
      <c r="BB258" s="1983">
        <f t="shared" ca="1" si="144"/>
        <v>0</v>
      </c>
      <c r="BC258" s="1983">
        <f t="shared" ca="1" si="144"/>
        <v>0</v>
      </c>
      <c r="BD258" s="1983">
        <f t="shared" ca="1" si="144"/>
        <v>0</v>
      </c>
      <c r="BE258" s="1983">
        <f t="shared" ca="1" si="144"/>
        <v>0</v>
      </c>
      <c r="BF258" s="1983">
        <f t="shared" ca="1" si="144"/>
        <v>0</v>
      </c>
      <c r="BG258" s="1983">
        <f t="shared" ca="1" si="144"/>
        <v>0</v>
      </c>
      <c r="BH258" s="1983">
        <f t="shared" ca="1" si="144"/>
        <v>0</v>
      </c>
      <c r="BI258" s="1983">
        <f t="shared" ca="1" si="144"/>
        <v>0</v>
      </c>
      <c r="BJ258" s="1983">
        <f t="shared" ca="1" si="144"/>
        <v>0</v>
      </c>
      <c r="BK258" s="1983">
        <f t="shared" ca="1" si="144"/>
        <v>0</v>
      </c>
      <c r="BL258" s="1983">
        <f t="shared" ca="1" si="144"/>
        <v>0</v>
      </c>
      <c r="BV258" s="1225"/>
      <c r="CV258" s="445"/>
      <c r="CW258" s="2011"/>
      <c r="CX258" s="445"/>
    </row>
    <row r="259" spans="1:102" s="446" customFormat="1" ht="14.25" hidden="1" customHeight="1">
      <c r="A259" s="160"/>
      <c r="B259" s="160"/>
      <c r="C259" s="2311"/>
      <c r="D259" s="160" t="s">
        <v>684</v>
      </c>
      <c r="E259" s="1978"/>
      <c r="F259" s="1978"/>
      <c r="G259" s="1978"/>
      <c r="H259" s="1978"/>
      <c r="I259" s="1978"/>
      <c r="J259" s="1978"/>
      <c r="K259" s="1978"/>
      <c r="L259" s="1978"/>
      <c r="M259" s="1978"/>
      <c r="N259" s="1978"/>
      <c r="O259" s="1978"/>
      <c r="P259" s="1978"/>
      <c r="Q259" s="1967"/>
      <c r="R259" s="1967"/>
      <c r="S259" s="1967"/>
      <c r="T259" s="1967"/>
      <c r="U259" s="1967"/>
      <c r="V259" s="1975"/>
      <c r="W259" s="1975"/>
      <c r="X259" s="1975"/>
      <c r="Y259" s="1975"/>
      <c r="Z259" s="1975"/>
      <c r="AA259" s="1967"/>
      <c r="AB259" s="1967"/>
      <c r="AC259" s="1967"/>
      <c r="AD259" s="1967"/>
      <c r="AE259" s="1967"/>
      <c r="AF259" s="1967"/>
      <c r="AG259" s="1967"/>
      <c r="AH259" s="1967"/>
      <c r="AI259" s="1967"/>
      <c r="AJ259" s="1967"/>
      <c r="AK259" s="1967"/>
      <c r="AL259" s="1967"/>
      <c r="AM259" s="1967"/>
      <c r="AN259" s="1967"/>
      <c r="AO259" s="1967"/>
      <c r="AP259" s="1967"/>
      <c r="AQ259" s="1967"/>
      <c r="AR259" s="1967"/>
      <c r="AS259" s="1967"/>
      <c r="AT259" s="1967"/>
      <c r="AU259" s="1967"/>
      <c r="AV259" s="1967"/>
      <c r="AW259" s="1967"/>
      <c r="AX259" s="1967"/>
      <c r="AY259" s="1967"/>
      <c r="AZ259" s="1967"/>
      <c r="BA259" s="1983">
        <f>IF($P$27=BA247,($O$27*$Q$27)/12,0)</f>
        <v>0</v>
      </c>
      <c r="BB259" s="1983">
        <f t="shared" ref="BB259:BL259" si="145">IF($P$27=BB247,($O$27*$Q$27)/12,0)</f>
        <v>0</v>
      </c>
      <c r="BC259" s="1983">
        <f t="shared" si="145"/>
        <v>0</v>
      </c>
      <c r="BD259" s="1983">
        <f t="shared" si="145"/>
        <v>0</v>
      </c>
      <c r="BE259" s="1983">
        <f t="shared" si="145"/>
        <v>0</v>
      </c>
      <c r="BF259" s="1983">
        <f t="shared" si="145"/>
        <v>0</v>
      </c>
      <c r="BG259" s="1983">
        <f t="shared" si="145"/>
        <v>0</v>
      </c>
      <c r="BH259" s="1983">
        <f t="shared" si="145"/>
        <v>0</v>
      </c>
      <c r="BI259" s="1983">
        <f t="shared" si="145"/>
        <v>0</v>
      </c>
      <c r="BJ259" s="1983">
        <f t="shared" si="145"/>
        <v>0</v>
      </c>
      <c r="BK259" s="1983">
        <f t="shared" si="145"/>
        <v>0</v>
      </c>
      <c r="BL259" s="1983">
        <f t="shared" si="145"/>
        <v>0</v>
      </c>
      <c r="BV259" s="1225"/>
      <c r="CV259" s="445"/>
      <c r="CW259" s="2011"/>
      <c r="CX259" s="445"/>
    </row>
    <row r="260" spans="1:102" s="446" customFormat="1" ht="14.25" hidden="1" customHeight="1">
      <c r="A260" s="160"/>
      <c r="B260" s="160"/>
      <c r="C260" s="2311"/>
      <c r="D260" s="160" t="s">
        <v>685</v>
      </c>
      <c r="E260" s="1978"/>
      <c r="F260" s="1978"/>
      <c r="G260" s="1978"/>
      <c r="H260" s="1978"/>
      <c r="I260" s="1978"/>
      <c r="J260" s="1978"/>
      <c r="K260" s="1978"/>
      <c r="L260" s="1978"/>
      <c r="M260" s="1978"/>
      <c r="N260" s="1978"/>
      <c r="O260" s="1978"/>
      <c r="P260" s="1978"/>
      <c r="Q260" s="1967"/>
      <c r="R260" s="1967"/>
      <c r="S260" s="1967"/>
      <c r="T260" s="1967"/>
      <c r="U260" s="1967"/>
      <c r="V260" s="1975"/>
      <c r="W260" s="1975"/>
      <c r="X260" s="1975"/>
      <c r="Y260" s="1975"/>
      <c r="Z260" s="1975"/>
      <c r="AA260" s="1967"/>
      <c r="AB260" s="1967"/>
      <c r="AC260" s="1967"/>
      <c r="AD260" s="1967"/>
      <c r="AE260" s="1967"/>
      <c r="AF260" s="1967"/>
      <c r="AG260" s="1967"/>
      <c r="AH260" s="1967"/>
      <c r="AI260" s="1967"/>
      <c r="AJ260" s="1967"/>
      <c r="AK260" s="1967"/>
      <c r="AL260" s="1967"/>
      <c r="AM260" s="1967"/>
      <c r="AN260" s="1967"/>
      <c r="AO260" s="1967"/>
      <c r="AP260" s="1967"/>
      <c r="AQ260" s="1967"/>
      <c r="AR260" s="1967"/>
      <c r="AS260" s="1967"/>
      <c r="AT260" s="1967"/>
      <c r="AU260" s="1967"/>
      <c r="AV260" s="1967"/>
      <c r="AW260" s="1967"/>
      <c r="AX260" s="1967"/>
      <c r="AY260" s="1967"/>
      <c r="AZ260" s="1967"/>
      <c r="BA260" s="1983">
        <f>IF(OR(BA247&gt;=$P$27+$R$27+$S$27*12,BA247&lt;$F$267+$P$27),0,$O$27*$Q$27/12)</f>
        <v>0</v>
      </c>
      <c r="BB260" s="1983">
        <f>IF(OR(BB247&gt;=$P$27+$R$27+$S$27*12,BB247&lt;$F$267+$P$27),0,($O$27-SUM($BA$262:BB262))*$Q$27/12)</f>
        <v>0</v>
      </c>
      <c r="BC260" s="1983">
        <f>IF(OR(BC247&gt;=$P$27+$R$27+$S$27*12,BC247&lt;$F$267+$P$27),0,($O$27-SUM($BA$262:BC262))*$Q$27/12)</f>
        <v>0</v>
      </c>
      <c r="BD260" s="1983">
        <f>IF(OR(BD247&gt;=$P$27+$R$27+$S$27*12,BD247&lt;$F$267+$P$27),0,($O$27-SUM($BA$262:BD262))*$Q$27/12)</f>
        <v>0</v>
      </c>
      <c r="BE260" s="1983">
        <f>IF(OR(BE247&gt;=$P$27+$R$27+$S$27*12,BE247&lt;$F$267+$P$27),0,($O$27-SUM($BA$262:BE262))*$Q$27/12)</f>
        <v>0</v>
      </c>
      <c r="BF260" s="1983">
        <f>IF(OR(BF247&gt;=$P$27+$R$27+$S$27*12,BF247&lt;$F$267+$P$27),0,($O$27-SUM($BA$262:BF262))*$Q$27/12)</f>
        <v>0</v>
      </c>
      <c r="BG260" s="1983">
        <f>IF(OR(BG247&gt;=$P$27+$R$27+$S$27*12,BG247&lt;$F$267+$P$27),0,($O$27-SUM($BA$262:BG262))*$Q$27/12)</f>
        <v>0</v>
      </c>
      <c r="BH260" s="1983">
        <f>IF(OR(BH247&gt;=$P$27+$R$27+$S$27*12,BH247&lt;$F$267+$P$27),0,($O$27-SUM($BA$262:BH262))*$Q$27/12)</f>
        <v>0</v>
      </c>
      <c r="BI260" s="1983">
        <f>IF(OR(BI247&gt;=$P$27+$R$27+$S$27*12,BI247&lt;$F$267+$P$27),0,($O$27-SUM($BA$262:BI262))*$Q$27/12)</f>
        <v>0</v>
      </c>
      <c r="BJ260" s="1983">
        <f>IF(OR(BJ247&gt;=$P$27+$R$27+$S$27*12,BJ247&lt;$F$267+$P$27),0,($O$27-SUM($BA$262:BJ262))*$Q$27/12)</f>
        <v>0</v>
      </c>
      <c r="BK260" s="1983">
        <f>IF(OR(BK247&gt;=$P$27+$R$27+$S$27*12,BK247&lt;$F$267+$P$27),0,($O$27-SUM($BA$262:BK262))*$Q$27/12)</f>
        <v>0</v>
      </c>
      <c r="BL260" s="1983">
        <f>IF(OR(BL247&gt;=$P$27+$R$27+$S$27*12,BL247&lt;$F$267+$P$27),0,($O$27-SUM($BA$262:BL262))*$Q$27/12)</f>
        <v>0</v>
      </c>
      <c r="BV260" s="1225"/>
      <c r="CV260" s="445"/>
      <c r="CW260" s="2011"/>
      <c r="CX260" s="445"/>
    </row>
    <row r="261" spans="1:102" s="446" customFormat="1" ht="14.25" hidden="1" customHeight="1">
      <c r="A261" s="160"/>
      <c r="B261" s="160"/>
      <c r="C261" s="2311"/>
      <c r="D261" s="160" t="s">
        <v>120</v>
      </c>
      <c r="E261" s="1978"/>
      <c r="F261" s="1978"/>
      <c r="G261" s="1978"/>
      <c r="H261" s="1978"/>
      <c r="I261" s="1978"/>
      <c r="J261" s="1978"/>
      <c r="K261" s="1978"/>
      <c r="L261" s="1978"/>
      <c r="M261" s="1978"/>
      <c r="N261" s="1978"/>
      <c r="O261" s="1978"/>
      <c r="P261" s="1978"/>
      <c r="Q261" s="1967"/>
      <c r="R261" s="1967"/>
      <c r="S261" s="1967"/>
      <c r="T261" s="1967"/>
      <c r="U261" s="1967"/>
      <c r="V261" s="1975"/>
      <c r="W261" s="1975"/>
      <c r="X261" s="1975"/>
      <c r="Y261" s="1975"/>
      <c r="Z261" s="1975"/>
      <c r="AA261" s="1967"/>
      <c r="AB261" s="1967"/>
      <c r="AC261" s="1967"/>
      <c r="AD261" s="1967"/>
      <c r="AE261" s="1967"/>
      <c r="AF261" s="1967"/>
      <c r="AG261" s="1967"/>
      <c r="AH261" s="1967"/>
      <c r="AI261" s="1967"/>
      <c r="AJ261" s="1967"/>
      <c r="AK261" s="1967"/>
      <c r="AL261" s="1967"/>
      <c r="AM261" s="1967"/>
      <c r="AN261" s="1967"/>
      <c r="AO261" s="1967"/>
      <c r="AP261" s="1967"/>
      <c r="AQ261" s="1967"/>
      <c r="AR261" s="1967"/>
      <c r="AS261" s="1967"/>
      <c r="AT261" s="1967"/>
      <c r="AU261" s="1967"/>
      <c r="AV261" s="1967"/>
      <c r="AW261" s="1967"/>
      <c r="AX261" s="1967"/>
      <c r="AY261" s="1967"/>
      <c r="AZ261" s="1967"/>
      <c r="BA261" s="1983">
        <f>IF($P$27+$R$27=BA247,IF($S$27=0,0,$O$27/($S$27*12)),0)</f>
        <v>0</v>
      </c>
      <c r="BB261" s="1983">
        <f t="shared" ref="BB261:BL261" si="146">IF($P$27+$R$27=BB247,IF($S$27=0,0,$O$27/($S$27*12)),0)</f>
        <v>0</v>
      </c>
      <c r="BC261" s="1983">
        <f t="shared" si="146"/>
        <v>0</v>
      </c>
      <c r="BD261" s="1983">
        <f t="shared" si="146"/>
        <v>0</v>
      </c>
      <c r="BE261" s="1983">
        <f t="shared" si="146"/>
        <v>0</v>
      </c>
      <c r="BF261" s="1983">
        <f t="shared" si="146"/>
        <v>0</v>
      </c>
      <c r="BG261" s="1983">
        <f t="shared" si="146"/>
        <v>0</v>
      </c>
      <c r="BH261" s="1983">
        <f t="shared" si="146"/>
        <v>0</v>
      </c>
      <c r="BI261" s="1983">
        <f t="shared" si="146"/>
        <v>0</v>
      </c>
      <c r="BJ261" s="1983">
        <f t="shared" si="146"/>
        <v>0</v>
      </c>
      <c r="BK261" s="1983">
        <f t="shared" si="146"/>
        <v>0</v>
      </c>
      <c r="BL261" s="1983">
        <f t="shared" si="146"/>
        <v>0</v>
      </c>
      <c r="BV261" s="1225"/>
      <c r="CV261" s="445"/>
      <c r="CW261" s="2011"/>
      <c r="CX261" s="445"/>
    </row>
    <row r="262" spans="1:102" s="446" customFormat="1" ht="14.25" hidden="1" customHeight="1">
      <c r="A262" s="160"/>
      <c r="B262" s="160"/>
      <c r="C262" s="2311"/>
      <c r="D262" s="160" t="s">
        <v>686</v>
      </c>
      <c r="E262" s="1978"/>
      <c r="F262" s="1978"/>
      <c r="G262" s="1978"/>
      <c r="H262" s="1978"/>
      <c r="I262" s="1978"/>
      <c r="J262" s="1978"/>
      <c r="K262" s="1978"/>
      <c r="L262" s="1978"/>
      <c r="M262" s="1978"/>
      <c r="N262" s="1978"/>
      <c r="O262" s="1978"/>
      <c r="P262" s="1978"/>
      <c r="Q262" s="1967"/>
      <c r="R262" s="1967"/>
      <c r="S262" s="1967"/>
      <c r="T262" s="1967"/>
      <c r="U262" s="1967"/>
      <c r="V262" s="1975"/>
      <c r="W262" s="1975"/>
      <c r="X262" s="1975"/>
      <c r="Y262" s="1975"/>
      <c r="Z262" s="1975"/>
      <c r="AA262" s="1967"/>
      <c r="AB262" s="1967"/>
      <c r="AC262" s="1967"/>
      <c r="AD262" s="1967"/>
      <c r="AE262" s="1967"/>
      <c r="AF262" s="1967"/>
      <c r="AG262" s="1967"/>
      <c r="AH262" s="1967"/>
      <c r="AI262" s="1967"/>
      <c r="AJ262" s="1967"/>
      <c r="AK262" s="1967"/>
      <c r="AL262" s="1967"/>
      <c r="AM262" s="1967"/>
      <c r="AN262" s="1967"/>
      <c r="AO262" s="1967"/>
      <c r="AP262" s="1967"/>
      <c r="AQ262" s="1967"/>
      <c r="AR262" s="1967"/>
      <c r="AS262" s="1967"/>
      <c r="AT262" s="1967"/>
      <c r="AU262" s="1967"/>
      <c r="AV262" s="1967"/>
      <c r="AW262" s="1967"/>
      <c r="AX262" s="1967"/>
      <c r="AY262" s="1967"/>
      <c r="AZ262" s="1967"/>
      <c r="BA262" s="1983">
        <f>IF(OR(BA247&gt;=$P$27+$R$27+$S$27*12,BA247&lt;$P$27+$R$27),0,IF($S$27=0,0,$O$27/($S$27*12)))</f>
        <v>0</v>
      </c>
      <c r="BB262" s="1983">
        <f t="shared" ref="BB262:BL262" si="147">IF(OR(BB247&gt;=$P$27+$R$27+$S$27*12,BB247&lt;$P$27+$R$27),0,IF($S$27=0,0,$O$27/($S$27*12)))</f>
        <v>0</v>
      </c>
      <c r="BC262" s="1983">
        <f t="shared" si="147"/>
        <v>0</v>
      </c>
      <c r="BD262" s="1983">
        <f t="shared" si="147"/>
        <v>0</v>
      </c>
      <c r="BE262" s="1983">
        <f t="shared" si="147"/>
        <v>0</v>
      </c>
      <c r="BF262" s="1983">
        <f t="shared" si="147"/>
        <v>0</v>
      </c>
      <c r="BG262" s="1983">
        <f t="shared" si="147"/>
        <v>0</v>
      </c>
      <c r="BH262" s="1983">
        <f t="shared" si="147"/>
        <v>0</v>
      </c>
      <c r="BI262" s="1983">
        <f t="shared" si="147"/>
        <v>0</v>
      </c>
      <c r="BJ262" s="1983">
        <f t="shared" si="147"/>
        <v>0</v>
      </c>
      <c r="BK262" s="1983">
        <f t="shared" si="147"/>
        <v>0</v>
      </c>
      <c r="BL262" s="1983">
        <f t="shared" si="147"/>
        <v>0</v>
      </c>
      <c r="BV262" s="1225"/>
      <c r="CV262" s="445"/>
      <c r="CW262" s="2011"/>
      <c r="CX262" s="445"/>
    </row>
    <row r="263" spans="1:102" s="446" customFormat="1" ht="14.25" hidden="1" customHeight="1">
      <c r="A263" s="160"/>
      <c r="B263" s="160"/>
      <c r="C263" s="2312" t="str">
        <f>C234</f>
        <v>Wahl Kreditart</v>
      </c>
      <c r="D263" s="160" t="s">
        <v>683</v>
      </c>
      <c r="E263" s="1978"/>
      <c r="F263" s="1978"/>
      <c r="G263" s="1978"/>
      <c r="H263" s="1978"/>
      <c r="I263" s="1978"/>
      <c r="J263" s="1978"/>
      <c r="K263" s="1978"/>
      <c r="L263" s="1978"/>
      <c r="M263" s="1978"/>
      <c r="N263" s="1978"/>
      <c r="O263" s="1978"/>
      <c r="P263" s="1978"/>
      <c r="Q263" s="1967"/>
      <c r="R263" s="1967"/>
      <c r="S263" s="1967"/>
      <c r="T263" s="1967"/>
      <c r="U263" s="1967"/>
      <c r="V263" s="1975"/>
      <c r="W263" s="1975"/>
      <c r="X263" s="1975"/>
      <c r="Y263" s="1975"/>
      <c r="Z263" s="1975"/>
      <c r="AA263" s="1967"/>
      <c r="AB263" s="1967"/>
      <c r="AC263" s="1967"/>
      <c r="AD263" s="1967"/>
      <c r="AE263" s="1967"/>
      <c r="AF263" s="1967"/>
      <c r="AG263" s="1967"/>
      <c r="AH263" s="1967"/>
      <c r="AI263" s="1967"/>
      <c r="AJ263" s="1967"/>
      <c r="AK263" s="1967"/>
      <c r="AL263" s="1967"/>
      <c r="AM263" s="1967"/>
      <c r="AN263" s="1967"/>
      <c r="AO263" s="1967"/>
      <c r="AP263" s="1967"/>
      <c r="AQ263" s="1967"/>
      <c r="AR263" s="1967"/>
      <c r="AS263" s="1967"/>
      <c r="AT263" s="1967"/>
      <c r="AU263" s="1967"/>
      <c r="AV263" s="1967"/>
      <c r="AW263" s="1967"/>
      <c r="AX263" s="1967"/>
      <c r="AY263" s="1967"/>
      <c r="AZ263" s="1967"/>
      <c r="BA263" s="1983">
        <f t="shared" ref="BA263:BL263" ca="1" si="148">IF($BA$246=$O$20,IF(BA247=$P$28,$O$28,0),0)</f>
        <v>0</v>
      </c>
      <c r="BB263" s="1983">
        <f t="shared" ca="1" si="148"/>
        <v>0</v>
      </c>
      <c r="BC263" s="1983">
        <f t="shared" ca="1" si="148"/>
        <v>0</v>
      </c>
      <c r="BD263" s="1983">
        <f t="shared" ca="1" si="148"/>
        <v>0</v>
      </c>
      <c r="BE263" s="1983">
        <f t="shared" ca="1" si="148"/>
        <v>0</v>
      </c>
      <c r="BF263" s="1983">
        <f t="shared" ca="1" si="148"/>
        <v>0</v>
      </c>
      <c r="BG263" s="1983">
        <f t="shared" ca="1" si="148"/>
        <v>0</v>
      </c>
      <c r="BH263" s="1983">
        <f t="shared" ca="1" si="148"/>
        <v>0</v>
      </c>
      <c r="BI263" s="1983">
        <f t="shared" ca="1" si="148"/>
        <v>0</v>
      </c>
      <c r="BJ263" s="1983">
        <f t="shared" ca="1" si="148"/>
        <v>0</v>
      </c>
      <c r="BK263" s="1983">
        <f t="shared" ca="1" si="148"/>
        <v>0</v>
      </c>
      <c r="BL263" s="1983">
        <f t="shared" ca="1" si="148"/>
        <v>0</v>
      </c>
      <c r="BV263" s="1225"/>
      <c r="CV263" s="445"/>
      <c r="CW263" s="2011"/>
      <c r="CX263" s="445"/>
    </row>
    <row r="264" spans="1:102" s="446" customFormat="1" ht="14.25" hidden="1" customHeight="1">
      <c r="A264" s="160"/>
      <c r="B264" s="160"/>
      <c r="C264" s="2312"/>
      <c r="D264" s="160" t="s">
        <v>684</v>
      </c>
      <c r="E264" s="1978"/>
      <c r="F264" s="1978"/>
      <c r="G264" s="1978"/>
      <c r="H264" s="1978"/>
      <c r="I264" s="1978"/>
      <c r="J264" s="1978"/>
      <c r="K264" s="1978"/>
      <c r="L264" s="1978"/>
      <c r="M264" s="1978"/>
      <c r="N264" s="1978"/>
      <c r="O264" s="1978"/>
      <c r="P264" s="1978"/>
      <c r="Q264" s="1967"/>
      <c r="R264" s="1967"/>
      <c r="S264" s="1967"/>
      <c r="T264" s="1967"/>
      <c r="U264" s="1967"/>
      <c r="V264" s="1975"/>
      <c r="W264" s="1975"/>
      <c r="X264" s="1975"/>
      <c r="Y264" s="1975"/>
      <c r="Z264" s="1975"/>
      <c r="AA264" s="1967"/>
      <c r="AB264" s="1967"/>
      <c r="AC264" s="1967"/>
      <c r="AD264" s="1967"/>
      <c r="AE264" s="1967"/>
      <c r="AF264" s="1967"/>
      <c r="AG264" s="1967"/>
      <c r="AH264" s="1967"/>
      <c r="AI264" s="1967"/>
      <c r="AJ264" s="1967"/>
      <c r="AK264" s="1967"/>
      <c r="AL264" s="1967"/>
      <c r="AM264" s="1967"/>
      <c r="AN264" s="1967"/>
      <c r="AO264" s="1967"/>
      <c r="AP264" s="1967"/>
      <c r="AQ264" s="1967"/>
      <c r="AR264" s="1967"/>
      <c r="AS264" s="1967"/>
      <c r="AT264" s="1967"/>
      <c r="AU264" s="1967"/>
      <c r="AV264" s="1967"/>
      <c r="AW264" s="1967"/>
      <c r="AX264" s="1967"/>
      <c r="AY264" s="1967"/>
      <c r="AZ264" s="1967"/>
      <c r="BA264" s="1983">
        <f>IF($P$28=BA247,($O$28*$Q$28)/12,0)</f>
        <v>0</v>
      </c>
      <c r="BB264" s="1983">
        <f t="shared" ref="BB264:BL264" si="149">IF($P$28=BB247,($O$28*$Q$28)/12,0)</f>
        <v>0</v>
      </c>
      <c r="BC264" s="1983">
        <f t="shared" si="149"/>
        <v>0</v>
      </c>
      <c r="BD264" s="1983">
        <f t="shared" si="149"/>
        <v>0</v>
      </c>
      <c r="BE264" s="1983">
        <f t="shared" si="149"/>
        <v>0</v>
      </c>
      <c r="BF264" s="1983">
        <f t="shared" si="149"/>
        <v>0</v>
      </c>
      <c r="BG264" s="1983">
        <f t="shared" si="149"/>
        <v>0</v>
      </c>
      <c r="BH264" s="1983">
        <f t="shared" si="149"/>
        <v>0</v>
      </c>
      <c r="BI264" s="1983">
        <f t="shared" si="149"/>
        <v>0</v>
      </c>
      <c r="BJ264" s="1983">
        <f t="shared" si="149"/>
        <v>0</v>
      </c>
      <c r="BK264" s="1983">
        <f t="shared" si="149"/>
        <v>0</v>
      </c>
      <c r="BL264" s="1983">
        <f t="shared" si="149"/>
        <v>0</v>
      </c>
      <c r="BV264" s="1225"/>
      <c r="CV264" s="445"/>
      <c r="CW264" s="2011"/>
      <c r="CX264" s="445"/>
    </row>
    <row r="265" spans="1:102" s="446" customFormat="1" ht="14.25" hidden="1" customHeight="1">
      <c r="A265" s="160"/>
      <c r="B265" s="160"/>
      <c r="C265" s="2312"/>
      <c r="D265" s="160" t="s">
        <v>685</v>
      </c>
      <c r="E265" s="1978"/>
      <c r="F265" s="1978"/>
      <c r="G265" s="1978"/>
      <c r="H265" s="1978"/>
      <c r="I265" s="1978"/>
      <c r="J265" s="1978"/>
      <c r="K265" s="1978"/>
      <c r="L265" s="1978"/>
      <c r="M265" s="1978"/>
      <c r="N265" s="1978"/>
      <c r="O265" s="1978"/>
      <c r="P265" s="1978"/>
      <c r="Q265" s="1967"/>
      <c r="R265" s="1967"/>
      <c r="S265" s="1967"/>
      <c r="T265" s="1967"/>
      <c r="U265" s="1967"/>
      <c r="V265" s="1975"/>
      <c r="W265" s="1975"/>
      <c r="X265" s="1975"/>
      <c r="Y265" s="1975"/>
      <c r="Z265" s="1975"/>
      <c r="AA265" s="1967"/>
      <c r="AB265" s="1967"/>
      <c r="AC265" s="1967"/>
      <c r="AD265" s="1967"/>
      <c r="AE265" s="1967"/>
      <c r="AF265" s="1967"/>
      <c r="AG265" s="1967"/>
      <c r="AH265" s="1967"/>
      <c r="AI265" s="1967"/>
      <c r="AJ265" s="1967"/>
      <c r="AK265" s="1967"/>
      <c r="AL265" s="1967"/>
      <c r="AM265" s="1967"/>
      <c r="AN265" s="1967"/>
      <c r="AO265" s="1967"/>
      <c r="AP265" s="1967"/>
      <c r="AQ265" s="1967"/>
      <c r="AR265" s="1967"/>
      <c r="AS265" s="1967"/>
      <c r="AT265" s="1967"/>
      <c r="AU265" s="1967"/>
      <c r="AV265" s="1967"/>
      <c r="AW265" s="1967"/>
      <c r="AX265" s="1967"/>
      <c r="AY265" s="1967"/>
      <c r="AZ265" s="1967"/>
      <c r="BA265" s="1983">
        <f>IF(OR(BA247&gt;=$P$28+$R$28+$S$28*12,BA247&lt;$P$28),0,$O$28*$Q$28/12)</f>
        <v>0</v>
      </c>
      <c r="BB265" s="1983">
        <f>IF(OR(BB247&gt;=$P$28+$R$28+$S$28*12,BB247&lt;$P$28),0,($O$28-SUM($BA$267:BB267))*$Q$28/12)</f>
        <v>0</v>
      </c>
      <c r="BC265" s="1983">
        <f>IF(OR(BC247&gt;=$P$28+$R$28+$S$28*12,BC247&lt;$P$28),0,($O$28-SUM($BA$267:BC267))*$Q$28/12)</f>
        <v>0</v>
      </c>
      <c r="BD265" s="1983">
        <f>IF(OR(BD247&gt;=$P$28+$R$28+$S$28*12,BD247&lt;$P$28),0,($O$28-SUM($BA$267:BD267))*$Q$28/12)</f>
        <v>0</v>
      </c>
      <c r="BE265" s="1983">
        <f>IF(OR(BE247&gt;=$P$28+$R$28+$S$28*12,BE247&lt;$P$28),0,($O$28-SUM($BA$267:BE267))*$Q$28/12)</f>
        <v>0</v>
      </c>
      <c r="BF265" s="1983">
        <f>IF(OR(BF247&gt;=$P$28+$R$28+$S$28*12,BF247&lt;$P$28),0,($O$28-SUM($BA$267:BF267))*$Q$28/12)</f>
        <v>0</v>
      </c>
      <c r="BG265" s="1983">
        <f>IF(OR(BG247&gt;=$P$28+$R$28+$S$28*12,BG247&lt;$P$28),0,($O$28-SUM($BA$267:BG267))*$Q$28/12)</f>
        <v>0</v>
      </c>
      <c r="BH265" s="1983">
        <f>IF(OR(BH247&gt;=$P$28+$R$28+$S$28*12,BH247&lt;$P$28),0,($O$28-SUM($BA$267:BH267))*$Q$28/12)</f>
        <v>0</v>
      </c>
      <c r="BI265" s="1983">
        <f>IF(OR(BI247&gt;=$P$28+$R$28+$S$28*12,BI247&lt;$P$28),0,($O$28-SUM($BA$267:BI267))*$Q$28/12)</f>
        <v>0</v>
      </c>
      <c r="BJ265" s="1983">
        <f>IF(OR(BJ247&gt;=$P$28+$R$28+$S$28*12,BJ247&lt;$P$28),0,($O$28-SUM($BA$267:BJ267))*$Q$28/12)</f>
        <v>0</v>
      </c>
      <c r="BK265" s="1983">
        <f>IF(OR(BK247&gt;=$P$28+$R$28+$S$28*12,BK247&lt;$P$28),0,($O$28-SUM($BA$267:BK267))*$Q$28/12)</f>
        <v>0</v>
      </c>
      <c r="BL265" s="1983">
        <f>IF(OR(BL247&gt;=$P$28+$R$28+$S$28*12,BL247&lt;$P$28),0,($O$28-SUM($BA$267:BL267))*$Q$28/12)</f>
        <v>0</v>
      </c>
      <c r="BV265" s="1225"/>
      <c r="CV265" s="445"/>
      <c r="CW265" s="2011"/>
      <c r="CX265" s="445"/>
    </row>
    <row r="266" spans="1:102" s="446" customFormat="1" ht="14.25" hidden="1" customHeight="1">
      <c r="A266" s="160"/>
      <c r="B266" s="160"/>
      <c r="C266" s="2312"/>
      <c r="D266" s="160" t="s">
        <v>120</v>
      </c>
      <c r="E266" s="1978"/>
      <c r="F266" s="1978"/>
      <c r="G266" s="1978"/>
      <c r="H266" s="1978"/>
      <c r="I266" s="1978"/>
      <c r="J266" s="1978"/>
      <c r="K266" s="1978"/>
      <c r="L266" s="1978"/>
      <c r="M266" s="1978"/>
      <c r="N266" s="1978"/>
      <c r="O266" s="1978"/>
      <c r="P266" s="1978"/>
      <c r="Q266" s="1967"/>
      <c r="R266" s="1967"/>
      <c r="S266" s="1967"/>
      <c r="T266" s="1967"/>
      <c r="U266" s="1967"/>
      <c r="V266" s="1975"/>
      <c r="W266" s="1975"/>
      <c r="X266" s="1975"/>
      <c r="Y266" s="1975"/>
      <c r="Z266" s="1975"/>
      <c r="AA266" s="1967"/>
      <c r="AB266" s="1967"/>
      <c r="AC266" s="1967"/>
      <c r="AD266" s="1967"/>
      <c r="AE266" s="1967"/>
      <c r="AF266" s="1967"/>
      <c r="AG266" s="1967"/>
      <c r="AH266" s="1967"/>
      <c r="AI266" s="1967"/>
      <c r="AJ266" s="1967"/>
      <c r="AK266" s="1967"/>
      <c r="AL266" s="1967"/>
      <c r="AM266" s="1967"/>
      <c r="AN266" s="1967"/>
      <c r="AO266" s="1967"/>
      <c r="AP266" s="1967"/>
      <c r="AQ266" s="1967"/>
      <c r="AR266" s="1967"/>
      <c r="AS266" s="1967"/>
      <c r="AT266" s="1967"/>
      <c r="AU266" s="1967"/>
      <c r="AV266" s="1967"/>
      <c r="AW266" s="1967"/>
      <c r="AX266" s="1967"/>
      <c r="AY266" s="1967"/>
      <c r="AZ266" s="1967"/>
      <c r="BA266" s="1983">
        <f>IF($P$28+$R$28=BA247,IF($P$28=0,0,$O$28/($S$28*12)),0)</f>
        <v>0</v>
      </c>
      <c r="BB266" s="1983">
        <f t="shared" ref="BB266:BL266" si="150">IF($P$28+$R$28=BB247,IF($P$28=0,0,$O$28/($S$28*12)),0)</f>
        <v>0</v>
      </c>
      <c r="BC266" s="1983">
        <f t="shared" si="150"/>
        <v>0</v>
      </c>
      <c r="BD266" s="1983">
        <f t="shared" si="150"/>
        <v>0</v>
      </c>
      <c r="BE266" s="1983">
        <f t="shared" si="150"/>
        <v>0</v>
      </c>
      <c r="BF266" s="1983">
        <f t="shared" si="150"/>
        <v>0</v>
      </c>
      <c r="BG266" s="1983">
        <f t="shared" si="150"/>
        <v>0</v>
      </c>
      <c r="BH266" s="1983">
        <f t="shared" si="150"/>
        <v>0</v>
      </c>
      <c r="BI266" s="1983">
        <f t="shared" si="150"/>
        <v>0</v>
      </c>
      <c r="BJ266" s="1983">
        <f t="shared" si="150"/>
        <v>0</v>
      </c>
      <c r="BK266" s="1983">
        <f t="shared" si="150"/>
        <v>0</v>
      </c>
      <c r="BL266" s="1983">
        <f t="shared" si="150"/>
        <v>0</v>
      </c>
      <c r="BV266" s="1225"/>
      <c r="CV266" s="445"/>
      <c r="CW266" s="2011"/>
      <c r="CX266" s="445"/>
    </row>
    <row r="267" spans="1:102" s="446" customFormat="1" ht="14.25" hidden="1" customHeight="1">
      <c r="A267" s="160"/>
      <c r="B267" s="160"/>
      <c r="C267" s="2312"/>
      <c r="D267" s="160" t="s">
        <v>686</v>
      </c>
      <c r="E267" s="1978"/>
      <c r="F267" s="1978"/>
      <c r="G267" s="1978"/>
      <c r="H267" s="1978"/>
      <c r="I267" s="1978"/>
      <c r="J267" s="1978"/>
      <c r="K267" s="1978"/>
      <c r="L267" s="1978"/>
      <c r="M267" s="1978"/>
      <c r="N267" s="1978"/>
      <c r="O267" s="1978"/>
      <c r="P267" s="1978"/>
      <c r="Q267" s="1967"/>
      <c r="R267" s="1967"/>
      <c r="S267" s="1967"/>
      <c r="T267" s="1967"/>
      <c r="U267" s="1967"/>
      <c r="V267" s="1975"/>
      <c r="W267" s="1975"/>
      <c r="X267" s="1975"/>
      <c r="Y267" s="1975"/>
      <c r="Z267" s="1975"/>
      <c r="AA267" s="1967"/>
      <c r="AB267" s="1967"/>
      <c r="AC267" s="1967"/>
      <c r="AD267" s="1967"/>
      <c r="AE267" s="1967"/>
      <c r="AF267" s="1967"/>
      <c r="AG267" s="1967"/>
      <c r="AH267" s="1967"/>
      <c r="AI267" s="1967"/>
      <c r="AJ267" s="1967"/>
      <c r="AK267" s="1967"/>
      <c r="AL267" s="1967"/>
      <c r="AM267" s="1967"/>
      <c r="AN267" s="1967"/>
      <c r="AO267" s="1967"/>
      <c r="AP267" s="1967"/>
      <c r="AQ267" s="1967"/>
      <c r="AR267" s="1967"/>
      <c r="AS267" s="1967"/>
      <c r="AT267" s="1967"/>
      <c r="AU267" s="1967"/>
      <c r="AV267" s="1967"/>
      <c r="AW267" s="1967"/>
      <c r="AX267" s="1967"/>
      <c r="AY267" s="1967"/>
      <c r="AZ267" s="1967"/>
      <c r="BA267" s="1983">
        <f>IF(OR(BA247&gt;=$P$28+$R$28+$S$28*12,BA247&lt;$P$28+$R$28),0,IF($S$28=0,0,$O$28/($S$28*12)))</f>
        <v>0</v>
      </c>
      <c r="BB267" s="1983">
        <f t="shared" ref="BB267:BL267" si="151">IF(OR(BB247&gt;=$P$28+$R$28+$S$28*12,BB247&lt;$P$28+$R$28),0,IF($S$28=0,0,$O$28/($S$28*12)))</f>
        <v>0</v>
      </c>
      <c r="BC267" s="1983">
        <f t="shared" si="151"/>
        <v>0</v>
      </c>
      <c r="BD267" s="1983">
        <f t="shared" si="151"/>
        <v>0</v>
      </c>
      <c r="BE267" s="1983">
        <f t="shared" si="151"/>
        <v>0</v>
      </c>
      <c r="BF267" s="1983">
        <f t="shared" si="151"/>
        <v>0</v>
      </c>
      <c r="BG267" s="1983">
        <f t="shared" si="151"/>
        <v>0</v>
      </c>
      <c r="BH267" s="1983">
        <f t="shared" si="151"/>
        <v>0</v>
      </c>
      <c r="BI267" s="1983">
        <f t="shared" si="151"/>
        <v>0</v>
      </c>
      <c r="BJ267" s="1983">
        <f t="shared" si="151"/>
        <v>0</v>
      </c>
      <c r="BK267" s="1983">
        <f t="shared" si="151"/>
        <v>0</v>
      </c>
      <c r="BL267" s="1983">
        <f t="shared" si="151"/>
        <v>0</v>
      </c>
      <c r="BV267" s="1225"/>
      <c r="CV267" s="445"/>
      <c r="CW267" s="2011"/>
      <c r="CX267" s="445"/>
    </row>
    <row r="268" spans="1:102" s="446" customFormat="1" ht="14.25" hidden="1" customHeight="1">
      <c r="A268" s="160"/>
      <c r="B268" s="160"/>
      <c r="C268" s="2311" t="str">
        <f>C239</f>
        <v>für Nachhaltigkeit</v>
      </c>
      <c r="D268" s="160" t="s">
        <v>683</v>
      </c>
      <c r="E268" s="1978"/>
      <c r="F268" s="1978"/>
      <c r="G268" s="1978"/>
      <c r="H268" s="1978"/>
      <c r="I268" s="1978"/>
      <c r="J268" s="1978"/>
      <c r="K268" s="1978"/>
      <c r="L268" s="1978"/>
      <c r="M268" s="1978"/>
      <c r="N268" s="1978"/>
      <c r="O268" s="1978"/>
      <c r="P268" s="1978"/>
      <c r="Q268" s="1967"/>
      <c r="R268" s="1967"/>
      <c r="S268" s="1967"/>
      <c r="T268" s="1967"/>
      <c r="U268" s="1967"/>
      <c r="V268" s="1975"/>
      <c r="W268" s="1975"/>
      <c r="X268" s="1975"/>
      <c r="Y268" s="1975"/>
      <c r="Z268" s="1975"/>
      <c r="AA268" s="1967"/>
      <c r="AB268" s="1967"/>
      <c r="AC268" s="1967"/>
      <c r="AD268" s="1967"/>
      <c r="AE268" s="1967"/>
      <c r="AF268" s="1967"/>
      <c r="AG268" s="1967"/>
      <c r="AH268" s="1967"/>
      <c r="AI268" s="1967"/>
      <c r="AJ268" s="1967"/>
      <c r="AK268" s="1967"/>
      <c r="AL268" s="1967"/>
      <c r="AM268" s="1967"/>
      <c r="AN268" s="1967"/>
      <c r="AO268" s="1967"/>
      <c r="AP268" s="1967"/>
      <c r="AQ268" s="1967"/>
      <c r="AR268" s="1967"/>
      <c r="AS268" s="1967"/>
      <c r="AT268" s="1967"/>
      <c r="AU268" s="1967"/>
      <c r="AV268" s="1967"/>
      <c r="AW268" s="1967"/>
      <c r="AX268" s="1967"/>
      <c r="AY268" s="1967"/>
      <c r="AZ268" s="1967"/>
      <c r="BA268" s="1983">
        <f t="shared" ref="BA268:BL268" ca="1" si="152">IF($BA$246=$O$20,IF(BA247=$P$29,$O$29,0),0)</f>
        <v>0</v>
      </c>
      <c r="BB268" s="1983">
        <f t="shared" ca="1" si="152"/>
        <v>0</v>
      </c>
      <c r="BC268" s="1983">
        <f t="shared" ca="1" si="152"/>
        <v>0</v>
      </c>
      <c r="BD268" s="1983">
        <f t="shared" ca="1" si="152"/>
        <v>0</v>
      </c>
      <c r="BE268" s="1983">
        <f t="shared" ca="1" si="152"/>
        <v>0</v>
      </c>
      <c r="BF268" s="1983">
        <f t="shared" ca="1" si="152"/>
        <v>0</v>
      </c>
      <c r="BG268" s="1983">
        <f t="shared" ca="1" si="152"/>
        <v>0</v>
      </c>
      <c r="BH268" s="1983">
        <f t="shared" ca="1" si="152"/>
        <v>0</v>
      </c>
      <c r="BI268" s="1983">
        <f t="shared" ca="1" si="152"/>
        <v>0</v>
      </c>
      <c r="BJ268" s="1983">
        <f t="shared" ca="1" si="152"/>
        <v>0</v>
      </c>
      <c r="BK268" s="1983">
        <f t="shared" ca="1" si="152"/>
        <v>0</v>
      </c>
      <c r="BL268" s="1983">
        <f t="shared" ca="1" si="152"/>
        <v>0</v>
      </c>
      <c r="BV268" s="1225"/>
      <c r="CV268" s="445"/>
      <c r="CW268" s="2011"/>
      <c r="CX268" s="445"/>
    </row>
    <row r="269" spans="1:102" s="446" customFormat="1" ht="14.25" hidden="1" customHeight="1">
      <c r="A269" s="160"/>
      <c r="B269" s="160"/>
      <c r="C269" s="2311"/>
      <c r="D269" s="160" t="s">
        <v>684</v>
      </c>
      <c r="E269" s="1978"/>
      <c r="F269" s="1978"/>
      <c r="G269" s="1978"/>
      <c r="H269" s="1978"/>
      <c r="I269" s="1978"/>
      <c r="J269" s="1978"/>
      <c r="K269" s="1978"/>
      <c r="L269" s="1978"/>
      <c r="M269" s="1978"/>
      <c r="N269" s="1978"/>
      <c r="O269" s="1978"/>
      <c r="P269" s="1978"/>
      <c r="Q269" s="1967"/>
      <c r="R269" s="1967"/>
      <c r="S269" s="1967"/>
      <c r="T269" s="1967"/>
      <c r="U269" s="1967"/>
      <c r="V269" s="1975"/>
      <c r="W269" s="1975"/>
      <c r="X269" s="1975"/>
      <c r="Y269" s="1975"/>
      <c r="Z269" s="1975"/>
      <c r="AA269" s="1967"/>
      <c r="AB269" s="1967"/>
      <c r="AC269" s="1967"/>
      <c r="AD269" s="1967"/>
      <c r="AE269" s="1967"/>
      <c r="AF269" s="1967"/>
      <c r="AG269" s="1967"/>
      <c r="AH269" s="1967"/>
      <c r="AI269" s="1967"/>
      <c r="AJ269" s="1967"/>
      <c r="AK269" s="1967"/>
      <c r="AL269" s="1967"/>
      <c r="AM269" s="1967"/>
      <c r="AN269" s="1967"/>
      <c r="AO269" s="1967"/>
      <c r="AP269" s="1967"/>
      <c r="AQ269" s="1967"/>
      <c r="AR269" s="1967"/>
      <c r="AS269" s="1967"/>
      <c r="AT269" s="1967"/>
      <c r="AU269" s="1967"/>
      <c r="AV269" s="1967"/>
      <c r="AW269" s="1967"/>
      <c r="AX269" s="1967"/>
      <c r="AY269" s="1967"/>
      <c r="AZ269" s="1967"/>
      <c r="BA269" s="1983">
        <f>IF($P$29=BA247,($O$29*$Q$29)/12,0)</f>
        <v>0</v>
      </c>
      <c r="BB269" s="1983">
        <f t="shared" ref="BB269:BL269" si="153">IF($P$29=BB247,($O$29*$Q$29)/12,0)</f>
        <v>0</v>
      </c>
      <c r="BC269" s="1983">
        <f t="shared" si="153"/>
        <v>0</v>
      </c>
      <c r="BD269" s="1983">
        <f t="shared" si="153"/>
        <v>0</v>
      </c>
      <c r="BE269" s="1983">
        <f t="shared" si="153"/>
        <v>0</v>
      </c>
      <c r="BF269" s="1983">
        <f t="shared" si="153"/>
        <v>0</v>
      </c>
      <c r="BG269" s="1983">
        <f t="shared" si="153"/>
        <v>0</v>
      </c>
      <c r="BH269" s="1983">
        <f t="shared" si="153"/>
        <v>0</v>
      </c>
      <c r="BI269" s="1983">
        <f t="shared" si="153"/>
        <v>0</v>
      </c>
      <c r="BJ269" s="1983">
        <f t="shared" si="153"/>
        <v>0</v>
      </c>
      <c r="BK269" s="1983">
        <f t="shared" si="153"/>
        <v>0</v>
      </c>
      <c r="BL269" s="1983">
        <f t="shared" si="153"/>
        <v>0</v>
      </c>
      <c r="BV269" s="1225"/>
      <c r="CV269" s="445"/>
      <c r="CW269" s="2011"/>
      <c r="CX269" s="445"/>
    </row>
    <row r="270" spans="1:102" s="446" customFormat="1" ht="14.25" hidden="1" customHeight="1">
      <c r="A270" s="160"/>
      <c r="B270" s="160"/>
      <c r="C270" s="2311"/>
      <c r="D270" s="160" t="s">
        <v>685</v>
      </c>
      <c r="E270" s="1978"/>
      <c r="F270" s="1978"/>
      <c r="G270" s="1978"/>
      <c r="H270" s="1978"/>
      <c r="I270" s="1978"/>
      <c r="J270" s="1978"/>
      <c r="K270" s="1978"/>
      <c r="L270" s="1978"/>
      <c r="M270" s="1978"/>
      <c r="N270" s="1978"/>
      <c r="O270" s="1978"/>
      <c r="P270" s="1978"/>
      <c r="Q270" s="1967"/>
      <c r="R270" s="1967"/>
      <c r="S270" s="1967"/>
      <c r="T270" s="1967"/>
      <c r="U270" s="1967"/>
      <c r="V270" s="1975"/>
      <c r="W270" s="1975"/>
      <c r="X270" s="1975"/>
      <c r="Y270" s="1975"/>
      <c r="Z270" s="1975"/>
      <c r="AA270" s="1967"/>
      <c r="AB270" s="1967"/>
      <c r="AC270" s="1967"/>
      <c r="AD270" s="1967"/>
      <c r="AE270" s="1967"/>
      <c r="AF270" s="1967"/>
      <c r="AG270" s="1967"/>
      <c r="AH270" s="1967"/>
      <c r="AI270" s="1967"/>
      <c r="AJ270" s="1967"/>
      <c r="AK270" s="1967"/>
      <c r="AL270" s="1967"/>
      <c r="AM270" s="1967"/>
      <c r="AN270" s="1967"/>
      <c r="AO270" s="1967"/>
      <c r="AP270" s="1967"/>
      <c r="AQ270" s="1967"/>
      <c r="AR270" s="1967"/>
      <c r="AS270" s="1967"/>
      <c r="AT270" s="1967"/>
      <c r="AU270" s="1967"/>
      <c r="AV270" s="1967"/>
      <c r="AW270" s="1967"/>
      <c r="AX270" s="1967"/>
      <c r="AY270" s="1967"/>
      <c r="AZ270" s="1967"/>
      <c r="BA270" s="1983">
        <f>IF(OR(BA247&gt;=$P$29+$R$29+$S$29*12,BA247&lt;$P$29),0,$O$29*$Q$29/12)</f>
        <v>0</v>
      </c>
      <c r="BB270" s="1983">
        <f>IF(OR(BB247&gt;=$P$29+$R$29+$S$29*12,BB247&lt;$P$29),0,($O$29-BA272)*$Q$29/12)</f>
        <v>0</v>
      </c>
      <c r="BC270" s="1983">
        <f>IF(OR(BC247&gt;=$P$29+$R$29+$S$29*12,BC247&lt;$P$29),0,($O$29-SUM($BA$272:BB272))*$Q$29/12)</f>
        <v>0</v>
      </c>
      <c r="BD270" s="1983">
        <f>IF(OR(BD247&gt;=$P$29+$R$29+$S$29*12,BD247&lt;$P$29),0,($O$29-SUM($BA$272:BC272))*$Q$29/12)</f>
        <v>0</v>
      </c>
      <c r="BE270" s="1983">
        <f>IF(OR(BE247&gt;=$P$29+$R$29+$S$29*12,BE247&lt;$P$29),0,($O$29-SUM($BA$272:BD272))*$Q$29/12)</f>
        <v>0</v>
      </c>
      <c r="BF270" s="1983">
        <f>IF(OR(BF247&gt;=$P$29+$R$29+$S$29*12,BF247&lt;$P$29),0,($O$29-SUM($BA$272:BE272))*$Q$29/12)</f>
        <v>0</v>
      </c>
      <c r="BG270" s="1983">
        <f>IF(OR(BG247&gt;=$P$29+$R$29+$S$29*12,BG247&lt;$P$29),0,($O$29-SUM($BA$272:BF272))*$Q$29/12)</f>
        <v>0</v>
      </c>
      <c r="BH270" s="1983">
        <f>IF(OR(BH247&gt;=$P$29+$R$29+$S$29*12,BH247&lt;$P$29),0,($O$29-SUM($BA$272:BG272))*$Q$29/12)</f>
        <v>0</v>
      </c>
      <c r="BI270" s="1983">
        <f>IF(OR(BI247&gt;=$P$29+$R$29+$S$29*12,BI247&lt;$P$29),0,($O$29-SUM($BA$272:BH272))*$Q$29/12)</f>
        <v>0</v>
      </c>
      <c r="BJ270" s="1983">
        <f>IF(OR(BJ247&gt;=$P$29+$R$29+$S$29*12,BJ247&lt;$P$29),0,($O$29-SUM($BA$272:BI272))*$Q$29/12)</f>
        <v>0</v>
      </c>
      <c r="BK270" s="1983">
        <f>IF(OR(BK247&gt;=$P$29+$R$29+$S$29*12,BK247&lt;$P$29),0,($O$29-SUM($BA$272:BJ272))*$Q$29/12)</f>
        <v>0</v>
      </c>
      <c r="BL270" s="1983">
        <f>IF(OR(BL247&gt;=$P$29+$R$29+$S$29*12,BL247&lt;$P$29),0,($O$29-SUM($BA$272:BK272))*$Q$29/12)</f>
        <v>0</v>
      </c>
      <c r="BV270" s="1225"/>
      <c r="CV270" s="445"/>
      <c r="CW270" s="2011"/>
      <c r="CX270" s="445"/>
    </row>
    <row r="271" spans="1:102" s="446" customFormat="1" ht="14.25" hidden="1" customHeight="1">
      <c r="A271" s="160"/>
      <c r="B271" s="160"/>
      <c r="C271" s="2311"/>
      <c r="D271" s="160" t="s">
        <v>120</v>
      </c>
      <c r="E271" s="1978"/>
      <c r="F271" s="1978"/>
      <c r="G271" s="1978"/>
      <c r="H271" s="1978"/>
      <c r="I271" s="1978"/>
      <c r="J271" s="1978"/>
      <c r="K271" s="1978"/>
      <c r="L271" s="1978"/>
      <c r="M271" s="1978"/>
      <c r="N271" s="1978"/>
      <c r="O271" s="1978"/>
      <c r="P271" s="1978"/>
      <c r="Q271" s="1967"/>
      <c r="R271" s="1967"/>
      <c r="S271" s="1967"/>
      <c r="T271" s="1967"/>
      <c r="U271" s="1967"/>
      <c r="V271" s="1975"/>
      <c r="W271" s="1975"/>
      <c r="X271" s="1975"/>
      <c r="Y271" s="1975"/>
      <c r="Z271" s="1975"/>
      <c r="AA271" s="1967"/>
      <c r="AB271" s="1967"/>
      <c r="AC271" s="1967"/>
      <c r="AD271" s="1967"/>
      <c r="AE271" s="1967"/>
      <c r="AF271" s="1967"/>
      <c r="AG271" s="1967"/>
      <c r="AH271" s="1967"/>
      <c r="AI271" s="1967"/>
      <c r="AJ271" s="1967"/>
      <c r="AK271" s="1967"/>
      <c r="AL271" s="1967"/>
      <c r="AM271" s="1967"/>
      <c r="AN271" s="1967"/>
      <c r="AO271" s="1967"/>
      <c r="AP271" s="1967"/>
      <c r="AQ271" s="1967"/>
      <c r="AR271" s="1967"/>
      <c r="AS271" s="1967"/>
      <c r="AT271" s="1967"/>
      <c r="AU271" s="1967"/>
      <c r="AV271" s="1967"/>
      <c r="AW271" s="1967"/>
      <c r="AX271" s="1967"/>
      <c r="AY271" s="1967"/>
      <c r="AZ271" s="1967"/>
      <c r="BA271" s="1983">
        <f>IF($P$29+$R$29=BA247,IF($P$29=0,0,$O$29/($S$29*12)),0)</f>
        <v>0</v>
      </c>
      <c r="BB271" s="1983">
        <f t="shared" ref="BB271:BL271" si="154">IF($P$29+$R$29=BB247,IF($P$29=0,0,$O$29/($S$29*12)),0)</f>
        <v>0</v>
      </c>
      <c r="BC271" s="1983">
        <f t="shared" si="154"/>
        <v>0</v>
      </c>
      <c r="BD271" s="1983">
        <f t="shared" si="154"/>
        <v>0</v>
      </c>
      <c r="BE271" s="1983">
        <f t="shared" si="154"/>
        <v>0</v>
      </c>
      <c r="BF271" s="1983">
        <f t="shared" si="154"/>
        <v>0</v>
      </c>
      <c r="BG271" s="1983">
        <f t="shared" si="154"/>
        <v>0</v>
      </c>
      <c r="BH271" s="1983">
        <f t="shared" si="154"/>
        <v>0</v>
      </c>
      <c r="BI271" s="1983">
        <f t="shared" si="154"/>
        <v>0</v>
      </c>
      <c r="BJ271" s="1983">
        <f t="shared" si="154"/>
        <v>0</v>
      </c>
      <c r="BK271" s="1983">
        <f t="shared" si="154"/>
        <v>0</v>
      </c>
      <c r="BL271" s="1983">
        <f t="shared" si="154"/>
        <v>0</v>
      </c>
      <c r="BV271" s="1225"/>
      <c r="CV271" s="445"/>
      <c r="CW271" s="2011"/>
      <c r="CX271" s="445"/>
    </row>
    <row r="272" spans="1:102" s="446" customFormat="1" ht="14.25" hidden="1" customHeight="1">
      <c r="A272" s="160"/>
      <c r="B272" s="160"/>
      <c r="C272" s="2311"/>
      <c r="D272" s="160" t="s">
        <v>686</v>
      </c>
      <c r="E272" s="692"/>
      <c r="F272" s="1969"/>
      <c r="G272" s="1969"/>
      <c r="H272" s="1969"/>
      <c r="I272" s="1969"/>
      <c r="J272" s="1969"/>
      <c r="K272" s="1969"/>
      <c r="L272" s="1969"/>
      <c r="M272" s="1969"/>
      <c r="N272" s="1969"/>
      <c r="O272" s="1969"/>
      <c r="P272" s="1969"/>
      <c r="Q272" s="1969"/>
      <c r="R272" s="1969"/>
      <c r="S272" s="1969"/>
      <c r="T272" s="1969"/>
      <c r="U272" s="1969"/>
      <c r="V272" s="1589"/>
      <c r="W272" s="1589"/>
      <c r="X272" s="1589"/>
      <c r="Y272" s="1589"/>
      <c r="Z272" s="1589"/>
      <c r="AA272" s="1969"/>
      <c r="AB272" s="1969"/>
      <c r="AC272" s="1969"/>
      <c r="AD272" s="1969"/>
      <c r="AE272" s="1969"/>
      <c r="AF272" s="1969"/>
      <c r="AG272" s="1969"/>
      <c r="AH272" s="1969"/>
      <c r="AI272" s="1969"/>
      <c r="AJ272" s="1969"/>
      <c r="AK272" s="1969"/>
      <c r="AL272" s="1969"/>
      <c r="AM272" s="1969"/>
      <c r="AN272" s="1969"/>
      <c r="AO272" s="1969"/>
      <c r="AP272" s="1969"/>
      <c r="AQ272" s="1969"/>
      <c r="AR272" s="1969"/>
      <c r="AS272" s="1969"/>
      <c r="AT272" s="1969"/>
      <c r="AU272" s="1969"/>
      <c r="AV272" s="1969"/>
      <c r="AW272" s="1969"/>
      <c r="AX272" s="1969"/>
      <c r="AY272" s="1969"/>
      <c r="AZ272" s="1969"/>
      <c r="BA272" s="1223">
        <f>IF(OR(BA247&gt;=$P$29+$R$29+$S$29*12,BA247&lt;$P$29+$R$29),0,IF($S$29=0,0,$O$29/($S$29*12)))</f>
        <v>0</v>
      </c>
      <c r="BB272" s="1223">
        <f t="shared" ref="BB272:BL272" si="155">IF(OR(BB247&gt;=$P$29+$R$29+$S$29*12,BB247&lt;$P$29+$R$29),0,IF($S$29=0,0,$O$29/($S$29*12)))</f>
        <v>0</v>
      </c>
      <c r="BC272" s="1223">
        <f t="shared" si="155"/>
        <v>0</v>
      </c>
      <c r="BD272" s="1223">
        <f t="shared" si="155"/>
        <v>0</v>
      </c>
      <c r="BE272" s="1223">
        <f t="shared" si="155"/>
        <v>0</v>
      </c>
      <c r="BF272" s="1223">
        <f t="shared" si="155"/>
        <v>0</v>
      </c>
      <c r="BG272" s="1223">
        <f t="shared" si="155"/>
        <v>0</v>
      </c>
      <c r="BH272" s="1223">
        <f t="shared" si="155"/>
        <v>0</v>
      </c>
      <c r="BI272" s="1223">
        <f t="shared" si="155"/>
        <v>0</v>
      </c>
      <c r="BJ272" s="1223">
        <f t="shared" si="155"/>
        <v>0</v>
      </c>
      <c r="BK272" s="1223">
        <f t="shared" si="155"/>
        <v>0</v>
      </c>
      <c r="BL272" s="1223">
        <f t="shared" si="155"/>
        <v>0</v>
      </c>
      <c r="BV272" s="1225"/>
      <c r="CV272" s="445"/>
      <c r="CW272" s="2011"/>
      <c r="CX272" s="445"/>
    </row>
    <row r="273" spans="1:129" s="446" customFormat="1" ht="14.25" hidden="1" customHeight="1">
      <c r="A273" s="160"/>
      <c r="B273" s="160"/>
      <c r="C273" s="160"/>
      <c r="D273" s="1223"/>
      <c r="E273" s="1223"/>
      <c r="F273" s="1223"/>
      <c r="G273" s="1223"/>
      <c r="H273" s="1223"/>
      <c r="I273" s="1223"/>
      <c r="J273" s="1223"/>
      <c r="K273" s="1223"/>
      <c r="L273" s="1223"/>
      <c r="M273" s="1223"/>
      <c r="N273" s="1223"/>
      <c r="O273" s="1223"/>
      <c r="P273" s="1223"/>
      <c r="Q273" s="1223"/>
      <c r="R273" s="1223"/>
      <c r="S273" s="1223"/>
      <c r="T273" s="1223"/>
      <c r="U273" s="1223"/>
      <c r="V273" s="1588"/>
      <c r="W273" s="1588"/>
      <c r="X273" s="1588"/>
      <c r="Y273" s="1588"/>
      <c r="Z273" s="1588"/>
      <c r="AA273" s="1223"/>
      <c r="AB273" s="1223"/>
      <c r="AC273" s="1223"/>
      <c r="AD273" s="1223"/>
      <c r="AE273" s="1223"/>
      <c r="AF273" s="1223"/>
      <c r="AG273" s="1223"/>
      <c r="AH273" s="1223"/>
      <c r="AI273" s="1223"/>
      <c r="AJ273" s="1223"/>
      <c r="AK273" s="1223"/>
      <c r="AL273" s="1223"/>
      <c r="AM273" s="1223"/>
      <c r="AN273" s="1223"/>
      <c r="AO273" s="1223"/>
      <c r="AP273" s="1223"/>
      <c r="AQ273" s="1223"/>
      <c r="AR273" s="1223"/>
      <c r="AS273" s="1223"/>
      <c r="AT273" s="1223"/>
      <c r="AU273" s="1223"/>
      <c r="AV273" s="1223"/>
      <c r="AW273" s="1223"/>
      <c r="AX273" s="1223"/>
      <c r="AY273" s="1223"/>
      <c r="AZ273" s="1223"/>
      <c r="BA273" s="1223"/>
      <c r="BB273" s="1223"/>
      <c r="BC273" s="1223"/>
      <c r="BD273" s="1223"/>
      <c r="BE273" s="1223"/>
      <c r="BF273" s="160"/>
      <c r="BG273" s="160"/>
      <c r="BH273" s="160"/>
      <c r="BI273" s="160"/>
      <c r="BJ273" s="160"/>
      <c r="BK273" s="160"/>
      <c r="BL273" s="160"/>
      <c r="BM273" s="160"/>
      <c r="BV273" s="1225"/>
      <c r="CV273" s="445"/>
      <c r="CW273" s="2011"/>
      <c r="CX273" s="445"/>
    </row>
    <row r="274" spans="1:129" s="446" customFormat="1" ht="14.25" hidden="1" customHeight="1">
      <c r="A274" s="160"/>
      <c r="B274" s="160"/>
      <c r="C274" s="160"/>
      <c r="D274" s="1223"/>
      <c r="E274" s="2015"/>
      <c r="F274" s="1223"/>
      <c r="G274" s="1223"/>
      <c r="H274" s="1223"/>
      <c r="I274" s="1223"/>
      <c r="J274" s="1223"/>
      <c r="K274" s="1223"/>
      <c r="L274" s="1223"/>
      <c r="M274" s="1223"/>
      <c r="N274" s="1223"/>
      <c r="O274" s="1223"/>
      <c r="P274" s="1223"/>
      <c r="Q274" s="1223"/>
      <c r="R274" s="1223"/>
      <c r="S274" s="1223"/>
      <c r="T274" s="1223"/>
      <c r="U274" s="1223"/>
      <c r="V274" s="1169"/>
      <c r="W274" s="1588"/>
      <c r="X274" s="1588"/>
      <c r="Y274" s="1588"/>
      <c r="Z274" s="1588"/>
      <c r="AA274" s="1223"/>
      <c r="AB274" s="160"/>
      <c r="AC274" s="160"/>
      <c r="AD274" s="160"/>
      <c r="AE274" s="160"/>
      <c r="AF274" s="160"/>
      <c r="AG274" s="160"/>
      <c r="AH274" s="160"/>
      <c r="AI274" s="160"/>
      <c r="AJ274" s="160"/>
      <c r="AK274" s="160"/>
      <c r="AL274" s="160"/>
      <c r="AM274" s="160"/>
      <c r="AN274" s="160"/>
      <c r="AO274" s="160"/>
      <c r="AP274" s="160"/>
      <c r="AQ274" s="160"/>
      <c r="AR274" s="160"/>
      <c r="AS274" s="160"/>
      <c r="AT274" s="160"/>
      <c r="AU274" s="160"/>
      <c r="AV274" s="160"/>
      <c r="AW274" s="160"/>
      <c r="AX274" s="160"/>
      <c r="AY274" s="160"/>
      <c r="AZ274" s="160"/>
      <c r="BA274" s="160"/>
      <c r="BB274" s="160"/>
      <c r="BC274" s="160"/>
      <c r="BD274" s="160"/>
      <c r="BE274" s="160"/>
      <c r="BF274" s="160"/>
      <c r="BG274" s="160"/>
      <c r="BH274" s="160"/>
      <c r="BI274" s="160"/>
      <c r="BJ274" s="160"/>
      <c r="BK274" s="160"/>
      <c r="BL274" s="160"/>
      <c r="BM274" s="160"/>
      <c r="BV274" s="1225"/>
      <c r="CV274" s="445"/>
      <c r="CW274" s="2011"/>
      <c r="CX274" s="445"/>
    </row>
    <row r="275" spans="1:129" s="112" customFormat="1" ht="14.25" hidden="1" customHeight="1">
      <c r="A275" s="16"/>
      <c r="B275" s="16"/>
      <c r="C275" s="16"/>
      <c r="D275" s="1222"/>
      <c r="E275" s="1224"/>
      <c r="F275" s="1222"/>
      <c r="G275" s="1222"/>
      <c r="H275" s="1222"/>
      <c r="I275" s="1222"/>
      <c r="J275" s="1222"/>
      <c r="K275" s="1222"/>
      <c r="L275" s="1222"/>
      <c r="M275" s="1222"/>
      <c r="N275" s="1222"/>
      <c r="O275" s="1222"/>
      <c r="P275" s="1222"/>
      <c r="Q275" s="1222"/>
      <c r="R275" s="1222"/>
      <c r="S275" s="1222"/>
      <c r="T275" s="1222"/>
      <c r="U275" s="1222"/>
      <c r="V275" s="1169"/>
      <c r="W275" s="1588"/>
      <c r="X275" s="1588"/>
      <c r="Y275" s="1588"/>
      <c r="Z275" s="1588"/>
      <c r="AA275" s="1222"/>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446"/>
      <c r="BO275" s="446"/>
      <c r="BP275" s="446"/>
      <c r="BQ275" s="446"/>
      <c r="BR275" s="446"/>
      <c r="BS275" s="446"/>
      <c r="BT275" s="446"/>
      <c r="BU275" s="446"/>
      <c r="BV275" s="1225"/>
      <c r="BW275" s="446"/>
      <c r="BX275" s="446"/>
      <c r="BY275" s="446"/>
      <c r="BZ275" s="446"/>
      <c r="CA275" s="446"/>
      <c r="CB275" s="446"/>
      <c r="CC275" s="446"/>
      <c r="CD275" s="446"/>
      <c r="CE275" s="446"/>
      <c r="CF275" s="446"/>
      <c r="CG275" s="446"/>
      <c r="CH275" s="446"/>
      <c r="CI275" s="446"/>
      <c r="CJ275" s="446"/>
      <c r="CK275" s="446"/>
      <c r="CL275" s="446"/>
      <c r="CM275" s="446"/>
      <c r="CN275" s="446"/>
      <c r="CO275" s="446"/>
      <c r="CP275" s="446"/>
      <c r="CQ275" s="446"/>
      <c r="CR275" s="446"/>
      <c r="CS275" s="446"/>
      <c r="CT275" s="446"/>
      <c r="CU275" s="446"/>
      <c r="CV275" s="445"/>
      <c r="CW275" s="813"/>
      <c r="CX275" s="445"/>
      <c r="CY275" s="446"/>
      <c r="CZ275" s="446"/>
      <c r="DA275" s="446"/>
      <c r="DB275" s="446"/>
      <c r="DC275" s="446"/>
      <c r="DD275" s="446"/>
      <c r="DE275" s="446"/>
      <c r="DF275" s="446"/>
      <c r="DG275" s="446"/>
      <c r="DH275" s="446"/>
      <c r="DI275" s="446"/>
      <c r="DJ275" s="446"/>
      <c r="DK275" s="446"/>
      <c r="DL275" s="446"/>
      <c r="DM275" s="446"/>
      <c r="DN275" s="446"/>
      <c r="DO275" s="446"/>
      <c r="DP275" s="446"/>
      <c r="DQ275" s="446"/>
      <c r="DR275" s="446"/>
      <c r="DS275" s="446"/>
      <c r="DT275" s="446"/>
      <c r="DU275" s="446"/>
      <c r="DV275" s="446"/>
      <c r="DW275" s="446"/>
      <c r="DX275" s="446"/>
      <c r="DY275" s="446"/>
    </row>
    <row r="276" spans="1:129" s="112" customFormat="1" ht="14.25" hidden="1" customHeight="1">
      <c r="A276" s="16"/>
      <c r="B276" s="16"/>
      <c r="C276" s="16"/>
      <c r="D276" s="1222"/>
      <c r="E276" s="1224"/>
      <c r="F276" s="1222"/>
      <c r="G276" s="1222"/>
      <c r="H276" s="1222"/>
      <c r="I276" s="1222"/>
      <c r="J276" s="1222"/>
      <c r="K276" s="1222"/>
      <c r="L276" s="1222"/>
      <c r="M276" s="1222"/>
      <c r="N276" s="1222"/>
      <c r="O276" s="1222"/>
      <c r="P276" s="1222"/>
      <c r="Q276" s="1222"/>
      <c r="R276" s="1222"/>
      <c r="S276" s="1222"/>
      <c r="T276" s="1222"/>
      <c r="U276" s="1222"/>
      <c r="V276" s="1169"/>
      <c r="W276" s="1588"/>
      <c r="X276" s="1588"/>
      <c r="Y276" s="1588"/>
      <c r="Z276" s="1588"/>
      <c r="AA276" s="1222"/>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446"/>
      <c r="BO276" s="446"/>
      <c r="BP276" s="446"/>
      <c r="BQ276" s="446"/>
      <c r="BR276" s="446"/>
      <c r="BS276" s="446"/>
      <c r="BT276" s="446"/>
      <c r="BU276" s="446"/>
      <c r="BV276" s="1225"/>
      <c r="BW276" s="446"/>
      <c r="BX276" s="446"/>
      <c r="BY276" s="446"/>
      <c r="BZ276" s="446"/>
      <c r="CA276" s="446"/>
      <c r="CB276" s="446"/>
      <c r="CC276" s="446"/>
      <c r="CD276" s="446"/>
      <c r="CE276" s="446"/>
      <c r="CF276" s="446"/>
      <c r="CG276" s="446"/>
      <c r="CH276" s="446"/>
      <c r="CI276" s="446"/>
      <c r="CJ276" s="446"/>
      <c r="CK276" s="446"/>
      <c r="CL276" s="446"/>
      <c r="CM276" s="446"/>
      <c r="CN276" s="446"/>
      <c r="CO276" s="446"/>
      <c r="CP276" s="446"/>
      <c r="CQ276" s="446"/>
      <c r="CR276" s="446"/>
      <c r="CS276" s="446"/>
      <c r="CT276" s="446"/>
      <c r="CU276" s="446"/>
      <c r="CV276" s="445"/>
      <c r="CW276" s="813"/>
      <c r="CX276" s="445"/>
      <c r="CY276" s="446"/>
      <c r="CZ276" s="446"/>
      <c r="DA276" s="446"/>
      <c r="DB276" s="446"/>
      <c r="DC276" s="446"/>
      <c r="DD276" s="446"/>
      <c r="DE276" s="446"/>
      <c r="DF276" s="446"/>
      <c r="DG276" s="446"/>
      <c r="DH276" s="446"/>
      <c r="DI276" s="446"/>
      <c r="DJ276" s="446"/>
      <c r="DK276" s="446"/>
      <c r="DL276" s="446"/>
      <c r="DM276" s="446"/>
      <c r="DN276" s="446"/>
      <c r="DO276" s="446"/>
      <c r="DP276" s="446"/>
      <c r="DQ276" s="446"/>
      <c r="DR276" s="446"/>
      <c r="DS276" s="446"/>
      <c r="DT276" s="446"/>
      <c r="DU276" s="446"/>
      <c r="DV276" s="446"/>
      <c r="DW276" s="446"/>
      <c r="DX276" s="446"/>
      <c r="DY276" s="446"/>
    </row>
    <row r="277" spans="1:129" s="112" customFormat="1" ht="14.25" hidden="1" customHeight="1">
      <c r="A277" s="16"/>
      <c r="B277" s="16"/>
      <c r="C277" s="16"/>
      <c r="D277" s="1222"/>
      <c r="E277" s="1224"/>
      <c r="F277" s="1222"/>
      <c r="G277" s="1222"/>
      <c r="H277" s="1222"/>
      <c r="I277" s="1222"/>
      <c r="J277" s="1222"/>
      <c r="K277" s="1222"/>
      <c r="L277" s="1222"/>
      <c r="M277" s="1222"/>
      <c r="N277" s="1222"/>
      <c r="O277" s="1222"/>
      <c r="P277" s="1222"/>
      <c r="Q277" s="1222"/>
      <c r="R277" s="1222"/>
      <c r="S277" s="1222"/>
      <c r="T277" s="1222"/>
      <c r="U277" s="1222"/>
      <c r="V277" s="1169"/>
      <c r="W277" s="1588"/>
      <c r="X277" s="1588"/>
      <c r="Y277" s="1588"/>
      <c r="Z277" s="1588"/>
      <c r="AA277" s="1222"/>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446"/>
      <c r="BO277" s="446"/>
      <c r="BP277" s="446"/>
      <c r="BQ277" s="446"/>
      <c r="BR277" s="446"/>
      <c r="BS277" s="446"/>
      <c r="BT277" s="446"/>
      <c r="BU277" s="446"/>
      <c r="BV277" s="1225"/>
      <c r="BW277" s="446"/>
      <c r="BX277" s="446"/>
      <c r="BY277" s="446"/>
      <c r="BZ277" s="446"/>
      <c r="CA277" s="446"/>
      <c r="CB277" s="446"/>
      <c r="CC277" s="446"/>
      <c r="CD277" s="446"/>
      <c r="CE277" s="446"/>
      <c r="CF277" s="446"/>
      <c r="CG277" s="446"/>
      <c r="CH277" s="446"/>
      <c r="CI277" s="446"/>
      <c r="CJ277" s="446"/>
      <c r="CK277" s="446"/>
      <c r="CL277" s="446"/>
      <c r="CM277" s="446"/>
      <c r="CN277" s="446"/>
      <c r="CO277" s="446"/>
      <c r="CP277" s="446"/>
      <c r="CQ277" s="446"/>
      <c r="CR277" s="446"/>
      <c r="CS277" s="446"/>
      <c r="CT277" s="446"/>
      <c r="CU277" s="446"/>
      <c r="CV277" s="445"/>
      <c r="CW277" s="813"/>
      <c r="CX277" s="445"/>
      <c r="CY277" s="446"/>
      <c r="CZ277" s="446"/>
      <c r="DA277" s="446"/>
      <c r="DB277" s="446"/>
      <c r="DC277" s="446"/>
      <c r="DD277" s="446"/>
      <c r="DE277" s="446"/>
      <c r="DF277" s="446"/>
      <c r="DG277" s="446"/>
      <c r="DH277" s="446"/>
      <c r="DI277" s="446"/>
      <c r="DJ277" s="446"/>
      <c r="DK277" s="446"/>
      <c r="DL277" s="446"/>
      <c r="DM277" s="446"/>
      <c r="DN277" s="446"/>
      <c r="DO277" s="446"/>
      <c r="DP277" s="446"/>
      <c r="DQ277" s="446"/>
      <c r="DR277" s="446"/>
      <c r="DS277" s="446"/>
      <c r="DT277" s="446"/>
      <c r="DU277" s="446"/>
      <c r="DV277" s="446"/>
      <c r="DW277" s="446"/>
      <c r="DX277" s="446"/>
      <c r="DY277" s="446"/>
    </row>
    <row r="278" spans="1:129" s="112" customFormat="1" ht="14.25" hidden="1" customHeight="1">
      <c r="A278" s="16"/>
      <c r="B278" s="16"/>
      <c r="C278" s="16"/>
      <c r="D278" s="1222"/>
      <c r="E278" s="1224"/>
      <c r="F278" s="1222"/>
      <c r="G278" s="1222"/>
      <c r="H278" s="1222"/>
      <c r="I278" s="1222"/>
      <c r="J278" s="1222"/>
      <c r="K278" s="1222"/>
      <c r="L278" s="1222"/>
      <c r="M278" s="1222"/>
      <c r="N278" s="1222"/>
      <c r="O278" s="1222"/>
      <c r="P278" s="1222"/>
      <c r="Q278" s="1222"/>
      <c r="R278" s="1222"/>
      <c r="S278" s="1222"/>
      <c r="T278" s="1222"/>
      <c r="U278" s="1222"/>
      <c r="V278" s="1169"/>
      <c r="W278" s="1588"/>
      <c r="X278" s="1588"/>
      <c r="Y278" s="1588"/>
      <c r="Z278" s="1588"/>
      <c r="AA278" s="1222"/>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446"/>
      <c r="BO278" s="446"/>
      <c r="BP278" s="446"/>
      <c r="BQ278" s="446"/>
      <c r="BR278" s="446"/>
      <c r="BS278" s="446"/>
      <c r="BT278" s="446"/>
      <c r="BU278" s="446"/>
      <c r="BV278" s="1225"/>
      <c r="BW278" s="446"/>
      <c r="BX278" s="446"/>
      <c r="BY278" s="446"/>
      <c r="BZ278" s="446"/>
      <c r="CA278" s="446"/>
      <c r="CB278" s="446"/>
      <c r="CC278" s="446"/>
      <c r="CD278" s="446"/>
      <c r="CE278" s="446"/>
      <c r="CF278" s="446"/>
      <c r="CG278" s="446"/>
      <c r="CH278" s="446"/>
      <c r="CI278" s="446"/>
      <c r="CJ278" s="446"/>
      <c r="CK278" s="446"/>
      <c r="CL278" s="446"/>
      <c r="CM278" s="446"/>
      <c r="CN278" s="446"/>
      <c r="CO278" s="446"/>
      <c r="CP278" s="446"/>
      <c r="CQ278" s="446"/>
      <c r="CR278" s="446"/>
      <c r="CS278" s="446"/>
      <c r="CT278" s="446"/>
      <c r="CU278" s="446"/>
      <c r="CV278" s="445"/>
      <c r="CW278" s="813"/>
      <c r="CX278" s="445"/>
      <c r="CY278" s="446"/>
      <c r="CZ278" s="446"/>
      <c r="DA278" s="446"/>
      <c r="DB278" s="446"/>
      <c r="DC278" s="446"/>
      <c r="DD278" s="446"/>
      <c r="DE278" s="446"/>
      <c r="DF278" s="446"/>
      <c r="DG278" s="446"/>
      <c r="DH278" s="446"/>
      <c r="DI278" s="446"/>
      <c r="DJ278" s="446"/>
      <c r="DK278" s="446"/>
      <c r="DL278" s="446"/>
      <c r="DM278" s="446"/>
      <c r="DN278" s="446"/>
      <c r="DO278" s="446"/>
      <c r="DP278" s="446"/>
      <c r="DQ278" s="446"/>
      <c r="DR278" s="446"/>
      <c r="DS278" s="446"/>
      <c r="DT278" s="446"/>
      <c r="DU278" s="446"/>
      <c r="DV278" s="446"/>
      <c r="DW278" s="446"/>
      <c r="DX278" s="446"/>
      <c r="DY278" s="446"/>
    </row>
    <row r="279" spans="1:129" s="112" customFormat="1" ht="14.25" hidden="1" customHeight="1">
      <c r="A279" s="16"/>
      <c r="B279" s="16"/>
      <c r="C279" s="16"/>
      <c r="D279" s="1222"/>
      <c r="E279" s="1224"/>
      <c r="F279" s="1222"/>
      <c r="G279" s="1222"/>
      <c r="H279" s="1222"/>
      <c r="I279" s="1222"/>
      <c r="J279" s="1222"/>
      <c r="K279" s="1222"/>
      <c r="L279" s="1222"/>
      <c r="M279" s="1222"/>
      <c r="N279" s="1222"/>
      <c r="O279" s="1222"/>
      <c r="P279" s="1222"/>
      <c r="Q279" s="1222"/>
      <c r="R279" s="1222"/>
      <c r="S279" s="1222"/>
      <c r="T279" s="1222"/>
      <c r="U279" s="1222"/>
      <c r="V279" s="1169"/>
      <c r="W279" s="1588"/>
      <c r="X279" s="1588"/>
      <c r="Y279" s="1588"/>
      <c r="Z279" s="1588"/>
      <c r="AA279" s="1222"/>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446"/>
      <c r="BO279" s="446"/>
      <c r="BP279" s="446"/>
      <c r="BQ279" s="446"/>
      <c r="BR279" s="446"/>
      <c r="BS279" s="446"/>
      <c r="BT279" s="446"/>
      <c r="BU279" s="446"/>
      <c r="BV279" s="1225"/>
      <c r="BW279" s="446"/>
      <c r="BX279" s="446"/>
      <c r="BY279" s="446"/>
      <c r="BZ279" s="446"/>
      <c r="CA279" s="446"/>
      <c r="CB279" s="446"/>
      <c r="CC279" s="446"/>
      <c r="CD279" s="446"/>
      <c r="CE279" s="446"/>
      <c r="CF279" s="446"/>
      <c r="CG279" s="446"/>
      <c r="CH279" s="446"/>
      <c r="CI279" s="446"/>
      <c r="CJ279" s="446"/>
      <c r="CK279" s="446"/>
      <c r="CL279" s="446"/>
      <c r="CM279" s="446"/>
      <c r="CN279" s="446"/>
      <c r="CO279" s="446"/>
      <c r="CP279" s="446"/>
      <c r="CQ279" s="446"/>
      <c r="CR279" s="446"/>
      <c r="CS279" s="446"/>
      <c r="CT279" s="446"/>
      <c r="CU279" s="446"/>
      <c r="CV279" s="445"/>
      <c r="CW279" s="813"/>
      <c r="CX279" s="445"/>
      <c r="CY279" s="446"/>
      <c r="CZ279" s="446"/>
      <c r="DA279" s="446"/>
      <c r="DB279" s="446"/>
      <c r="DC279" s="446"/>
      <c r="DD279" s="446"/>
      <c r="DE279" s="446"/>
      <c r="DF279" s="446"/>
      <c r="DG279" s="446"/>
      <c r="DH279" s="446"/>
      <c r="DI279" s="446"/>
      <c r="DJ279" s="446"/>
      <c r="DK279" s="446"/>
      <c r="DL279" s="446"/>
      <c r="DM279" s="446"/>
      <c r="DN279" s="446"/>
      <c r="DO279" s="446"/>
      <c r="DP279" s="446"/>
      <c r="DQ279" s="446"/>
      <c r="DR279" s="446"/>
      <c r="DS279" s="446"/>
      <c r="DT279" s="446"/>
      <c r="DU279" s="446"/>
      <c r="DV279" s="446"/>
      <c r="DW279" s="446"/>
      <c r="DX279" s="446"/>
      <c r="DY279" s="446"/>
    </row>
    <row r="280" spans="1:129" s="112" customFormat="1" ht="14.25" hidden="1" customHeight="1">
      <c r="A280" s="16"/>
      <c r="B280" s="16"/>
      <c r="C280" s="16"/>
      <c r="D280" s="1222"/>
      <c r="E280" s="1224"/>
      <c r="F280" s="1222"/>
      <c r="G280" s="1222"/>
      <c r="H280" s="1222"/>
      <c r="I280" s="1222"/>
      <c r="J280" s="1222"/>
      <c r="K280" s="1222"/>
      <c r="L280" s="1222"/>
      <c r="M280" s="1222"/>
      <c r="N280" s="1222"/>
      <c r="O280" s="1222"/>
      <c r="P280" s="1222"/>
      <c r="Q280" s="1222"/>
      <c r="R280" s="1222"/>
      <c r="S280" s="1222"/>
      <c r="T280" s="1222"/>
      <c r="U280" s="1222"/>
      <c r="V280" s="1169"/>
      <c r="W280" s="1588"/>
      <c r="X280" s="1588"/>
      <c r="Y280" s="1588"/>
      <c r="Z280" s="1588"/>
      <c r="AA280" s="1222"/>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446"/>
      <c r="BO280" s="446"/>
      <c r="BP280" s="446"/>
      <c r="BQ280" s="446"/>
      <c r="BR280" s="446"/>
      <c r="BS280" s="446"/>
      <c r="BT280" s="446"/>
      <c r="BU280" s="446"/>
      <c r="BV280" s="1225"/>
      <c r="BW280" s="446"/>
      <c r="BX280" s="446"/>
      <c r="BY280" s="446"/>
      <c r="BZ280" s="446"/>
      <c r="CA280" s="446"/>
      <c r="CB280" s="446"/>
      <c r="CC280" s="446"/>
      <c r="CD280" s="446"/>
      <c r="CE280" s="446"/>
      <c r="CF280" s="446"/>
      <c r="CG280" s="446"/>
      <c r="CH280" s="446"/>
      <c r="CI280" s="446"/>
      <c r="CJ280" s="446"/>
      <c r="CK280" s="446"/>
      <c r="CL280" s="446"/>
      <c r="CM280" s="446"/>
      <c r="CN280" s="446"/>
      <c r="CO280" s="446"/>
      <c r="CP280" s="446"/>
      <c r="CQ280" s="446"/>
      <c r="CR280" s="446"/>
      <c r="CS280" s="446"/>
      <c r="CT280" s="446"/>
      <c r="CU280" s="446"/>
      <c r="CV280" s="445"/>
      <c r="CW280" s="117"/>
      <c r="CX280" s="445"/>
      <c r="CY280" s="446"/>
      <c r="CZ280" s="446"/>
      <c r="DA280" s="446"/>
      <c r="DB280" s="446"/>
      <c r="DC280" s="446"/>
      <c r="DD280" s="446"/>
      <c r="DE280" s="446"/>
      <c r="DF280" s="446"/>
      <c r="DG280" s="446"/>
      <c r="DH280" s="446"/>
      <c r="DI280" s="446"/>
      <c r="DJ280" s="446"/>
      <c r="DK280" s="446"/>
      <c r="DL280" s="446"/>
      <c r="DM280" s="446"/>
      <c r="DN280" s="446"/>
      <c r="DO280" s="446"/>
      <c r="DP280" s="446"/>
      <c r="DQ280" s="446"/>
      <c r="DR280" s="446"/>
      <c r="DS280" s="446"/>
      <c r="DT280" s="446"/>
      <c r="DU280" s="446"/>
      <c r="DV280" s="446"/>
      <c r="DW280" s="446"/>
      <c r="DX280" s="446"/>
      <c r="DY280" s="446"/>
    </row>
    <row r="281" spans="1:129" s="112" customFormat="1" ht="14.25" hidden="1" customHeight="1">
      <c r="A281" s="16"/>
      <c r="B281" s="16"/>
      <c r="C281" s="16"/>
      <c r="D281" s="1222"/>
      <c r="E281" s="1224"/>
      <c r="F281" s="1222"/>
      <c r="G281" s="1222"/>
      <c r="H281" s="1222"/>
      <c r="I281" s="1222"/>
      <c r="J281" s="1222"/>
      <c r="K281" s="1222"/>
      <c r="L281" s="1222"/>
      <c r="M281" s="1222"/>
      <c r="N281" s="1222"/>
      <c r="O281" s="1222"/>
      <c r="P281" s="1222"/>
      <c r="Q281" s="1222"/>
      <c r="R281" s="1222"/>
      <c r="S281" s="1222"/>
      <c r="T281" s="1222"/>
      <c r="U281" s="1222"/>
      <c r="V281" s="1169"/>
      <c r="W281" s="1588"/>
      <c r="X281" s="1588"/>
      <c r="Y281" s="1588"/>
      <c r="Z281" s="1588"/>
      <c r="AA281" s="1222"/>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446"/>
      <c r="BO281" s="446"/>
      <c r="BP281" s="446"/>
      <c r="BQ281" s="446"/>
      <c r="BR281" s="446"/>
      <c r="BS281" s="446"/>
      <c r="BT281" s="446"/>
      <c r="BU281" s="446"/>
      <c r="BV281" s="1225"/>
      <c r="BW281" s="446"/>
      <c r="BX281" s="446"/>
      <c r="BY281" s="446"/>
      <c r="BZ281" s="446"/>
      <c r="CA281" s="446"/>
      <c r="CB281" s="446"/>
      <c r="CC281" s="446"/>
      <c r="CD281" s="446"/>
      <c r="CE281" s="446"/>
      <c r="CF281" s="446"/>
      <c r="CG281" s="446"/>
      <c r="CH281" s="446"/>
      <c r="CI281" s="446"/>
      <c r="CJ281" s="446"/>
      <c r="CK281" s="446"/>
      <c r="CL281" s="446"/>
      <c r="CM281" s="446"/>
      <c r="CN281" s="446"/>
      <c r="CO281" s="446"/>
      <c r="CP281" s="446"/>
      <c r="CQ281" s="446"/>
      <c r="CR281" s="446"/>
      <c r="CS281" s="446"/>
      <c r="CT281" s="446"/>
      <c r="CU281" s="446"/>
      <c r="CV281" s="445"/>
      <c r="CW281" s="117"/>
      <c r="CX281" s="445"/>
      <c r="CY281" s="446"/>
      <c r="CZ281" s="446"/>
      <c r="DA281" s="446"/>
      <c r="DB281" s="446"/>
      <c r="DC281" s="446"/>
      <c r="DD281" s="446"/>
      <c r="DE281" s="446"/>
      <c r="DF281" s="446"/>
      <c r="DG281" s="446"/>
      <c r="DH281" s="446"/>
      <c r="DI281" s="446"/>
      <c r="DJ281" s="446"/>
      <c r="DK281" s="446"/>
      <c r="DL281" s="446"/>
      <c r="DM281" s="446"/>
      <c r="DN281" s="446"/>
      <c r="DO281" s="446"/>
      <c r="DP281" s="446"/>
      <c r="DQ281" s="446"/>
      <c r="DR281" s="446"/>
      <c r="DS281" s="446"/>
      <c r="DT281" s="446"/>
      <c r="DU281" s="446"/>
      <c r="DV281" s="446"/>
      <c r="DW281" s="446"/>
      <c r="DX281" s="446"/>
      <c r="DY281" s="446"/>
    </row>
    <row r="282" spans="1:129" s="112" customFormat="1" ht="14.25" hidden="1" customHeight="1">
      <c r="A282" s="16"/>
      <c r="B282" s="16"/>
      <c r="C282" s="16"/>
      <c r="D282" s="1222"/>
      <c r="E282" s="1224"/>
      <c r="F282" s="1222"/>
      <c r="G282" s="1222"/>
      <c r="H282" s="1222"/>
      <c r="I282" s="1222"/>
      <c r="J282" s="1222"/>
      <c r="K282" s="1222"/>
      <c r="L282" s="1222"/>
      <c r="M282" s="1222"/>
      <c r="N282" s="1222"/>
      <c r="O282" s="1222"/>
      <c r="P282" s="1222"/>
      <c r="Q282" s="1222"/>
      <c r="R282" s="1222"/>
      <c r="S282" s="1222"/>
      <c r="T282" s="1222"/>
      <c r="U282" s="1222"/>
      <c r="V282" s="1169"/>
      <c r="W282" s="1588"/>
      <c r="X282" s="1588"/>
      <c r="Y282" s="1588"/>
      <c r="Z282" s="1588"/>
      <c r="AA282" s="1222"/>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446"/>
      <c r="BO282" s="446"/>
      <c r="BP282" s="446"/>
      <c r="BQ282" s="446"/>
      <c r="BR282" s="446"/>
      <c r="BS282" s="446"/>
      <c r="BT282" s="446"/>
      <c r="BU282" s="446"/>
      <c r="BV282" s="1225"/>
      <c r="BW282" s="446"/>
      <c r="BX282" s="446"/>
      <c r="BY282" s="446"/>
      <c r="BZ282" s="446"/>
      <c r="CA282" s="446"/>
      <c r="CB282" s="446"/>
      <c r="CC282" s="446"/>
      <c r="CD282" s="446"/>
      <c r="CE282" s="446"/>
      <c r="CF282" s="446"/>
      <c r="CG282" s="446"/>
      <c r="CH282" s="446"/>
      <c r="CI282" s="446"/>
      <c r="CJ282" s="446"/>
      <c r="CK282" s="446"/>
      <c r="CL282" s="446"/>
      <c r="CM282" s="446"/>
      <c r="CN282" s="446"/>
      <c r="CO282" s="446"/>
      <c r="CP282" s="446"/>
      <c r="CQ282" s="446"/>
      <c r="CR282" s="446"/>
      <c r="CS282" s="446"/>
      <c r="CT282" s="446"/>
      <c r="CU282" s="446"/>
      <c r="CV282" s="445"/>
      <c r="CW282" s="117"/>
      <c r="CX282" s="445"/>
      <c r="CY282" s="446"/>
      <c r="CZ282" s="446"/>
      <c r="DA282" s="446"/>
      <c r="DB282" s="446"/>
      <c r="DC282" s="446"/>
      <c r="DD282" s="446"/>
      <c r="DE282" s="446"/>
      <c r="DF282" s="446"/>
      <c r="DG282" s="446"/>
      <c r="DH282" s="446"/>
      <c r="DI282" s="446"/>
      <c r="DJ282" s="446"/>
      <c r="DK282" s="446"/>
      <c r="DL282" s="446"/>
      <c r="DM282" s="446"/>
      <c r="DN282" s="446"/>
      <c r="DO282" s="446"/>
      <c r="DP282" s="446"/>
      <c r="DQ282" s="446"/>
      <c r="DR282" s="446"/>
      <c r="DS282" s="446"/>
      <c r="DT282" s="446"/>
      <c r="DU282" s="446"/>
      <c r="DV282" s="446"/>
      <c r="DW282" s="446"/>
      <c r="DX282" s="446"/>
      <c r="DY282" s="446"/>
    </row>
    <row r="283" spans="1:129" s="112" customFormat="1" ht="14.25" hidden="1" customHeight="1">
      <c r="A283" s="16"/>
      <c r="B283" s="16"/>
      <c r="C283" s="16"/>
      <c r="D283" s="1222"/>
      <c r="E283" s="1224"/>
      <c r="F283" s="1222"/>
      <c r="G283" s="1222"/>
      <c r="H283" s="1222"/>
      <c r="I283" s="1222"/>
      <c r="J283" s="1222"/>
      <c r="K283" s="1222"/>
      <c r="L283" s="1222"/>
      <c r="M283" s="1222"/>
      <c r="N283" s="1222"/>
      <c r="O283" s="1222"/>
      <c r="P283" s="1222"/>
      <c r="Q283" s="1222"/>
      <c r="R283" s="1222"/>
      <c r="S283" s="1222"/>
      <c r="T283" s="1222"/>
      <c r="U283" s="1222"/>
      <c r="V283" s="1169"/>
      <c r="W283" s="1588"/>
      <c r="X283" s="1588"/>
      <c r="Y283" s="1588"/>
      <c r="Z283" s="1588"/>
      <c r="AA283" s="1222"/>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446"/>
      <c r="BO283" s="446"/>
      <c r="BP283" s="446"/>
      <c r="BQ283" s="446"/>
      <c r="BR283" s="446"/>
      <c r="BS283" s="446"/>
      <c r="BT283" s="446"/>
      <c r="BU283" s="446"/>
      <c r="BV283" s="1225"/>
      <c r="BW283" s="446"/>
      <c r="BX283" s="446"/>
      <c r="BY283" s="446"/>
      <c r="BZ283" s="446"/>
      <c r="CA283" s="446"/>
      <c r="CB283" s="446"/>
      <c r="CC283" s="446"/>
      <c r="CD283" s="446"/>
      <c r="CE283" s="446"/>
      <c r="CF283" s="446"/>
      <c r="CG283" s="446"/>
      <c r="CH283" s="446"/>
      <c r="CI283" s="446"/>
      <c r="CJ283" s="446"/>
      <c r="CK283" s="446"/>
      <c r="CL283" s="446"/>
      <c r="CM283" s="446"/>
      <c r="CN283" s="446"/>
      <c r="CO283" s="446"/>
      <c r="CP283" s="446"/>
      <c r="CQ283" s="446"/>
      <c r="CR283" s="446"/>
      <c r="CS283" s="446"/>
      <c r="CT283" s="446"/>
      <c r="CU283" s="446"/>
      <c r="CV283" s="445"/>
      <c r="CW283" s="117"/>
      <c r="CX283" s="445"/>
      <c r="CY283" s="446"/>
      <c r="CZ283" s="446"/>
      <c r="DA283" s="446"/>
      <c r="DB283" s="446"/>
      <c r="DC283" s="446"/>
      <c r="DD283" s="446"/>
      <c r="DE283" s="446"/>
      <c r="DF283" s="446"/>
      <c r="DG283" s="446"/>
      <c r="DH283" s="446"/>
      <c r="DI283" s="446"/>
      <c r="DJ283" s="446"/>
      <c r="DK283" s="446"/>
      <c r="DL283" s="446"/>
      <c r="DM283" s="446"/>
      <c r="DN283" s="446"/>
      <c r="DO283" s="446"/>
      <c r="DP283" s="446"/>
      <c r="DQ283" s="446"/>
      <c r="DR283" s="446"/>
      <c r="DS283" s="446"/>
      <c r="DT283" s="446"/>
      <c r="DU283" s="446"/>
      <c r="DV283" s="446"/>
      <c r="DW283" s="446"/>
      <c r="DX283" s="446"/>
      <c r="DY283" s="446"/>
    </row>
    <row r="284" spans="1:129" s="112" customFormat="1" ht="14.25" hidden="1" customHeight="1">
      <c r="A284" s="16"/>
      <c r="B284" s="16"/>
      <c r="C284" s="16"/>
      <c r="D284" s="1222"/>
      <c r="E284" s="1224"/>
      <c r="F284" s="1222"/>
      <c r="G284" s="1222"/>
      <c r="H284" s="1222"/>
      <c r="I284" s="1222"/>
      <c r="J284" s="1222"/>
      <c r="K284" s="1222"/>
      <c r="L284" s="1222"/>
      <c r="M284" s="1222"/>
      <c r="N284" s="1222"/>
      <c r="O284" s="1222"/>
      <c r="P284" s="1222"/>
      <c r="Q284" s="1222"/>
      <c r="R284" s="1222"/>
      <c r="S284" s="1222"/>
      <c r="T284" s="1222"/>
      <c r="U284" s="1222"/>
      <c r="V284" s="1169"/>
      <c r="W284" s="1588"/>
      <c r="X284" s="1588"/>
      <c r="Y284" s="1588"/>
      <c r="Z284" s="1588"/>
      <c r="AA284" s="1222"/>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446"/>
      <c r="BO284" s="446"/>
      <c r="BP284" s="446"/>
      <c r="BQ284" s="446"/>
      <c r="BR284" s="446"/>
      <c r="BS284" s="446"/>
      <c r="BT284" s="446"/>
      <c r="BU284" s="446"/>
      <c r="BV284" s="1225"/>
      <c r="BW284" s="446"/>
      <c r="BX284" s="446"/>
      <c r="BY284" s="446"/>
      <c r="BZ284" s="446"/>
      <c r="CA284" s="446"/>
      <c r="CB284" s="446"/>
      <c r="CC284" s="446"/>
      <c r="CD284" s="446"/>
      <c r="CE284" s="446"/>
      <c r="CF284" s="446"/>
      <c r="CG284" s="446"/>
      <c r="CH284" s="446"/>
      <c r="CI284" s="446"/>
      <c r="CJ284" s="446"/>
      <c r="CK284" s="446"/>
      <c r="CL284" s="446"/>
      <c r="CM284" s="446"/>
      <c r="CN284" s="446"/>
      <c r="CO284" s="446"/>
      <c r="CP284" s="446"/>
      <c r="CQ284" s="446"/>
      <c r="CR284" s="446"/>
      <c r="CS284" s="446"/>
      <c r="CT284" s="446"/>
      <c r="CU284" s="446"/>
      <c r="CV284" s="445"/>
      <c r="CW284" s="117"/>
      <c r="CX284" s="445"/>
      <c r="CY284" s="446"/>
      <c r="CZ284" s="446"/>
      <c r="DA284" s="446"/>
      <c r="DB284" s="446"/>
      <c r="DC284" s="446"/>
      <c r="DD284" s="446"/>
      <c r="DE284" s="446"/>
      <c r="DF284" s="446"/>
      <c r="DG284" s="446"/>
      <c r="DH284" s="446"/>
      <c r="DI284" s="446"/>
      <c r="DJ284" s="446"/>
      <c r="DK284" s="446"/>
      <c r="DL284" s="446"/>
      <c r="DM284" s="446"/>
      <c r="DN284" s="446"/>
      <c r="DO284" s="446"/>
      <c r="DP284" s="446"/>
      <c r="DQ284" s="446"/>
      <c r="DR284" s="446"/>
      <c r="DS284" s="446"/>
      <c r="DT284" s="446"/>
      <c r="DU284" s="446"/>
      <c r="DV284" s="446"/>
      <c r="DW284" s="446"/>
      <c r="DX284" s="446"/>
      <c r="DY284" s="446"/>
    </row>
    <row r="285" spans="1:129" s="112" customFormat="1" ht="14.25" hidden="1" customHeight="1">
      <c r="A285" s="16"/>
      <c r="B285" s="16"/>
      <c r="C285" s="16"/>
      <c r="D285" s="1222"/>
      <c r="E285" s="1224"/>
      <c r="F285" s="1222"/>
      <c r="G285" s="1222"/>
      <c r="H285" s="1222"/>
      <c r="I285" s="1222"/>
      <c r="J285" s="1222"/>
      <c r="K285" s="1222"/>
      <c r="L285" s="1222"/>
      <c r="M285" s="1222"/>
      <c r="N285" s="1222"/>
      <c r="O285" s="1222"/>
      <c r="P285" s="1222"/>
      <c r="Q285" s="1222"/>
      <c r="R285" s="1222"/>
      <c r="S285" s="1222"/>
      <c r="T285" s="1222"/>
      <c r="U285" s="1222"/>
      <c r="V285" s="1588"/>
      <c r="W285" s="1588"/>
      <c r="X285" s="1588"/>
      <c r="Y285" s="1588"/>
      <c r="Z285" s="1588"/>
      <c r="AA285" s="1222"/>
      <c r="AB285" s="1222"/>
      <c r="AC285" s="1222"/>
      <c r="AD285" s="1222"/>
      <c r="AE285" s="1222"/>
      <c r="AF285" s="1222"/>
      <c r="AG285" s="1222"/>
      <c r="AH285" s="1222"/>
      <c r="AI285" s="1222"/>
      <c r="AJ285" s="1222"/>
      <c r="AK285" s="1222"/>
      <c r="AL285" s="1222"/>
      <c r="AM285" s="1222"/>
      <c r="AN285" s="1222"/>
      <c r="AO285" s="1222"/>
      <c r="AP285" s="1222"/>
      <c r="AQ285" s="1222"/>
      <c r="AR285" s="1222"/>
      <c r="AS285" s="1222"/>
      <c r="AT285" s="1222"/>
      <c r="AU285" s="1222"/>
      <c r="AV285" s="1222"/>
      <c r="AW285" s="1222"/>
      <c r="AX285" s="1222"/>
      <c r="AY285" s="1222"/>
      <c r="AZ285" s="1222"/>
      <c r="BA285" s="1222"/>
      <c r="BB285" s="1222"/>
      <c r="BC285" s="1222"/>
      <c r="BD285" s="1222"/>
      <c r="BE285" s="1222"/>
      <c r="BF285" s="1222"/>
      <c r="BG285" s="1222"/>
      <c r="BH285" s="1222"/>
      <c r="BI285" s="1222"/>
      <c r="BJ285" s="1222"/>
      <c r="BK285" s="1222"/>
      <c r="BL285" s="1222"/>
      <c r="BM285" s="1222"/>
      <c r="BN285" s="446"/>
      <c r="BO285" s="446"/>
      <c r="BP285" s="446"/>
      <c r="BQ285" s="446"/>
      <c r="BR285" s="446"/>
      <c r="BS285" s="446"/>
      <c r="BT285" s="446"/>
      <c r="BU285" s="446"/>
      <c r="BV285" s="1225"/>
      <c r="BW285" s="446"/>
      <c r="BX285" s="446"/>
      <c r="BY285" s="446"/>
      <c r="BZ285" s="446"/>
      <c r="CA285" s="446"/>
      <c r="CB285" s="446"/>
      <c r="CC285" s="446"/>
      <c r="CD285" s="446"/>
      <c r="CE285" s="446"/>
      <c r="CF285" s="446"/>
      <c r="CG285" s="446"/>
      <c r="CH285" s="446"/>
      <c r="CI285" s="446"/>
      <c r="CJ285" s="446"/>
      <c r="CK285" s="446"/>
      <c r="CL285" s="446"/>
      <c r="CM285" s="446"/>
      <c r="CN285" s="446"/>
      <c r="CO285" s="446"/>
      <c r="CP285" s="446"/>
      <c r="CQ285" s="446"/>
      <c r="CR285" s="446"/>
      <c r="CS285" s="446"/>
      <c r="CT285" s="446"/>
      <c r="CU285" s="446"/>
      <c r="CV285" s="445"/>
      <c r="CW285" s="117"/>
      <c r="CX285" s="445"/>
      <c r="CY285" s="446"/>
      <c r="CZ285" s="446"/>
      <c r="DA285" s="446"/>
      <c r="DB285" s="446"/>
      <c r="DC285" s="446"/>
      <c r="DD285" s="446"/>
      <c r="DE285" s="446"/>
      <c r="DF285" s="446"/>
      <c r="DG285" s="446"/>
      <c r="DH285" s="446"/>
      <c r="DI285" s="446"/>
      <c r="DJ285" s="446"/>
      <c r="DK285" s="446"/>
      <c r="DL285" s="446"/>
      <c r="DM285" s="446"/>
      <c r="DN285" s="446"/>
      <c r="DO285" s="446"/>
      <c r="DP285" s="446"/>
      <c r="DQ285" s="446"/>
      <c r="DR285" s="446"/>
      <c r="DS285" s="446"/>
      <c r="DT285" s="446"/>
      <c r="DU285" s="446"/>
      <c r="DV285" s="446"/>
      <c r="DW285" s="446"/>
      <c r="DX285" s="446"/>
      <c r="DY285" s="446"/>
    </row>
    <row r="286" spans="1:129" s="112" customFormat="1" ht="14.25" hidden="1" customHeight="1">
      <c r="A286" s="16"/>
      <c r="B286" s="16"/>
      <c r="C286" s="16"/>
      <c r="D286" s="1222"/>
      <c r="E286" s="1224"/>
      <c r="F286" s="1222"/>
      <c r="G286" s="1222"/>
      <c r="H286" s="1222"/>
      <c r="I286" s="1222"/>
      <c r="J286" s="1222"/>
      <c r="K286" s="1222"/>
      <c r="L286" s="1222"/>
      <c r="M286" s="1222"/>
      <c r="N286" s="1222"/>
      <c r="O286" s="1222"/>
      <c r="P286" s="1222"/>
      <c r="Q286" s="1222"/>
      <c r="R286" s="1222"/>
      <c r="S286" s="1222"/>
      <c r="T286" s="1222"/>
      <c r="U286" s="1222"/>
      <c r="V286" s="1588"/>
      <c r="W286" s="1588"/>
      <c r="X286" s="1588"/>
      <c r="Y286" s="1588"/>
      <c r="Z286" s="1588"/>
      <c r="AA286" s="1222"/>
      <c r="AB286" s="1222"/>
      <c r="AC286" s="1222"/>
      <c r="AD286" s="1222"/>
      <c r="AE286" s="1222"/>
      <c r="AF286" s="1222"/>
      <c r="AG286" s="1222"/>
      <c r="AH286" s="1222"/>
      <c r="AI286" s="1222"/>
      <c r="AJ286" s="1222"/>
      <c r="AK286" s="1222"/>
      <c r="AL286" s="1222"/>
      <c r="AM286" s="1222"/>
      <c r="AN286" s="1222"/>
      <c r="AO286" s="1222"/>
      <c r="AP286" s="1222"/>
      <c r="AQ286" s="1222"/>
      <c r="AR286" s="1222"/>
      <c r="AS286" s="1222"/>
      <c r="AT286" s="1222"/>
      <c r="AU286" s="1222"/>
      <c r="AV286" s="1222"/>
      <c r="AW286" s="1222"/>
      <c r="AX286" s="1222"/>
      <c r="AY286" s="1222"/>
      <c r="AZ286" s="1222"/>
      <c r="BA286" s="1222"/>
      <c r="BB286" s="1222"/>
      <c r="BC286" s="1222"/>
      <c r="BD286" s="1222"/>
      <c r="BE286" s="1222"/>
      <c r="BF286" s="1222"/>
      <c r="BG286" s="1222"/>
      <c r="BH286" s="1222"/>
      <c r="BI286" s="1222"/>
      <c r="BJ286" s="1222"/>
      <c r="BK286" s="1222"/>
      <c r="BL286" s="1222"/>
      <c r="BM286" s="1222"/>
      <c r="BN286" s="446"/>
      <c r="BO286" s="446"/>
      <c r="BP286" s="446"/>
      <c r="BQ286" s="446"/>
      <c r="BR286" s="446"/>
      <c r="BS286" s="446"/>
      <c r="BT286" s="446"/>
      <c r="BU286" s="446"/>
      <c r="BV286" s="1225"/>
      <c r="BW286" s="446"/>
      <c r="BX286" s="446"/>
      <c r="BY286" s="446"/>
      <c r="BZ286" s="446"/>
      <c r="CA286" s="446"/>
      <c r="CB286" s="446"/>
      <c r="CC286" s="446"/>
      <c r="CD286" s="446"/>
      <c r="CE286" s="446"/>
      <c r="CF286" s="446"/>
      <c r="CG286" s="446"/>
      <c r="CH286" s="446"/>
      <c r="CI286" s="446"/>
      <c r="CJ286" s="446"/>
      <c r="CK286" s="446"/>
      <c r="CL286" s="446"/>
      <c r="CM286" s="446"/>
      <c r="CN286" s="446"/>
      <c r="CO286" s="446"/>
      <c r="CP286" s="446"/>
      <c r="CQ286" s="446"/>
      <c r="CR286" s="446"/>
      <c r="CS286" s="446"/>
      <c r="CT286" s="446"/>
      <c r="CU286" s="446"/>
      <c r="CV286" s="445"/>
      <c r="CW286" s="117"/>
      <c r="CX286" s="445"/>
      <c r="CY286" s="446"/>
      <c r="CZ286" s="446"/>
      <c r="DA286" s="446"/>
      <c r="DB286" s="446"/>
      <c r="DC286" s="446"/>
      <c r="DD286" s="446"/>
      <c r="DE286" s="446"/>
      <c r="DF286" s="446"/>
      <c r="DG286" s="446"/>
      <c r="DH286" s="446"/>
      <c r="DI286" s="446"/>
      <c r="DJ286" s="446"/>
      <c r="DK286" s="446"/>
      <c r="DL286" s="446"/>
      <c r="DM286" s="446"/>
      <c r="DN286" s="446"/>
      <c r="DO286" s="446"/>
      <c r="DP286" s="446"/>
      <c r="DQ286" s="446"/>
      <c r="DR286" s="446"/>
      <c r="DS286" s="446"/>
      <c r="DT286" s="446"/>
      <c r="DU286" s="446"/>
      <c r="DV286" s="446"/>
      <c r="DW286" s="446"/>
      <c r="DX286" s="446"/>
      <c r="DY286" s="446"/>
    </row>
    <row r="287" spans="1:129" s="112" customFormat="1" ht="14.25" hidden="1" customHeight="1">
      <c r="A287" s="16"/>
      <c r="B287" s="16"/>
      <c r="C287" s="16"/>
      <c r="D287" s="1222"/>
      <c r="E287" s="1224"/>
      <c r="F287" s="1222"/>
      <c r="G287" s="1222"/>
      <c r="H287" s="1222"/>
      <c r="I287" s="1222"/>
      <c r="J287" s="1222"/>
      <c r="K287" s="1222"/>
      <c r="L287" s="1222"/>
      <c r="M287" s="1222"/>
      <c r="N287" s="1222"/>
      <c r="O287" s="1222"/>
      <c r="P287" s="1222"/>
      <c r="Q287" s="1222"/>
      <c r="R287" s="1222"/>
      <c r="S287" s="1222"/>
      <c r="T287" s="1222"/>
      <c r="U287" s="1222"/>
      <c r="V287" s="1588"/>
      <c r="W287" s="1588"/>
      <c r="X287" s="1588"/>
      <c r="Y287" s="1588"/>
      <c r="Z287" s="1588"/>
      <c r="AA287" s="1222"/>
      <c r="AB287" s="1222"/>
      <c r="AC287" s="1222"/>
      <c r="AD287" s="1222"/>
      <c r="AE287" s="1222"/>
      <c r="AF287" s="1222"/>
      <c r="AG287" s="1222"/>
      <c r="AH287" s="1222"/>
      <c r="AI287" s="1222"/>
      <c r="AJ287" s="1222"/>
      <c r="AK287" s="1222"/>
      <c r="AL287" s="1222"/>
      <c r="AM287" s="1222"/>
      <c r="AN287" s="1222"/>
      <c r="AO287" s="1222"/>
      <c r="AP287" s="1222"/>
      <c r="AQ287" s="1222"/>
      <c r="AR287" s="1222"/>
      <c r="AS287" s="1222"/>
      <c r="AT287" s="1222"/>
      <c r="AU287" s="1222"/>
      <c r="AV287" s="1222"/>
      <c r="AW287" s="1222"/>
      <c r="AX287" s="1222"/>
      <c r="AY287" s="1222"/>
      <c r="AZ287" s="1222"/>
      <c r="BA287" s="1222"/>
      <c r="BB287" s="1222"/>
      <c r="BC287" s="1222"/>
      <c r="BD287" s="1222"/>
      <c r="BE287" s="1222"/>
      <c r="BF287" s="1222"/>
      <c r="BG287" s="1222"/>
      <c r="BH287" s="1222"/>
      <c r="BI287" s="1222"/>
      <c r="BJ287" s="1222"/>
      <c r="BK287" s="1222"/>
      <c r="BL287" s="1222"/>
      <c r="BM287" s="446"/>
      <c r="BN287" s="446"/>
      <c r="BO287" s="446"/>
      <c r="BP287" s="446"/>
      <c r="BQ287" s="446"/>
      <c r="BR287" s="446"/>
      <c r="BS287" s="446"/>
      <c r="BT287" s="446"/>
      <c r="BU287" s="446"/>
      <c r="BV287" s="1225"/>
      <c r="BW287" s="446"/>
      <c r="BX287" s="446"/>
      <c r="BY287" s="446"/>
      <c r="BZ287" s="446"/>
      <c r="CA287" s="446"/>
      <c r="CB287" s="446"/>
      <c r="CC287" s="446"/>
      <c r="CD287" s="446"/>
      <c r="CE287" s="446"/>
      <c r="CF287" s="446"/>
      <c r="CG287" s="446"/>
      <c r="CH287" s="446"/>
      <c r="CI287" s="446"/>
      <c r="CJ287" s="446"/>
      <c r="CK287" s="446"/>
      <c r="CL287" s="446"/>
      <c r="CM287" s="446"/>
      <c r="CN287" s="446"/>
      <c r="CO287" s="446"/>
      <c r="CP287" s="446"/>
      <c r="CQ287" s="446"/>
      <c r="CR287" s="446"/>
      <c r="CS287" s="446"/>
      <c r="CT287" s="446"/>
      <c r="CU287" s="446"/>
      <c r="CV287" s="445"/>
      <c r="CW287" s="117"/>
      <c r="CX287" s="445"/>
      <c r="CY287" s="446"/>
      <c r="CZ287" s="446"/>
      <c r="DA287" s="446"/>
      <c r="DB287" s="446"/>
      <c r="DC287" s="446"/>
      <c r="DD287" s="446"/>
      <c r="DE287" s="446"/>
      <c r="DF287" s="446"/>
      <c r="DG287" s="446"/>
      <c r="DH287" s="446"/>
      <c r="DI287" s="446"/>
      <c r="DJ287" s="446"/>
      <c r="DK287" s="446"/>
      <c r="DL287" s="446"/>
      <c r="DM287" s="446"/>
      <c r="DN287" s="446"/>
      <c r="DO287" s="446"/>
      <c r="DP287" s="446"/>
      <c r="DQ287" s="446"/>
      <c r="DR287" s="446"/>
      <c r="DS287" s="446"/>
      <c r="DT287" s="446"/>
      <c r="DU287" s="446"/>
      <c r="DV287" s="446"/>
      <c r="DW287" s="446"/>
      <c r="DX287" s="446"/>
      <c r="DY287" s="446"/>
    </row>
    <row r="288" spans="1:129" s="112" customFormat="1" ht="14.25" hidden="1" customHeight="1">
      <c r="A288" s="16"/>
      <c r="B288" s="16"/>
      <c r="C288" s="16"/>
      <c r="D288" s="1222"/>
      <c r="E288" s="1224"/>
      <c r="F288" s="1222"/>
      <c r="G288" s="1222"/>
      <c r="H288" s="1222"/>
      <c r="I288" s="1222"/>
      <c r="J288" s="1222"/>
      <c r="K288" s="1222"/>
      <c r="L288" s="1222"/>
      <c r="M288" s="1222"/>
      <c r="N288" s="1222"/>
      <c r="O288" s="1222"/>
      <c r="P288" s="1222"/>
      <c r="Q288" s="1222"/>
      <c r="R288" s="1222"/>
      <c r="S288" s="1222"/>
      <c r="T288" s="1222"/>
      <c r="U288" s="1222"/>
      <c r="V288" s="1588"/>
      <c r="W288" s="1588"/>
      <c r="X288" s="1588"/>
      <c r="Y288" s="1588"/>
      <c r="Z288" s="1588"/>
      <c r="AA288" s="1222"/>
      <c r="AB288" s="1222"/>
      <c r="AC288" s="1222"/>
      <c r="AD288" s="1222"/>
      <c r="AE288" s="1222"/>
      <c r="AF288" s="1222"/>
      <c r="AG288" s="1222"/>
      <c r="AH288" s="1222"/>
      <c r="AI288" s="1222"/>
      <c r="AJ288" s="1222"/>
      <c r="AK288" s="1222"/>
      <c r="AL288" s="1222"/>
      <c r="AM288" s="1222"/>
      <c r="AN288" s="1222"/>
      <c r="AO288" s="1222"/>
      <c r="AP288" s="1222"/>
      <c r="AQ288" s="1222"/>
      <c r="AR288" s="1222"/>
      <c r="AS288" s="1222"/>
      <c r="AT288" s="1222"/>
      <c r="AU288" s="1222"/>
      <c r="AV288" s="1222"/>
      <c r="AW288" s="1222"/>
      <c r="AX288" s="1222"/>
      <c r="AY288" s="1222"/>
      <c r="AZ288" s="1222"/>
      <c r="BA288" s="1222"/>
      <c r="BB288" s="1222"/>
      <c r="BC288" s="1222"/>
      <c r="BD288" s="1222"/>
      <c r="BE288" s="1222"/>
      <c r="BF288" s="1222"/>
      <c r="BG288" s="1222"/>
      <c r="BH288" s="1222"/>
      <c r="BI288" s="1222"/>
      <c r="BJ288" s="1222"/>
      <c r="BK288" s="1222"/>
      <c r="BL288" s="1222"/>
      <c r="BM288" s="446"/>
      <c r="BN288" s="446"/>
      <c r="BO288" s="446"/>
      <c r="BP288" s="446"/>
      <c r="BQ288" s="446"/>
      <c r="BR288" s="446"/>
      <c r="BS288" s="446"/>
      <c r="BT288" s="446"/>
      <c r="BU288" s="446"/>
      <c r="BV288" s="1225"/>
      <c r="BW288" s="446"/>
      <c r="BX288" s="446"/>
      <c r="BY288" s="446"/>
      <c r="BZ288" s="446"/>
      <c r="CA288" s="446"/>
      <c r="CB288" s="446"/>
      <c r="CC288" s="446"/>
      <c r="CD288" s="446"/>
      <c r="CE288" s="446"/>
      <c r="CF288" s="446"/>
      <c r="CG288" s="446"/>
      <c r="CH288" s="446"/>
      <c r="CI288" s="446"/>
      <c r="CJ288" s="446"/>
      <c r="CK288" s="446"/>
      <c r="CL288" s="446"/>
      <c r="CM288" s="446"/>
      <c r="CN288" s="446"/>
      <c r="CO288" s="446"/>
      <c r="CP288" s="446"/>
      <c r="CQ288" s="446"/>
      <c r="CR288" s="446"/>
      <c r="CS288" s="446"/>
      <c r="CT288" s="446"/>
      <c r="CU288" s="446"/>
      <c r="CV288" s="445"/>
      <c r="CW288" s="117"/>
      <c r="CX288" s="445"/>
      <c r="CY288" s="446"/>
      <c r="CZ288" s="446"/>
      <c r="DA288" s="446"/>
      <c r="DB288" s="446"/>
      <c r="DC288" s="446"/>
      <c r="DD288" s="446"/>
      <c r="DE288" s="446"/>
      <c r="DF288" s="446"/>
      <c r="DG288" s="446"/>
      <c r="DH288" s="446"/>
      <c r="DI288" s="446"/>
      <c r="DJ288" s="446"/>
      <c r="DK288" s="446"/>
      <c r="DL288" s="446"/>
      <c r="DM288" s="446"/>
      <c r="DN288" s="446"/>
      <c r="DO288" s="446"/>
      <c r="DP288" s="446"/>
      <c r="DQ288" s="446"/>
      <c r="DR288" s="446"/>
      <c r="DS288" s="446"/>
      <c r="DT288" s="446"/>
      <c r="DU288" s="446"/>
      <c r="DV288" s="446"/>
      <c r="DW288" s="446"/>
      <c r="DX288" s="446"/>
      <c r="DY288" s="446"/>
    </row>
    <row r="289" spans="1:129" s="112" customFormat="1" ht="12.6" hidden="1">
      <c r="A289" s="16"/>
      <c r="B289" s="16"/>
      <c r="E289" s="1226"/>
      <c r="F289" s="1227"/>
      <c r="G289" s="1227"/>
      <c r="H289" s="1227"/>
      <c r="I289" s="1227"/>
      <c r="J289" s="1227"/>
      <c r="K289" s="1227"/>
      <c r="L289" s="1227"/>
      <c r="M289" s="1227"/>
      <c r="N289" s="1227"/>
      <c r="O289" s="1228"/>
      <c r="P289" s="1227"/>
      <c r="Q289" s="1227"/>
      <c r="R289" s="693"/>
      <c r="S289" s="693"/>
      <c r="T289" s="1229"/>
      <c r="U289" s="1230"/>
      <c r="V289" s="1589"/>
      <c r="W289" s="1589"/>
      <c r="X289" s="1589"/>
      <c r="Y289" s="1589"/>
      <c r="Z289" s="1169"/>
      <c r="AA289" s="16"/>
      <c r="AB289" s="16"/>
      <c r="AC289" s="160"/>
      <c r="AD289" s="160"/>
      <c r="AE289" s="951"/>
      <c r="AF289" s="160"/>
      <c r="AG289" s="160"/>
      <c r="AH289" s="160"/>
      <c r="AI289" s="160"/>
      <c r="AJ289" s="160"/>
      <c r="AK289" s="160"/>
      <c r="AL289" s="160"/>
      <c r="AM289" s="160"/>
      <c r="AN289" s="160"/>
      <c r="AO289" s="160"/>
      <c r="AP289" s="160"/>
      <c r="AQ289" s="160"/>
      <c r="AR289" s="160"/>
      <c r="AS289" s="160"/>
      <c r="AT289" s="160"/>
      <c r="AU289" s="160"/>
      <c r="AV289" s="160"/>
      <c r="AW289" s="160"/>
      <c r="AX289" s="160"/>
      <c r="AY289" s="160"/>
      <c r="AZ289" s="160"/>
      <c r="BA289" s="160"/>
      <c r="BB289" s="160"/>
      <c r="BC289" s="160"/>
      <c r="BD289" s="160"/>
      <c r="BE289" s="160"/>
      <c r="BF289" s="160"/>
      <c r="BG289" s="160"/>
      <c r="BH289" s="160"/>
      <c r="BI289" s="160"/>
      <c r="BJ289" s="160"/>
      <c r="BK289" s="160"/>
      <c r="BL289" s="160"/>
      <c r="BM289" s="446"/>
      <c r="BN289" s="446"/>
      <c r="BO289" s="446"/>
      <c r="BP289" s="446"/>
      <c r="BQ289" s="446"/>
      <c r="BR289" s="446"/>
      <c r="BS289" s="446"/>
      <c r="BT289" s="446"/>
      <c r="BU289" s="446"/>
      <c r="BV289" s="1225"/>
      <c r="BW289" s="446"/>
      <c r="BX289" s="446"/>
      <c r="BY289" s="446"/>
      <c r="BZ289" s="446"/>
      <c r="CA289" s="446"/>
      <c r="CB289" s="446"/>
      <c r="CC289" s="446"/>
      <c r="CD289" s="446"/>
      <c r="CE289" s="446"/>
      <c r="CF289" s="446"/>
      <c r="CG289" s="446"/>
      <c r="CH289" s="446"/>
      <c r="CI289" s="446"/>
      <c r="CJ289" s="446"/>
      <c r="CK289" s="446"/>
      <c r="CL289" s="446"/>
      <c r="CM289" s="446"/>
      <c r="CN289" s="446"/>
      <c r="CO289" s="446"/>
      <c r="CP289" s="446"/>
      <c r="CQ289" s="446"/>
      <c r="CR289" s="446"/>
      <c r="CS289" s="446"/>
      <c r="CT289" s="446"/>
      <c r="CU289" s="446"/>
      <c r="CV289" s="445"/>
      <c r="CW289" s="117"/>
      <c r="CX289" s="445"/>
      <c r="CY289" s="446"/>
      <c r="CZ289" s="446"/>
      <c r="DA289" s="446"/>
      <c r="DB289" s="446"/>
      <c r="DC289" s="446"/>
      <c r="DD289" s="446"/>
      <c r="DE289" s="446"/>
      <c r="DF289" s="446"/>
      <c r="DG289" s="446"/>
      <c r="DH289" s="446"/>
      <c r="DI289" s="446"/>
      <c r="DJ289" s="446"/>
      <c r="DK289" s="446"/>
      <c r="DL289" s="446"/>
      <c r="DM289" s="446"/>
      <c r="DN289" s="446"/>
      <c r="DO289" s="446"/>
      <c r="DP289" s="446"/>
      <c r="DQ289" s="446"/>
      <c r="DR289" s="446"/>
      <c r="DS289" s="446"/>
      <c r="DT289" s="446"/>
      <c r="DU289" s="446"/>
      <c r="DV289" s="446"/>
      <c r="DW289" s="446"/>
      <c r="DX289" s="446"/>
      <c r="DY289" s="446"/>
    </row>
    <row r="290" spans="1:129" s="112" customFormat="1" ht="12.6" hidden="1">
      <c r="A290" s="16"/>
      <c r="B290" s="16"/>
      <c r="E290" s="1226"/>
      <c r="F290" s="1227"/>
      <c r="G290" s="1227"/>
      <c r="H290" s="1227"/>
      <c r="I290" s="1227"/>
      <c r="J290" s="1227"/>
      <c r="K290" s="1227"/>
      <c r="L290" s="1227"/>
      <c r="M290" s="1227"/>
      <c r="N290" s="1227"/>
      <c r="O290" s="1228"/>
      <c r="P290" s="1227"/>
      <c r="Q290" s="1227"/>
      <c r="R290" s="693"/>
      <c r="S290" s="693"/>
      <c r="T290" s="1229"/>
      <c r="U290" s="1230"/>
      <c r="V290" s="1589"/>
      <c r="W290" s="1589"/>
      <c r="X290" s="1589"/>
      <c r="Y290" s="1589"/>
      <c r="Z290" s="1169"/>
      <c r="AA290" s="16"/>
      <c r="AB290" s="16"/>
      <c r="AC290" s="160"/>
      <c r="AD290" s="160"/>
      <c r="AE290" s="951"/>
      <c r="AF290" s="160"/>
      <c r="AG290" s="160"/>
      <c r="AH290" s="160"/>
      <c r="AI290" s="160"/>
      <c r="AJ290" s="160"/>
      <c r="AK290" s="160"/>
      <c r="AL290" s="160"/>
      <c r="AM290" s="160"/>
      <c r="AN290" s="160"/>
      <c r="AO290" s="160"/>
      <c r="AP290" s="160"/>
      <c r="AQ290" s="160"/>
      <c r="AR290" s="160"/>
      <c r="AS290" s="160"/>
      <c r="AT290" s="160"/>
      <c r="AU290" s="160"/>
      <c r="AV290" s="160"/>
      <c r="AW290" s="160"/>
      <c r="AX290" s="160"/>
      <c r="AY290" s="160"/>
      <c r="AZ290" s="160"/>
      <c r="BA290" s="160"/>
      <c r="BB290" s="160"/>
      <c r="BC290" s="160"/>
      <c r="BD290" s="160"/>
      <c r="BE290" s="160"/>
      <c r="BF290" s="160"/>
      <c r="BG290" s="160"/>
      <c r="BH290" s="160"/>
      <c r="BI290" s="160"/>
      <c r="BJ290" s="160"/>
      <c r="BK290" s="160"/>
      <c r="BL290" s="160"/>
      <c r="BM290" s="446"/>
      <c r="BN290" s="446"/>
      <c r="BO290" s="446"/>
      <c r="BP290" s="446"/>
      <c r="BQ290" s="446"/>
      <c r="BR290" s="446"/>
      <c r="BS290" s="446"/>
      <c r="BT290" s="446"/>
      <c r="BU290" s="446"/>
      <c r="BV290" s="1225"/>
      <c r="BW290" s="446"/>
      <c r="BX290" s="446"/>
      <c r="BY290" s="446"/>
      <c r="BZ290" s="446"/>
      <c r="CA290" s="446"/>
      <c r="CB290" s="446"/>
      <c r="CC290" s="446"/>
      <c r="CD290" s="446"/>
      <c r="CE290" s="446"/>
      <c r="CF290" s="446"/>
      <c r="CG290" s="446"/>
      <c r="CH290" s="446"/>
      <c r="CI290" s="446"/>
      <c r="CJ290" s="446"/>
      <c r="CK290" s="446"/>
      <c r="CL290" s="446"/>
      <c r="CM290" s="446"/>
      <c r="CN290" s="446"/>
      <c r="CO290" s="446"/>
      <c r="CP290" s="446"/>
      <c r="CQ290" s="446"/>
      <c r="CR290" s="446"/>
      <c r="CS290" s="446"/>
      <c r="CT290" s="446"/>
      <c r="CU290" s="446"/>
      <c r="CV290" s="445"/>
      <c r="CW290" s="117"/>
      <c r="CX290" s="445"/>
      <c r="CY290" s="446"/>
      <c r="CZ290" s="446"/>
      <c r="DA290" s="446"/>
      <c r="DB290" s="446"/>
      <c r="DC290" s="446"/>
      <c r="DD290" s="446"/>
      <c r="DE290" s="446"/>
      <c r="DF290" s="446"/>
      <c r="DG290" s="446"/>
      <c r="DH290" s="446"/>
      <c r="DI290" s="446"/>
      <c r="DJ290" s="446"/>
      <c r="DK290" s="446"/>
      <c r="DL290" s="446"/>
      <c r="DM290" s="446"/>
      <c r="DN290" s="446"/>
      <c r="DO290" s="446"/>
      <c r="DP290" s="446"/>
      <c r="DQ290" s="446"/>
      <c r="DR290" s="446"/>
      <c r="DS290" s="446"/>
      <c r="DT290" s="446"/>
      <c r="DU290" s="446"/>
      <c r="DV290" s="446"/>
      <c r="DW290" s="446"/>
      <c r="DX290" s="446"/>
      <c r="DY290" s="446"/>
    </row>
    <row r="291" spans="1:129" s="112" customFormat="1" ht="12.6" hidden="1">
      <c r="A291" s="16"/>
      <c r="B291" s="16"/>
      <c r="E291" s="1226"/>
      <c r="F291" s="1227"/>
      <c r="G291" s="1227"/>
      <c r="H291" s="1227"/>
      <c r="I291" s="1227"/>
      <c r="J291" s="1227"/>
      <c r="K291" s="1227"/>
      <c r="L291" s="1227"/>
      <c r="M291" s="1227"/>
      <c r="N291" s="1227"/>
      <c r="O291" s="1228"/>
      <c r="P291" s="1227"/>
      <c r="Q291" s="1227"/>
      <c r="R291" s="693"/>
      <c r="S291" s="693"/>
      <c r="T291" s="1229"/>
      <c r="U291" s="1230"/>
      <c r="V291" s="1589"/>
      <c r="W291" s="1589"/>
      <c r="X291" s="1589"/>
      <c r="Y291" s="1589"/>
      <c r="Z291" s="1169"/>
      <c r="AA291" s="16"/>
      <c r="AB291" s="16"/>
      <c r="AC291" s="160"/>
      <c r="AD291" s="160"/>
      <c r="AE291" s="951"/>
      <c r="AF291" s="160"/>
      <c r="AG291" s="160"/>
      <c r="AH291" s="160"/>
      <c r="AI291" s="160"/>
      <c r="AJ291" s="160"/>
      <c r="AK291" s="160"/>
      <c r="AL291" s="160"/>
      <c r="AM291" s="160"/>
      <c r="AN291" s="160"/>
      <c r="AO291" s="160"/>
      <c r="AP291" s="160"/>
      <c r="AQ291" s="160"/>
      <c r="AR291" s="160"/>
      <c r="AS291" s="160"/>
      <c r="AT291" s="160"/>
      <c r="AU291" s="160"/>
      <c r="AV291" s="160"/>
      <c r="AW291" s="160"/>
      <c r="AX291" s="160"/>
      <c r="AY291" s="160"/>
      <c r="AZ291" s="160"/>
      <c r="BA291" s="160"/>
      <c r="BB291" s="160"/>
      <c r="BC291" s="160"/>
      <c r="BD291" s="160"/>
      <c r="BE291" s="160"/>
      <c r="BF291" s="160"/>
      <c r="BG291" s="160"/>
      <c r="BH291" s="160"/>
      <c r="BI291" s="160"/>
      <c r="BJ291" s="160"/>
      <c r="BK291" s="160"/>
      <c r="BL291" s="160"/>
      <c r="BM291" s="446"/>
      <c r="BN291" s="446"/>
      <c r="BO291" s="446"/>
      <c r="BP291" s="446"/>
      <c r="BQ291" s="446"/>
      <c r="BR291" s="446"/>
      <c r="BS291" s="446"/>
      <c r="BT291" s="446"/>
      <c r="BU291" s="446"/>
      <c r="BV291" s="1225"/>
      <c r="BW291" s="446"/>
      <c r="BX291" s="446"/>
      <c r="BY291" s="446"/>
      <c r="BZ291" s="446"/>
      <c r="CA291" s="446"/>
      <c r="CB291" s="446"/>
      <c r="CC291" s="446"/>
      <c r="CD291" s="446"/>
      <c r="CE291" s="446"/>
      <c r="CF291" s="446"/>
      <c r="CG291" s="446"/>
      <c r="CH291" s="446"/>
      <c r="CI291" s="446"/>
      <c r="CJ291" s="446"/>
      <c r="CK291" s="446"/>
      <c r="CL291" s="446"/>
      <c r="CM291" s="446"/>
      <c r="CN291" s="446"/>
      <c r="CO291" s="446"/>
      <c r="CP291" s="446"/>
      <c r="CQ291" s="446"/>
      <c r="CR291" s="446"/>
      <c r="CS291" s="446"/>
      <c r="CT291" s="446"/>
      <c r="CU291" s="446"/>
      <c r="CV291" s="445"/>
      <c r="CW291" s="117"/>
      <c r="CX291" s="445"/>
      <c r="CY291" s="446"/>
      <c r="CZ291" s="446"/>
      <c r="DA291" s="446"/>
      <c r="DB291" s="446"/>
      <c r="DC291" s="446"/>
      <c r="DD291" s="446"/>
      <c r="DE291" s="446"/>
      <c r="DF291" s="446"/>
      <c r="DG291" s="446"/>
      <c r="DH291" s="446"/>
      <c r="DI291" s="446"/>
      <c r="DJ291" s="446"/>
      <c r="DK291" s="446"/>
      <c r="DL291" s="446"/>
      <c r="DM291" s="446"/>
      <c r="DN291" s="446"/>
      <c r="DO291" s="446"/>
      <c r="DP291" s="446"/>
      <c r="DQ291" s="446"/>
      <c r="DR291" s="446"/>
      <c r="DS291" s="446"/>
      <c r="DT291" s="446"/>
      <c r="DU291" s="446"/>
      <c r="DV291" s="446"/>
      <c r="DW291" s="446"/>
      <c r="DX291" s="446"/>
      <c r="DY291" s="446"/>
    </row>
    <row r="292" spans="1:129" s="112" customFormat="1" ht="12.6" hidden="1">
      <c r="A292" s="16"/>
      <c r="B292" s="16"/>
      <c r="E292" s="1226"/>
      <c r="F292" s="1227"/>
      <c r="G292" s="1227"/>
      <c r="H292" s="1227"/>
      <c r="I292" s="1227"/>
      <c r="J292" s="1227"/>
      <c r="K292" s="1227"/>
      <c r="L292" s="1227"/>
      <c r="M292" s="1227"/>
      <c r="N292" s="1227"/>
      <c r="O292" s="1228"/>
      <c r="P292" s="1227"/>
      <c r="Q292" s="1227"/>
      <c r="R292" s="693"/>
      <c r="S292" s="693"/>
      <c r="T292" s="1229"/>
      <c r="U292" s="1230"/>
      <c r="V292" s="1589"/>
      <c r="W292" s="1589"/>
      <c r="X292" s="1589"/>
      <c r="Y292" s="1589"/>
      <c r="Z292" s="1169"/>
      <c r="AA292" s="16"/>
      <c r="AB292" s="16"/>
      <c r="AC292" s="160"/>
      <c r="AD292" s="160"/>
      <c r="AE292" s="951"/>
      <c r="AF292" s="160"/>
      <c r="AG292" s="160"/>
      <c r="AH292" s="160"/>
      <c r="AI292" s="160"/>
      <c r="AJ292" s="160"/>
      <c r="AK292" s="160"/>
      <c r="AL292" s="160"/>
      <c r="AM292" s="160"/>
      <c r="AN292" s="160"/>
      <c r="AO292" s="160"/>
      <c r="AP292" s="160"/>
      <c r="AQ292" s="160"/>
      <c r="AR292" s="160"/>
      <c r="AS292" s="160"/>
      <c r="AT292" s="160"/>
      <c r="AU292" s="160"/>
      <c r="AV292" s="160"/>
      <c r="AW292" s="160"/>
      <c r="AX292" s="160"/>
      <c r="AY292" s="160"/>
      <c r="AZ292" s="160"/>
      <c r="BA292" s="160"/>
      <c r="BB292" s="160"/>
      <c r="BC292" s="160"/>
      <c r="BD292" s="160"/>
      <c r="BE292" s="160"/>
      <c r="BF292" s="160"/>
      <c r="BG292" s="160"/>
      <c r="BH292" s="160"/>
      <c r="BI292" s="160"/>
      <c r="BJ292" s="160"/>
      <c r="BK292" s="160"/>
      <c r="BL292" s="160"/>
      <c r="BM292" s="446"/>
      <c r="BN292" s="446"/>
      <c r="BO292" s="446"/>
      <c r="BP292" s="446"/>
      <c r="BQ292" s="446"/>
      <c r="BR292" s="446"/>
      <c r="BS292" s="446"/>
      <c r="BT292" s="446"/>
      <c r="BU292" s="446"/>
      <c r="BV292" s="1225"/>
      <c r="BW292" s="446"/>
      <c r="BX292" s="446"/>
      <c r="BY292" s="446"/>
      <c r="BZ292" s="446"/>
      <c r="CA292" s="446"/>
      <c r="CB292" s="446"/>
      <c r="CC292" s="446"/>
      <c r="CD292" s="446"/>
      <c r="CE292" s="446"/>
      <c r="CF292" s="446"/>
      <c r="CG292" s="446"/>
      <c r="CH292" s="446"/>
      <c r="CI292" s="446"/>
      <c r="CJ292" s="446"/>
      <c r="CK292" s="446"/>
      <c r="CL292" s="446"/>
      <c r="CM292" s="446"/>
      <c r="CN292" s="446"/>
      <c r="CO292" s="446"/>
      <c r="CP292" s="446"/>
      <c r="CQ292" s="446"/>
      <c r="CR292" s="446"/>
      <c r="CS292" s="446"/>
      <c r="CT292" s="446"/>
      <c r="CU292" s="446"/>
      <c r="CV292" s="445"/>
      <c r="CW292" s="117"/>
      <c r="CX292" s="445"/>
      <c r="CY292" s="446"/>
      <c r="CZ292" s="446"/>
      <c r="DA292" s="446"/>
      <c r="DB292" s="446"/>
      <c r="DC292" s="446"/>
      <c r="DD292" s="446"/>
      <c r="DE292" s="446"/>
      <c r="DF292" s="446"/>
      <c r="DG292" s="446"/>
      <c r="DH292" s="446"/>
      <c r="DI292" s="446"/>
      <c r="DJ292" s="446"/>
      <c r="DK292" s="446"/>
      <c r="DL292" s="446"/>
      <c r="DM292" s="446"/>
      <c r="DN292" s="446"/>
      <c r="DO292" s="446"/>
      <c r="DP292" s="446"/>
      <c r="DQ292" s="446"/>
      <c r="DR292" s="446"/>
      <c r="DS292" s="446"/>
      <c r="DT292" s="446"/>
      <c r="DU292" s="446"/>
      <c r="DV292" s="446"/>
      <c r="DW292" s="446"/>
      <c r="DX292" s="446"/>
      <c r="DY292" s="446"/>
    </row>
    <row r="293" spans="1:129" s="112" customFormat="1" ht="12.6" hidden="1">
      <c r="A293" s="16"/>
      <c r="B293" s="16"/>
      <c r="E293" s="1226"/>
      <c r="F293" s="1227"/>
      <c r="G293" s="1227"/>
      <c r="H293" s="1227"/>
      <c r="I293" s="1227"/>
      <c r="J293" s="1227"/>
      <c r="K293" s="1227"/>
      <c r="L293" s="1227"/>
      <c r="M293" s="1227"/>
      <c r="N293" s="1227"/>
      <c r="O293" s="1228"/>
      <c r="P293" s="1227"/>
      <c r="Q293" s="1227"/>
      <c r="R293" s="693"/>
      <c r="S293" s="693"/>
      <c r="T293" s="1229"/>
      <c r="U293" s="1230"/>
      <c r="V293" s="1589"/>
      <c r="W293" s="1589"/>
      <c r="X293" s="1589"/>
      <c r="Y293" s="1589"/>
      <c r="Z293" s="1169"/>
      <c r="AA293" s="16"/>
      <c r="AB293" s="16"/>
      <c r="AC293" s="160"/>
      <c r="AD293" s="160"/>
      <c r="AE293" s="951"/>
      <c r="AF293" s="160"/>
      <c r="AG293" s="160"/>
      <c r="AH293" s="160"/>
      <c r="AI293" s="160"/>
      <c r="AJ293" s="160"/>
      <c r="AK293" s="160"/>
      <c r="AL293" s="160"/>
      <c r="AM293" s="160"/>
      <c r="AN293" s="160"/>
      <c r="AO293" s="160"/>
      <c r="AP293" s="160"/>
      <c r="AQ293" s="160"/>
      <c r="AR293" s="160"/>
      <c r="AS293" s="160"/>
      <c r="AT293" s="160"/>
      <c r="AU293" s="160"/>
      <c r="AV293" s="160"/>
      <c r="AW293" s="160"/>
      <c r="AX293" s="160"/>
      <c r="AY293" s="160"/>
      <c r="AZ293" s="160"/>
      <c r="BA293" s="160"/>
      <c r="BB293" s="160"/>
      <c r="BC293" s="160"/>
      <c r="BD293" s="160"/>
      <c r="BE293" s="160"/>
      <c r="BF293" s="160"/>
      <c r="BG293" s="160"/>
      <c r="BH293" s="160"/>
      <c r="BI293" s="160"/>
      <c r="BJ293" s="160"/>
      <c r="BK293" s="160"/>
      <c r="BL293" s="160"/>
      <c r="BM293" s="446"/>
      <c r="BN293" s="446"/>
      <c r="BO293" s="446"/>
      <c r="BP293" s="446"/>
      <c r="BQ293" s="446"/>
      <c r="BR293" s="446"/>
      <c r="BS293" s="446"/>
      <c r="BT293" s="446"/>
      <c r="BU293" s="446"/>
      <c r="BV293" s="1225"/>
      <c r="BW293" s="446"/>
      <c r="BX293" s="446"/>
      <c r="BY293" s="446"/>
      <c r="BZ293" s="446"/>
      <c r="CA293" s="446"/>
      <c r="CB293" s="446"/>
      <c r="CC293" s="446"/>
      <c r="CD293" s="446"/>
      <c r="CE293" s="446"/>
      <c r="CF293" s="446"/>
      <c r="CG293" s="446"/>
      <c r="CH293" s="446"/>
      <c r="CI293" s="446"/>
      <c r="CJ293" s="446"/>
      <c r="CK293" s="446"/>
      <c r="CL293" s="446"/>
      <c r="CM293" s="446"/>
      <c r="CN293" s="446"/>
      <c r="CO293" s="446"/>
      <c r="CP293" s="446"/>
      <c r="CQ293" s="446"/>
      <c r="CR293" s="446"/>
      <c r="CS293" s="446"/>
      <c r="CT293" s="446"/>
      <c r="CU293" s="446"/>
      <c r="CV293" s="445"/>
      <c r="CW293" s="117"/>
      <c r="CX293" s="445"/>
      <c r="CY293" s="446"/>
      <c r="CZ293" s="446"/>
      <c r="DA293" s="446"/>
      <c r="DB293" s="446"/>
      <c r="DC293" s="446"/>
      <c r="DD293" s="446"/>
      <c r="DE293" s="446"/>
      <c r="DF293" s="446"/>
      <c r="DG293" s="446"/>
      <c r="DH293" s="446"/>
      <c r="DI293" s="446"/>
      <c r="DJ293" s="446"/>
      <c r="DK293" s="446"/>
      <c r="DL293" s="446"/>
      <c r="DM293" s="446"/>
      <c r="DN293" s="446"/>
      <c r="DO293" s="446"/>
      <c r="DP293" s="446"/>
      <c r="DQ293" s="446"/>
      <c r="DR293" s="446"/>
      <c r="DS293" s="446"/>
      <c r="DT293" s="446"/>
      <c r="DU293" s="446"/>
      <c r="DV293" s="446"/>
      <c r="DW293" s="446"/>
      <c r="DX293" s="446"/>
      <c r="DY293" s="446"/>
    </row>
    <row r="294" spans="1:129" s="112" customFormat="1" ht="12.6" hidden="1">
      <c r="A294" s="16"/>
      <c r="B294" s="16"/>
      <c r="E294" s="1226"/>
      <c r="F294" s="1227"/>
      <c r="G294" s="1227"/>
      <c r="H294" s="1227"/>
      <c r="I294" s="1227"/>
      <c r="J294" s="1227"/>
      <c r="K294" s="1227"/>
      <c r="L294" s="1227"/>
      <c r="M294" s="1227"/>
      <c r="N294" s="1227"/>
      <c r="O294" s="1228"/>
      <c r="P294" s="1227"/>
      <c r="Q294" s="1227"/>
      <c r="R294" s="693"/>
      <c r="S294" s="693"/>
      <c r="T294" s="1229"/>
      <c r="U294" s="1230"/>
      <c r="V294" s="1589"/>
      <c r="W294" s="1589"/>
      <c r="X294" s="1589"/>
      <c r="Y294" s="1589"/>
      <c r="Z294" s="1169"/>
      <c r="AA294" s="16"/>
      <c r="AB294" s="16"/>
      <c r="AC294" s="160"/>
      <c r="AD294" s="160"/>
      <c r="AE294" s="951"/>
      <c r="AF294" s="160"/>
      <c r="AG294" s="160"/>
      <c r="AH294" s="160"/>
      <c r="AI294" s="160"/>
      <c r="AJ294" s="160"/>
      <c r="AK294" s="160"/>
      <c r="AL294" s="160"/>
      <c r="AM294" s="160"/>
      <c r="AN294" s="160"/>
      <c r="AO294" s="160"/>
      <c r="AP294" s="160"/>
      <c r="AQ294" s="160"/>
      <c r="AR294" s="160"/>
      <c r="AS294" s="160"/>
      <c r="AT294" s="160"/>
      <c r="AU294" s="160"/>
      <c r="AV294" s="160"/>
      <c r="AW294" s="160"/>
      <c r="AX294" s="160"/>
      <c r="AY294" s="160"/>
      <c r="AZ294" s="160"/>
      <c r="BA294" s="160"/>
      <c r="BB294" s="160"/>
      <c r="BC294" s="160"/>
      <c r="BD294" s="160"/>
      <c r="BE294" s="160"/>
      <c r="BF294" s="160"/>
      <c r="BG294" s="160"/>
      <c r="BH294" s="160"/>
      <c r="BI294" s="160"/>
      <c r="BJ294" s="160"/>
      <c r="BK294" s="160"/>
      <c r="BL294" s="160"/>
      <c r="BM294" s="446"/>
      <c r="BN294" s="446"/>
      <c r="BO294" s="446"/>
      <c r="BP294" s="446"/>
      <c r="BQ294" s="446"/>
      <c r="BR294" s="446"/>
      <c r="BS294" s="446"/>
      <c r="BT294" s="446"/>
      <c r="BU294" s="446"/>
      <c r="BV294" s="1225"/>
      <c r="BW294" s="446"/>
      <c r="BX294" s="446"/>
      <c r="BY294" s="446"/>
      <c r="BZ294" s="446"/>
      <c r="CA294" s="446"/>
      <c r="CB294" s="446"/>
      <c r="CC294" s="446"/>
      <c r="CD294" s="446"/>
      <c r="CE294" s="446"/>
      <c r="CF294" s="446"/>
      <c r="CG294" s="446"/>
      <c r="CH294" s="446"/>
      <c r="CI294" s="446"/>
      <c r="CJ294" s="446"/>
      <c r="CK294" s="446"/>
      <c r="CL294" s="446"/>
      <c r="CM294" s="446"/>
      <c r="CN294" s="446"/>
      <c r="CO294" s="446"/>
      <c r="CP294" s="446"/>
      <c r="CQ294" s="446"/>
      <c r="CR294" s="446"/>
      <c r="CS294" s="446"/>
      <c r="CT294" s="446"/>
      <c r="CU294" s="446"/>
      <c r="CV294" s="445"/>
      <c r="CW294" s="117"/>
      <c r="CX294" s="445"/>
      <c r="CY294" s="446"/>
      <c r="CZ294" s="446"/>
      <c r="DA294" s="446"/>
      <c r="DB294" s="446"/>
      <c r="DC294" s="446"/>
      <c r="DD294" s="446"/>
      <c r="DE294" s="446"/>
      <c r="DF294" s="446"/>
      <c r="DG294" s="446"/>
      <c r="DH294" s="446"/>
      <c r="DI294" s="446"/>
      <c r="DJ294" s="446"/>
      <c r="DK294" s="446"/>
      <c r="DL294" s="446"/>
      <c r="DM294" s="446"/>
      <c r="DN294" s="446"/>
      <c r="DO294" s="446"/>
      <c r="DP294" s="446"/>
      <c r="DQ294" s="446"/>
      <c r="DR294" s="446"/>
      <c r="DS294" s="446"/>
      <c r="DT294" s="446"/>
      <c r="DU294" s="446"/>
      <c r="DV294" s="446"/>
      <c r="DW294" s="446"/>
      <c r="DX294" s="446"/>
      <c r="DY294" s="446"/>
    </row>
    <row r="295" spans="1:129" s="112" customFormat="1" ht="12.6" hidden="1">
      <c r="A295" s="16"/>
      <c r="B295" s="16"/>
      <c r="E295" s="1226"/>
      <c r="F295" s="1227"/>
      <c r="G295" s="1227"/>
      <c r="H295" s="1227"/>
      <c r="I295" s="1227"/>
      <c r="J295" s="1227"/>
      <c r="K295" s="1227"/>
      <c r="L295" s="1227"/>
      <c r="M295" s="1227"/>
      <c r="N295" s="1227"/>
      <c r="O295" s="1228"/>
      <c r="P295" s="1227"/>
      <c r="Q295" s="1227"/>
      <c r="R295" s="693"/>
      <c r="S295" s="693"/>
      <c r="T295" s="1229"/>
      <c r="U295" s="1230"/>
      <c r="V295" s="1589"/>
      <c r="W295" s="1589"/>
      <c r="X295" s="1589"/>
      <c r="Y295" s="1589"/>
      <c r="Z295" s="1169"/>
      <c r="AA295" s="16"/>
      <c r="AB295" s="16"/>
      <c r="AC295" s="160"/>
      <c r="AD295" s="160"/>
      <c r="AE295" s="951"/>
      <c r="AF295" s="160"/>
      <c r="AG295" s="160"/>
      <c r="AH295" s="160"/>
      <c r="AI295" s="160"/>
      <c r="AJ295" s="160"/>
      <c r="AK295" s="160"/>
      <c r="AL295" s="160"/>
      <c r="AM295" s="160"/>
      <c r="AN295" s="160"/>
      <c r="AO295" s="160"/>
      <c r="AP295" s="160"/>
      <c r="AQ295" s="160"/>
      <c r="AR295" s="160"/>
      <c r="AS295" s="160"/>
      <c r="AT295" s="160"/>
      <c r="AU295" s="160"/>
      <c r="AV295" s="160"/>
      <c r="AW295" s="160"/>
      <c r="AX295" s="160"/>
      <c r="AY295" s="160"/>
      <c r="AZ295" s="160"/>
      <c r="BA295" s="160"/>
      <c r="BB295" s="160"/>
      <c r="BC295" s="160"/>
      <c r="BD295" s="160"/>
      <c r="BE295" s="160"/>
      <c r="BF295" s="160"/>
      <c r="BG295" s="160"/>
      <c r="BH295" s="160"/>
      <c r="BI295" s="160"/>
      <c r="BJ295" s="160"/>
      <c r="BK295" s="160"/>
      <c r="BL295" s="160"/>
      <c r="BM295" s="446"/>
      <c r="BN295" s="446"/>
      <c r="BO295" s="446"/>
      <c r="BP295" s="446"/>
      <c r="BQ295" s="446"/>
      <c r="BR295" s="446"/>
      <c r="BS295" s="446"/>
      <c r="BT295" s="446"/>
      <c r="BU295" s="446"/>
      <c r="BV295" s="1225"/>
      <c r="BW295" s="446"/>
      <c r="BX295" s="446"/>
      <c r="BY295" s="446"/>
      <c r="BZ295" s="446"/>
      <c r="CA295" s="446"/>
      <c r="CB295" s="446"/>
      <c r="CC295" s="446"/>
      <c r="CD295" s="446"/>
      <c r="CE295" s="446"/>
      <c r="CF295" s="446"/>
      <c r="CG295" s="446"/>
      <c r="CH295" s="446"/>
      <c r="CI295" s="446"/>
      <c r="CJ295" s="446"/>
      <c r="CK295" s="446"/>
      <c r="CL295" s="446"/>
      <c r="CM295" s="446"/>
      <c r="CN295" s="446"/>
      <c r="CO295" s="446"/>
      <c r="CP295" s="446"/>
      <c r="CQ295" s="446"/>
      <c r="CR295" s="446"/>
      <c r="CS295" s="446"/>
      <c r="CT295" s="446"/>
      <c r="CU295" s="446"/>
      <c r="CV295" s="445"/>
      <c r="CW295" s="117"/>
      <c r="CX295" s="445"/>
      <c r="CY295" s="446"/>
      <c r="CZ295" s="446"/>
      <c r="DA295" s="446"/>
      <c r="DB295" s="446"/>
      <c r="DC295" s="446"/>
      <c r="DD295" s="446"/>
      <c r="DE295" s="446"/>
      <c r="DF295" s="446"/>
      <c r="DG295" s="446"/>
      <c r="DH295" s="446"/>
      <c r="DI295" s="446"/>
      <c r="DJ295" s="446"/>
      <c r="DK295" s="446"/>
      <c r="DL295" s="446"/>
      <c r="DM295" s="446"/>
      <c r="DN295" s="446"/>
      <c r="DO295" s="446"/>
      <c r="DP295" s="446"/>
      <c r="DQ295" s="446"/>
      <c r="DR295" s="446"/>
      <c r="DS295" s="446"/>
      <c r="DT295" s="446"/>
      <c r="DU295" s="446"/>
      <c r="DV295" s="446"/>
      <c r="DW295" s="446"/>
      <c r="DX295" s="446"/>
      <c r="DY295" s="446"/>
    </row>
    <row r="296" spans="1:129" s="112" customFormat="1" ht="12.6" hidden="1">
      <c r="A296" s="16"/>
      <c r="B296" s="16"/>
      <c r="E296" s="1226"/>
      <c r="F296" s="1227"/>
      <c r="G296" s="1227"/>
      <c r="H296" s="1227"/>
      <c r="I296" s="1227"/>
      <c r="J296" s="1227"/>
      <c r="K296" s="1227"/>
      <c r="L296" s="1227"/>
      <c r="M296" s="1227"/>
      <c r="N296" s="1227"/>
      <c r="O296" s="1228"/>
      <c r="P296" s="1227"/>
      <c r="Q296" s="1227"/>
      <c r="R296" s="693"/>
      <c r="S296" s="693"/>
      <c r="T296" s="1229"/>
      <c r="U296" s="1230"/>
      <c r="V296" s="1589"/>
      <c r="W296" s="1589"/>
      <c r="X296" s="1589"/>
      <c r="Y296" s="1589"/>
      <c r="Z296" s="1169"/>
      <c r="AA296" s="16"/>
      <c r="AB296" s="16"/>
      <c r="AC296" s="160"/>
      <c r="AD296" s="160"/>
      <c r="AE296" s="951"/>
      <c r="AF296" s="160"/>
      <c r="AG296" s="160"/>
      <c r="AH296" s="160"/>
      <c r="AI296" s="160"/>
      <c r="AJ296" s="160"/>
      <c r="AK296" s="160"/>
      <c r="AL296" s="160"/>
      <c r="AM296" s="160"/>
      <c r="AN296" s="160"/>
      <c r="AO296" s="160"/>
      <c r="AP296" s="160"/>
      <c r="AQ296" s="160"/>
      <c r="AR296" s="160"/>
      <c r="AS296" s="160"/>
      <c r="AT296" s="160"/>
      <c r="AU296" s="160"/>
      <c r="AV296" s="160"/>
      <c r="AW296" s="160"/>
      <c r="AX296" s="160"/>
      <c r="AY296" s="160"/>
      <c r="AZ296" s="160"/>
      <c r="BA296" s="160"/>
      <c r="BB296" s="160"/>
      <c r="BC296" s="160"/>
      <c r="BD296" s="160"/>
      <c r="BE296" s="160"/>
      <c r="BF296" s="160"/>
      <c r="BG296" s="160"/>
      <c r="BH296" s="160"/>
      <c r="BI296" s="160"/>
      <c r="BJ296" s="160"/>
      <c r="BK296" s="160"/>
      <c r="BL296" s="160"/>
      <c r="BM296" s="446"/>
      <c r="BN296" s="446"/>
      <c r="BO296" s="446"/>
      <c r="BP296" s="446"/>
      <c r="BQ296" s="446"/>
      <c r="BR296" s="446"/>
      <c r="BS296" s="446"/>
      <c r="BT296" s="446"/>
      <c r="BU296" s="446"/>
      <c r="BV296" s="1225"/>
      <c r="BW296" s="446"/>
      <c r="BX296" s="446"/>
      <c r="BY296" s="446"/>
      <c r="BZ296" s="446"/>
      <c r="CA296" s="446"/>
      <c r="CB296" s="446"/>
      <c r="CC296" s="446"/>
      <c r="CD296" s="446"/>
      <c r="CE296" s="446"/>
      <c r="CF296" s="446"/>
      <c r="CG296" s="446"/>
      <c r="CH296" s="446"/>
      <c r="CI296" s="446"/>
      <c r="CJ296" s="446"/>
      <c r="CK296" s="446"/>
      <c r="CL296" s="446"/>
      <c r="CM296" s="446"/>
      <c r="CN296" s="446"/>
      <c r="CO296" s="446"/>
      <c r="CP296" s="446"/>
      <c r="CQ296" s="446"/>
      <c r="CR296" s="446"/>
      <c r="CS296" s="446"/>
      <c r="CT296" s="446"/>
      <c r="CU296" s="446"/>
      <c r="CV296" s="445"/>
      <c r="CW296" s="117"/>
      <c r="CX296" s="445"/>
      <c r="CY296" s="446"/>
      <c r="CZ296" s="446"/>
      <c r="DA296" s="446"/>
      <c r="DB296" s="446"/>
      <c r="DC296" s="446"/>
      <c r="DD296" s="446"/>
      <c r="DE296" s="446"/>
      <c r="DF296" s="446"/>
      <c r="DG296" s="446"/>
      <c r="DH296" s="446"/>
      <c r="DI296" s="446"/>
      <c r="DJ296" s="446"/>
      <c r="DK296" s="446"/>
      <c r="DL296" s="446"/>
      <c r="DM296" s="446"/>
      <c r="DN296" s="446"/>
      <c r="DO296" s="446"/>
      <c r="DP296" s="446"/>
      <c r="DQ296" s="446"/>
      <c r="DR296" s="446"/>
      <c r="DS296" s="446"/>
      <c r="DT296" s="446"/>
      <c r="DU296" s="446"/>
      <c r="DV296" s="446"/>
      <c r="DW296" s="446"/>
      <c r="DX296" s="446"/>
      <c r="DY296" s="446"/>
    </row>
    <row r="297" spans="1:129" s="112" customFormat="1" ht="12.6" hidden="1">
      <c r="A297" s="16"/>
      <c r="B297" s="16"/>
      <c r="E297" s="1226"/>
      <c r="F297" s="1227"/>
      <c r="G297" s="1227"/>
      <c r="H297" s="1227"/>
      <c r="I297" s="1227"/>
      <c r="J297" s="1227"/>
      <c r="K297" s="1227"/>
      <c r="L297" s="1227"/>
      <c r="M297" s="1227"/>
      <c r="N297" s="1227"/>
      <c r="O297" s="1228"/>
      <c r="P297" s="1227"/>
      <c r="Q297" s="1227"/>
      <c r="R297" s="693"/>
      <c r="S297" s="693"/>
      <c r="T297" s="1229"/>
      <c r="U297" s="1230"/>
      <c r="V297" s="1589"/>
      <c r="W297" s="1589"/>
      <c r="X297" s="1589"/>
      <c r="Y297" s="1589"/>
      <c r="Z297" s="1169"/>
      <c r="AA297" s="16"/>
      <c r="AB297" s="16"/>
      <c r="AC297" s="160"/>
      <c r="AD297" s="160"/>
      <c r="AE297" s="951"/>
      <c r="AF297" s="160"/>
      <c r="AG297" s="160"/>
      <c r="AH297" s="160"/>
      <c r="AI297" s="160"/>
      <c r="AJ297" s="160"/>
      <c r="AK297" s="160"/>
      <c r="AL297" s="160"/>
      <c r="AM297" s="160"/>
      <c r="AN297" s="160"/>
      <c r="AO297" s="160"/>
      <c r="AP297" s="160"/>
      <c r="AQ297" s="160"/>
      <c r="AR297" s="160"/>
      <c r="AS297" s="160"/>
      <c r="AT297" s="160"/>
      <c r="AU297" s="160"/>
      <c r="AV297" s="160"/>
      <c r="AW297" s="160"/>
      <c r="AX297" s="160"/>
      <c r="AY297" s="160"/>
      <c r="AZ297" s="160"/>
      <c r="BA297" s="160"/>
      <c r="BB297" s="160"/>
      <c r="BC297" s="160"/>
      <c r="BD297" s="160"/>
      <c r="BE297" s="160"/>
      <c r="BF297" s="160"/>
      <c r="BG297" s="160"/>
      <c r="BH297" s="160"/>
      <c r="BI297" s="160"/>
      <c r="BJ297" s="160"/>
      <c r="BK297" s="160"/>
      <c r="BL297" s="160"/>
      <c r="BM297" s="446"/>
      <c r="BN297" s="446"/>
      <c r="BO297" s="446"/>
      <c r="BP297" s="446"/>
      <c r="BQ297" s="446"/>
      <c r="BR297" s="446"/>
      <c r="BS297" s="446"/>
      <c r="BT297" s="446"/>
      <c r="BU297" s="446"/>
      <c r="BV297" s="1225"/>
      <c r="BW297" s="446"/>
      <c r="BX297" s="446"/>
      <c r="BY297" s="446"/>
      <c r="BZ297" s="446"/>
      <c r="CA297" s="446"/>
      <c r="CB297" s="446"/>
      <c r="CC297" s="446"/>
      <c r="CD297" s="446"/>
      <c r="CE297" s="446"/>
      <c r="CF297" s="446"/>
      <c r="CG297" s="446"/>
      <c r="CH297" s="446"/>
      <c r="CI297" s="446"/>
      <c r="CJ297" s="446"/>
      <c r="CK297" s="446"/>
      <c r="CL297" s="446"/>
      <c r="CM297" s="446"/>
      <c r="CN297" s="446"/>
      <c r="CO297" s="446"/>
      <c r="CP297" s="446"/>
      <c r="CQ297" s="446"/>
      <c r="CR297" s="446"/>
      <c r="CS297" s="446"/>
      <c r="CT297" s="446"/>
      <c r="CU297" s="446"/>
      <c r="CV297" s="445"/>
      <c r="CW297" s="117"/>
      <c r="CX297" s="445"/>
      <c r="CY297" s="446"/>
      <c r="CZ297" s="446"/>
      <c r="DA297" s="446"/>
      <c r="DB297" s="446"/>
      <c r="DC297" s="446"/>
      <c r="DD297" s="446"/>
      <c r="DE297" s="446"/>
      <c r="DF297" s="446"/>
      <c r="DG297" s="446"/>
      <c r="DH297" s="446"/>
      <c r="DI297" s="446"/>
      <c r="DJ297" s="446"/>
      <c r="DK297" s="446"/>
      <c r="DL297" s="446"/>
      <c r="DM297" s="446"/>
      <c r="DN297" s="446"/>
      <c r="DO297" s="446"/>
      <c r="DP297" s="446"/>
      <c r="DQ297" s="446"/>
      <c r="DR297" s="446"/>
      <c r="DS297" s="446"/>
      <c r="DT297" s="446"/>
      <c r="DU297" s="446"/>
      <c r="DV297" s="446"/>
      <c r="DW297" s="446"/>
      <c r="DX297" s="446"/>
      <c r="DY297" s="446"/>
    </row>
    <row r="298" spans="1:129" s="112" customFormat="1" ht="12.6" hidden="1">
      <c r="A298" s="16"/>
      <c r="B298" s="16"/>
      <c r="E298" s="1226"/>
      <c r="F298" s="1227"/>
      <c r="G298" s="1227"/>
      <c r="H298" s="1227"/>
      <c r="I298" s="1227"/>
      <c r="J298" s="1227"/>
      <c r="K298" s="1227"/>
      <c r="L298" s="1227"/>
      <c r="M298" s="1227"/>
      <c r="N298" s="1227"/>
      <c r="O298" s="1228"/>
      <c r="P298" s="1227"/>
      <c r="Q298" s="1227"/>
      <c r="R298" s="693"/>
      <c r="S298" s="693"/>
      <c r="T298" s="1229"/>
      <c r="U298" s="1230"/>
      <c r="V298" s="1589"/>
      <c r="W298" s="1589"/>
      <c r="X298" s="1589"/>
      <c r="Y298" s="1589"/>
      <c r="Z298" s="1169"/>
      <c r="AA298" s="16"/>
      <c r="AB298" s="16"/>
      <c r="AC298" s="160"/>
      <c r="AD298" s="160"/>
      <c r="AE298" s="951"/>
      <c r="AF298" s="160"/>
      <c r="AG298" s="160"/>
      <c r="AH298" s="160"/>
      <c r="AI298" s="160"/>
      <c r="AJ298" s="160"/>
      <c r="AK298" s="160"/>
      <c r="AL298" s="160"/>
      <c r="AM298" s="160"/>
      <c r="AN298" s="160"/>
      <c r="AO298" s="160"/>
      <c r="AP298" s="160"/>
      <c r="AQ298" s="160"/>
      <c r="AR298" s="160"/>
      <c r="AS298" s="160"/>
      <c r="AT298" s="160"/>
      <c r="AU298" s="160"/>
      <c r="AV298" s="160"/>
      <c r="AW298" s="160"/>
      <c r="AX298" s="160"/>
      <c r="AY298" s="160"/>
      <c r="AZ298" s="160"/>
      <c r="BA298" s="160"/>
      <c r="BB298" s="160"/>
      <c r="BC298" s="160"/>
      <c r="BD298" s="160"/>
      <c r="BE298" s="160"/>
      <c r="BF298" s="160"/>
      <c r="BG298" s="160"/>
      <c r="BH298" s="160"/>
      <c r="BI298" s="160"/>
      <c r="BJ298" s="160"/>
      <c r="BK298" s="160"/>
      <c r="BL298" s="160"/>
      <c r="BM298" s="446"/>
      <c r="BN298" s="446"/>
      <c r="BO298" s="446"/>
      <c r="BP298" s="446"/>
      <c r="BQ298" s="446"/>
      <c r="BR298" s="446"/>
      <c r="BS298" s="446"/>
      <c r="BT298" s="446"/>
      <c r="BU298" s="446"/>
      <c r="BV298" s="1225"/>
      <c r="BW298" s="446"/>
      <c r="BX298" s="446"/>
      <c r="BY298" s="446"/>
      <c r="BZ298" s="446"/>
      <c r="CA298" s="446"/>
      <c r="CB298" s="446"/>
      <c r="CC298" s="446"/>
      <c r="CD298" s="446"/>
      <c r="CE298" s="446"/>
      <c r="CF298" s="446"/>
      <c r="CG298" s="446"/>
      <c r="CH298" s="446"/>
      <c r="CI298" s="446"/>
      <c r="CJ298" s="446"/>
      <c r="CK298" s="446"/>
      <c r="CL298" s="446"/>
      <c r="CM298" s="446"/>
      <c r="CN298" s="446"/>
      <c r="CO298" s="446"/>
      <c r="CP298" s="446"/>
      <c r="CQ298" s="446"/>
      <c r="CR298" s="446"/>
      <c r="CS298" s="446"/>
      <c r="CT298" s="446"/>
      <c r="CU298" s="446"/>
      <c r="CV298" s="445"/>
      <c r="CW298" s="117"/>
      <c r="CX298" s="445"/>
      <c r="CY298" s="446"/>
      <c r="CZ298" s="446"/>
      <c r="DA298" s="446"/>
      <c r="DB298" s="446"/>
      <c r="DC298" s="446"/>
      <c r="DD298" s="446"/>
      <c r="DE298" s="446"/>
      <c r="DF298" s="446"/>
      <c r="DG298" s="446"/>
      <c r="DH298" s="446"/>
      <c r="DI298" s="446"/>
      <c r="DJ298" s="446"/>
      <c r="DK298" s="446"/>
      <c r="DL298" s="446"/>
      <c r="DM298" s="446"/>
      <c r="DN298" s="446"/>
      <c r="DO298" s="446"/>
      <c r="DP298" s="446"/>
      <c r="DQ298" s="446"/>
      <c r="DR298" s="446"/>
      <c r="DS298" s="446"/>
      <c r="DT298" s="446"/>
      <c r="DU298" s="446"/>
      <c r="DV298" s="446"/>
      <c r="DW298" s="446"/>
      <c r="DX298" s="446"/>
      <c r="DY298" s="446"/>
    </row>
    <row r="299" spans="1:129" s="112" customFormat="1" ht="12.6" hidden="1">
      <c r="A299" s="16"/>
      <c r="B299" s="16"/>
      <c r="E299" s="1226"/>
      <c r="F299" s="1227"/>
      <c r="G299" s="1227"/>
      <c r="H299" s="1227"/>
      <c r="I299" s="1227"/>
      <c r="J299" s="1227"/>
      <c r="K299" s="1227"/>
      <c r="L299" s="1227"/>
      <c r="M299" s="1227"/>
      <c r="N299" s="1227"/>
      <c r="O299" s="1228"/>
      <c r="P299" s="1227"/>
      <c r="Q299" s="1227"/>
      <c r="R299" s="693"/>
      <c r="S299" s="693"/>
      <c r="T299" s="1229"/>
      <c r="U299" s="1230"/>
      <c r="V299" s="1589"/>
      <c r="W299" s="1589"/>
      <c r="X299" s="1589"/>
      <c r="Y299" s="1589"/>
      <c r="Z299" s="1169"/>
      <c r="AA299" s="16"/>
      <c r="AB299" s="16"/>
      <c r="AC299" s="160"/>
      <c r="AD299" s="160"/>
      <c r="AE299" s="951"/>
      <c r="AF299" s="160"/>
      <c r="AG299" s="160"/>
      <c r="AH299" s="160"/>
      <c r="AI299" s="160"/>
      <c r="AJ299" s="160"/>
      <c r="AK299" s="160"/>
      <c r="AL299" s="160"/>
      <c r="AM299" s="160"/>
      <c r="AN299" s="160"/>
      <c r="AO299" s="160"/>
      <c r="AP299" s="160"/>
      <c r="AQ299" s="160"/>
      <c r="AR299" s="160"/>
      <c r="AS299" s="160"/>
      <c r="AT299" s="160"/>
      <c r="AU299" s="160"/>
      <c r="AV299" s="160"/>
      <c r="AW299" s="160"/>
      <c r="AX299" s="160"/>
      <c r="AY299" s="160"/>
      <c r="AZ299" s="160"/>
      <c r="BA299" s="160"/>
      <c r="BB299" s="160"/>
      <c r="BC299" s="160"/>
      <c r="BD299" s="160"/>
      <c r="BE299" s="160"/>
      <c r="BF299" s="160"/>
      <c r="BG299" s="160"/>
      <c r="BH299" s="160"/>
      <c r="BI299" s="160"/>
      <c r="BJ299" s="160"/>
      <c r="BK299" s="160"/>
      <c r="BL299" s="160"/>
      <c r="BM299" s="446"/>
      <c r="BN299" s="446"/>
      <c r="BO299" s="446"/>
      <c r="BP299" s="446"/>
      <c r="BQ299" s="446"/>
      <c r="BR299" s="446"/>
      <c r="BS299" s="446"/>
      <c r="BT299" s="446"/>
      <c r="BU299" s="446"/>
      <c r="BV299" s="1225"/>
      <c r="BW299" s="446"/>
      <c r="BX299" s="446"/>
      <c r="BY299" s="446"/>
      <c r="BZ299" s="446"/>
      <c r="CA299" s="446"/>
      <c r="CB299" s="446"/>
      <c r="CC299" s="446"/>
      <c r="CD299" s="446"/>
      <c r="CE299" s="446"/>
      <c r="CF299" s="446"/>
      <c r="CG299" s="446"/>
      <c r="CH299" s="446"/>
      <c r="CI299" s="446"/>
      <c r="CJ299" s="446"/>
      <c r="CK299" s="446"/>
      <c r="CL299" s="446"/>
      <c r="CM299" s="446"/>
      <c r="CN299" s="446"/>
      <c r="CO299" s="446"/>
      <c r="CP299" s="446"/>
      <c r="CQ299" s="446"/>
      <c r="CR299" s="446"/>
      <c r="CS299" s="446"/>
      <c r="CT299" s="446"/>
      <c r="CU299" s="446"/>
      <c r="CV299" s="445"/>
      <c r="CW299" s="117"/>
      <c r="CX299" s="445"/>
      <c r="CY299" s="446"/>
      <c r="CZ299" s="446"/>
      <c r="DA299" s="446"/>
      <c r="DB299" s="446"/>
      <c r="DC299" s="446"/>
      <c r="DD299" s="446"/>
      <c r="DE299" s="446"/>
      <c r="DF299" s="446"/>
      <c r="DG299" s="446"/>
      <c r="DH299" s="446"/>
      <c r="DI299" s="446"/>
      <c r="DJ299" s="446"/>
      <c r="DK299" s="446"/>
      <c r="DL299" s="446"/>
      <c r="DM299" s="446"/>
      <c r="DN299" s="446"/>
      <c r="DO299" s="446"/>
      <c r="DP299" s="446"/>
      <c r="DQ299" s="446"/>
      <c r="DR299" s="446"/>
      <c r="DS299" s="446"/>
      <c r="DT299" s="446"/>
      <c r="DU299" s="446"/>
      <c r="DV299" s="446"/>
      <c r="DW299" s="446"/>
      <c r="DX299" s="446"/>
      <c r="DY299" s="446"/>
    </row>
    <row r="300" spans="1:129" s="112" customFormat="1" ht="12.6">
      <c r="A300" s="16"/>
      <c r="B300" s="16"/>
      <c r="E300" s="1226"/>
      <c r="F300" s="1227"/>
      <c r="G300" s="1227"/>
      <c r="H300" s="1227"/>
      <c r="I300" s="1227"/>
      <c r="J300" s="1227"/>
      <c r="K300" s="1227"/>
      <c r="L300" s="1227"/>
      <c r="M300" s="1227"/>
      <c r="N300" s="1227"/>
      <c r="O300" s="1228"/>
      <c r="P300" s="1227"/>
      <c r="Q300" s="1227"/>
      <c r="R300" s="693"/>
      <c r="S300" s="693"/>
      <c r="T300" s="1229"/>
      <c r="U300" s="1230"/>
      <c r="V300" s="1589"/>
      <c r="W300" s="1589"/>
      <c r="X300" s="1589"/>
      <c r="Y300" s="1589"/>
      <c r="Z300" s="1169"/>
      <c r="AA300" s="16"/>
      <c r="AB300" s="16"/>
      <c r="AC300" s="160"/>
      <c r="AD300" s="160"/>
      <c r="AE300" s="951"/>
      <c r="AF300" s="160"/>
      <c r="AG300" s="160"/>
      <c r="AH300" s="160"/>
      <c r="AI300" s="160"/>
      <c r="AJ300" s="160"/>
      <c r="AK300" s="160"/>
      <c r="AL300" s="160"/>
      <c r="AM300" s="160"/>
      <c r="AN300" s="160"/>
      <c r="AO300" s="160"/>
      <c r="AP300" s="160"/>
      <c r="AQ300" s="160"/>
      <c r="AR300" s="160"/>
      <c r="AS300" s="160"/>
      <c r="AT300" s="160"/>
      <c r="AU300" s="160"/>
      <c r="AV300" s="160"/>
      <c r="AW300" s="160"/>
      <c r="AX300" s="160"/>
      <c r="AY300" s="160"/>
      <c r="AZ300" s="160"/>
      <c r="BA300" s="160"/>
      <c r="BB300" s="160"/>
      <c r="BC300" s="160"/>
      <c r="BD300" s="160"/>
      <c r="BE300" s="160"/>
      <c r="BF300" s="160"/>
      <c r="BG300" s="160"/>
      <c r="BH300" s="160"/>
      <c r="BI300" s="160"/>
      <c r="BJ300" s="160"/>
      <c r="BK300" s="160"/>
      <c r="BL300" s="160"/>
      <c r="BM300" s="446"/>
      <c r="BN300" s="446"/>
      <c r="BO300" s="446"/>
      <c r="BP300" s="446"/>
      <c r="BQ300" s="446"/>
      <c r="BR300" s="446"/>
      <c r="BS300" s="446"/>
      <c r="BT300" s="446"/>
      <c r="BU300" s="446"/>
      <c r="BV300" s="1225"/>
      <c r="BW300" s="446"/>
      <c r="BX300" s="446"/>
      <c r="BY300" s="446"/>
      <c r="BZ300" s="446"/>
      <c r="CA300" s="446"/>
      <c r="CB300" s="446"/>
      <c r="CC300" s="446"/>
      <c r="CD300" s="446"/>
      <c r="CE300" s="446"/>
      <c r="CF300" s="446"/>
      <c r="CG300" s="446"/>
      <c r="CH300" s="446"/>
      <c r="CI300" s="446"/>
      <c r="CJ300" s="446"/>
      <c r="CK300" s="446"/>
      <c r="CL300" s="446"/>
      <c r="CM300" s="446"/>
      <c r="CN300" s="446"/>
      <c r="CO300" s="446"/>
      <c r="CP300" s="446"/>
      <c r="CQ300" s="446"/>
      <c r="CR300" s="446"/>
      <c r="CS300" s="446"/>
      <c r="CT300" s="446"/>
      <c r="CU300" s="446"/>
      <c r="CV300" s="445"/>
      <c r="CW300" s="117"/>
      <c r="CX300" s="445"/>
      <c r="CY300" s="446"/>
      <c r="CZ300" s="446"/>
      <c r="DA300" s="446"/>
      <c r="DB300" s="446"/>
      <c r="DC300" s="446"/>
      <c r="DD300" s="446"/>
      <c r="DE300" s="446"/>
      <c r="DF300" s="446"/>
      <c r="DG300" s="446"/>
      <c r="DH300" s="446"/>
      <c r="DI300" s="446"/>
      <c r="DJ300" s="446"/>
      <c r="DK300" s="446"/>
      <c r="DL300" s="446"/>
      <c r="DM300" s="446"/>
      <c r="DN300" s="446"/>
      <c r="DO300" s="446"/>
      <c r="DP300" s="446"/>
      <c r="DQ300" s="446"/>
      <c r="DR300" s="446"/>
      <c r="DS300" s="446"/>
      <c r="DT300" s="446"/>
      <c r="DU300" s="446"/>
      <c r="DV300" s="446"/>
      <c r="DW300" s="446"/>
      <c r="DX300" s="446"/>
      <c r="DY300" s="446"/>
    </row>
    <row r="301" spans="1:129" s="112" customFormat="1" ht="12.6">
      <c r="A301" s="16"/>
      <c r="B301" s="16"/>
      <c r="E301" s="1226"/>
      <c r="F301" s="1227"/>
      <c r="G301" s="1227"/>
      <c r="H301" s="1227"/>
      <c r="I301" s="1227"/>
      <c r="J301" s="1227"/>
      <c r="K301" s="1227"/>
      <c r="L301" s="1227"/>
      <c r="M301" s="1227"/>
      <c r="N301" s="1227"/>
      <c r="O301" s="1228"/>
      <c r="P301" s="1227"/>
      <c r="Q301" s="1227"/>
      <c r="R301" s="693"/>
      <c r="S301" s="693"/>
      <c r="T301" s="1229"/>
      <c r="U301" s="1230"/>
      <c r="V301" s="1589"/>
      <c r="W301" s="1589"/>
      <c r="X301" s="1589"/>
      <c r="Y301" s="1589"/>
      <c r="Z301" s="1169"/>
      <c r="AA301" s="16"/>
      <c r="AB301" s="16"/>
      <c r="AC301" s="160"/>
      <c r="AD301" s="160"/>
      <c r="AE301" s="951"/>
      <c r="AF301" s="160"/>
      <c r="AG301" s="160"/>
      <c r="AH301" s="160"/>
      <c r="AI301" s="160"/>
      <c r="AJ301" s="160"/>
      <c r="AK301" s="160"/>
      <c r="AL301" s="160"/>
      <c r="AM301" s="160"/>
      <c r="AN301" s="160"/>
      <c r="AO301" s="160"/>
      <c r="AP301" s="160"/>
      <c r="AQ301" s="160"/>
      <c r="AR301" s="160"/>
      <c r="AS301" s="160"/>
      <c r="AT301" s="160"/>
      <c r="AU301" s="160"/>
      <c r="AV301" s="160"/>
      <c r="AW301" s="160"/>
      <c r="AX301" s="160"/>
      <c r="AY301" s="160"/>
      <c r="AZ301" s="160"/>
      <c r="BA301" s="160"/>
      <c r="BB301" s="160"/>
      <c r="BC301" s="160"/>
      <c r="BD301" s="160"/>
      <c r="BE301" s="160"/>
      <c r="BF301" s="160"/>
      <c r="BG301" s="160"/>
      <c r="BH301" s="160"/>
      <c r="BI301" s="160"/>
      <c r="BJ301" s="160"/>
      <c r="BK301" s="160"/>
      <c r="BL301" s="160"/>
      <c r="BM301" s="446"/>
      <c r="BN301" s="446"/>
      <c r="BO301" s="446"/>
      <c r="BP301" s="446"/>
      <c r="BQ301" s="446"/>
      <c r="BR301" s="446"/>
      <c r="BS301" s="446"/>
      <c r="BT301" s="446"/>
      <c r="BU301" s="446"/>
      <c r="BV301" s="1225"/>
      <c r="BW301" s="446"/>
      <c r="BX301" s="446"/>
      <c r="BY301" s="446"/>
      <c r="BZ301" s="446"/>
      <c r="CA301" s="446"/>
      <c r="CB301" s="446"/>
      <c r="CC301" s="446"/>
      <c r="CD301" s="446"/>
      <c r="CE301" s="446"/>
      <c r="CF301" s="446"/>
      <c r="CG301" s="446"/>
      <c r="CH301" s="446"/>
      <c r="CI301" s="446"/>
      <c r="CJ301" s="446"/>
      <c r="CK301" s="446"/>
      <c r="CL301" s="446"/>
      <c r="CM301" s="446"/>
      <c r="CN301" s="446"/>
      <c r="CO301" s="446"/>
      <c r="CP301" s="446"/>
      <c r="CQ301" s="446"/>
      <c r="CR301" s="446"/>
      <c r="CS301" s="446"/>
      <c r="CT301" s="446"/>
      <c r="CU301" s="446"/>
      <c r="CV301" s="445"/>
      <c r="CW301" s="117"/>
      <c r="CX301" s="445"/>
      <c r="CY301" s="446"/>
      <c r="CZ301" s="446"/>
      <c r="DA301" s="446"/>
      <c r="DB301" s="446"/>
      <c r="DC301" s="446"/>
      <c r="DD301" s="446"/>
      <c r="DE301" s="446"/>
      <c r="DF301" s="446"/>
      <c r="DG301" s="446"/>
      <c r="DH301" s="446"/>
      <c r="DI301" s="446"/>
      <c r="DJ301" s="446"/>
      <c r="DK301" s="446"/>
      <c r="DL301" s="446"/>
      <c r="DM301" s="446"/>
      <c r="DN301" s="446"/>
      <c r="DO301" s="446"/>
      <c r="DP301" s="446"/>
      <c r="DQ301" s="446"/>
      <c r="DR301" s="446"/>
      <c r="DS301" s="446"/>
      <c r="DT301" s="446"/>
      <c r="DU301" s="446"/>
      <c r="DV301" s="446"/>
      <c r="DW301" s="446"/>
      <c r="DX301" s="446"/>
      <c r="DY301" s="446"/>
    </row>
    <row r="302" spans="1:129" s="112" customFormat="1" ht="12.6">
      <c r="A302" s="16"/>
      <c r="B302" s="16"/>
      <c r="E302" s="1226"/>
      <c r="F302" s="1227"/>
      <c r="G302" s="1227"/>
      <c r="H302" s="1227"/>
      <c r="I302" s="1227"/>
      <c r="J302" s="1227"/>
      <c r="K302" s="1227"/>
      <c r="L302" s="1227"/>
      <c r="M302" s="1227"/>
      <c r="N302" s="1227"/>
      <c r="O302" s="1228"/>
      <c r="P302" s="1227"/>
      <c r="Q302" s="1227"/>
      <c r="R302" s="693"/>
      <c r="S302" s="693"/>
      <c r="T302" s="1229"/>
      <c r="U302" s="1230"/>
      <c r="V302" s="1589"/>
      <c r="W302" s="1589"/>
      <c r="X302" s="1589"/>
      <c r="Y302" s="1589"/>
      <c r="Z302" s="1169"/>
      <c r="AA302" s="16"/>
      <c r="AB302" s="16"/>
      <c r="AC302" s="160"/>
      <c r="AD302" s="160"/>
      <c r="AE302" s="951"/>
      <c r="AF302" s="160"/>
      <c r="AG302" s="160"/>
      <c r="AH302" s="160"/>
      <c r="AI302" s="160"/>
      <c r="AJ302" s="160"/>
      <c r="AK302" s="160"/>
      <c r="AL302" s="160"/>
      <c r="AM302" s="160"/>
      <c r="AN302" s="160"/>
      <c r="AO302" s="160"/>
      <c r="AP302" s="160"/>
      <c r="AQ302" s="160"/>
      <c r="AR302" s="160"/>
      <c r="AS302" s="160"/>
      <c r="AT302" s="160"/>
      <c r="AU302" s="160"/>
      <c r="AV302" s="160"/>
      <c r="AW302" s="160"/>
      <c r="AX302" s="160"/>
      <c r="AY302" s="160"/>
      <c r="AZ302" s="160"/>
      <c r="BA302" s="160"/>
      <c r="BB302" s="160"/>
      <c r="BC302" s="160"/>
      <c r="BD302" s="160"/>
      <c r="BE302" s="160"/>
      <c r="BF302" s="160"/>
      <c r="BG302" s="160"/>
      <c r="BH302" s="160"/>
      <c r="BI302" s="160"/>
      <c r="BJ302" s="160"/>
      <c r="BK302" s="160"/>
      <c r="BL302" s="160"/>
      <c r="BM302" s="446"/>
      <c r="BN302" s="446"/>
      <c r="BO302" s="446"/>
      <c r="BP302" s="446"/>
      <c r="BQ302" s="446"/>
      <c r="BR302" s="446"/>
      <c r="BS302" s="446"/>
      <c r="BT302" s="446"/>
      <c r="BU302" s="446"/>
      <c r="BV302" s="1225"/>
      <c r="BW302" s="446"/>
      <c r="BX302" s="446"/>
      <c r="BY302" s="446"/>
      <c r="BZ302" s="446"/>
      <c r="CA302" s="446"/>
      <c r="CB302" s="446"/>
      <c r="CC302" s="446"/>
      <c r="CD302" s="446"/>
      <c r="CE302" s="446"/>
      <c r="CF302" s="446"/>
      <c r="CG302" s="446"/>
      <c r="CH302" s="446"/>
      <c r="CI302" s="446"/>
      <c r="CJ302" s="446"/>
      <c r="CK302" s="446"/>
      <c r="CL302" s="446"/>
      <c r="CM302" s="446"/>
      <c r="CN302" s="446"/>
      <c r="CO302" s="446"/>
      <c r="CP302" s="446"/>
      <c r="CQ302" s="446"/>
      <c r="CR302" s="446"/>
      <c r="CS302" s="446"/>
      <c r="CT302" s="446"/>
      <c r="CU302" s="446"/>
      <c r="CV302" s="445"/>
      <c r="CW302" s="117"/>
      <c r="CX302" s="445"/>
      <c r="CY302" s="446"/>
      <c r="CZ302" s="446"/>
      <c r="DA302" s="446"/>
      <c r="DB302" s="446"/>
      <c r="DC302" s="446"/>
      <c r="DD302" s="446"/>
      <c r="DE302" s="446"/>
      <c r="DF302" s="446"/>
      <c r="DG302" s="446"/>
      <c r="DH302" s="446"/>
      <c r="DI302" s="446"/>
      <c r="DJ302" s="446"/>
      <c r="DK302" s="446"/>
      <c r="DL302" s="446"/>
      <c r="DM302" s="446"/>
      <c r="DN302" s="446"/>
      <c r="DO302" s="446"/>
      <c r="DP302" s="446"/>
      <c r="DQ302" s="446"/>
      <c r="DR302" s="446"/>
      <c r="DS302" s="446"/>
      <c r="DT302" s="446"/>
      <c r="DU302" s="446"/>
      <c r="DV302" s="446"/>
      <c r="DW302" s="446"/>
      <c r="DX302" s="446"/>
      <c r="DY302" s="446"/>
    </row>
    <row r="303" spans="1:129" s="112" customFormat="1" ht="12.6">
      <c r="A303" s="16"/>
      <c r="B303" s="16"/>
      <c r="E303" s="1226"/>
      <c r="F303" s="1227"/>
      <c r="G303" s="1227"/>
      <c r="H303" s="1227"/>
      <c r="I303" s="1227"/>
      <c r="J303" s="1227"/>
      <c r="K303" s="1227"/>
      <c r="L303" s="1227"/>
      <c r="M303" s="1227"/>
      <c r="N303" s="1227"/>
      <c r="O303" s="1228"/>
      <c r="P303" s="1227"/>
      <c r="Q303" s="1227"/>
      <c r="R303" s="693"/>
      <c r="S303" s="693"/>
      <c r="T303" s="1229"/>
      <c r="U303" s="1230"/>
      <c r="V303" s="1589"/>
      <c r="W303" s="1589"/>
      <c r="X303" s="1589"/>
      <c r="Y303" s="1589"/>
      <c r="Z303" s="1169"/>
      <c r="AA303" s="16"/>
      <c r="AB303" s="16"/>
      <c r="AC303" s="160"/>
      <c r="AD303" s="160"/>
      <c r="AE303" s="951"/>
      <c r="AF303" s="160"/>
      <c r="AG303" s="160"/>
      <c r="AH303" s="160"/>
      <c r="AI303" s="160"/>
      <c r="AJ303" s="160"/>
      <c r="AK303" s="160"/>
      <c r="AL303" s="160"/>
      <c r="AM303" s="160"/>
      <c r="AN303" s="160"/>
      <c r="AO303" s="160"/>
      <c r="AP303" s="160"/>
      <c r="AQ303" s="160"/>
      <c r="AR303" s="160"/>
      <c r="AS303" s="160"/>
      <c r="AT303" s="160"/>
      <c r="AU303" s="160"/>
      <c r="AV303" s="160"/>
      <c r="AW303" s="160"/>
      <c r="AX303" s="160"/>
      <c r="AY303" s="160"/>
      <c r="AZ303" s="160"/>
      <c r="BA303" s="160"/>
      <c r="BB303" s="160"/>
      <c r="BC303" s="160"/>
      <c r="BD303" s="160"/>
      <c r="BE303" s="160"/>
      <c r="BF303" s="160"/>
      <c r="BG303" s="160"/>
      <c r="BH303" s="160"/>
      <c r="BI303" s="160"/>
      <c r="BJ303" s="160"/>
      <c r="BK303" s="160"/>
      <c r="BL303" s="160"/>
      <c r="BM303" s="446"/>
      <c r="BN303" s="446"/>
      <c r="BO303" s="446"/>
      <c r="BP303" s="446"/>
      <c r="BQ303" s="446"/>
      <c r="BR303" s="446"/>
      <c r="BS303" s="446"/>
      <c r="BT303" s="446"/>
      <c r="BU303" s="446"/>
      <c r="BV303" s="1225"/>
      <c r="BW303" s="446"/>
      <c r="BX303" s="446"/>
      <c r="BY303" s="446"/>
      <c r="BZ303" s="446"/>
      <c r="CA303" s="446"/>
      <c r="CB303" s="446"/>
      <c r="CC303" s="446"/>
      <c r="CD303" s="446"/>
      <c r="CE303" s="446"/>
      <c r="CF303" s="446"/>
      <c r="CG303" s="446"/>
      <c r="CH303" s="446"/>
      <c r="CI303" s="446"/>
      <c r="CJ303" s="446"/>
      <c r="CK303" s="446"/>
      <c r="CL303" s="446"/>
      <c r="CM303" s="446"/>
      <c r="CN303" s="446"/>
      <c r="CO303" s="446"/>
      <c r="CP303" s="446"/>
      <c r="CQ303" s="446"/>
      <c r="CR303" s="446"/>
      <c r="CS303" s="446"/>
      <c r="CT303" s="446"/>
      <c r="CU303" s="446"/>
      <c r="CV303" s="445"/>
      <c r="CW303" s="117"/>
      <c r="CX303" s="445"/>
      <c r="CY303" s="446"/>
      <c r="CZ303" s="446"/>
      <c r="DA303" s="446"/>
      <c r="DB303" s="446"/>
      <c r="DC303" s="446"/>
      <c r="DD303" s="446"/>
      <c r="DE303" s="446"/>
      <c r="DF303" s="446"/>
      <c r="DG303" s="446"/>
      <c r="DH303" s="446"/>
      <c r="DI303" s="446"/>
      <c r="DJ303" s="446"/>
      <c r="DK303" s="446"/>
      <c r="DL303" s="446"/>
      <c r="DM303" s="446"/>
      <c r="DN303" s="446"/>
      <c r="DO303" s="446"/>
      <c r="DP303" s="446"/>
      <c r="DQ303" s="446"/>
      <c r="DR303" s="446"/>
      <c r="DS303" s="446"/>
      <c r="DT303" s="446"/>
      <c r="DU303" s="446"/>
      <c r="DV303" s="446"/>
      <c r="DW303" s="446"/>
      <c r="DX303" s="446"/>
      <c r="DY303" s="446"/>
    </row>
    <row r="304" spans="1:129" s="112" customFormat="1" ht="12.6">
      <c r="A304" s="16"/>
      <c r="B304" s="16"/>
      <c r="E304" s="1226"/>
      <c r="F304" s="1227"/>
      <c r="G304" s="1227"/>
      <c r="H304" s="1227"/>
      <c r="I304" s="1227"/>
      <c r="J304" s="1227"/>
      <c r="K304" s="1227"/>
      <c r="L304" s="1227"/>
      <c r="M304" s="1227"/>
      <c r="N304" s="1227"/>
      <c r="O304" s="1228"/>
      <c r="P304" s="1227"/>
      <c r="Q304" s="1227"/>
      <c r="R304" s="693"/>
      <c r="S304" s="693"/>
      <c r="T304" s="1229"/>
      <c r="U304" s="1230"/>
      <c r="V304" s="1589"/>
      <c r="W304" s="1589"/>
      <c r="X304" s="1589"/>
      <c r="Y304" s="1589"/>
      <c r="Z304" s="1169"/>
      <c r="AA304" s="16"/>
      <c r="AB304" s="16"/>
      <c r="AC304" s="160"/>
      <c r="AD304" s="160"/>
      <c r="AE304" s="951"/>
      <c r="AF304" s="160"/>
      <c r="AG304" s="160"/>
      <c r="AH304" s="160"/>
      <c r="AI304" s="160"/>
      <c r="AJ304" s="160"/>
      <c r="AK304" s="160"/>
      <c r="AL304" s="160"/>
      <c r="AM304" s="160"/>
      <c r="AN304" s="160"/>
      <c r="AO304" s="160"/>
      <c r="AP304" s="160"/>
      <c r="AQ304" s="160"/>
      <c r="AR304" s="160"/>
      <c r="AS304" s="160"/>
      <c r="AT304" s="160"/>
      <c r="AU304" s="160"/>
      <c r="AV304" s="160"/>
      <c r="AW304" s="160"/>
      <c r="AX304" s="160"/>
      <c r="AY304" s="160"/>
      <c r="AZ304" s="160"/>
      <c r="BA304" s="160"/>
      <c r="BB304" s="160"/>
      <c r="BC304" s="160"/>
      <c r="BD304" s="160"/>
      <c r="BE304" s="160"/>
      <c r="BF304" s="160"/>
      <c r="BG304" s="160"/>
      <c r="BH304" s="160"/>
      <c r="BI304" s="160"/>
      <c r="BJ304" s="160"/>
      <c r="BK304" s="160"/>
      <c r="BL304" s="160"/>
      <c r="BM304" s="446"/>
      <c r="BN304" s="446"/>
      <c r="BO304" s="446"/>
      <c r="BP304" s="446"/>
      <c r="BQ304" s="446"/>
      <c r="BR304" s="446"/>
      <c r="BS304" s="446"/>
      <c r="BT304" s="446"/>
      <c r="BU304" s="446"/>
      <c r="BV304" s="1225"/>
      <c r="BW304" s="446"/>
      <c r="BX304" s="446"/>
      <c r="BY304" s="446"/>
      <c r="BZ304" s="446"/>
      <c r="CA304" s="446"/>
      <c r="CB304" s="446"/>
      <c r="CC304" s="446"/>
      <c r="CD304" s="446"/>
      <c r="CE304" s="446"/>
      <c r="CF304" s="446"/>
      <c r="CG304" s="446"/>
      <c r="CH304" s="446"/>
      <c r="CI304" s="446"/>
      <c r="CJ304" s="446"/>
      <c r="CK304" s="446"/>
      <c r="CL304" s="446"/>
      <c r="CM304" s="446"/>
      <c r="CN304" s="446"/>
      <c r="CO304" s="446"/>
      <c r="CP304" s="446"/>
      <c r="CQ304" s="446"/>
      <c r="CR304" s="446"/>
      <c r="CS304" s="446"/>
      <c r="CT304" s="446"/>
      <c r="CU304" s="446"/>
      <c r="CV304" s="445"/>
      <c r="CW304" s="117"/>
      <c r="CX304" s="445"/>
      <c r="CY304" s="446"/>
      <c r="CZ304" s="446"/>
      <c r="DA304" s="446"/>
      <c r="DB304" s="446"/>
      <c r="DC304" s="446"/>
      <c r="DD304" s="446"/>
      <c r="DE304" s="446"/>
      <c r="DF304" s="446"/>
      <c r="DG304" s="446"/>
      <c r="DH304" s="446"/>
      <c r="DI304" s="446"/>
      <c r="DJ304" s="446"/>
      <c r="DK304" s="446"/>
      <c r="DL304" s="446"/>
      <c r="DM304" s="446"/>
      <c r="DN304" s="446"/>
      <c r="DO304" s="446"/>
      <c r="DP304" s="446"/>
      <c r="DQ304" s="446"/>
      <c r="DR304" s="446"/>
      <c r="DS304" s="446"/>
      <c r="DT304" s="446"/>
      <c r="DU304" s="446"/>
      <c r="DV304" s="446"/>
      <c r="DW304" s="446"/>
      <c r="DX304" s="446"/>
      <c r="DY304" s="446"/>
    </row>
    <row r="305" spans="1:129" s="112" customFormat="1" ht="12.6">
      <c r="A305" s="16"/>
      <c r="B305" s="16"/>
      <c r="E305" s="1226"/>
      <c r="F305" s="1227"/>
      <c r="G305" s="1227"/>
      <c r="H305" s="1227"/>
      <c r="I305" s="1227"/>
      <c r="J305" s="1227"/>
      <c r="K305" s="1227"/>
      <c r="L305" s="1227"/>
      <c r="M305" s="1227"/>
      <c r="N305" s="1227"/>
      <c r="O305" s="1228"/>
      <c r="P305" s="1227"/>
      <c r="Q305" s="1227"/>
      <c r="R305" s="693"/>
      <c r="S305" s="693"/>
      <c r="T305" s="1229"/>
      <c r="U305" s="1230"/>
      <c r="V305" s="1589"/>
      <c r="W305" s="1589"/>
      <c r="X305" s="1589"/>
      <c r="Y305" s="1589"/>
      <c r="Z305" s="1169"/>
      <c r="AA305" s="16"/>
      <c r="AB305" s="16"/>
      <c r="AC305" s="160"/>
      <c r="AD305" s="160"/>
      <c r="AE305" s="951"/>
      <c r="AF305" s="160"/>
      <c r="AG305" s="160"/>
      <c r="AH305" s="160"/>
      <c r="AI305" s="160"/>
      <c r="AJ305" s="160"/>
      <c r="AK305" s="160"/>
      <c r="AL305" s="160"/>
      <c r="AM305" s="160"/>
      <c r="AN305" s="160"/>
      <c r="AO305" s="160"/>
      <c r="AP305" s="160"/>
      <c r="AQ305" s="160"/>
      <c r="AR305" s="160"/>
      <c r="AS305" s="160"/>
      <c r="AT305" s="160"/>
      <c r="AU305" s="160"/>
      <c r="AV305" s="160"/>
      <c r="AW305" s="160"/>
      <c r="AX305" s="160"/>
      <c r="AY305" s="160"/>
      <c r="AZ305" s="160"/>
      <c r="BA305" s="160"/>
      <c r="BB305" s="160"/>
      <c r="BC305" s="160"/>
      <c r="BD305" s="160"/>
      <c r="BE305" s="160"/>
      <c r="BF305" s="160"/>
      <c r="BG305" s="160"/>
      <c r="BH305" s="160"/>
      <c r="BI305" s="160"/>
      <c r="BJ305" s="160"/>
      <c r="BK305" s="160"/>
      <c r="BL305" s="160"/>
      <c r="BM305" s="446"/>
      <c r="BN305" s="446"/>
      <c r="BO305" s="446"/>
      <c r="BP305" s="446"/>
      <c r="BQ305" s="446"/>
      <c r="BR305" s="446"/>
      <c r="BS305" s="446"/>
      <c r="BT305" s="446"/>
      <c r="BU305" s="446"/>
      <c r="BV305" s="1225"/>
      <c r="BW305" s="446"/>
      <c r="BX305" s="446"/>
      <c r="BY305" s="446"/>
      <c r="BZ305" s="446"/>
      <c r="CA305" s="446"/>
      <c r="CB305" s="446"/>
      <c r="CC305" s="446"/>
      <c r="CD305" s="446"/>
      <c r="CE305" s="446"/>
      <c r="CF305" s="446"/>
      <c r="CG305" s="446"/>
      <c r="CH305" s="446"/>
      <c r="CI305" s="446"/>
      <c r="CJ305" s="446"/>
      <c r="CK305" s="446"/>
      <c r="CL305" s="446"/>
      <c r="CM305" s="446"/>
      <c r="CN305" s="446"/>
      <c r="CO305" s="446"/>
      <c r="CP305" s="446"/>
      <c r="CQ305" s="446"/>
      <c r="CR305" s="446"/>
      <c r="CS305" s="446"/>
      <c r="CT305" s="446"/>
      <c r="CU305" s="446"/>
      <c r="CV305" s="445"/>
      <c r="CW305" s="117"/>
      <c r="CX305" s="445"/>
      <c r="CY305" s="446"/>
      <c r="CZ305" s="446"/>
      <c r="DA305" s="446"/>
      <c r="DB305" s="446"/>
      <c r="DC305" s="446"/>
      <c r="DD305" s="446"/>
      <c r="DE305" s="446"/>
      <c r="DF305" s="446"/>
      <c r="DG305" s="446"/>
      <c r="DH305" s="446"/>
      <c r="DI305" s="446"/>
      <c r="DJ305" s="446"/>
      <c r="DK305" s="446"/>
      <c r="DL305" s="446"/>
      <c r="DM305" s="446"/>
      <c r="DN305" s="446"/>
      <c r="DO305" s="446"/>
      <c r="DP305" s="446"/>
      <c r="DQ305" s="446"/>
      <c r="DR305" s="446"/>
      <c r="DS305" s="446"/>
      <c r="DT305" s="446"/>
      <c r="DU305" s="446"/>
      <c r="DV305" s="446"/>
      <c r="DW305" s="446"/>
      <c r="DX305" s="446"/>
      <c r="DY305" s="446"/>
    </row>
    <row r="306" spans="1:129" s="112" customFormat="1" ht="12.6">
      <c r="A306" s="16"/>
      <c r="B306" s="16"/>
      <c r="E306" s="1226"/>
      <c r="F306" s="1227"/>
      <c r="G306" s="1227"/>
      <c r="H306" s="1227"/>
      <c r="I306" s="1227"/>
      <c r="J306" s="1227"/>
      <c r="K306" s="1227"/>
      <c r="L306" s="1227"/>
      <c r="M306" s="1227"/>
      <c r="N306" s="1227"/>
      <c r="O306" s="1228"/>
      <c r="P306" s="1227"/>
      <c r="Q306" s="1227"/>
      <c r="R306" s="693"/>
      <c r="S306" s="693"/>
      <c r="T306" s="1229"/>
      <c r="U306" s="1230"/>
      <c r="V306" s="1589"/>
      <c r="W306" s="1589"/>
      <c r="X306" s="1589"/>
      <c r="Y306" s="1589"/>
      <c r="Z306" s="1169"/>
      <c r="AA306" s="16"/>
      <c r="AB306" s="16"/>
      <c r="AC306" s="160"/>
      <c r="AD306" s="160"/>
      <c r="AE306" s="951"/>
      <c r="AF306" s="160"/>
      <c r="AG306" s="160"/>
      <c r="AH306" s="160"/>
      <c r="AI306" s="160"/>
      <c r="AJ306" s="160"/>
      <c r="AK306" s="160"/>
      <c r="AL306" s="160"/>
      <c r="AM306" s="160"/>
      <c r="AN306" s="160"/>
      <c r="AO306" s="160"/>
      <c r="AP306" s="160"/>
      <c r="AQ306" s="160"/>
      <c r="AR306" s="160"/>
      <c r="AS306" s="160"/>
      <c r="AT306" s="160"/>
      <c r="AU306" s="160"/>
      <c r="AV306" s="160"/>
      <c r="AW306" s="160"/>
      <c r="AX306" s="160"/>
      <c r="AY306" s="160"/>
      <c r="AZ306" s="160"/>
      <c r="BA306" s="160"/>
      <c r="BB306" s="160"/>
      <c r="BC306" s="160"/>
      <c r="BD306" s="160"/>
      <c r="BE306" s="160"/>
      <c r="BF306" s="160"/>
      <c r="BG306" s="160"/>
      <c r="BH306" s="160"/>
      <c r="BI306" s="160"/>
      <c r="BJ306" s="160"/>
      <c r="BK306" s="160"/>
      <c r="BL306" s="160"/>
      <c r="BM306" s="446"/>
      <c r="BN306" s="446"/>
      <c r="BO306" s="446"/>
      <c r="BP306" s="446"/>
      <c r="BQ306" s="446"/>
      <c r="BR306" s="446"/>
      <c r="BS306" s="446"/>
      <c r="BT306" s="446"/>
      <c r="BU306" s="446"/>
      <c r="BV306" s="1225"/>
      <c r="BW306" s="446"/>
      <c r="BX306" s="446"/>
      <c r="BY306" s="446"/>
      <c r="BZ306" s="446"/>
      <c r="CA306" s="446"/>
      <c r="CB306" s="446"/>
      <c r="CC306" s="446"/>
      <c r="CD306" s="446"/>
      <c r="CE306" s="446"/>
      <c r="CF306" s="446"/>
      <c r="CG306" s="446"/>
      <c r="CH306" s="446"/>
      <c r="CI306" s="446"/>
      <c r="CJ306" s="446"/>
      <c r="CK306" s="446"/>
      <c r="CL306" s="446"/>
      <c r="CM306" s="446"/>
      <c r="CN306" s="446"/>
      <c r="CO306" s="446"/>
      <c r="CP306" s="446"/>
      <c r="CQ306" s="446"/>
      <c r="CR306" s="446"/>
      <c r="CS306" s="446"/>
      <c r="CT306" s="446"/>
      <c r="CU306" s="446"/>
      <c r="CV306" s="445"/>
      <c r="CW306" s="117"/>
      <c r="CX306" s="445"/>
      <c r="CY306" s="446"/>
      <c r="CZ306" s="446"/>
      <c r="DA306" s="446"/>
      <c r="DB306" s="446"/>
      <c r="DC306" s="446"/>
      <c r="DD306" s="446"/>
      <c r="DE306" s="446"/>
      <c r="DF306" s="446"/>
      <c r="DG306" s="446"/>
      <c r="DH306" s="446"/>
      <c r="DI306" s="446"/>
      <c r="DJ306" s="446"/>
      <c r="DK306" s="446"/>
      <c r="DL306" s="446"/>
      <c r="DM306" s="446"/>
      <c r="DN306" s="446"/>
      <c r="DO306" s="446"/>
      <c r="DP306" s="446"/>
      <c r="DQ306" s="446"/>
      <c r="DR306" s="446"/>
      <c r="DS306" s="446"/>
      <c r="DT306" s="446"/>
      <c r="DU306" s="446"/>
      <c r="DV306" s="446"/>
      <c r="DW306" s="446"/>
      <c r="DX306" s="446"/>
      <c r="DY306" s="446"/>
    </row>
    <row r="307" spans="1:129" s="112" customFormat="1" ht="12.6">
      <c r="A307" s="16"/>
      <c r="B307" s="16"/>
      <c r="E307" s="1226"/>
      <c r="F307" s="1227"/>
      <c r="G307" s="1227"/>
      <c r="H307" s="1227"/>
      <c r="I307" s="1227"/>
      <c r="J307" s="1227"/>
      <c r="K307" s="1227"/>
      <c r="L307" s="1227"/>
      <c r="M307" s="1227"/>
      <c r="N307" s="1227"/>
      <c r="O307" s="1228"/>
      <c r="P307" s="1227"/>
      <c r="Q307" s="1227"/>
      <c r="R307" s="693"/>
      <c r="S307" s="693"/>
      <c r="T307" s="1229"/>
      <c r="U307" s="1230"/>
      <c r="V307" s="1589"/>
      <c r="W307" s="1589"/>
      <c r="X307" s="1589"/>
      <c r="Y307" s="1589"/>
      <c r="Z307" s="1169"/>
      <c r="AA307" s="16"/>
      <c r="AB307" s="16"/>
      <c r="AC307" s="160"/>
      <c r="AD307" s="160"/>
      <c r="AE307" s="951"/>
      <c r="AF307" s="160"/>
      <c r="AG307" s="160"/>
      <c r="AH307" s="160"/>
      <c r="AI307" s="160"/>
      <c r="AJ307" s="160"/>
      <c r="AK307" s="160"/>
      <c r="AL307" s="160"/>
      <c r="AM307" s="160"/>
      <c r="AN307" s="160"/>
      <c r="AO307" s="160"/>
      <c r="AP307" s="160"/>
      <c r="AQ307" s="160"/>
      <c r="AR307" s="160"/>
      <c r="AS307" s="160"/>
      <c r="AT307" s="160"/>
      <c r="AU307" s="160"/>
      <c r="AV307" s="160"/>
      <c r="AW307" s="160"/>
      <c r="AX307" s="160"/>
      <c r="AY307" s="160"/>
      <c r="AZ307" s="160"/>
      <c r="BA307" s="160"/>
      <c r="BB307" s="160"/>
      <c r="BC307" s="160"/>
      <c r="BD307" s="160"/>
      <c r="BE307" s="160"/>
      <c r="BF307" s="160"/>
      <c r="BG307" s="160"/>
      <c r="BH307" s="160"/>
      <c r="BI307" s="160"/>
      <c r="BJ307" s="160"/>
      <c r="BK307" s="160"/>
      <c r="BL307" s="160"/>
      <c r="BM307" s="446"/>
      <c r="BN307" s="446"/>
      <c r="BO307" s="446"/>
      <c r="BP307" s="446"/>
      <c r="BQ307" s="446"/>
      <c r="BR307" s="446"/>
      <c r="BS307" s="446"/>
      <c r="BT307" s="446"/>
      <c r="BU307" s="446"/>
      <c r="BV307" s="1225"/>
      <c r="BW307" s="446"/>
      <c r="BX307" s="446"/>
      <c r="BY307" s="446"/>
      <c r="BZ307" s="446"/>
      <c r="CA307" s="446"/>
      <c r="CB307" s="446"/>
      <c r="CC307" s="446"/>
      <c r="CD307" s="446"/>
      <c r="CE307" s="446"/>
      <c r="CF307" s="446"/>
      <c r="CG307" s="446"/>
      <c r="CH307" s="446"/>
      <c r="CI307" s="446"/>
      <c r="CJ307" s="446"/>
      <c r="CK307" s="446"/>
      <c r="CL307" s="446"/>
      <c r="CM307" s="446"/>
      <c r="CN307" s="446"/>
      <c r="CO307" s="446"/>
      <c r="CP307" s="446"/>
      <c r="CQ307" s="446"/>
      <c r="CR307" s="446"/>
      <c r="CS307" s="446"/>
      <c r="CT307" s="446"/>
      <c r="CU307" s="446"/>
      <c r="CV307" s="445"/>
      <c r="CW307" s="117"/>
      <c r="CX307" s="445"/>
      <c r="CY307" s="446"/>
      <c r="CZ307" s="446"/>
      <c r="DA307" s="446"/>
      <c r="DB307" s="446"/>
      <c r="DC307" s="446"/>
      <c r="DD307" s="446"/>
      <c r="DE307" s="446"/>
      <c r="DF307" s="446"/>
      <c r="DG307" s="446"/>
      <c r="DH307" s="446"/>
      <c r="DI307" s="446"/>
      <c r="DJ307" s="446"/>
      <c r="DK307" s="446"/>
      <c r="DL307" s="446"/>
      <c r="DM307" s="446"/>
      <c r="DN307" s="446"/>
      <c r="DO307" s="446"/>
      <c r="DP307" s="446"/>
      <c r="DQ307" s="446"/>
      <c r="DR307" s="446"/>
      <c r="DS307" s="446"/>
      <c r="DT307" s="446"/>
      <c r="DU307" s="446"/>
      <c r="DV307" s="446"/>
      <c r="DW307" s="446"/>
      <c r="DX307" s="446"/>
      <c r="DY307" s="446"/>
    </row>
    <row r="308" spans="1:129" s="112" customFormat="1" ht="12.6">
      <c r="A308" s="16"/>
      <c r="B308" s="16"/>
      <c r="E308" s="1226"/>
      <c r="F308" s="1227"/>
      <c r="G308" s="1227"/>
      <c r="H308" s="1227"/>
      <c r="I308" s="1227"/>
      <c r="J308" s="1227"/>
      <c r="K308" s="1227"/>
      <c r="L308" s="1227"/>
      <c r="M308" s="1227"/>
      <c r="N308" s="1227"/>
      <c r="O308" s="1228"/>
      <c r="P308" s="1227"/>
      <c r="Q308" s="1227"/>
      <c r="R308" s="693"/>
      <c r="S308" s="693"/>
      <c r="T308" s="1229"/>
      <c r="U308" s="1230"/>
      <c r="V308" s="1589"/>
      <c r="W308" s="1589"/>
      <c r="X308" s="1589"/>
      <c r="Y308" s="1589"/>
      <c r="Z308" s="1169"/>
      <c r="AA308" s="16"/>
      <c r="AB308" s="16"/>
      <c r="AC308" s="160"/>
      <c r="AD308" s="160"/>
      <c r="AE308" s="951"/>
      <c r="AF308" s="160"/>
      <c r="AG308" s="160"/>
      <c r="AH308" s="160"/>
      <c r="AI308" s="160"/>
      <c r="AJ308" s="160"/>
      <c r="AK308" s="160"/>
      <c r="AL308" s="160"/>
      <c r="AM308" s="160"/>
      <c r="AN308" s="160"/>
      <c r="AO308" s="160"/>
      <c r="AP308" s="160"/>
      <c r="AQ308" s="160"/>
      <c r="AR308" s="160"/>
      <c r="AS308" s="160"/>
      <c r="AT308" s="160"/>
      <c r="AU308" s="160"/>
      <c r="AV308" s="160"/>
      <c r="AW308" s="160"/>
      <c r="AX308" s="160"/>
      <c r="AY308" s="160"/>
      <c r="AZ308" s="160"/>
      <c r="BA308" s="160"/>
      <c r="BB308" s="160"/>
      <c r="BC308" s="160"/>
      <c r="BD308" s="160"/>
      <c r="BE308" s="160"/>
      <c r="BF308" s="160"/>
      <c r="BG308" s="160"/>
      <c r="BH308" s="160"/>
      <c r="BI308" s="160"/>
      <c r="BJ308" s="160"/>
      <c r="BK308" s="160"/>
      <c r="BL308" s="160"/>
      <c r="BM308" s="446"/>
      <c r="BN308" s="446"/>
      <c r="BO308" s="446"/>
      <c r="BP308" s="446"/>
      <c r="BQ308" s="446"/>
      <c r="BR308" s="446"/>
      <c r="BS308" s="446"/>
      <c r="BT308" s="446"/>
      <c r="BU308" s="446"/>
      <c r="BV308" s="1225"/>
      <c r="BW308" s="446"/>
      <c r="BX308" s="446"/>
      <c r="BY308" s="446"/>
      <c r="BZ308" s="446"/>
      <c r="CA308" s="446"/>
      <c r="CB308" s="446"/>
      <c r="CC308" s="446"/>
      <c r="CD308" s="446"/>
      <c r="CE308" s="446"/>
      <c r="CF308" s="446"/>
      <c r="CG308" s="446"/>
      <c r="CH308" s="446"/>
      <c r="CI308" s="446"/>
      <c r="CJ308" s="446"/>
      <c r="CK308" s="446"/>
      <c r="CL308" s="446"/>
      <c r="CM308" s="446"/>
      <c r="CN308" s="446"/>
      <c r="CO308" s="446"/>
      <c r="CP308" s="446"/>
      <c r="CQ308" s="446"/>
      <c r="CR308" s="446"/>
      <c r="CS308" s="446"/>
      <c r="CT308" s="446"/>
      <c r="CU308" s="446"/>
      <c r="CV308" s="445"/>
      <c r="CW308" s="117"/>
      <c r="CX308" s="445"/>
      <c r="CY308" s="446"/>
      <c r="CZ308" s="446"/>
      <c r="DA308" s="446"/>
      <c r="DB308" s="446"/>
      <c r="DC308" s="446"/>
      <c r="DD308" s="446"/>
      <c r="DE308" s="446"/>
      <c r="DF308" s="446"/>
      <c r="DG308" s="446"/>
      <c r="DH308" s="446"/>
      <c r="DI308" s="446"/>
      <c r="DJ308" s="446"/>
      <c r="DK308" s="446"/>
      <c r="DL308" s="446"/>
      <c r="DM308" s="446"/>
      <c r="DN308" s="446"/>
      <c r="DO308" s="446"/>
      <c r="DP308" s="446"/>
      <c r="DQ308" s="446"/>
      <c r="DR308" s="446"/>
      <c r="DS308" s="446"/>
      <c r="DT308" s="446"/>
      <c r="DU308" s="446"/>
      <c r="DV308" s="446"/>
      <c r="DW308" s="446"/>
      <c r="DX308" s="446"/>
      <c r="DY308" s="446"/>
    </row>
    <row r="309" spans="1:129" s="112" customFormat="1" ht="12.6">
      <c r="A309" s="16"/>
      <c r="B309" s="16"/>
      <c r="E309" s="1226"/>
      <c r="F309" s="1227"/>
      <c r="G309" s="1227"/>
      <c r="H309" s="1227"/>
      <c r="I309" s="1227"/>
      <c r="J309" s="1227"/>
      <c r="K309" s="1227"/>
      <c r="L309" s="1227"/>
      <c r="M309" s="1227"/>
      <c r="N309" s="1227"/>
      <c r="O309" s="1228"/>
      <c r="P309" s="1227"/>
      <c r="Q309" s="1227"/>
      <c r="R309" s="693"/>
      <c r="S309" s="693"/>
      <c r="T309" s="1229"/>
      <c r="U309" s="1230"/>
      <c r="V309" s="1589"/>
      <c r="W309" s="1589"/>
      <c r="X309" s="1589"/>
      <c r="Y309" s="1589"/>
      <c r="Z309" s="1169"/>
      <c r="AA309" s="16"/>
      <c r="AB309" s="16"/>
      <c r="AC309" s="160"/>
      <c r="AD309" s="160"/>
      <c r="AE309" s="951"/>
      <c r="AF309" s="160"/>
      <c r="AG309" s="160"/>
      <c r="AH309" s="160"/>
      <c r="AI309" s="160"/>
      <c r="AJ309" s="160"/>
      <c r="AK309" s="160"/>
      <c r="AL309" s="160"/>
      <c r="AM309" s="160"/>
      <c r="AN309" s="160"/>
      <c r="AO309" s="160"/>
      <c r="AP309" s="160"/>
      <c r="AQ309" s="160"/>
      <c r="AR309" s="160"/>
      <c r="AS309" s="160"/>
      <c r="AT309" s="160"/>
      <c r="AU309" s="160"/>
      <c r="AV309" s="160"/>
      <c r="AW309" s="160"/>
      <c r="AX309" s="160"/>
      <c r="AY309" s="160"/>
      <c r="AZ309" s="160"/>
      <c r="BA309" s="160"/>
      <c r="BB309" s="160"/>
      <c r="BC309" s="160"/>
      <c r="BD309" s="160"/>
      <c r="BE309" s="160"/>
      <c r="BF309" s="160"/>
      <c r="BG309" s="160"/>
      <c r="BH309" s="160"/>
      <c r="BI309" s="160"/>
      <c r="BJ309" s="160"/>
      <c r="BK309" s="160"/>
      <c r="BL309" s="160"/>
      <c r="BM309" s="446"/>
      <c r="BN309" s="446"/>
      <c r="BO309" s="446"/>
      <c r="BP309" s="446"/>
      <c r="BQ309" s="446"/>
      <c r="BR309" s="446"/>
      <c r="BS309" s="446"/>
      <c r="BT309" s="446"/>
      <c r="BU309" s="446"/>
      <c r="BV309" s="1225"/>
      <c r="BW309" s="446"/>
      <c r="BX309" s="446"/>
      <c r="BY309" s="446"/>
      <c r="BZ309" s="446"/>
      <c r="CA309" s="446"/>
      <c r="CB309" s="446"/>
      <c r="CC309" s="446"/>
      <c r="CD309" s="446"/>
      <c r="CE309" s="446"/>
      <c r="CF309" s="446"/>
      <c r="CG309" s="446"/>
      <c r="CH309" s="446"/>
      <c r="CI309" s="446"/>
      <c r="CJ309" s="446"/>
      <c r="CK309" s="446"/>
      <c r="CL309" s="446"/>
      <c r="CM309" s="446"/>
      <c r="CN309" s="446"/>
      <c r="CO309" s="446"/>
      <c r="CP309" s="446"/>
      <c r="CQ309" s="446"/>
      <c r="CR309" s="446"/>
      <c r="CS309" s="446"/>
      <c r="CT309" s="446"/>
      <c r="CU309" s="446"/>
      <c r="CV309" s="445"/>
      <c r="CW309" s="117"/>
      <c r="CX309" s="445"/>
      <c r="CY309" s="446"/>
      <c r="CZ309" s="446"/>
      <c r="DA309" s="446"/>
      <c r="DB309" s="446"/>
      <c r="DC309" s="446"/>
      <c r="DD309" s="446"/>
      <c r="DE309" s="446"/>
      <c r="DF309" s="446"/>
      <c r="DG309" s="446"/>
      <c r="DH309" s="446"/>
      <c r="DI309" s="446"/>
      <c r="DJ309" s="446"/>
      <c r="DK309" s="446"/>
      <c r="DL309" s="446"/>
      <c r="DM309" s="446"/>
      <c r="DN309" s="446"/>
      <c r="DO309" s="446"/>
      <c r="DP309" s="446"/>
      <c r="DQ309" s="446"/>
      <c r="DR309" s="446"/>
      <c r="DS309" s="446"/>
      <c r="DT309" s="446"/>
      <c r="DU309" s="446"/>
      <c r="DV309" s="446"/>
      <c r="DW309" s="446"/>
      <c r="DX309" s="446"/>
      <c r="DY309" s="446"/>
    </row>
    <row r="310" spans="1:129" s="112" customFormat="1" ht="12.6">
      <c r="A310" s="16"/>
      <c r="B310" s="16"/>
      <c r="E310" s="1226"/>
      <c r="F310" s="1227"/>
      <c r="G310" s="1227"/>
      <c r="H310" s="1227"/>
      <c r="I310" s="1227"/>
      <c r="J310" s="1227"/>
      <c r="K310" s="1227"/>
      <c r="L310" s="1227"/>
      <c r="M310" s="1227"/>
      <c r="N310" s="1227"/>
      <c r="O310" s="1228"/>
      <c r="P310" s="1227"/>
      <c r="Q310" s="1227"/>
      <c r="R310" s="693"/>
      <c r="S310" s="693"/>
      <c r="T310" s="1229"/>
      <c r="U310" s="1230"/>
      <c r="V310" s="1589"/>
      <c r="W310" s="1589"/>
      <c r="X310" s="1589"/>
      <c r="Y310" s="1589"/>
      <c r="Z310" s="1169"/>
      <c r="AA310" s="16"/>
      <c r="AB310" s="16"/>
      <c r="AC310" s="160"/>
      <c r="AD310" s="160"/>
      <c r="AE310" s="951"/>
      <c r="AF310" s="160"/>
      <c r="AG310" s="160"/>
      <c r="AH310" s="160"/>
      <c r="AI310" s="160"/>
      <c r="AJ310" s="160"/>
      <c r="AK310" s="160"/>
      <c r="AL310" s="160"/>
      <c r="AM310" s="160"/>
      <c r="AN310" s="160"/>
      <c r="AO310" s="160"/>
      <c r="AP310" s="160"/>
      <c r="AQ310" s="160"/>
      <c r="AR310" s="160"/>
      <c r="AS310" s="160"/>
      <c r="AT310" s="160"/>
      <c r="AU310" s="160"/>
      <c r="AV310" s="160"/>
      <c r="AW310" s="160"/>
      <c r="AX310" s="160"/>
      <c r="AY310" s="160"/>
      <c r="AZ310" s="160"/>
      <c r="BA310" s="160"/>
      <c r="BB310" s="160"/>
      <c r="BC310" s="160"/>
      <c r="BD310" s="160"/>
      <c r="BE310" s="160"/>
      <c r="BF310" s="160"/>
      <c r="BG310" s="160"/>
      <c r="BH310" s="160"/>
      <c r="BI310" s="160"/>
      <c r="BJ310" s="160"/>
      <c r="BK310" s="160"/>
      <c r="BL310" s="160"/>
      <c r="BM310" s="446"/>
      <c r="BN310" s="446"/>
      <c r="BO310" s="446"/>
      <c r="BP310" s="446"/>
      <c r="BQ310" s="446"/>
      <c r="BR310" s="446"/>
      <c r="BS310" s="446"/>
      <c r="BT310" s="446"/>
      <c r="BU310" s="446"/>
      <c r="BV310" s="1225"/>
      <c r="BW310" s="446"/>
      <c r="BX310" s="446"/>
      <c r="BY310" s="446"/>
      <c r="BZ310" s="446"/>
      <c r="CA310" s="446"/>
      <c r="CB310" s="446"/>
      <c r="CC310" s="446"/>
      <c r="CD310" s="446"/>
      <c r="CE310" s="446"/>
      <c r="CF310" s="446"/>
      <c r="CG310" s="446"/>
      <c r="CH310" s="446"/>
      <c r="CI310" s="446"/>
      <c r="CJ310" s="446"/>
      <c r="CK310" s="446"/>
      <c r="CL310" s="446"/>
      <c r="CM310" s="446"/>
      <c r="CN310" s="446"/>
      <c r="CO310" s="446"/>
      <c r="CP310" s="446"/>
      <c r="CQ310" s="446"/>
      <c r="CR310" s="446"/>
      <c r="CS310" s="446"/>
      <c r="CT310" s="446"/>
      <c r="CU310" s="446"/>
      <c r="CV310" s="445"/>
      <c r="CW310" s="117"/>
      <c r="CX310" s="445"/>
      <c r="CY310" s="446"/>
      <c r="CZ310" s="446"/>
      <c r="DA310" s="446"/>
      <c r="DB310" s="446"/>
      <c r="DC310" s="446"/>
      <c r="DD310" s="446"/>
      <c r="DE310" s="446"/>
      <c r="DF310" s="446"/>
      <c r="DG310" s="446"/>
      <c r="DH310" s="446"/>
      <c r="DI310" s="446"/>
      <c r="DJ310" s="446"/>
      <c r="DK310" s="446"/>
      <c r="DL310" s="446"/>
      <c r="DM310" s="446"/>
      <c r="DN310" s="446"/>
      <c r="DO310" s="446"/>
      <c r="DP310" s="446"/>
      <c r="DQ310" s="446"/>
      <c r="DR310" s="446"/>
      <c r="DS310" s="446"/>
      <c r="DT310" s="446"/>
      <c r="DU310" s="446"/>
      <c r="DV310" s="446"/>
      <c r="DW310" s="446"/>
      <c r="DX310" s="446"/>
      <c r="DY310" s="446"/>
    </row>
    <row r="311" spans="1:129" s="112" customFormat="1" ht="12.6">
      <c r="A311" s="16"/>
      <c r="B311" s="16"/>
      <c r="E311" s="1226"/>
      <c r="F311" s="1227"/>
      <c r="G311" s="1227"/>
      <c r="H311" s="1227"/>
      <c r="I311" s="1227"/>
      <c r="J311" s="1227"/>
      <c r="K311" s="1227"/>
      <c r="L311" s="1227"/>
      <c r="M311" s="1227"/>
      <c r="N311" s="1227"/>
      <c r="O311" s="1228"/>
      <c r="P311" s="1227"/>
      <c r="Q311" s="1227"/>
      <c r="R311" s="693"/>
      <c r="S311" s="693"/>
      <c r="T311" s="1229"/>
      <c r="U311" s="1230"/>
      <c r="V311" s="1589"/>
      <c r="W311" s="1589"/>
      <c r="X311" s="1589"/>
      <c r="Y311" s="1589"/>
      <c r="Z311" s="1169"/>
      <c r="AA311" s="16"/>
      <c r="AB311" s="16"/>
      <c r="AC311" s="160"/>
      <c r="AD311" s="160"/>
      <c r="AE311" s="951"/>
      <c r="AF311" s="160"/>
      <c r="AG311" s="160"/>
      <c r="AH311" s="160"/>
      <c r="AI311" s="160"/>
      <c r="AJ311" s="160"/>
      <c r="AK311" s="160"/>
      <c r="AL311" s="160"/>
      <c r="AM311" s="160"/>
      <c r="AN311" s="160"/>
      <c r="AO311" s="160"/>
      <c r="AP311" s="160"/>
      <c r="AQ311" s="160"/>
      <c r="AR311" s="160"/>
      <c r="AS311" s="160"/>
      <c r="AT311" s="160"/>
      <c r="AU311" s="160"/>
      <c r="AV311" s="160"/>
      <c r="AW311" s="160"/>
      <c r="AX311" s="160"/>
      <c r="AY311" s="160"/>
      <c r="AZ311" s="160"/>
      <c r="BA311" s="160"/>
      <c r="BB311" s="160"/>
      <c r="BC311" s="160"/>
      <c r="BD311" s="160"/>
      <c r="BE311" s="160"/>
      <c r="BF311" s="160"/>
      <c r="BG311" s="160"/>
      <c r="BH311" s="160"/>
      <c r="BI311" s="160"/>
      <c r="BJ311" s="160"/>
      <c r="BK311" s="160"/>
      <c r="BL311" s="160"/>
      <c r="BM311" s="446"/>
      <c r="BN311" s="446"/>
      <c r="BO311" s="446"/>
      <c r="BP311" s="446"/>
      <c r="BQ311" s="446"/>
      <c r="BR311" s="446"/>
      <c r="BS311" s="446"/>
      <c r="BT311" s="446"/>
      <c r="BU311" s="446"/>
      <c r="BV311" s="1225"/>
      <c r="BW311" s="446"/>
      <c r="BX311" s="446"/>
      <c r="BY311" s="446"/>
      <c r="BZ311" s="446"/>
      <c r="CA311" s="446"/>
      <c r="CB311" s="446"/>
      <c r="CC311" s="446"/>
      <c r="CD311" s="446"/>
      <c r="CE311" s="446"/>
      <c r="CF311" s="446"/>
      <c r="CG311" s="446"/>
      <c r="CH311" s="446"/>
      <c r="CI311" s="446"/>
      <c r="CJ311" s="446"/>
      <c r="CK311" s="446"/>
      <c r="CL311" s="446"/>
      <c r="CM311" s="446"/>
      <c r="CN311" s="446"/>
      <c r="CO311" s="446"/>
      <c r="CP311" s="446"/>
      <c r="CQ311" s="446"/>
      <c r="CR311" s="446"/>
      <c r="CS311" s="446"/>
      <c r="CT311" s="446"/>
      <c r="CU311" s="446"/>
      <c r="CV311" s="445"/>
      <c r="CW311" s="117"/>
      <c r="CX311" s="445"/>
      <c r="CY311" s="446"/>
      <c r="CZ311" s="446"/>
      <c r="DA311" s="446"/>
      <c r="DB311" s="446"/>
      <c r="DC311" s="446"/>
      <c r="DD311" s="446"/>
      <c r="DE311" s="446"/>
      <c r="DF311" s="446"/>
      <c r="DG311" s="446"/>
      <c r="DH311" s="446"/>
      <c r="DI311" s="446"/>
      <c r="DJ311" s="446"/>
      <c r="DK311" s="446"/>
      <c r="DL311" s="446"/>
      <c r="DM311" s="446"/>
      <c r="DN311" s="446"/>
      <c r="DO311" s="446"/>
      <c r="DP311" s="446"/>
      <c r="DQ311" s="446"/>
      <c r="DR311" s="446"/>
      <c r="DS311" s="446"/>
      <c r="DT311" s="446"/>
      <c r="DU311" s="446"/>
      <c r="DV311" s="446"/>
      <c r="DW311" s="446"/>
      <c r="DX311" s="446"/>
      <c r="DY311" s="446"/>
    </row>
    <row r="312" spans="1:129" s="112" customFormat="1" ht="12.6">
      <c r="A312" s="16"/>
      <c r="B312" s="16"/>
      <c r="E312" s="1226"/>
      <c r="F312" s="1227"/>
      <c r="G312" s="1227"/>
      <c r="H312" s="1227"/>
      <c r="I312" s="1227"/>
      <c r="J312" s="1227"/>
      <c r="K312" s="1227"/>
      <c r="L312" s="1227"/>
      <c r="M312" s="1227"/>
      <c r="N312" s="1227"/>
      <c r="O312" s="1228"/>
      <c r="P312" s="1227"/>
      <c r="Q312" s="1227"/>
      <c r="R312" s="693"/>
      <c r="S312" s="693"/>
      <c r="T312" s="1229"/>
      <c r="U312" s="1230"/>
      <c r="V312" s="1589"/>
      <c r="W312" s="1589"/>
      <c r="X312" s="1589"/>
      <c r="Y312" s="1589"/>
      <c r="Z312" s="1169"/>
      <c r="AA312" s="16"/>
      <c r="AB312" s="16"/>
      <c r="AC312" s="160"/>
      <c r="AD312" s="160"/>
      <c r="AE312" s="951"/>
      <c r="AF312" s="160"/>
      <c r="AG312" s="160"/>
      <c r="AH312" s="160"/>
      <c r="AI312" s="160"/>
      <c r="AJ312" s="160"/>
      <c r="AK312" s="160"/>
      <c r="AL312" s="160"/>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446"/>
      <c r="BN312" s="446"/>
      <c r="BO312" s="446"/>
      <c r="BP312" s="446"/>
      <c r="BQ312" s="446"/>
      <c r="BR312" s="446"/>
      <c r="BS312" s="446"/>
      <c r="BT312" s="446"/>
      <c r="BU312" s="446"/>
      <c r="BV312" s="1225"/>
      <c r="BW312" s="446"/>
      <c r="BX312" s="446"/>
      <c r="BY312" s="446"/>
      <c r="BZ312" s="446"/>
      <c r="CA312" s="446"/>
      <c r="CB312" s="446"/>
      <c r="CC312" s="446"/>
      <c r="CD312" s="446"/>
      <c r="CE312" s="446"/>
      <c r="CF312" s="446"/>
      <c r="CG312" s="446"/>
      <c r="CH312" s="446"/>
      <c r="CI312" s="446"/>
      <c r="CJ312" s="446"/>
      <c r="CK312" s="446"/>
      <c r="CL312" s="446"/>
      <c r="CM312" s="446"/>
      <c r="CN312" s="446"/>
      <c r="CO312" s="446"/>
      <c r="CP312" s="446"/>
      <c r="CQ312" s="446"/>
      <c r="CR312" s="446"/>
      <c r="CS312" s="446"/>
      <c r="CT312" s="446"/>
      <c r="CU312" s="446"/>
      <c r="CV312" s="445"/>
      <c r="CW312" s="117"/>
      <c r="CX312" s="445"/>
      <c r="CY312" s="446"/>
      <c r="CZ312" s="446"/>
      <c r="DA312" s="446"/>
      <c r="DB312" s="446"/>
      <c r="DC312" s="446"/>
      <c r="DD312" s="446"/>
      <c r="DE312" s="446"/>
      <c r="DF312" s="446"/>
      <c r="DG312" s="446"/>
      <c r="DH312" s="446"/>
      <c r="DI312" s="446"/>
      <c r="DJ312" s="446"/>
      <c r="DK312" s="446"/>
      <c r="DL312" s="446"/>
      <c r="DM312" s="446"/>
      <c r="DN312" s="446"/>
      <c r="DO312" s="446"/>
      <c r="DP312" s="446"/>
      <c r="DQ312" s="446"/>
      <c r="DR312" s="446"/>
      <c r="DS312" s="446"/>
      <c r="DT312" s="446"/>
      <c r="DU312" s="446"/>
      <c r="DV312" s="446"/>
      <c r="DW312" s="446"/>
      <c r="DX312" s="446"/>
      <c r="DY312" s="446"/>
    </row>
    <row r="313" spans="1:129" s="112" customFormat="1" ht="12.6">
      <c r="A313" s="16"/>
      <c r="B313" s="16"/>
      <c r="E313" s="1226"/>
      <c r="F313" s="1227"/>
      <c r="G313" s="1227"/>
      <c r="H313" s="1227"/>
      <c r="I313" s="1227"/>
      <c r="J313" s="1227"/>
      <c r="K313" s="1227"/>
      <c r="L313" s="1227"/>
      <c r="M313" s="1227"/>
      <c r="N313" s="1227"/>
      <c r="O313" s="1228"/>
      <c r="P313" s="1227"/>
      <c r="Q313" s="1227"/>
      <c r="R313" s="693"/>
      <c r="S313" s="693"/>
      <c r="T313" s="1229"/>
      <c r="U313" s="1230"/>
      <c r="V313" s="1589"/>
      <c r="W313" s="1589"/>
      <c r="X313" s="1589"/>
      <c r="Y313" s="1589"/>
      <c r="Z313" s="1169"/>
      <c r="AA313" s="16"/>
      <c r="AB313" s="16"/>
      <c r="AC313" s="160"/>
      <c r="AD313" s="160"/>
      <c r="AE313" s="951"/>
      <c r="AF313" s="160"/>
      <c r="AG313" s="160"/>
      <c r="AH313" s="160"/>
      <c r="AI313" s="160"/>
      <c r="AJ313" s="160"/>
      <c r="AK313" s="160"/>
      <c r="AL313" s="160"/>
      <c r="AM313" s="160"/>
      <c r="AN313" s="160"/>
      <c r="AO313" s="160"/>
      <c r="AP313" s="160"/>
      <c r="AQ313" s="160"/>
      <c r="AR313" s="160"/>
      <c r="AS313" s="160"/>
      <c r="AT313" s="160"/>
      <c r="AU313" s="160"/>
      <c r="AV313" s="160"/>
      <c r="AW313" s="160"/>
      <c r="AX313" s="160"/>
      <c r="AY313" s="160"/>
      <c r="AZ313" s="160"/>
      <c r="BA313" s="160"/>
      <c r="BB313" s="160"/>
      <c r="BC313" s="160"/>
      <c r="BD313" s="160"/>
      <c r="BE313" s="160"/>
      <c r="BF313" s="160"/>
      <c r="BG313" s="160"/>
      <c r="BH313" s="160"/>
      <c r="BI313" s="160"/>
      <c r="BJ313" s="160"/>
      <c r="BK313" s="160"/>
      <c r="BL313" s="160"/>
      <c r="BM313" s="446"/>
      <c r="BN313" s="446"/>
      <c r="BO313" s="446"/>
      <c r="BP313" s="446"/>
      <c r="BQ313" s="446"/>
      <c r="BR313" s="446"/>
      <c r="BS313" s="446"/>
      <c r="BT313" s="446"/>
      <c r="BU313" s="446"/>
      <c r="BV313" s="1225"/>
      <c r="BW313" s="446"/>
      <c r="BX313" s="446"/>
      <c r="BY313" s="446"/>
      <c r="BZ313" s="446"/>
      <c r="CA313" s="446"/>
      <c r="CB313" s="446"/>
      <c r="CC313" s="446"/>
      <c r="CD313" s="446"/>
      <c r="CE313" s="446"/>
      <c r="CF313" s="446"/>
      <c r="CG313" s="446"/>
      <c r="CH313" s="446"/>
      <c r="CI313" s="446"/>
      <c r="CJ313" s="446"/>
      <c r="CK313" s="446"/>
      <c r="CL313" s="446"/>
      <c r="CM313" s="446"/>
      <c r="CN313" s="446"/>
      <c r="CO313" s="446"/>
      <c r="CP313" s="446"/>
      <c r="CQ313" s="446"/>
      <c r="CR313" s="446"/>
      <c r="CS313" s="446"/>
      <c r="CT313" s="446"/>
      <c r="CU313" s="446"/>
      <c r="CV313" s="445"/>
      <c r="CW313" s="117"/>
      <c r="CX313" s="445"/>
      <c r="CY313" s="446"/>
      <c r="CZ313" s="446"/>
      <c r="DA313" s="446"/>
      <c r="DB313" s="446"/>
      <c r="DC313" s="446"/>
      <c r="DD313" s="446"/>
      <c r="DE313" s="446"/>
      <c r="DF313" s="446"/>
      <c r="DG313" s="446"/>
      <c r="DH313" s="446"/>
      <c r="DI313" s="446"/>
      <c r="DJ313" s="446"/>
      <c r="DK313" s="446"/>
      <c r="DL313" s="446"/>
      <c r="DM313" s="446"/>
      <c r="DN313" s="446"/>
      <c r="DO313" s="446"/>
      <c r="DP313" s="446"/>
      <c r="DQ313" s="446"/>
      <c r="DR313" s="446"/>
      <c r="DS313" s="446"/>
      <c r="DT313" s="446"/>
      <c r="DU313" s="446"/>
      <c r="DV313" s="446"/>
      <c r="DW313" s="446"/>
      <c r="DX313" s="446"/>
      <c r="DY313" s="446"/>
    </row>
    <row r="314" spans="1:129" s="112" customFormat="1" ht="12.6">
      <c r="A314" s="16"/>
      <c r="B314" s="16"/>
      <c r="E314" s="1226"/>
      <c r="F314" s="1227"/>
      <c r="G314" s="1227"/>
      <c r="H314" s="1227"/>
      <c r="I314" s="1227"/>
      <c r="J314" s="1227"/>
      <c r="K314" s="1227"/>
      <c r="L314" s="1227"/>
      <c r="M314" s="1227"/>
      <c r="N314" s="1227"/>
      <c r="O314" s="1228"/>
      <c r="P314" s="1227"/>
      <c r="Q314" s="1227"/>
      <c r="R314" s="693"/>
      <c r="S314" s="693"/>
      <c r="T314" s="1229"/>
      <c r="U314" s="1230"/>
      <c r="V314" s="1589"/>
      <c r="W314" s="1589"/>
      <c r="X314" s="1589"/>
      <c r="Y314" s="1589"/>
      <c r="Z314" s="1169"/>
      <c r="AA314" s="16"/>
      <c r="AB314" s="16"/>
      <c r="AC314" s="160"/>
      <c r="AD314" s="160"/>
      <c r="AE314" s="951"/>
      <c r="AF314" s="160"/>
      <c r="AG314" s="160"/>
      <c r="AH314" s="160"/>
      <c r="AI314" s="160"/>
      <c r="AJ314" s="160"/>
      <c r="AK314" s="160"/>
      <c r="AL314" s="160"/>
      <c r="AM314" s="160"/>
      <c r="AN314" s="160"/>
      <c r="AO314" s="160"/>
      <c r="AP314" s="160"/>
      <c r="AQ314" s="160"/>
      <c r="AR314" s="160"/>
      <c r="AS314" s="160"/>
      <c r="AT314" s="160"/>
      <c r="AU314" s="160"/>
      <c r="AV314" s="160"/>
      <c r="AW314" s="160"/>
      <c r="AX314" s="160"/>
      <c r="AY314" s="160"/>
      <c r="AZ314" s="160"/>
      <c r="BA314" s="160"/>
      <c r="BB314" s="160"/>
      <c r="BC314" s="160"/>
      <c r="BD314" s="160"/>
      <c r="BE314" s="160"/>
      <c r="BF314" s="160"/>
      <c r="BG314" s="160"/>
      <c r="BH314" s="160"/>
      <c r="BI314" s="160"/>
      <c r="BJ314" s="160"/>
      <c r="BK314" s="160"/>
      <c r="BL314" s="160"/>
      <c r="BM314" s="446"/>
      <c r="BN314" s="446"/>
      <c r="BO314" s="446"/>
      <c r="BP314" s="446"/>
      <c r="BQ314" s="446"/>
      <c r="BR314" s="446"/>
      <c r="BS314" s="446"/>
      <c r="BT314" s="446"/>
      <c r="BU314" s="446"/>
      <c r="BV314" s="1225"/>
      <c r="BW314" s="446"/>
      <c r="BX314" s="446"/>
      <c r="BY314" s="446"/>
      <c r="BZ314" s="446"/>
      <c r="CA314" s="446"/>
      <c r="CB314" s="446"/>
      <c r="CC314" s="446"/>
      <c r="CD314" s="446"/>
      <c r="CE314" s="446"/>
      <c r="CF314" s="446"/>
      <c r="CG314" s="446"/>
      <c r="CH314" s="446"/>
      <c r="CI314" s="446"/>
      <c r="CJ314" s="446"/>
      <c r="CK314" s="446"/>
      <c r="CL314" s="446"/>
      <c r="CM314" s="446"/>
      <c r="CN314" s="446"/>
      <c r="CO314" s="446"/>
      <c r="CP314" s="446"/>
      <c r="CQ314" s="446"/>
      <c r="CR314" s="446"/>
      <c r="CS314" s="446"/>
      <c r="CT314" s="446"/>
      <c r="CU314" s="446"/>
      <c r="CV314" s="445"/>
      <c r="CW314" s="117"/>
      <c r="CX314" s="445"/>
      <c r="CY314" s="446"/>
      <c r="CZ314" s="446"/>
      <c r="DA314" s="446"/>
      <c r="DB314" s="446"/>
      <c r="DC314" s="446"/>
      <c r="DD314" s="446"/>
      <c r="DE314" s="446"/>
      <c r="DF314" s="446"/>
      <c r="DG314" s="446"/>
      <c r="DH314" s="446"/>
      <c r="DI314" s="446"/>
      <c r="DJ314" s="446"/>
      <c r="DK314" s="446"/>
      <c r="DL314" s="446"/>
      <c r="DM314" s="446"/>
      <c r="DN314" s="446"/>
      <c r="DO314" s="446"/>
      <c r="DP314" s="446"/>
      <c r="DQ314" s="446"/>
      <c r="DR314" s="446"/>
      <c r="DS314" s="446"/>
      <c r="DT314" s="446"/>
      <c r="DU314" s="446"/>
      <c r="DV314" s="446"/>
      <c r="DW314" s="446"/>
      <c r="DX314" s="446"/>
      <c r="DY314" s="446"/>
    </row>
    <row r="315" spans="1:129" s="112" customFormat="1" ht="12.6">
      <c r="A315" s="16"/>
      <c r="B315" s="16"/>
      <c r="E315" s="1226"/>
      <c r="F315" s="1227"/>
      <c r="G315" s="1227"/>
      <c r="H315" s="1227"/>
      <c r="I315" s="1227"/>
      <c r="J315" s="1227"/>
      <c r="K315" s="1227"/>
      <c r="L315" s="1227"/>
      <c r="M315" s="1227"/>
      <c r="N315" s="1227"/>
      <c r="O315" s="1228"/>
      <c r="P315" s="1227"/>
      <c r="Q315" s="1227"/>
      <c r="R315" s="693"/>
      <c r="S315" s="693"/>
      <c r="T315" s="1229"/>
      <c r="U315" s="1230"/>
      <c r="V315" s="1589"/>
      <c r="W315" s="1589"/>
      <c r="X315" s="1589"/>
      <c r="Y315" s="1589"/>
      <c r="Z315" s="1169"/>
      <c r="AA315" s="16"/>
      <c r="AB315" s="16"/>
      <c r="AC315" s="160"/>
      <c r="AD315" s="160"/>
      <c r="AE315" s="951"/>
      <c r="AF315" s="160"/>
      <c r="AG315" s="160"/>
      <c r="AH315" s="160"/>
      <c r="AI315" s="160"/>
      <c r="AJ315" s="160"/>
      <c r="AK315" s="160"/>
      <c r="AL315" s="160"/>
      <c r="AM315" s="160"/>
      <c r="AN315" s="160"/>
      <c r="AO315" s="160"/>
      <c r="AP315" s="160"/>
      <c r="AQ315" s="160"/>
      <c r="AR315" s="160"/>
      <c r="AS315" s="160"/>
      <c r="AT315" s="160"/>
      <c r="AU315" s="160"/>
      <c r="AV315" s="160"/>
      <c r="AW315" s="160"/>
      <c r="AX315" s="160"/>
      <c r="AY315" s="160"/>
      <c r="AZ315" s="160"/>
      <c r="BA315" s="160"/>
      <c r="BB315" s="160"/>
      <c r="BC315" s="160"/>
      <c r="BD315" s="160"/>
      <c r="BE315" s="160"/>
      <c r="BF315" s="160"/>
      <c r="BG315" s="160"/>
      <c r="BH315" s="160"/>
      <c r="BI315" s="160"/>
      <c r="BJ315" s="160"/>
      <c r="BK315" s="160"/>
      <c r="BL315" s="160"/>
      <c r="BM315" s="446"/>
      <c r="BN315" s="446"/>
      <c r="BO315" s="446"/>
      <c r="BP315" s="446"/>
      <c r="BQ315" s="446"/>
      <c r="BR315" s="446"/>
      <c r="BS315" s="446"/>
      <c r="BT315" s="446"/>
      <c r="BU315" s="446"/>
      <c r="BV315" s="1225"/>
      <c r="BW315" s="446"/>
      <c r="BX315" s="446"/>
      <c r="BY315" s="446"/>
      <c r="BZ315" s="446"/>
      <c r="CA315" s="446"/>
      <c r="CB315" s="446"/>
      <c r="CC315" s="446"/>
      <c r="CD315" s="446"/>
      <c r="CE315" s="446"/>
      <c r="CF315" s="446"/>
      <c r="CG315" s="446"/>
      <c r="CH315" s="446"/>
      <c r="CI315" s="446"/>
      <c r="CJ315" s="446"/>
      <c r="CK315" s="446"/>
      <c r="CL315" s="446"/>
      <c r="CM315" s="446"/>
      <c r="CN315" s="446"/>
      <c r="CO315" s="446"/>
      <c r="CP315" s="446"/>
      <c r="CQ315" s="446"/>
      <c r="CR315" s="446"/>
      <c r="CS315" s="446"/>
      <c r="CT315" s="446"/>
      <c r="CU315" s="446"/>
      <c r="CV315" s="445"/>
      <c r="CW315" s="117"/>
      <c r="CX315" s="445"/>
      <c r="CY315" s="446"/>
      <c r="CZ315" s="446"/>
      <c r="DA315" s="446"/>
      <c r="DB315" s="446"/>
      <c r="DC315" s="446"/>
      <c r="DD315" s="446"/>
      <c r="DE315" s="446"/>
      <c r="DF315" s="446"/>
      <c r="DG315" s="446"/>
      <c r="DH315" s="446"/>
      <c r="DI315" s="446"/>
      <c r="DJ315" s="446"/>
      <c r="DK315" s="446"/>
      <c r="DL315" s="446"/>
      <c r="DM315" s="446"/>
      <c r="DN315" s="446"/>
      <c r="DO315" s="446"/>
      <c r="DP315" s="446"/>
      <c r="DQ315" s="446"/>
      <c r="DR315" s="446"/>
      <c r="DS315" s="446"/>
      <c r="DT315" s="446"/>
      <c r="DU315" s="446"/>
      <c r="DV315" s="446"/>
      <c r="DW315" s="446"/>
      <c r="DX315" s="446"/>
      <c r="DY315" s="446"/>
    </row>
    <row r="316" spans="1:129" s="112" customFormat="1" ht="14.25" customHeight="1">
      <c r="A316" s="16"/>
      <c r="B316" s="16"/>
      <c r="C316" s="16"/>
      <c r="D316" s="16"/>
      <c r="E316" s="16"/>
      <c r="F316" s="16"/>
      <c r="G316" s="16"/>
      <c r="H316" s="16"/>
      <c r="I316" s="16"/>
      <c r="J316" s="16"/>
      <c r="K316" s="16"/>
      <c r="L316" s="16"/>
      <c r="M316" s="16"/>
      <c r="N316" s="16"/>
      <c r="O316" s="16"/>
      <c r="P316" s="16"/>
      <c r="Q316" s="16"/>
      <c r="R316" s="16"/>
      <c r="S316" s="16"/>
      <c r="T316" s="16"/>
      <c r="U316" s="16"/>
      <c r="V316" s="1169"/>
      <c r="W316" s="1169"/>
      <c r="X316" s="1169"/>
      <c r="Y316" s="1169"/>
      <c r="Z316" s="1169"/>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446"/>
      <c r="BP316" s="446"/>
      <c r="BQ316" s="446"/>
      <c r="BR316" s="446"/>
      <c r="BS316" s="446"/>
      <c r="BT316" s="446"/>
      <c r="BU316" s="446"/>
      <c r="BV316" s="1225"/>
      <c r="BW316" s="446"/>
      <c r="BX316" s="446"/>
      <c r="BY316" s="446"/>
      <c r="BZ316" s="446"/>
      <c r="CA316" s="446"/>
      <c r="CB316" s="446"/>
      <c r="CC316" s="446"/>
      <c r="CD316" s="446"/>
      <c r="CE316" s="446"/>
      <c r="CF316" s="446"/>
      <c r="CG316" s="446"/>
      <c r="CH316" s="446"/>
      <c r="CI316" s="446"/>
      <c r="CJ316" s="446"/>
      <c r="CK316" s="446"/>
      <c r="CL316" s="446"/>
      <c r="CM316" s="446"/>
      <c r="CN316" s="446"/>
      <c r="CO316" s="446"/>
      <c r="CP316" s="446"/>
      <c r="CQ316" s="446"/>
      <c r="CR316" s="446"/>
      <c r="CS316" s="446"/>
      <c r="CT316" s="446"/>
      <c r="CU316" s="446"/>
      <c r="CV316" s="445"/>
      <c r="CW316" s="117"/>
      <c r="CX316" s="445"/>
      <c r="CY316" s="446"/>
      <c r="CZ316" s="446"/>
      <c r="DA316" s="446"/>
      <c r="DB316" s="446"/>
      <c r="DC316" s="446"/>
      <c r="DD316" s="446"/>
      <c r="DE316" s="446"/>
      <c r="DF316" s="446"/>
      <c r="DG316" s="446"/>
      <c r="DH316" s="446"/>
      <c r="DI316" s="446"/>
      <c r="DJ316" s="446"/>
      <c r="DK316" s="446"/>
      <c r="DL316" s="446"/>
      <c r="DM316" s="446"/>
      <c r="DN316" s="446"/>
      <c r="DO316" s="446"/>
      <c r="DP316" s="446"/>
      <c r="DQ316" s="446"/>
      <c r="DR316" s="446"/>
      <c r="DS316" s="446"/>
      <c r="DT316" s="446"/>
      <c r="DU316" s="446"/>
      <c r="DV316" s="446"/>
      <c r="DW316" s="446"/>
      <c r="DX316" s="446"/>
      <c r="DY316" s="446"/>
    </row>
    <row r="317" spans="1:129" s="112" customFormat="1" ht="14.25" customHeight="1">
      <c r="A317" s="16"/>
      <c r="B317" s="16"/>
      <c r="C317" s="16"/>
      <c r="D317" s="16"/>
      <c r="E317" s="16"/>
      <c r="F317" s="16"/>
      <c r="G317" s="16"/>
      <c r="H317" s="16"/>
      <c r="I317" s="16"/>
      <c r="J317" s="16"/>
      <c r="K317" s="16"/>
      <c r="L317" s="16"/>
      <c r="M317" s="16"/>
      <c r="N317" s="16"/>
      <c r="O317" s="16"/>
      <c r="P317" s="16"/>
      <c r="Q317" s="16"/>
      <c r="R317" s="16"/>
      <c r="S317" s="16"/>
      <c r="T317" s="16"/>
      <c r="U317" s="16"/>
      <c r="V317" s="1169"/>
      <c r="W317" s="1169"/>
      <c r="X317" s="1169"/>
      <c r="Y317" s="1169"/>
      <c r="Z317" s="1169"/>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446"/>
      <c r="BP317" s="446"/>
      <c r="BQ317" s="446"/>
      <c r="BR317" s="446"/>
      <c r="BS317" s="446"/>
      <c r="BT317" s="446"/>
      <c r="BU317" s="446"/>
      <c r="BV317" s="1225"/>
      <c r="BW317" s="446"/>
      <c r="BX317" s="446"/>
      <c r="BY317" s="446"/>
      <c r="BZ317" s="446"/>
      <c r="CA317" s="446"/>
      <c r="CB317" s="446"/>
      <c r="CC317" s="446"/>
      <c r="CD317" s="446"/>
      <c r="CE317" s="446"/>
      <c r="CF317" s="446"/>
      <c r="CG317" s="446"/>
      <c r="CH317" s="446"/>
      <c r="CI317" s="446"/>
      <c r="CJ317" s="446"/>
      <c r="CK317" s="446"/>
      <c r="CL317" s="446"/>
      <c r="CM317" s="446"/>
      <c r="CN317" s="446"/>
      <c r="CO317" s="446"/>
      <c r="CP317" s="446"/>
      <c r="CQ317" s="446"/>
      <c r="CR317" s="446"/>
      <c r="CS317" s="446"/>
      <c r="CT317" s="446"/>
      <c r="CU317" s="446"/>
      <c r="CV317" s="445"/>
      <c r="CW317" s="326"/>
      <c r="CX317" s="445"/>
      <c r="CY317" s="446"/>
      <c r="CZ317" s="446"/>
      <c r="DA317" s="446"/>
      <c r="DB317" s="446"/>
      <c r="DC317" s="446"/>
      <c r="DD317" s="446"/>
      <c r="DE317" s="446"/>
      <c r="DF317" s="446"/>
      <c r="DG317" s="446"/>
      <c r="DH317" s="446"/>
      <c r="DI317" s="446"/>
      <c r="DJ317" s="446"/>
      <c r="DK317" s="446"/>
      <c r="DL317" s="446"/>
      <c r="DM317" s="446"/>
      <c r="DN317" s="446"/>
      <c r="DO317" s="446"/>
      <c r="DP317" s="446"/>
      <c r="DQ317" s="446"/>
      <c r="DR317" s="446"/>
      <c r="DS317" s="446"/>
      <c r="DT317" s="446"/>
      <c r="DU317" s="446"/>
      <c r="DV317" s="446"/>
      <c r="DW317" s="446"/>
      <c r="DX317" s="446"/>
      <c r="DY317" s="446"/>
    </row>
    <row r="318" spans="1:129" s="112" customFormat="1" ht="12.6">
      <c r="A318" s="16"/>
      <c r="B318" s="16"/>
      <c r="C318" s="16"/>
      <c r="D318" s="16"/>
      <c r="E318" s="16"/>
      <c r="F318" s="16"/>
      <c r="G318" s="16"/>
      <c r="H318" s="16"/>
      <c r="I318" s="16"/>
      <c r="J318" s="16"/>
      <c r="K318" s="16"/>
      <c r="L318" s="16"/>
      <c r="M318" s="16"/>
      <c r="N318" s="16"/>
      <c r="O318" s="16"/>
      <c r="P318" s="16"/>
      <c r="Q318" s="16"/>
      <c r="R318" s="16"/>
      <c r="S318" s="16"/>
      <c r="T318" s="16"/>
      <c r="U318" s="16"/>
      <c r="V318" s="1169"/>
      <c r="W318" s="1169"/>
      <c r="X318" s="1169"/>
      <c r="Y318" s="1169"/>
      <c r="Z318" s="1169"/>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446"/>
      <c r="BP318" s="446"/>
      <c r="BQ318" s="446"/>
      <c r="BR318" s="446"/>
      <c r="BS318" s="446"/>
      <c r="BT318" s="446"/>
      <c r="BU318" s="446"/>
      <c r="BV318" s="1225"/>
      <c r="BW318" s="446"/>
      <c r="BX318" s="446"/>
      <c r="BY318" s="446"/>
      <c r="BZ318" s="446"/>
      <c r="CA318" s="446"/>
      <c r="CB318" s="446"/>
      <c r="CC318" s="446"/>
      <c r="CD318" s="446"/>
      <c r="CE318" s="446"/>
      <c r="CF318" s="446"/>
      <c r="CG318" s="446"/>
      <c r="CH318" s="446"/>
      <c r="CI318" s="446"/>
      <c r="CJ318" s="446"/>
      <c r="CK318" s="446"/>
      <c r="CL318" s="446"/>
      <c r="CM318" s="446"/>
      <c r="CN318" s="446"/>
      <c r="CO318" s="446"/>
      <c r="CP318" s="446"/>
      <c r="CQ318" s="446"/>
      <c r="CR318" s="446"/>
      <c r="CS318" s="446"/>
      <c r="CT318" s="446"/>
      <c r="CU318" s="446"/>
      <c r="CV318" s="445"/>
      <c r="CW318" s="813"/>
      <c r="CX318" s="445"/>
      <c r="CY318" s="446"/>
      <c r="CZ318" s="446"/>
      <c r="DA318" s="446"/>
      <c r="DB318" s="446"/>
      <c r="DC318" s="446"/>
      <c r="DD318" s="446"/>
      <c r="DE318" s="446"/>
      <c r="DF318" s="446"/>
      <c r="DG318" s="446"/>
      <c r="DH318" s="446"/>
      <c r="DI318" s="446"/>
      <c r="DJ318" s="446"/>
      <c r="DK318" s="446"/>
      <c r="DL318" s="446"/>
      <c r="DM318" s="446"/>
      <c r="DN318" s="446"/>
      <c r="DO318" s="446"/>
      <c r="DP318" s="446"/>
      <c r="DQ318" s="446"/>
      <c r="DR318" s="446"/>
      <c r="DS318" s="446"/>
      <c r="DT318" s="446"/>
      <c r="DU318" s="446"/>
      <c r="DV318" s="446"/>
      <c r="DW318" s="446"/>
      <c r="DX318" s="446"/>
      <c r="DY318" s="446"/>
    </row>
    <row r="319" spans="1:129" s="112" customFormat="1" ht="14.25" customHeight="1">
      <c r="A319" s="16"/>
      <c r="B319" s="16"/>
      <c r="C319" s="16"/>
      <c r="D319" s="16"/>
      <c r="E319" s="16"/>
      <c r="F319" s="16"/>
      <c r="G319" s="16"/>
      <c r="H319" s="16"/>
      <c r="I319" s="16"/>
      <c r="J319" s="16"/>
      <c r="K319" s="16"/>
      <c r="L319" s="16"/>
      <c r="M319" s="16"/>
      <c r="N319" s="16"/>
      <c r="O319" s="16"/>
      <c r="P319" s="16"/>
      <c r="Q319" s="16"/>
      <c r="R319" s="16"/>
      <c r="S319" s="16"/>
      <c r="T319" s="16"/>
      <c r="U319" s="16"/>
      <c r="V319" s="1169"/>
      <c r="W319" s="1169"/>
      <c r="X319" s="1169"/>
      <c r="Y319" s="1169"/>
      <c r="Z319" s="1169"/>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446"/>
      <c r="BP319" s="446"/>
      <c r="BQ319" s="446"/>
      <c r="BR319" s="446"/>
      <c r="BS319" s="446"/>
      <c r="BT319" s="446"/>
      <c r="BU319" s="446"/>
      <c r="BV319" s="1225"/>
      <c r="BW319" s="446"/>
      <c r="BX319" s="446"/>
      <c r="BY319" s="446"/>
      <c r="BZ319" s="446"/>
      <c r="CA319" s="446"/>
      <c r="CB319" s="446"/>
      <c r="CC319" s="446"/>
      <c r="CD319" s="446"/>
      <c r="CE319" s="446"/>
      <c r="CF319" s="446"/>
      <c r="CG319" s="446"/>
      <c r="CH319" s="446"/>
      <c r="CI319" s="446"/>
      <c r="CJ319" s="446"/>
      <c r="CK319" s="446"/>
      <c r="CL319" s="446"/>
      <c r="CM319" s="446"/>
      <c r="CN319" s="446"/>
      <c r="CO319" s="446"/>
      <c r="CP319" s="446"/>
      <c r="CQ319" s="446"/>
      <c r="CR319" s="446"/>
      <c r="CS319" s="446"/>
      <c r="CT319" s="446"/>
      <c r="CU319" s="446"/>
      <c r="CV319" s="445"/>
      <c r="CW319" s="813"/>
      <c r="CX319" s="445"/>
      <c r="CY319" s="446"/>
      <c r="CZ319" s="446"/>
      <c r="DA319" s="446"/>
      <c r="DB319" s="446"/>
      <c r="DC319" s="446"/>
      <c r="DD319" s="446"/>
      <c r="DE319" s="446"/>
      <c r="DF319" s="446"/>
      <c r="DG319" s="446"/>
      <c r="DH319" s="446"/>
      <c r="DI319" s="446"/>
      <c r="DJ319" s="446"/>
      <c r="DK319" s="446"/>
      <c r="DL319" s="446"/>
      <c r="DM319" s="446"/>
      <c r="DN319" s="446"/>
      <c r="DO319" s="446"/>
      <c r="DP319" s="446"/>
      <c r="DQ319" s="446"/>
      <c r="DR319" s="446"/>
      <c r="DS319" s="446"/>
      <c r="DT319" s="446"/>
      <c r="DU319" s="446"/>
      <c r="DV319" s="446"/>
      <c r="DW319" s="446"/>
      <c r="DX319" s="446"/>
      <c r="DY319" s="446"/>
    </row>
    <row r="320" spans="1:129" s="112" customFormat="1" ht="14.25" customHeight="1">
      <c r="A320" s="16"/>
      <c r="B320" s="16"/>
      <c r="C320" s="16"/>
      <c r="D320" s="16"/>
      <c r="E320" s="16"/>
      <c r="F320" s="16"/>
      <c r="G320" s="16"/>
      <c r="H320" s="16"/>
      <c r="I320" s="16"/>
      <c r="J320" s="16"/>
      <c r="K320" s="16"/>
      <c r="L320" s="16"/>
      <c r="M320" s="16"/>
      <c r="N320" s="16"/>
      <c r="O320" s="16"/>
      <c r="P320" s="16"/>
      <c r="Q320" s="16"/>
      <c r="R320" s="16"/>
      <c r="S320" s="16"/>
      <c r="T320" s="16"/>
      <c r="U320" s="16"/>
      <c r="V320" s="1169"/>
      <c r="W320" s="1169"/>
      <c r="X320" s="1169"/>
      <c r="Y320" s="1169"/>
      <c r="Z320" s="1169"/>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446"/>
      <c r="BP320" s="446"/>
      <c r="BQ320" s="446"/>
      <c r="BR320" s="446"/>
      <c r="BS320" s="446"/>
      <c r="BT320" s="446"/>
      <c r="BU320" s="446"/>
      <c r="BV320" s="1225"/>
      <c r="BW320" s="446"/>
      <c r="BX320" s="446"/>
      <c r="BY320" s="446"/>
      <c r="BZ320" s="446"/>
      <c r="CA320" s="446"/>
      <c r="CB320" s="446"/>
      <c r="CC320" s="446"/>
      <c r="CD320" s="446"/>
      <c r="CE320" s="446"/>
      <c r="CF320" s="446"/>
      <c r="CG320" s="446"/>
      <c r="CH320" s="446"/>
      <c r="CI320" s="446"/>
      <c r="CJ320" s="446"/>
      <c r="CK320" s="446"/>
      <c r="CL320" s="446"/>
      <c r="CM320" s="446"/>
      <c r="CN320" s="446"/>
      <c r="CO320" s="446"/>
      <c r="CP320" s="446"/>
      <c r="CQ320" s="446"/>
      <c r="CR320" s="446"/>
      <c r="CS320" s="446"/>
      <c r="CT320" s="446"/>
      <c r="CU320" s="446"/>
      <c r="CV320" s="445"/>
      <c r="CW320" s="813"/>
      <c r="CX320" s="445"/>
      <c r="CY320" s="446"/>
      <c r="CZ320" s="446"/>
      <c r="DA320" s="446"/>
      <c r="DB320" s="446"/>
      <c r="DC320" s="446"/>
      <c r="DD320" s="446"/>
      <c r="DE320" s="446"/>
      <c r="DF320" s="446"/>
      <c r="DG320" s="446"/>
      <c r="DH320" s="446"/>
      <c r="DI320" s="446"/>
      <c r="DJ320" s="446"/>
      <c r="DK320" s="446"/>
      <c r="DL320" s="446"/>
      <c r="DM320" s="446"/>
      <c r="DN320" s="446"/>
      <c r="DO320" s="446"/>
      <c r="DP320" s="446"/>
      <c r="DQ320" s="446"/>
      <c r="DR320" s="446"/>
      <c r="DS320" s="446"/>
      <c r="DT320" s="446"/>
      <c r="DU320" s="446"/>
      <c r="DV320" s="446"/>
      <c r="DW320" s="446"/>
      <c r="DX320" s="446"/>
      <c r="DY320" s="446"/>
    </row>
    <row r="321" spans="1:129" s="112" customFormat="1" ht="14.25" customHeight="1">
      <c r="A321" s="16"/>
      <c r="B321" s="16"/>
      <c r="C321" s="16"/>
      <c r="D321" s="16"/>
      <c r="E321" s="16"/>
      <c r="F321" s="16"/>
      <c r="G321" s="16"/>
      <c r="H321" s="16"/>
      <c r="I321" s="16"/>
      <c r="J321" s="16"/>
      <c r="K321" s="16"/>
      <c r="L321" s="16"/>
      <c r="M321" s="16"/>
      <c r="N321" s="16"/>
      <c r="O321" s="16"/>
      <c r="P321" s="16"/>
      <c r="Q321" s="16"/>
      <c r="R321" s="16"/>
      <c r="S321" s="16"/>
      <c r="T321" s="16"/>
      <c r="U321" s="16"/>
      <c r="V321" s="1169"/>
      <c r="W321" s="1169"/>
      <c r="X321" s="1169"/>
      <c r="Y321" s="1169"/>
      <c r="Z321" s="1169"/>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446"/>
      <c r="BP321" s="446"/>
      <c r="BQ321" s="446"/>
      <c r="BR321" s="446"/>
      <c r="BS321" s="446"/>
      <c r="BT321" s="446"/>
      <c r="BU321" s="446"/>
      <c r="BV321" s="1225"/>
      <c r="BW321" s="446"/>
      <c r="BX321" s="446"/>
      <c r="BY321" s="446"/>
      <c r="BZ321" s="446"/>
      <c r="CA321" s="446"/>
      <c r="CB321" s="446"/>
      <c r="CC321" s="446"/>
      <c r="CD321" s="446"/>
      <c r="CE321" s="446"/>
      <c r="CF321" s="446"/>
      <c r="CG321" s="446"/>
      <c r="CH321" s="446"/>
      <c r="CI321" s="446"/>
      <c r="CJ321" s="446"/>
      <c r="CK321" s="446"/>
      <c r="CL321" s="446"/>
      <c r="CM321" s="446"/>
      <c r="CN321" s="446"/>
      <c r="CO321" s="446"/>
      <c r="CP321" s="446"/>
      <c r="CQ321" s="446"/>
      <c r="CR321" s="446"/>
      <c r="CS321" s="446"/>
      <c r="CT321" s="446"/>
      <c r="CU321" s="446"/>
      <c r="CV321" s="445"/>
      <c r="CW321" s="813"/>
      <c r="CX321" s="445"/>
      <c r="CY321" s="446"/>
      <c r="CZ321" s="446"/>
      <c r="DA321" s="446"/>
      <c r="DB321" s="446"/>
      <c r="DC321" s="446"/>
      <c r="DD321" s="446"/>
      <c r="DE321" s="446"/>
      <c r="DF321" s="446"/>
      <c r="DG321" s="446"/>
      <c r="DH321" s="446"/>
      <c r="DI321" s="446"/>
      <c r="DJ321" s="446"/>
      <c r="DK321" s="446"/>
      <c r="DL321" s="446"/>
      <c r="DM321" s="446"/>
      <c r="DN321" s="446"/>
      <c r="DO321" s="446"/>
      <c r="DP321" s="446"/>
      <c r="DQ321" s="446"/>
      <c r="DR321" s="446"/>
      <c r="DS321" s="446"/>
      <c r="DT321" s="446"/>
      <c r="DU321" s="446"/>
      <c r="DV321" s="446"/>
      <c r="DW321" s="446"/>
      <c r="DX321" s="446"/>
      <c r="DY321" s="446"/>
    </row>
    <row r="322" spans="1:129" s="112" customFormat="1" ht="14.25" customHeight="1">
      <c r="A322" s="16"/>
      <c r="B322" s="16"/>
      <c r="C322" s="16"/>
      <c r="D322" s="16"/>
      <c r="E322" s="16"/>
      <c r="F322" s="16"/>
      <c r="G322" s="16"/>
      <c r="H322" s="16"/>
      <c r="I322" s="16"/>
      <c r="J322" s="16"/>
      <c r="K322" s="16"/>
      <c r="L322" s="16"/>
      <c r="M322" s="16"/>
      <c r="N322" s="16"/>
      <c r="O322" s="16"/>
      <c r="P322" s="16"/>
      <c r="Q322" s="16"/>
      <c r="R322" s="16"/>
      <c r="S322" s="16"/>
      <c r="T322" s="16"/>
      <c r="U322" s="16"/>
      <c r="V322" s="1169"/>
      <c r="W322" s="1169"/>
      <c r="X322" s="1169"/>
      <c r="Y322" s="1169"/>
      <c r="Z322" s="1169"/>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446"/>
      <c r="BP322" s="446"/>
      <c r="BQ322" s="446"/>
      <c r="BR322" s="446"/>
      <c r="BS322" s="446"/>
      <c r="BT322" s="446"/>
      <c r="BU322" s="446"/>
      <c r="BV322" s="1225"/>
      <c r="BW322" s="446"/>
      <c r="BX322" s="446"/>
      <c r="BY322" s="446"/>
      <c r="BZ322" s="446"/>
      <c r="CA322" s="446"/>
      <c r="CB322" s="446"/>
      <c r="CC322" s="446"/>
      <c r="CD322" s="446"/>
      <c r="CE322" s="446"/>
      <c r="CF322" s="446"/>
      <c r="CG322" s="446"/>
      <c r="CH322" s="446"/>
      <c r="CI322" s="446"/>
      <c r="CJ322" s="446"/>
      <c r="CK322" s="446"/>
      <c r="CL322" s="446"/>
      <c r="CM322" s="446"/>
      <c r="CN322" s="446"/>
      <c r="CO322" s="446"/>
      <c r="CP322" s="446"/>
      <c r="CQ322" s="446"/>
      <c r="CR322" s="446"/>
      <c r="CS322" s="446"/>
      <c r="CT322" s="446"/>
      <c r="CU322" s="446"/>
      <c r="CV322" s="445"/>
      <c r="CW322" s="813"/>
      <c r="CX322" s="445"/>
      <c r="CY322" s="446"/>
      <c r="CZ322" s="446"/>
      <c r="DA322" s="446"/>
      <c r="DB322" s="446"/>
      <c r="DC322" s="446"/>
      <c r="DD322" s="446"/>
      <c r="DE322" s="446"/>
      <c r="DF322" s="446"/>
      <c r="DG322" s="446"/>
      <c r="DH322" s="446"/>
      <c r="DI322" s="446"/>
      <c r="DJ322" s="446"/>
      <c r="DK322" s="446"/>
      <c r="DL322" s="446"/>
      <c r="DM322" s="446"/>
      <c r="DN322" s="446"/>
      <c r="DO322" s="446"/>
      <c r="DP322" s="446"/>
      <c r="DQ322" s="446"/>
      <c r="DR322" s="446"/>
      <c r="DS322" s="446"/>
      <c r="DT322" s="446"/>
      <c r="DU322" s="446"/>
      <c r="DV322" s="446"/>
      <c r="DW322" s="446"/>
      <c r="DX322" s="446"/>
      <c r="DY322" s="446"/>
    </row>
    <row r="323" spans="1:129" s="112" customFormat="1" ht="14.25" customHeight="1">
      <c r="A323" s="16"/>
      <c r="B323" s="16"/>
      <c r="C323" s="16"/>
      <c r="D323" s="16"/>
      <c r="E323" s="16"/>
      <c r="F323" s="16"/>
      <c r="G323" s="16"/>
      <c r="H323" s="16"/>
      <c r="I323" s="16"/>
      <c r="J323" s="16"/>
      <c r="K323" s="16"/>
      <c r="L323" s="16"/>
      <c r="M323" s="16"/>
      <c r="N323" s="16"/>
      <c r="O323" s="16"/>
      <c r="P323" s="16"/>
      <c r="Q323" s="16"/>
      <c r="R323" s="16"/>
      <c r="S323" s="16"/>
      <c r="T323" s="16"/>
      <c r="U323" s="16"/>
      <c r="V323" s="1169"/>
      <c r="W323" s="1169"/>
      <c r="X323" s="1169"/>
      <c r="Y323" s="1169"/>
      <c r="Z323" s="1169"/>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446"/>
      <c r="BP323" s="446"/>
      <c r="BQ323" s="446"/>
      <c r="BR323" s="446"/>
      <c r="BS323" s="446"/>
      <c r="BT323" s="446"/>
      <c r="BU323" s="446"/>
      <c r="BV323" s="1225"/>
      <c r="BW323" s="446"/>
      <c r="BX323" s="446"/>
      <c r="BY323" s="446"/>
      <c r="BZ323" s="446"/>
      <c r="CA323" s="446"/>
      <c r="CB323" s="446"/>
      <c r="CC323" s="446"/>
      <c r="CD323" s="446"/>
      <c r="CE323" s="446"/>
      <c r="CF323" s="446"/>
      <c r="CG323" s="446"/>
      <c r="CH323" s="446"/>
      <c r="CI323" s="446"/>
      <c r="CJ323" s="446"/>
      <c r="CK323" s="446"/>
      <c r="CL323" s="446"/>
      <c r="CM323" s="446"/>
      <c r="CN323" s="446"/>
      <c r="CO323" s="446"/>
      <c r="CP323" s="446"/>
      <c r="CQ323" s="446"/>
      <c r="CR323" s="446"/>
      <c r="CS323" s="446"/>
      <c r="CT323" s="446"/>
      <c r="CU323" s="446"/>
      <c r="CV323" s="445"/>
      <c r="CW323" s="813"/>
      <c r="CX323" s="445"/>
      <c r="CY323" s="446"/>
      <c r="CZ323" s="446"/>
      <c r="DA323" s="446"/>
      <c r="DB323" s="446"/>
      <c r="DC323" s="446"/>
      <c r="DD323" s="446"/>
      <c r="DE323" s="446"/>
      <c r="DF323" s="446"/>
      <c r="DG323" s="446"/>
      <c r="DH323" s="446"/>
      <c r="DI323" s="446"/>
      <c r="DJ323" s="446"/>
      <c r="DK323" s="446"/>
      <c r="DL323" s="446"/>
      <c r="DM323" s="446"/>
      <c r="DN323" s="446"/>
      <c r="DO323" s="446"/>
      <c r="DP323" s="446"/>
      <c r="DQ323" s="446"/>
      <c r="DR323" s="446"/>
      <c r="DS323" s="446"/>
      <c r="DT323" s="446"/>
      <c r="DU323" s="446"/>
      <c r="DV323" s="446"/>
      <c r="DW323" s="446"/>
      <c r="DX323" s="446"/>
      <c r="DY323" s="446"/>
    </row>
    <row r="324" spans="1:129" s="112" customFormat="1" ht="14.25" customHeight="1">
      <c r="A324" s="16"/>
      <c r="B324" s="16"/>
      <c r="C324" s="16"/>
      <c r="D324" s="16"/>
      <c r="E324" s="16"/>
      <c r="F324" s="16"/>
      <c r="G324" s="16"/>
      <c r="H324" s="16"/>
      <c r="I324" s="16"/>
      <c r="J324" s="16"/>
      <c r="K324" s="16"/>
      <c r="L324" s="16"/>
      <c r="M324" s="16"/>
      <c r="N324" s="16"/>
      <c r="O324" s="16"/>
      <c r="P324" s="16"/>
      <c r="Q324" s="16"/>
      <c r="R324" s="16"/>
      <c r="S324" s="16"/>
      <c r="T324" s="16"/>
      <c r="U324" s="16"/>
      <c r="V324" s="1169"/>
      <c r="W324" s="1169"/>
      <c r="X324" s="1169"/>
      <c r="Y324" s="1169"/>
      <c r="Z324" s="1169"/>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446"/>
      <c r="BP324" s="446"/>
      <c r="BQ324" s="446"/>
      <c r="BR324" s="446"/>
      <c r="BS324" s="446"/>
      <c r="BT324" s="446"/>
      <c r="BU324" s="446"/>
      <c r="BV324" s="1225"/>
      <c r="BW324" s="446"/>
      <c r="BX324" s="446"/>
      <c r="BY324" s="446"/>
      <c r="BZ324" s="446"/>
      <c r="CA324" s="446"/>
      <c r="CB324" s="446"/>
      <c r="CC324" s="446"/>
      <c r="CD324" s="446"/>
      <c r="CE324" s="446"/>
      <c r="CF324" s="446"/>
      <c r="CG324" s="446"/>
      <c r="CH324" s="446"/>
      <c r="CI324" s="446"/>
      <c r="CJ324" s="446"/>
      <c r="CK324" s="446"/>
      <c r="CL324" s="446"/>
      <c r="CM324" s="446"/>
      <c r="CN324" s="446"/>
      <c r="CO324" s="446"/>
      <c r="CP324" s="446"/>
      <c r="CQ324" s="446"/>
      <c r="CR324" s="446"/>
      <c r="CS324" s="446"/>
      <c r="CT324" s="446"/>
      <c r="CU324" s="446"/>
      <c r="CV324" s="445"/>
      <c r="CW324" s="813"/>
      <c r="CX324" s="445"/>
      <c r="CY324" s="446"/>
      <c r="CZ324" s="446"/>
      <c r="DA324" s="446"/>
      <c r="DB324" s="446"/>
      <c r="DC324" s="446"/>
      <c r="DD324" s="446"/>
      <c r="DE324" s="446"/>
      <c r="DF324" s="446"/>
      <c r="DG324" s="446"/>
      <c r="DH324" s="446"/>
      <c r="DI324" s="446"/>
      <c r="DJ324" s="446"/>
      <c r="DK324" s="446"/>
      <c r="DL324" s="446"/>
      <c r="DM324" s="446"/>
      <c r="DN324" s="446"/>
      <c r="DO324" s="446"/>
      <c r="DP324" s="446"/>
      <c r="DQ324" s="446"/>
      <c r="DR324" s="446"/>
      <c r="DS324" s="446"/>
      <c r="DT324" s="446"/>
      <c r="DU324" s="446"/>
      <c r="DV324" s="446"/>
      <c r="DW324" s="446"/>
      <c r="DX324" s="446"/>
      <c r="DY324" s="446"/>
    </row>
    <row r="325" spans="1:129" s="112" customFormat="1" ht="14.25" customHeight="1">
      <c r="A325" s="16"/>
      <c r="B325" s="16"/>
      <c r="C325" s="16"/>
      <c r="D325" s="16"/>
      <c r="E325" s="16"/>
      <c r="F325" s="16"/>
      <c r="G325" s="16"/>
      <c r="H325" s="16"/>
      <c r="I325" s="16"/>
      <c r="J325" s="16"/>
      <c r="K325" s="16"/>
      <c r="L325" s="16"/>
      <c r="M325" s="16"/>
      <c r="N325" s="16"/>
      <c r="O325" s="16"/>
      <c r="P325" s="16"/>
      <c r="Q325" s="16"/>
      <c r="R325" s="16"/>
      <c r="S325" s="16"/>
      <c r="T325" s="16"/>
      <c r="U325" s="16"/>
      <c r="V325" s="1169"/>
      <c r="W325" s="1169"/>
      <c r="X325" s="1169"/>
      <c r="Y325" s="1169"/>
      <c r="Z325" s="1169"/>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446"/>
      <c r="BP325" s="446"/>
      <c r="BQ325" s="446"/>
      <c r="BR325" s="446"/>
      <c r="BS325" s="446"/>
      <c r="BT325" s="446"/>
      <c r="BU325" s="446"/>
      <c r="BV325" s="1225"/>
      <c r="BW325" s="446"/>
      <c r="BX325" s="446"/>
      <c r="BY325" s="446"/>
      <c r="BZ325" s="446"/>
      <c r="CA325" s="446"/>
      <c r="CB325" s="446"/>
      <c r="CC325" s="446"/>
      <c r="CD325" s="446"/>
      <c r="CE325" s="446"/>
      <c r="CF325" s="446"/>
      <c r="CG325" s="446"/>
      <c r="CH325" s="446"/>
      <c r="CI325" s="446"/>
      <c r="CJ325" s="446"/>
      <c r="CK325" s="446"/>
      <c r="CL325" s="446"/>
      <c r="CM325" s="446"/>
      <c r="CN325" s="446"/>
      <c r="CO325" s="446"/>
      <c r="CP325" s="446"/>
      <c r="CQ325" s="446"/>
      <c r="CR325" s="446"/>
      <c r="CS325" s="446"/>
      <c r="CT325" s="446"/>
      <c r="CU325" s="446"/>
      <c r="CV325" s="445"/>
      <c r="CW325" s="813"/>
      <c r="CX325" s="445"/>
      <c r="CY325" s="446"/>
      <c r="CZ325" s="446"/>
      <c r="DA325" s="446"/>
      <c r="DB325" s="446"/>
      <c r="DC325" s="446"/>
      <c r="DD325" s="446"/>
      <c r="DE325" s="446"/>
      <c r="DF325" s="446"/>
      <c r="DG325" s="446"/>
      <c r="DH325" s="446"/>
      <c r="DI325" s="446"/>
      <c r="DJ325" s="446"/>
      <c r="DK325" s="446"/>
      <c r="DL325" s="446"/>
      <c r="DM325" s="446"/>
      <c r="DN325" s="446"/>
      <c r="DO325" s="446"/>
      <c r="DP325" s="446"/>
      <c r="DQ325" s="446"/>
      <c r="DR325" s="446"/>
      <c r="DS325" s="446"/>
      <c r="DT325" s="446"/>
      <c r="DU325" s="446"/>
      <c r="DV325" s="446"/>
      <c r="DW325" s="446"/>
      <c r="DX325" s="446"/>
      <c r="DY325" s="446"/>
    </row>
    <row r="326" spans="1:129" s="112" customFormat="1" ht="14.25" customHeight="1">
      <c r="A326" s="16"/>
      <c r="B326" s="16"/>
      <c r="C326" s="16"/>
      <c r="D326" s="16"/>
      <c r="E326" s="16"/>
      <c r="F326" s="16"/>
      <c r="G326" s="16"/>
      <c r="H326" s="16"/>
      <c r="I326" s="16"/>
      <c r="J326" s="16"/>
      <c r="K326" s="16"/>
      <c r="L326" s="16"/>
      <c r="M326" s="16"/>
      <c r="N326" s="16"/>
      <c r="O326" s="16"/>
      <c r="P326" s="16"/>
      <c r="Q326" s="16"/>
      <c r="R326" s="16"/>
      <c r="S326" s="16"/>
      <c r="T326" s="16"/>
      <c r="U326" s="16"/>
      <c r="V326" s="1169"/>
      <c r="W326" s="1169"/>
      <c r="X326" s="1169"/>
      <c r="Y326" s="1169"/>
      <c r="Z326" s="1169"/>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446"/>
      <c r="BP326" s="446"/>
      <c r="BQ326" s="446"/>
      <c r="BR326" s="446"/>
      <c r="BS326" s="446"/>
      <c r="BT326" s="446"/>
      <c r="BU326" s="446"/>
      <c r="BV326" s="1225"/>
      <c r="BW326" s="446"/>
      <c r="BX326" s="446"/>
      <c r="BY326" s="446"/>
      <c r="BZ326" s="446"/>
      <c r="CA326" s="446"/>
      <c r="CB326" s="446"/>
      <c r="CC326" s="446"/>
      <c r="CD326" s="446"/>
      <c r="CE326" s="446"/>
      <c r="CF326" s="446"/>
      <c r="CG326" s="446"/>
      <c r="CH326" s="446"/>
      <c r="CI326" s="446"/>
      <c r="CJ326" s="446"/>
      <c r="CK326" s="446"/>
      <c r="CL326" s="446"/>
      <c r="CM326" s="446"/>
      <c r="CN326" s="446"/>
      <c r="CO326" s="446"/>
      <c r="CP326" s="446"/>
      <c r="CQ326" s="446"/>
      <c r="CR326" s="446"/>
      <c r="CS326" s="446"/>
      <c r="CT326" s="446"/>
      <c r="CU326" s="446"/>
      <c r="CV326" s="445"/>
      <c r="CW326" s="813"/>
      <c r="CX326" s="445"/>
      <c r="CY326" s="446"/>
      <c r="CZ326" s="446"/>
      <c r="DA326" s="446"/>
      <c r="DB326" s="446"/>
      <c r="DC326" s="446"/>
      <c r="DD326" s="446"/>
      <c r="DE326" s="446"/>
      <c r="DF326" s="446"/>
      <c r="DG326" s="446"/>
      <c r="DH326" s="446"/>
      <c r="DI326" s="446"/>
      <c r="DJ326" s="446"/>
      <c r="DK326" s="446"/>
      <c r="DL326" s="446"/>
      <c r="DM326" s="446"/>
      <c r="DN326" s="446"/>
      <c r="DO326" s="446"/>
      <c r="DP326" s="446"/>
      <c r="DQ326" s="446"/>
      <c r="DR326" s="446"/>
      <c r="DS326" s="446"/>
      <c r="DT326" s="446"/>
      <c r="DU326" s="446"/>
      <c r="DV326" s="446"/>
      <c r="DW326" s="446"/>
      <c r="DX326" s="446"/>
      <c r="DY326" s="446"/>
    </row>
    <row r="327" spans="1:129" s="112" customFormat="1" ht="14.25" customHeight="1">
      <c r="A327" s="16"/>
      <c r="B327" s="16"/>
      <c r="C327" s="16"/>
      <c r="D327" s="16"/>
      <c r="E327" s="16"/>
      <c r="F327" s="16"/>
      <c r="G327" s="16"/>
      <c r="H327" s="16"/>
      <c r="I327" s="16"/>
      <c r="J327" s="16"/>
      <c r="K327" s="16"/>
      <c r="L327" s="16"/>
      <c r="M327" s="16"/>
      <c r="N327" s="16"/>
      <c r="O327" s="16"/>
      <c r="P327" s="16"/>
      <c r="Q327" s="16"/>
      <c r="R327" s="16"/>
      <c r="S327" s="16"/>
      <c r="T327" s="16"/>
      <c r="U327" s="16"/>
      <c r="V327" s="1169"/>
      <c r="W327" s="1169"/>
      <c r="X327" s="1169"/>
      <c r="Y327" s="1169"/>
      <c r="Z327" s="1169"/>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446"/>
      <c r="BP327" s="446"/>
      <c r="BQ327" s="446"/>
      <c r="BR327" s="446"/>
      <c r="BS327" s="446"/>
      <c r="BT327" s="446"/>
      <c r="BU327" s="446"/>
      <c r="BV327" s="1225"/>
      <c r="BW327" s="446"/>
      <c r="BX327" s="446"/>
      <c r="BY327" s="446"/>
      <c r="BZ327" s="446"/>
      <c r="CA327" s="446"/>
      <c r="CB327" s="446"/>
      <c r="CC327" s="446"/>
      <c r="CD327" s="446"/>
      <c r="CE327" s="446"/>
      <c r="CF327" s="446"/>
      <c r="CG327" s="446"/>
      <c r="CH327" s="446"/>
      <c r="CI327" s="446"/>
      <c r="CJ327" s="446"/>
      <c r="CK327" s="446"/>
      <c r="CL327" s="446"/>
      <c r="CM327" s="446"/>
      <c r="CN327" s="446"/>
      <c r="CO327" s="446"/>
      <c r="CP327" s="446"/>
      <c r="CQ327" s="446"/>
      <c r="CR327" s="446"/>
      <c r="CS327" s="446"/>
      <c r="CT327" s="446"/>
      <c r="CU327" s="446"/>
      <c r="CV327" s="445"/>
      <c r="CW327" s="813"/>
      <c r="CX327" s="445"/>
      <c r="CY327" s="446"/>
      <c r="CZ327" s="446"/>
      <c r="DA327" s="446"/>
      <c r="DB327" s="446"/>
      <c r="DC327" s="446"/>
      <c r="DD327" s="446"/>
      <c r="DE327" s="446"/>
      <c r="DF327" s="446"/>
      <c r="DG327" s="446"/>
      <c r="DH327" s="446"/>
      <c r="DI327" s="446"/>
      <c r="DJ327" s="446"/>
      <c r="DK327" s="446"/>
      <c r="DL327" s="446"/>
      <c r="DM327" s="446"/>
      <c r="DN327" s="446"/>
      <c r="DO327" s="446"/>
      <c r="DP327" s="446"/>
      <c r="DQ327" s="446"/>
      <c r="DR327" s="446"/>
      <c r="DS327" s="446"/>
      <c r="DT327" s="446"/>
      <c r="DU327" s="446"/>
      <c r="DV327" s="446"/>
      <c r="DW327" s="446"/>
      <c r="DX327" s="446"/>
      <c r="DY327" s="446"/>
    </row>
    <row r="328" spans="1:129" s="112" customFormat="1" ht="14.25" customHeight="1">
      <c r="A328" s="16"/>
      <c r="B328" s="16"/>
      <c r="C328" s="161"/>
      <c r="D328" s="1231"/>
      <c r="E328" s="1232"/>
      <c r="F328" s="1231"/>
      <c r="G328" s="1231"/>
      <c r="H328" s="1231"/>
      <c r="I328" s="1231"/>
      <c r="J328" s="1231"/>
      <c r="K328" s="1231"/>
      <c r="L328" s="1231"/>
      <c r="M328" s="1231"/>
      <c r="N328" s="1231"/>
      <c r="O328" s="1231"/>
      <c r="P328" s="1231"/>
      <c r="Q328" s="1231"/>
      <c r="R328" s="1231"/>
      <c r="S328" s="1231"/>
      <c r="T328" s="1231"/>
      <c r="U328" s="1231"/>
      <c r="V328" s="1590"/>
      <c r="W328" s="1590"/>
      <c r="X328" s="1590"/>
      <c r="Y328" s="1590"/>
      <c r="Z328" s="1590"/>
      <c r="AA328" s="1231"/>
      <c r="AB328" s="1231"/>
      <c r="AC328" s="1231"/>
      <c r="AD328" s="1231"/>
      <c r="AE328" s="1231"/>
      <c r="AF328" s="1231"/>
      <c r="AG328" s="1231"/>
      <c r="AH328" s="1231"/>
      <c r="AI328" s="1231"/>
      <c r="AJ328" s="1231"/>
      <c r="AK328" s="1231"/>
      <c r="AL328" s="1231"/>
      <c r="AM328" s="1231"/>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446"/>
      <c r="BP328" s="446"/>
      <c r="BQ328" s="446"/>
      <c r="BR328" s="446"/>
      <c r="BS328" s="446"/>
      <c r="BT328" s="446"/>
      <c r="BU328" s="446"/>
      <c r="BV328" s="1225"/>
      <c r="BW328" s="446"/>
      <c r="BX328" s="446"/>
      <c r="BY328" s="446"/>
      <c r="BZ328" s="446"/>
      <c r="CA328" s="446"/>
      <c r="CB328" s="446"/>
      <c r="CC328" s="446"/>
      <c r="CD328" s="446"/>
      <c r="CE328" s="446"/>
      <c r="CF328" s="446"/>
      <c r="CG328" s="446"/>
      <c r="CH328" s="446"/>
      <c r="CI328" s="446"/>
      <c r="CJ328" s="446"/>
      <c r="CK328" s="446"/>
      <c r="CL328" s="446"/>
      <c r="CM328" s="446"/>
      <c r="CN328" s="446"/>
      <c r="CO328" s="446"/>
      <c r="CP328" s="446"/>
      <c r="CQ328" s="446"/>
      <c r="CR328" s="446"/>
      <c r="CS328" s="446"/>
      <c r="CT328" s="446"/>
      <c r="CU328" s="446"/>
      <c r="CV328" s="445"/>
      <c r="CW328" s="813"/>
      <c r="CX328" s="445"/>
      <c r="CY328" s="446"/>
      <c r="CZ328" s="446"/>
      <c r="DA328" s="446"/>
      <c r="DB328" s="446"/>
      <c r="DC328" s="446"/>
      <c r="DD328" s="446"/>
      <c r="DE328" s="446"/>
      <c r="DF328" s="446"/>
      <c r="DG328" s="446"/>
      <c r="DH328" s="446"/>
      <c r="DI328" s="446"/>
      <c r="DJ328" s="446"/>
      <c r="DK328" s="446"/>
      <c r="DL328" s="446"/>
      <c r="DM328" s="446"/>
      <c r="DN328" s="446"/>
      <c r="DO328" s="446"/>
      <c r="DP328" s="446"/>
      <c r="DQ328" s="446"/>
      <c r="DR328" s="446"/>
      <c r="DS328" s="446"/>
      <c r="DT328" s="446"/>
      <c r="DU328" s="446"/>
      <c r="DV328" s="446"/>
      <c r="DW328" s="446"/>
      <c r="DX328" s="446"/>
      <c r="DY328" s="446"/>
    </row>
    <row r="329" spans="1:129" s="112" customFormat="1" ht="14.25" customHeight="1">
      <c r="A329" s="16"/>
      <c r="B329" s="16"/>
      <c r="C329" s="16"/>
      <c r="D329" s="16"/>
      <c r="E329" s="16"/>
      <c r="F329" s="16"/>
      <c r="G329" s="16"/>
      <c r="H329" s="16"/>
      <c r="I329" s="16"/>
      <c r="J329" s="16"/>
      <c r="K329" s="16"/>
      <c r="L329" s="16"/>
      <c r="M329" s="16"/>
      <c r="N329" s="16"/>
      <c r="O329" s="16"/>
      <c r="P329" s="16"/>
      <c r="Q329" s="16"/>
      <c r="R329" s="16"/>
      <c r="S329" s="16"/>
      <c r="T329" s="16"/>
      <c r="U329" s="16"/>
      <c r="V329" s="1169"/>
      <c r="W329" s="1169"/>
      <c r="X329" s="1169"/>
      <c r="Y329" s="1169"/>
      <c r="Z329" s="1169"/>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446"/>
      <c r="BP329" s="446"/>
      <c r="BQ329" s="446"/>
      <c r="BR329" s="446"/>
      <c r="BS329" s="446"/>
      <c r="BT329" s="446"/>
      <c r="BU329" s="446"/>
      <c r="BV329" s="1225"/>
      <c r="BW329" s="446"/>
      <c r="BX329" s="446"/>
      <c r="BY329" s="446"/>
      <c r="BZ329" s="446"/>
      <c r="CA329" s="446"/>
      <c r="CB329" s="446"/>
      <c r="CC329" s="446"/>
      <c r="CD329" s="446"/>
      <c r="CE329" s="446"/>
      <c r="CF329" s="446"/>
      <c r="CG329" s="446"/>
      <c r="CH329" s="446"/>
      <c r="CI329" s="446"/>
      <c r="CJ329" s="446"/>
      <c r="CK329" s="446"/>
      <c r="CL329" s="446"/>
      <c r="CM329" s="446"/>
      <c r="CN329" s="446"/>
      <c r="CO329" s="446"/>
      <c r="CP329" s="446"/>
      <c r="CQ329" s="446"/>
      <c r="CR329" s="446"/>
      <c r="CS329" s="446"/>
      <c r="CT329" s="446"/>
      <c r="CU329" s="446"/>
      <c r="CV329" s="445"/>
      <c r="CW329" s="813"/>
      <c r="CX329" s="445"/>
      <c r="CY329" s="446"/>
      <c r="CZ329" s="446"/>
      <c r="DA329" s="446"/>
      <c r="DB329" s="446"/>
      <c r="DC329" s="446"/>
      <c r="DD329" s="446"/>
      <c r="DE329" s="446"/>
      <c r="DF329" s="446"/>
      <c r="DG329" s="446"/>
      <c r="DH329" s="446"/>
      <c r="DI329" s="446"/>
      <c r="DJ329" s="446"/>
      <c r="DK329" s="446"/>
      <c r="DL329" s="446"/>
      <c r="DM329" s="446"/>
      <c r="DN329" s="446"/>
      <c r="DO329" s="446"/>
      <c r="DP329" s="446"/>
      <c r="DQ329" s="446"/>
      <c r="DR329" s="446"/>
      <c r="DS329" s="446"/>
      <c r="DT329" s="446"/>
      <c r="DU329" s="446"/>
      <c r="DV329" s="446"/>
      <c r="DW329" s="446"/>
      <c r="DX329" s="446"/>
      <c r="DY329" s="446"/>
    </row>
    <row r="330" spans="1:129" s="112" customFormat="1" ht="14.25" customHeight="1">
      <c r="A330" s="16"/>
      <c r="B330" s="16"/>
      <c r="C330" s="16"/>
      <c r="D330" s="1230"/>
      <c r="E330" s="708"/>
      <c r="F330" s="1230"/>
      <c r="G330" s="1230"/>
      <c r="H330" s="1230"/>
      <c r="I330" s="1230"/>
      <c r="J330" s="1230"/>
      <c r="K330" s="1230"/>
      <c r="L330" s="1230"/>
      <c r="M330" s="1230"/>
      <c r="N330" s="1230"/>
      <c r="O330" s="1230"/>
      <c r="P330" s="1230"/>
      <c r="Q330" s="1230"/>
      <c r="R330" s="1230"/>
      <c r="S330" s="1230"/>
      <c r="T330" s="1230"/>
      <c r="U330" s="1230"/>
      <c r="V330" s="1589"/>
      <c r="W330" s="1589"/>
      <c r="X330" s="1589"/>
      <c r="Y330" s="1589"/>
      <c r="Z330" s="1589"/>
      <c r="AA330" s="1230"/>
      <c r="AB330" s="1230"/>
      <c r="AC330" s="1230"/>
      <c r="AD330" s="1230"/>
      <c r="AE330" s="1230"/>
      <c r="AF330" s="1230"/>
      <c r="AG330" s="1230"/>
      <c r="AH330" s="1230"/>
      <c r="AI330" s="1230"/>
      <c r="AJ330" s="1230"/>
      <c r="AK330" s="1230"/>
      <c r="AL330" s="1230"/>
      <c r="AM330" s="1230"/>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446"/>
      <c r="BP330" s="446"/>
      <c r="BQ330" s="446"/>
      <c r="BR330" s="446"/>
      <c r="BS330" s="446"/>
      <c r="BT330" s="446"/>
      <c r="BU330" s="446"/>
      <c r="BV330" s="1225"/>
      <c r="BW330" s="446"/>
      <c r="BX330" s="446"/>
      <c r="BY330" s="446"/>
      <c r="BZ330" s="446"/>
      <c r="CA330" s="446"/>
      <c r="CB330" s="446"/>
      <c r="CC330" s="446"/>
      <c r="CD330" s="446"/>
      <c r="CE330" s="446"/>
      <c r="CF330" s="446"/>
      <c r="CG330" s="446"/>
      <c r="CH330" s="446"/>
      <c r="CI330" s="446"/>
      <c r="CJ330" s="446"/>
      <c r="CK330" s="446"/>
      <c r="CL330" s="446"/>
      <c r="CM330" s="446"/>
      <c r="CN330" s="446"/>
      <c r="CO330" s="446"/>
      <c r="CP330" s="446"/>
      <c r="CQ330" s="446"/>
      <c r="CR330" s="446"/>
      <c r="CS330" s="446"/>
      <c r="CT330" s="446"/>
      <c r="CU330" s="446"/>
      <c r="CV330" s="445"/>
      <c r="CW330" s="813"/>
      <c r="CX330" s="445"/>
      <c r="CY330" s="446"/>
      <c r="CZ330" s="446"/>
      <c r="DA330" s="446"/>
      <c r="DB330" s="446"/>
      <c r="DC330" s="446"/>
      <c r="DD330" s="446"/>
      <c r="DE330" s="446"/>
      <c r="DF330" s="446"/>
      <c r="DG330" s="446"/>
      <c r="DH330" s="446"/>
      <c r="DI330" s="446"/>
      <c r="DJ330" s="446"/>
      <c r="DK330" s="446"/>
      <c r="DL330" s="446"/>
      <c r="DM330" s="446"/>
      <c r="DN330" s="446"/>
      <c r="DO330" s="446"/>
      <c r="DP330" s="446"/>
      <c r="DQ330" s="446"/>
      <c r="DR330" s="446"/>
      <c r="DS330" s="446"/>
      <c r="DT330" s="446"/>
      <c r="DU330" s="446"/>
      <c r="DV330" s="446"/>
      <c r="DW330" s="446"/>
      <c r="DX330" s="446"/>
      <c r="DY330" s="446"/>
    </row>
    <row r="331" spans="1:129" s="112" customFormat="1" ht="14.25" customHeight="1">
      <c r="A331" s="16"/>
      <c r="B331" s="16"/>
      <c r="C331" s="16"/>
      <c r="D331" s="16"/>
      <c r="E331" s="16"/>
      <c r="F331" s="16"/>
      <c r="G331" s="16"/>
      <c r="H331" s="16"/>
      <c r="I331" s="16"/>
      <c r="J331" s="16"/>
      <c r="K331" s="16"/>
      <c r="L331" s="16"/>
      <c r="M331" s="16"/>
      <c r="N331" s="16"/>
      <c r="O331" s="16"/>
      <c r="P331" s="16"/>
      <c r="Q331" s="16"/>
      <c r="R331" s="16"/>
      <c r="S331" s="16"/>
      <c r="T331" s="16"/>
      <c r="U331" s="16"/>
      <c r="V331" s="1169"/>
      <c r="W331" s="1169"/>
      <c r="X331" s="1169"/>
      <c r="Y331" s="1169"/>
      <c r="Z331" s="1169"/>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446"/>
      <c r="BP331" s="446"/>
      <c r="BQ331" s="446"/>
      <c r="BR331" s="446"/>
      <c r="BS331" s="446"/>
      <c r="BT331" s="446"/>
      <c r="BU331" s="446"/>
      <c r="BV331" s="1225"/>
      <c r="BW331" s="446"/>
      <c r="BX331" s="446"/>
      <c r="BY331" s="446"/>
      <c r="BZ331" s="446"/>
      <c r="CA331" s="446"/>
      <c r="CB331" s="446"/>
      <c r="CC331" s="446"/>
      <c r="CD331" s="446"/>
      <c r="CE331" s="446"/>
      <c r="CF331" s="446"/>
      <c r="CG331" s="446"/>
      <c r="CH331" s="446"/>
      <c r="CI331" s="446"/>
      <c r="CJ331" s="446"/>
      <c r="CK331" s="446"/>
      <c r="CL331" s="446"/>
      <c r="CM331" s="446"/>
      <c r="CN331" s="446"/>
      <c r="CO331" s="446"/>
      <c r="CP331" s="446"/>
      <c r="CQ331" s="446"/>
      <c r="CR331" s="446"/>
      <c r="CS331" s="446"/>
      <c r="CT331" s="446"/>
      <c r="CU331" s="446"/>
      <c r="CV331" s="445"/>
      <c r="CW331" s="813"/>
      <c r="CX331" s="445"/>
      <c r="CY331" s="446"/>
      <c r="CZ331" s="446"/>
      <c r="DA331" s="446"/>
      <c r="DB331" s="446"/>
      <c r="DC331" s="446"/>
      <c r="DD331" s="446"/>
      <c r="DE331" s="446"/>
      <c r="DF331" s="446"/>
      <c r="DG331" s="446"/>
      <c r="DH331" s="446"/>
      <c r="DI331" s="446"/>
      <c r="DJ331" s="446"/>
      <c r="DK331" s="446"/>
      <c r="DL331" s="446"/>
      <c r="DM331" s="446"/>
      <c r="DN331" s="446"/>
      <c r="DO331" s="446"/>
      <c r="DP331" s="446"/>
      <c r="DQ331" s="446"/>
      <c r="DR331" s="446"/>
      <c r="DS331" s="446"/>
      <c r="DT331" s="446"/>
      <c r="DU331" s="446"/>
      <c r="DV331" s="446"/>
      <c r="DW331" s="446"/>
      <c r="DX331" s="446"/>
      <c r="DY331" s="446"/>
    </row>
    <row r="332" spans="1:129" s="112" customFormat="1" ht="14.25" customHeight="1">
      <c r="A332" s="16"/>
      <c r="B332" s="16"/>
      <c r="C332" s="16"/>
      <c r="D332" s="16"/>
      <c r="E332" s="16"/>
      <c r="F332" s="16"/>
      <c r="G332" s="16"/>
      <c r="H332" s="16"/>
      <c r="I332" s="16"/>
      <c r="J332" s="16"/>
      <c r="K332" s="16"/>
      <c r="L332" s="16"/>
      <c r="M332" s="16"/>
      <c r="N332" s="16"/>
      <c r="O332" s="16"/>
      <c r="P332" s="16"/>
      <c r="Q332" s="16"/>
      <c r="R332" s="16"/>
      <c r="S332" s="16"/>
      <c r="T332" s="16"/>
      <c r="U332" s="16"/>
      <c r="V332" s="1169"/>
      <c r="W332" s="1169"/>
      <c r="X332" s="1169"/>
      <c r="Y332" s="1169"/>
      <c r="Z332" s="1169"/>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446"/>
      <c r="BP332" s="446"/>
      <c r="BQ332" s="446"/>
      <c r="BR332" s="446"/>
      <c r="BS332" s="446"/>
      <c r="BT332" s="446"/>
      <c r="BU332" s="446"/>
      <c r="BV332" s="1225"/>
      <c r="BW332" s="446"/>
      <c r="BX332" s="446"/>
      <c r="BY332" s="446"/>
      <c r="BZ332" s="446"/>
      <c r="CA332" s="446"/>
      <c r="CB332" s="446"/>
      <c r="CC332" s="446"/>
      <c r="CD332" s="446"/>
      <c r="CE332" s="446"/>
      <c r="CF332" s="446"/>
      <c r="CG332" s="446"/>
      <c r="CH332" s="446"/>
      <c r="CI332" s="446"/>
      <c r="CJ332" s="446"/>
      <c r="CK332" s="446"/>
      <c r="CL332" s="446"/>
      <c r="CM332" s="446"/>
      <c r="CN332" s="446"/>
      <c r="CO332" s="446"/>
      <c r="CP332" s="446"/>
      <c r="CQ332" s="446"/>
      <c r="CR332" s="446"/>
      <c r="CS332" s="446"/>
      <c r="CT332" s="446"/>
      <c r="CU332" s="446"/>
      <c r="CV332" s="445"/>
      <c r="CW332" s="813"/>
      <c r="CX332" s="445"/>
      <c r="CY332" s="446"/>
      <c r="CZ332" s="446"/>
      <c r="DA332" s="446"/>
      <c r="DB332" s="446"/>
      <c r="DC332" s="446"/>
      <c r="DD332" s="446"/>
      <c r="DE332" s="446"/>
      <c r="DF332" s="446"/>
      <c r="DG332" s="446"/>
      <c r="DH332" s="446"/>
      <c r="DI332" s="446"/>
      <c r="DJ332" s="446"/>
      <c r="DK332" s="446"/>
      <c r="DL332" s="446"/>
      <c r="DM332" s="446"/>
      <c r="DN332" s="446"/>
      <c r="DO332" s="446"/>
      <c r="DP332" s="446"/>
      <c r="DQ332" s="446"/>
      <c r="DR332" s="446"/>
      <c r="DS332" s="446"/>
      <c r="DT332" s="446"/>
      <c r="DU332" s="446"/>
      <c r="DV332" s="446"/>
      <c r="DW332" s="446"/>
      <c r="DX332" s="446"/>
      <c r="DY332" s="446"/>
    </row>
    <row r="333" spans="1:129" s="112" customFormat="1" ht="14.25" customHeight="1">
      <c r="A333" s="16"/>
      <c r="B333" s="16"/>
      <c r="C333" s="16"/>
      <c r="D333" s="16"/>
      <c r="E333" s="16"/>
      <c r="F333" s="16"/>
      <c r="G333" s="16"/>
      <c r="H333" s="16"/>
      <c r="I333" s="16"/>
      <c r="J333" s="16"/>
      <c r="K333" s="16"/>
      <c r="L333" s="16"/>
      <c r="M333" s="16"/>
      <c r="N333" s="16"/>
      <c r="O333" s="16"/>
      <c r="P333" s="16"/>
      <c r="Q333" s="16"/>
      <c r="R333" s="16"/>
      <c r="S333" s="16"/>
      <c r="T333" s="16"/>
      <c r="U333" s="16"/>
      <c r="V333" s="1169"/>
      <c r="W333" s="1169"/>
      <c r="X333" s="1169"/>
      <c r="Y333" s="1169"/>
      <c r="Z333" s="1169"/>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446"/>
      <c r="BP333" s="446"/>
      <c r="BQ333" s="446"/>
      <c r="BR333" s="446"/>
      <c r="BS333" s="446"/>
      <c r="BT333" s="446"/>
      <c r="BU333" s="446"/>
      <c r="BV333" s="1225"/>
      <c r="BW333" s="446"/>
      <c r="BX333" s="446"/>
      <c r="BY333" s="446"/>
      <c r="BZ333" s="446"/>
      <c r="CA333" s="446"/>
      <c r="CB333" s="446"/>
      <c r="CC333" s="446"/>
      <c r="CD333" s="446"/>
      <c r="CE333" s="446"/>
      <c r="CF333" s="446"/>
      <c r="CG333" s="446"/>
      <c r="CH333" s="446"/>
      <c r="CI333" s="446"/>
      <c r="CJ333" s="446"/>
      <c r="CK333" s="446"/>
      <c r="CL333" s="446"/>
      <c r="CM333" s="446"/>
      <c r="CN333" s="446"/>
      <c r="CO333" s="446"/>
      <c r="CP333" s="446"/>
      <c r="CQ333" s="446"/>
      <c r="CR333" s="446"/>
      <c r="CS333" s="446"/>
      <c r="CT333" s="446"/>
      <c r="CU333" s="446"/>
      <c r="CV333" s="445"/>
      <c r="CW333" s="813"/>
      <c r="CX333" s="445"/>
      <c r="CY333" s="446"/>
      <c r="CZ333" s="446"/>
      <c r="DA333" s="446"/>
      <c r="DB333" s="446"/>
      <c r="DC333" s="446"/>
      <c r="DD333" s="446"/>
      <c r="DE333" s="446"/>
      <c r="DF333" s="446"/>
      <c r="DG333" s="446"/>
      <c r="DH333" s="446"/>
      <c r="DI333" s="446"/>
      <c r="DJ333" s="446"/>
      <c r="DK333" s="446"/>
      <c r="DL333" s="446"/>
      <c r="DM333" s="446"/>
      <c r="DN333" s="446"/>
      <c r="DO333" s="446"/>
      <c r="DP333" s="446"/>
      <c r="DQ333" s="446"/>
      <c r="DR333" s="446"/>
      <c r="DS333" s="446"/>
      <c r="DT333" s="446"/>
      <c r="DU333" s="446"/>
      <c r="DV333" s="446"/>
      <c r="DW333" s="446"/>
      <c r="DX333" s="446"/>
      <c r="DY333" s="446"/>
    </row>
    <row r="334" spans="1:129" s="112" customFormat="1" ht="14.25" customHeight="1">
      <c r="A334" s="16"/>
      <c r="B334" s="16"/>
      <c r="C334" s="16"/>
      <c r="D334" s="16"/>
      <c r="E334" s="16"/>
      <c r="F334" s="16"/>
      <c r="G334" s="16"/>
      <c r="H334" s="16"/>
      <c r="I334" s="16"/>
      <c r="J334" s="16"/>
      <c r="K334" s="16"/>
      <c r="L334" s="16"/>
      <c r="M334" s="16"/>
      <c r="N334" s="16"/>
      <c r="O334" s="16"/>
      <c r="P334" s="16"/>
      <c r="Q334" s="16"/>
      <c r="R334" s="16"/>
      <c r="S334" s="16"/>
      <c r="T334" s="16"/>
      <c r="U334" s="16"/>
      <c r="V334" s="1169"/>
      <c r="W334" s="1169"/>
      <c r="X334" s="1169"/>
      <c r="Y334" s="1169"/>
      <c r="Z334" s="1169"/>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446"/>
      <c r="BP334" s="446"/>
      <c r="BQ334" s="446"/>
      <c r="BR334" s="446"/>
      <c r="BS334" s="446"/>
      <c r="BT334" s="446"/>
      <c r="BU334" s="446"/>
      <c r="BV334" s="1225"/>
      <c r="BW334" s="446"/>
      <c r="BX334" s="446"/>
      <c r="BY334" s="446"/>
      <c r="BZ334" s="446"/>
      <c r="CA334" s="446"/>
      <c r="CB334" s="446"/>
      <c r="CC334" s="446"/>
      <c r="CD334" s="446"/>
      <c r="CE334" s="446"/>
      <c r="CF334" s="446"/>
      <c r="CG334" s="446"/>
      <c r="CH334" s="446"/>
      <c r="CI334" s="446"/>
      <c r="CJ334" s="446"/>
      <c r="CK334" s="446"/>
      <c r="CL334" s="446"/>
      <c r="CM334" s="446"/>
      <c r="CN334" s="446"/>
      <c r="CO334" s="446"/>
      <c r="CP334" s="446"/>
      <c r="CQ334" s="446"/>
      <c r="CR334" s="446"/>
      <c r="CS334" s="446"/>
      <c r="CT334" s="446"/>
      <c r="CU334" s="446"/>
      <c r="CV334" s="445"/>
      <c r="CW334" s="813"/>
      <c r="CX334" s="445"/>
      <c r="CY334" s="446"/>
      <c r="CZ334" s="446"/>
      <c r="DA334" s="446"/>
      <c r="DB334" s="446"/>
      <c r="DC334" s="446"/>
      <c r="DD334" s="446"/>
      <c r="DE334" s="446"/>
      <c r="DF334" s="446"/>
      <c r="DG334" s="446"/>
      <c r="DH334" s="446"/>
      <c r="DI334" s="446"/>
      <c r="DJ334" s="446"/>
      <c r="DK334" s="446"/>
      <c r="DL334" s="446"/>
      <c r="DM334" s="446"/>
      <c r="DN334" s="446"/>
      <c r="DO334" s="446"/>
      <c r="DP334" s="446"/>
      <c r="DQ334" s="446"/>
      <c r="DR334" s="446"/>
      <c r="DS334" s="446"/>
      <c r="DT334" s="446"/>
      <c r="DU334" s="446"/>
      <c r="DV334" s="446"/>
      <c r="DW334" s="446"/>
      <c r="DX334" s="446"/>
      <c r="DY334" s="446"/>
    </row>
    <row r="335" spans="1:129" s="112" customFormat="1" ht="14.25" customHeight="1">
      <c r="A335" s="16"/>
      <c r="B335" s="16"/>
      <c r="C335" s="16"/>
      <c r="D335" s="16"/>
      <c r="E335" s="16"/>
      <c r="F335" s="16"/>
      <c r="G335" s="16"/>
      <c r="H335" s="16"/>
      <c r="I335" s="16"/>
      <c r="J335" s="16"/>
      <c r="K335" s="16"/>
      <c r="L335" s="16"/>
      <c r="M335" s="16"/>
      <c r="N335" s="16"/>
      <c r="O335" s="16"/>
      <c r="P335" s="16"/>
      <c r="Q335" s="16"/>
      <c r="R335" s="16"/>
      <c r="S335" s="16"/>
      <c r="T335" s="16"/>
      <c r="U335" s="16"/>
      <c r="V335" s="1169"/>
      <c r="W335" s="1169"/>
      <c r="X335" s="1169"/>
      <c r="Y335" s="1169"/>
      <c r="Z335" s="1169"/>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446"/>
      <c r="BP335" s="446"/>
      <c r="BQ335" s="446"/>
      <c r="BR335" s="446"/>
      <c r="BS335" s="446"/>
      <c r="BT335" s="446"/>
      <c r="BU335" s="446"/>
      <c r="BV335" s="1225"/>
      <c r="BW335" s="446"/>
      <c r="BX335" s="446"/>
      <c r="BY335" s="446"/>
      <c r="BZ335" s="446"/>
      <c r="CA335" s="446"/>
      <c r="CB335" s="446"/>
      <c r="CC335" s="446"/>
      <c r="CD335" s="446"/>
      <c r="CE335" s="446"/>
      <c r="CF335" s="446"/>
      <c r="CG335" s="446"/>
      <c r="CH335" s="446"/>
      <c r="CI335" s="446"/>
      <c r="CJ335" s="446"/>
      <c r="CK335" s="446"/>
      <c r="CL335" s="446"/>
      <c r="CM335" s="446"/>
      <c r="CN335" s="446"/>
      <c r="CO335" s="446"/>
      <c r="CP335" s="446"/>
      <c r="CQ335" s="446"/>
      <c r="CR335" s="446"/>
      <c r="CS335" s="446"/>
      <c r="CT335" s="446"/>
      <c r="CU335" s="446"/>
      <c r="CV335" s="445"/>
      <c r="CW335" s="813"/>
      <c r="CX335" s="445"/>
      <c r="CY335" s="446"/>
      <c r="CZ335" s="446"/>
      <c r="DA335" s="446"/>
      <c r="DB335" s="446"/>
      <c r="DC335" s="446"/>
      <c r="DD335" s="446"/>
      <c r="DE335" s="446"/>
      <c r="DF335" s="446"/>
      <c r="DG335" s="446"/>
      <c r="DH335" s="446"/>
      <c r="DI335" s="446"/>
      <c r="DJ335" s="446"/>
      <c r="DK335" s="446"/>
      <c r="DL335" s="446"/>
      <c r="DM335" s="446"/>
      <c r="DN335" s="446"/>
      <c r="DO335" s="446"/>
      <c r="DP335" s="446"/>
      <c r="DQ335" s="446"/>
      <c r="DR335" s="446"/>
      <c r="DS335" s="446"/>
      <c r="DT335" s="446"/>
      <c r="DU335" s="446"/>
      <c r="DV335" s="446"/>
      <c r="DW335" s="446"/>
      <c r="DX335" s="446"/>
      <c r="DY335" s="446"/>
    </row>
    <row r="336" spans="1:129" s="112" customFormat="1" ht="14.25" customHeight="1">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1440"/>
      <c r="W336" s="1440"/>
      <c r="X336" s="1440"/>
      <c r="Y336" s="1440"/>
      <c r="Z336" s="1440"/>
      <c r="AA336" s="295"/>
      <c r="AB336" s="295"/>
      <c r="AC336" s="295"/>
      <c r="AD336" s="295"/>
      <c r="AE336" s="295"/>
      <c r="AF336" s="295"/>
      <c r="AG336" s="295"/>
      <c r="AH336" s="295"/>
      <c r="AI336" s="295"/>
      <c r="AJ336" s="295"/>
      <c r="AK336" s="295"/>
      <c r="AL336" s="295"/>
      <c r="AM336" s="295"/>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446"/>
      <c r="BP336" s="446"/>
      <c r="BQ336" s="446"/>
      <c r="BR336" s="446"/>
      <c r="BS336" s="446"/>
      <c r="BT336" s="446"/>
      <c r="BU336" s="446"/>
      <c r="BV336" s="1225"/>
      <c r="BW336" s="446"/>
      <c r="BX336" s="446"/>
      <c r="BY336" s="446"/>
      <c r="BZ336" s="446"/>
      <c r="CA336" s="446"/>
      <c r="CB336" s="446"/>
      <c r="CC336" s="446"/>
      <c r="CD336" s="446"/>
      <c r="CE336" s="446"/>
      <c r="CF336" s="446"/>
      <c r="CG336" s="446"/>
      <c r="CH336" s="446"/>
      <c r="CI336" s="446"/>
      <c r="CJ336" s="446"/>
      <c r="CK336" s="446"/>
      <c r="CL336" s="446"/>
      <c r="CM336" s="446"/>
      <c r="CN336" s="446"/>
      <c r="CO336" s="446"/>
      <c r="CP336" s="446"/>
      <c r="CQ336" s="446"/>
      <c r="CR336" s="446"/>
      <c r="CS336" s="446"/>
      <c r="CT336" s="446"/>
      <c r="CU336" s="446"/>
      <c r="CV336" s="445"/>
      <c r="CW336" s="813"/>
      <c r="CX336" s="445"/>
      <c r="CY336" s="446"/>
      <c r="CZ336" s="446"/>
      <c r="DA336" s="446"/>
      <c r="DB336" s="446"/>
      <c r="DC336" s="446"/>
      <c r="DD336" s="446"/>
      <c r="DE336" s="446"/>
      <c r="DF336" s="446"/>
      <c r="DG336" s="446"/>
      <c r="DH336" s="446"/>
      <c r="DI336" s="446"/>
      <c r="DJ336" s="446"/>
      <c r="DK336" s="446"/>
      <c r="DL336" s="446"/>
      <c r="DM336" s="446"/>
      <c r="DN336" s="446"/>
      <c r="DO336" s="446"/>
      <c r="DP336" s="446"/>
      <c r="DQ336" s="446"/>
      <c r="DR336" s="446"/>
      <c r="DS336" s="446"/>
      <c r="DT336" s="446"/>
      <c r="DU336" s="446"/>
      <c r="DV336" s="446"/>
      <c r="DW336" s="446"/>
      <c r="DX336" s="446"/>
      <c r="DY336" s="446"/>
    </row>
    <row r="337" spans="1:129" s="112" customFormat="1" ht="14.25" customHeight="1">
      <c r="A337" s="16"/>
      <c r="B337" s="16"/>
      <c r="C337" s="16"/>
      <c r="D337" s="1230"/>
      <c r="E337" s="708"/>
      <c r="F337" s="1230"/>
      <c r="G337" s="1230"/>
      <c r="H337" s="1230"/>
      <c r="I337" s="1230"/>
      <c r="J337" s="1230"/>
      <c r="K337" s="1230"/>
      <c r="L337" s="1230"/>
      <c r="M337" s="1230"/>
      <c r="N337" s="1230"/>
      <c r="O337" s="1230"/>
      <c r="P337" s="1230"/>
      <c r="Q337" s="1230"/>
      <c r="R337" s="1230"/>
      <c r="S337" s="1230"/>
      <c r="T337" s="1230"/>
      <c r="U337" s="1230"/>
      <c r="V337" s="1589"/>
      <c r="W337" s="1589"/>
      <c r="X337" s="1589"/>
      <c r="Y337" s="1589"/>
      <c r="Z337" s="1589"/>
      <c r="AA337" s="1230"/>
      <c r="AB337" s="1230"/>
      <c r="AC337" s="1230"/>
      <c r="AD337" s="1230"/>
      <c r="AE337" s="1230"/>
      <c r="AF337" s="1230"/>
      <c r="AG337" s="1230"/>
      <c r="AH337" s="1230"/>
      <c r="AI337" s="1230"/>
      <c r="AJ337" s="1230"/>
      <c r="AK337" s="1230"/>
      <c r="AL337" s="1230"/>
      <c r="AM337" s="1230"/>
      <c r="AN337" s="16"/>
      <c r="AO337" s="16"/>
      <c r="AP337" s="16"/>
      <c r="AQ337" s="16"/>
      <c r="AR337" s="16"/>
      <c r="AS337" s="16"/>
      <c r="AT337" s="16"/>
      <c r="AU337" s="16"/>
      <c r="AV337" s="16"/>
      <c r="AW337" s="16"/>
      <c r="AX337" s="16"/>
      <c r="AY337" s="1230"/>
      <c r="AZ337" s="1230"/>
      <c r="BA337" s="1230"/>
      <c r="BB337" s="1230"/>
      <c r="BC337" s="1230"/>
      <c r="BD337" s="1230"/>
      <c r="BE337" s="1230"/>
      <c r="BF337" s="1230"/>
      <c r="BG337" s="1230"/>
      <c r="BH337" s="1230"/>
      <c r="BI337" s="1230"/>
      <c r="BJ337" s="1230"/>
      <c r="BK337" s="1230"/>
      <c r="BL337" s="160"/>
      <c r="BM337" s="446"/>
      <c r="BN337" s="446"/>
      <c r="BO337" s="446"/>
      <c r="BP337" s="446"/>
      <c r="BQ337" s="446"/>
      <c r="BR337" s="446"/>
      <c r="BS337" s="446"/>
      <c r="BT337" s="446"/>
      <c r="BU337" s="446"/>
      <c r="BV337" s="1225"/>
      <c r="BW337" s="446"/>
      <c r="BX337" s="446"/>
      <c r="BY337" s="446"/>
      <c r="BZ337" s="446"/>
      <c r="CA337" s="446"/>
      <c r="CB337" s="446"/>
      <c r="CC337" s="446"/>
      <c r="CD337" s="446"/>
      <c r="CE337" s="446"/>
      <c r="CF337" s="446"/>
      <c r="CG337" s="446"/>
      <c r="CH337" s="446"/>
      <c r="CI337" s="446"/>
      <c r="CJ337" s="446"/>
      <c r="CK337" s="446"/>
      <c r="CL337" s="446"/>
      <c r="CM337" s="446"/>
      <c r="CN337" s="446"/>
      <c r="CO337" s="446"/>
      <c r="CP337" s="446"/>
      <c r="CQ337" s="446"/>
      <c r="CR337" s="446"/>
      <c r="CS337" s="446"/>
      <c r="CT337" s="446"/>
      <c r="CU337" s="446"/>
      <c r="CV337" s="445"/>
      <c r="CW337" s="813"/>
      <c r="CX337" s="445"/>
      <c r="CY337" s="446"/>
      <c r="CZ337" s="446"/>
      <c r="DA337" s="446"/>
      <c r="DB337" s="446"/>
      <c r="DC337" s="446"/>
      <c r="DD337" s="446"/>
      <c r="DE337" s="446"/>
      <c r="DF337" s="446"/>
      <c r="DG337" s="446"/>
      <c r="DH337" s="446"/>
      <c r="DI337" s="446"/>
      <c r="DJ337" s="446"/>
      <c r="DK337" s="446"/>
      <c r="DL337" s="446"/>
      <c r="DM337" s="446"/>
      <c r="DN337" s="446"/>
      <c r="DO337" s="446"/>
      <c r="DP337" s="446"/>
      <c r="DQ337" s="446"/>
      <c r="DR337" s="446"/>
      <c r="DS337" s="446"/>
      <c r="DT337" s="446"/>
      <c r="DU337" s="446"/>
      <c r="DV337" s="446"/>
      <c r="DW337" s="446"/>
      <c r="DX337" s="446"/>
      <c r="DY337" s="446"/>
    </row>
    <row r="338" spans="1:129" s="112" customFormat="1" ht="14.25" customHeight="1">
      <c r="A338" s="16"/>
      <c r="B338" s="16"/>
      <c r="C338" s="16"/>
      <c r="D338" s="1230"/>
      <c r="E338" s="708"/>
      <c r="F338" s="1230"/>
      <c r="G338" s="1230"/>
      <c r="H338" s="1230"/>
      <c r="I338" s="1230"/>
      <c r="J338" s="1230"/>
      <c r="K338" s="1230"/>
      <c r="L338" s="1230"/>
      <c r="M338" s="1230"/>
      <c r="N338" s="1230"/>
      <c r="O338" s="1230"/>
      <c r="P338" s="1230"/>
      <c r="Q338" s="1230"/>
      <c r="R338" s="1230"/>
      <c r="S338" s="1230"/>
      <c r="T338" s="1230"/>
      <c r="U338" s="1230"/>
      <c r="V338" s="1589"/>
      <c r="W338" s="1589"/>
      <c r="X338" s="1589"/>
      <c r="Y338" s="1589"/>
      <c r="Z338" s="1589"/>
      <c r="AA338" s="1230"/>
      <c r="AB338" s="1230"/>
      <c r="AC338" s="1230"/>
      <c r="AD338" s="1230"/>
      <c r="AE338" s="1230"/>
      <c r="AF338" s="1230"/>
      <c r="AG338" s="1230"/>
      <c r="AH338" s="1230"/>
      <c r="AI338" s="1230"/>
      <c r="AJ338" s="1230"/>
      <c r="AK338" s="1230"/>
      <c r="AL338" s="1230"/>
      <c r="AM338" s="1230"/>
      <c r="AN338" s="16"/>
      <c r="AO338" s="16"/>
      <c r="AP338" s="16"/>
      <c r="AQ338" s="16"/>
      <c r="AR338" s="16"/>
      <c r="AS338" s="16"/>
      <c r="AT338" s="16"/>
      <c r="AU338" s="16"/>
      <c r="AV338" s="16"/>
      <c r="AW338" s="16"/>
      <c r="AX338" s="16"/>
      <c r="AY338" s="1230"/>
      <c r="AZ338" s="1230"/>
      <c r="BA338" s="1230"/>
      <c r="BB338" s="1230"/>
      <c r="BC338" s="1230"/>
      <c r="BD338" s="1230"/>
      <c r="BE338" s="1230"/>
      <c r="BF338" s="1230"/>
      <c r="BG338" s="1230"/>
      <c r="BH338" s="1230"/>
      <c r="BI338" s="1230"/>
      <c r="BJ338" s="1230"/>
      <c r="BK338" s="1230"/>
      <c r="BL338" s="160"/>
      <c r="BM338" s="446"/>
      <c r="BN338" s="446"/>
      <c r="BO338" s="446"/>
      <c r="BP338" s="446"/>
      <c r="BQ338" s="446"/>
      <c r="BR338" s="446"/>
      <c r="BS338" s="446"/>
      <c r="BT338" s="446"/>
      <c r="BU338" s="446"/>
      <c r="BV338" s="1225"/>
      <c r="BW338" s="446"/>
      <c r="BX338" s="446"/>
      <c r="BY338" s="446"/>
      <c r="BZ338" s="446"/>
      <c r="CA338" s="446"/>
      <c r="CB338" s="446"/>
      <c r="CC338" s="446"/>
      <c r="CD338" s="446"/>
      <c r="CE338" s="446"/>
      <c r="CF338" s="446"/>
      <c r="CG338" s="446"/>
      <c r="CH338" s="446"/>
      <c r="CI338" s="446"/>
      <c r="CJ338" s="446"/>
      <c r="CK338" s="446"/>
      <c r="CL338" s="446"/>
      <c r="CM338" s="446"/>
      <c r="CN338" s="446"/>
      <c r="CO338" s="446"/>
      <c r="CP338" s="446"/>
      <c r="CQ338" s="446"/>
      <c r="CR338" s="446"/>
      <c r="CS338" s="446"/>
      <c r="CT338" s="446"/>
      <c r="CU338" s="446"/>
      <c r="CV338" s="445"/>
      <c r="CW338" s="813"/>
      <c r="CX338" s="445"/>
      <c r="CY338" s="446"/>
      <c r="CZ338" s="446"/>
      <c r="DA338" s="446"/>
      <c r="DB338" s="446"/>
      <c r="DC338" s="446"/>
      <c r="DD338" s="446"/>
      <c r="DE338" s="446"/>
      <c r="DF338" s="446"/>
      <c r="DG338" s="446"/>
      <c r="DH338" s="446"/>
      <c r="DI338" s="446"/>
      <c r="DJ338" s="446"/>
      <c r="DK338" s="446"/>
      <c r="DL338" s="446"/>
      <c r="DM338" s="446"/>
      <c r="DN338" s="446"/>
      <c r="DO338" s="446"/>
      <c r="DP338" s="446"/>
      <c r="DQ338" s="446"/>
      <c r="DR338" s="446"/>
      <c r="DS338" s="446"/>
      <c r="DT338" s="446"/>
      <c r="DU338" s="446"/>
      <c r="DV338" s="446"/>
      <c r="DW338" s="446"/>
      <c r="DX338" s="446"/>
      <c r="DY338" s="446"/>
    </row>
    <row r="339" spans="1:129" s="112" customFormat="1" ht="12.6">
      <c r="A339" s="16"/>
      <c r="B339" s="16"/>
      <c r="E339" s="1226"/>
      <c r="F339" s="1227"/>
      <c r="G339" s="1227"/>
      <c r="H339" s="1227"/>
      <c r="I339" s="1227"/>
      <c r="J339" s="1227"/>
      <c r="K339" s="1227"/>
      <c r="L339" s="1227"/>
      <c r="M339" s="1227"/>
      <c r="N339" s="1227"/>
      <c r="O339" s="1228"/>
      <c r="P339" s="1227"/>
      <c r="Q339" s="1227"/>
      <c r="R339" s="693"/>
      <c r="S339" s="693"/>
      <c r="T339" s="1229"/>
      <c r="U339" s="1230"/>
      <c r="V339" s="1589"/>
      <c r="W339" s="1589"/>
      <c r="X339" s="1589"/>
      <c r="Y339" s="1589"/>
      <c r="Z339" s="1169"/>
      <c r="AA339" s="16"/>
      <c r="AB339" s="16"/>
      <c r="AC339" s="160"/>
      <c r="AD339" s="160"/>
      <c r="AE339" s="951"/>
      <c r="AF339" s="160"/>
      <c r="AG339" s="160"/>
      <c r="AH339" s="160"/>
      <c r="AI339" s="160"/>
      <c r="AJ339" s="160"/>
      <c r="AK339" s="160"/>
      <c r="AL339" s="160"/>
      <c r="AM339" s="160"/>
      <c r="AN339" s="160"/>
      <c r="AO339" s="160"/>
      <c r="AP339" s="160"/>
      <c r="AQ339" s="160"/>
      <c r="AR339" s="160"/>
      <c r="AS339" s="160"/>
      <c r="AT339" s="160"/>
      <c r="AU339" s="160"/>
      <c r="AV339" s="160"/>
      <c r="AW339" s="160"/>
      <c r="AX339" s="160"/>
      <c r="AY339" s="160"/>
      <c r="AZ339" s="160"/>
      <c r="BA339" s="160"/>
      <c r="BB339" s="160"/>
      <c r="BC339" s="160"/>
      <c r="BD339" s="160"/>
      <c r="BE339" s="160"/>
      <c r="BF339" s="160"/>
      <c r="BG339" s="160"/>
      <c r="BH339" s="160"/>
      <c r="BI339" s="160"/>
      <c r="BJ339" s="160"/>
      <c r="BK339" s="160"/>
      <c r="BL339" s="160"/>
      <c r="BM339" s="446"/>
      <c r="BN339" s="446"/>
      <c r="BO339" s="446"/>
      <c r="BP339" s="446"/>
      <c r="BQ339" s="446"/>
      <c r="BR339" s="446"/>
      <c r="BS339" s="446"/>
      <c r="BT339" s="446"/>
      <c r="BU339" s="446"/>
      <c r="BV339" s="1225"/>
      <c r="BW339" s="446"/>
      <c r="BX339" s="446"/>
      <c r="BY339" s="446"/>
      <c r="BZ339" s="446"/>
      <c r="CA339" s="446"/>
      <c r="CB339" s="446"/>
      <c r="CC339" s="446"/>
      <c r="CD339" s="446"/>
      <c r="CE339" s="446"/>
      <c r="CF339" s="446"/>
      <c r="CG339" s="446"/>
      <c r="CH339" s="446"/>
      <c r="CI339" s="446"/>
      <c r="CJ339" s="446"/>
      <c r="CK339" s="446"/>
      <c r="CL339" s="446"/>
      <c r="CM339" s="446"/>
      <c r="CN339" s="446"/>
      <c r="CO339" s="446"/>
      <c r="CP339" s="446"/>
      <c r="CQ339" s="446"/>
      <c r="CR339" s="446"/>
      <c r="CS339" s="446"/>
      <c r="CT339" s="446"/>
      <c r="CU339" s="446"/>
      <c r="CV339" s="445"/>
      <c r="CW339" s="117"/>
      <c r="CX339" s="445"/>
      <c r="CY339" s="446"/>
      <c r="CZ339" s="446"/>
      <c r="DA339" s="446"/>
      <c r="DB339" s="446"/>
      <c r="DC339" s="446"/>
      <c r="DD339" s="446"/>
      <c r="DE339" s="446"/>
      <c r="DF339" s="446"/>
      <c r="DG339" s="446"/>
      <c r="DH339" s="446"/>
      <c r="DI339" s="446"/>
      <c r="DJ339" s="446"/>
      <c r="DK339" s="446"/>
      <c r="DL339" s="446"/>
      <c r="DM339" s="446"/>
      <c r="DN339" s="446"/>
      <c r="DO339" s="446"/>
      <c r="DP339" s="446"/>
      <c r="DQ339" s="446"/>
      <c r="DR339" s="446"/>
      <c r="DS339" s="446"/>
      <c r="DT339" s="446"/>
      <c r="DU339" s="446"/>
      <c r="DV339" s="446"/>
      <c r="DW339" s="446"/>
      <c r="DX339" s="446"/>
      <c r="DY339" s="446"/>
    </row>
    <row r="340" spans="1:129" s="112" customFormat="1" ht="12.6">
      <c r="A340" s="16"/>
      <c r="B340" s="16"/>
      <c r="E340" s="1226"/>
      <c r="F340" s="1227"/>
      <c r="G340" s="1227"/>
      <c r="H340" s="1227"/>
      <c r="I340" s="1227"/>
      <c r="J340" s="1227"/>
      <c r="K340" s="1227"/>
      <c r="L340" s="1227"/>
      <c r="M340" s="1227"/>
      <c r="N340" s="1227"/>
      <c r="O340" s="1228"/>
      <c r="P340" s="1227"/>
      <c r="Q340" s="1227"/>
      <c r="R340" s="693"/>
      <c r="S340" s="693"/>
      <c r="T340" s="1229"/>
      <c r="U340" s="1230"/>
      <c r="V340" s="1589"/>
      <c r="W340" s="1589"/>
      <c r="X340" s="1589"/>
      <c r="Y340" s="1589"/>
      <c r="Z340" s="1169"/>
      <c r="AA340" s="16"/>
      <c r="AB340" s="16"/>
      <c r="AC340" s="160"/>
      <c r="AD340" s="160"/>
      <c r="AE340" s="951"/>
      <c r="AF340" s="160"/>
      <c r="AG340" s="160"/>
      <c r="AH340" s="160"/>
      <c r="AI340" s="160"/>
      <c r="AJ340" s="160"/>
      <c r="AK340" s="160"/>
      <c r="AL340" s="160"/>
      <c r="AM340" s="160"/>
      <c r="AN340" s="160"/>
      <c r="AO340" s="160"/>
      <c r="AP340" s="160"/>
      <c r="AQ340" s="160"/>
      <c r="AR340" s="160"/>
      <c r="AS340" s="160"/>
      <c r="AT340" s="160"/>
      <c r="AU340" s="160"/>
      <c r="AV340" s="160"/>
      <c r="AW340" s="160"/>
      <c r="AX340" s="160"/>
      <c r="AY340" s="160"/>
      <c r="AZ340" s="160"/>
      <c r="BA340" s="160"/>
      <c r="BB340" s="160"/>
      <c r="BC340" s="160"/>
      <c r="BD340" s="160"/>
      <c r="BE340" s="160"/>
      <c r="BF340" s="160"/>
      <c r="BG340" s="160"/>
      <c r="BH340" s="160"/>
      <c r="BI340" s="160"/>
      <c r="BJ340" s="160"/>
      <c r="BK340" s="160"/>
      <c r="BL340" s="160"/>
      <c r="BM340" s="446"/>
      <c r="BN340" s="446"/>
      <c r="BO340" s="446"/>
      <c r="BP340" s="446"/>
      <c r="BQ340" s="446"/>
      <c r="BR340" s="446"/>
      <c r="BS340" s="446"/>
      <c r="BT340" s="446"/>
      <c r="BU340" s="446"/>
      <c r="BV340" s="1225"/>
      <c r="BW340" s="446"/>
      <c r="BX340" s="446"/>
      <c r="BY340" s="446"/>
      <c r="BZ340" s="446"/>
      <c r="CA340" s="446"/>
      <c r="CB340" s="446"/>
      <c r="CC340" s="446"/>
      <c r="CD340" s="446"/>
      <c r="CE340" s="446"/>
      <c r="CF340" s="446"/>
      <c r="CG340" s="446"/>
      <c r="CH340" s="446"/>
      <c r="CI340" s="446"/>
      <c r="CJ340" s="446"/>
      <c r="CK340" s="446"/>
      <c r="CL340" s="446"/>
      <c r="CM340" s="446"/>
      <c r="CN340" s="446"/>
      <c r="CO340" s="446"/>
      <c r="CP340" s="446"/>
      <c r="CQ340" s="446"/>
      <c r="CR340" s="446"/>
      <c r="CS340" s="446"/>
      <c r="CT340" s="446"/>
      <c r="CU340" s="446"/>
      <c r="CV340" s="445"/>
      <c r="CW340" s="117"/>
      <c r="CX340" s="445"/>
      <c r="CY340" s="446"/>
      <c r="CZ340" s="446"/>
      <c r="DA340" s="446"/>
      <c r="DB340" s="446"/>
      <c r="DC340" s="446"/>
      <c r="DD340" s="446"/>
      <c r="DE340" s="446"/>
      <c r="DF340" s="446"/>
      <c r="DG340" s="446"/>
      <c r="DH340" s="446"/>
      <c r="DI340" s="446"/>
      <c r="DJ340" s="446"/>
      <c r="DK340" s="446"/>
      <c r="DL340" s="446"/>
      <c r="DM340" s="446"/>
      <c r="DN340" s="446"/>
      <c r="DO340" s="446"/>
      <c r="DP340" s="446"/>
      <c r="DQ340" s="446"/>
      <c r="DR340" s="446"/>
      <c r="DS340" s="446"/>
      <c r="DT340" s="446"/>
      <c r="DU340" s="446"/>
      <c r="DV340" s="446"/>
      <c r="DW340" s="446"/>
      <c r="DX340" s="446"/>
      <c r="DY340" s="446"/>
    </row>
    <row r="341" spans="1:129" s="112" customFormat="1" ht="12.6">
      <c r="A341" s="16"/>
      <c r="B341" s="16"/>
      <c r="E341" s="1226"/>
      <c r="F341" s="1227"/>
      <c r="G341" s="1227"/>
      <c r="H341" s="1227"/>
      <c r="I341" s="1227"/>
      <c r="J341" s="1227"/>
      <c r="K341" s="1227"/>
      <c r="L341" s="1227"/>
      <c r="M341" s="1227"/>
      <c r="N341" s="1227"/>
      <c r="O341" s="1228"/>
      <c r="P341" s="1227"/>
      <c r="Q341" s="1227"/>
      <c r="R341" s="693"/>
      <c r="S341" s="693"/>
      <c r="T341" s="1229"/>
      <c r="U341" s="1230"/>
      <c r="V341" s="1589"/>
      <c r="W341" s="1589"/>
      <c r="X341" s="1589"/>
      <c r="Y341" s="1589"/>
      <c r="Z341" s="1169"/>
      <c r="AA341" s="16"/>
      <c r="AB341" s="16"/>
      <c r="AC341" s="160"/>
      <c r="AD341" s="160"/>
      <c r="AE341" s="951"/>
      <c r="AF341" s="160"/>
      <c r="AG341" s="160"/>
      <c r="AH341" s="160"/>
      <c r="AI341" s="160"/>
      <c r="AJ341" s="160"/>
      <c r="AK341" s="160"/>
      <c r="AL341" s="160"/>
      <c r="AM341" s="160"/>
      <c r="AN341" s="160"/>
      <c r="AO341" s="160"/>
      <c r="AP341" s="160"/>
      <c r="AQ341" s="160"/>
      <c r="AR341" s="160"/>
      <c r="AS341" s="160"/>
      <c r="AT341" s="160"/>
      <c r="AU341" s="160"/>
      <c r="AV341" s="160"/>
      <c r="AW341" s="160"/>
      <c r="AX341" s="160"/>
      <c r="AY341" s="160"/>
      <c r="AZ341" s="160"/>
      <c r="BA341" s="160"/>
      <c r="BB341" s="160"/>
      <c r="BC341" s="160"/>
      <c r="BD341" s="160"/>
      <c r="BE341" s="160"/>
      <c r="BF341" s="160"/>
      <c r="BG341" s="160"/>
      <c r="BH341" s="160"/>
      <c r="BI341" s="160"/>
      <c r="BJ341" s="160"/>
      <c r="BK341" s="160"/>
      <c r="BL341" s="160"/>
      <c r="BM341" s="446"/>
      <c r="BN341" s="446"/>
      <c r="BO341" s="446"/>
      <c r="BP341" s="446"/>
      <c r="BQ341" s="446"/>
      <c r="BR341" s="446"/>
      <c r="BS341" s="446"/>
      <c r="BT341" s="446"/>
      <c r="BU341" s="446"/>
      <c r="BV341" s="1225"/>
      <c r="BW341" s="446"/>
      <c r="BX341" s="446"/>
      <c r="BY341" s="446"/>
      <c r="BZ341" s="446"/>
      <c r="CA341" s="446"/>
      <c r="CB341" s="446"/>
      <c r="CC341" s="446"/>
      <c r="CD341" s="446"/>
      <c r="CE341" s="446"/>
      <c r="CF341" s="446"/>
      <c r="CG341" s="446"/>
      <c r="CH341" s="446"/>
      <c r="CI341" s="446"/>
      <c r="CJ341" s="446"/>
      <c r="CK341" s="446"/>
      <c r="CL341" s="446"/>
      <c r="CM341" s="446"/>
      <c r="CN341" s="446"/>
      <c r="CO341" s="446"/>
      <c r="CP341" s="446"/>
      <c r="CQ341" s="446"/>
      <c r="CR341" s="446"/>
      <c r="CS341" s="446"/>
      <c r="CT341" s="446"/>
      <c r="CU341" s="446"/>
      <c r="CV341" s="445"/>
      <c r="CW341" s="117"/>
      <c r="CX341" s="445"/>
      <c r="CY341" s="446"/>
      <c r="CZ341" s="446"/>
      <c r="DA341" s="446"/>
      <c r="DB341" s="446"/>
      <c r="DC341" s="446"/>
      <c r="DD341" s="446"/>
      <c r="DE341" s="446"/>
      <c r="DF341" s="446"/>
      <c r="DG341" s="446"/>
      <c r="DH341" s="446"/>
      <c r="DI341" s="446"/>
      <c r="DJ341" s="446"/>
      <c r="DK341" s="446"/>
      <c r="DL341" s="446"/>
      <c r="DM341" s="446"/>
      <c r="DN341" s="446"/>
      <c r="DO341" s="446"/>
      <c r="DP341" s="446"/>
      <c r="DQ341" s="446"/>
      <c r="DR341" s="446"/>
      <c r="DS341" s="446"/>
      <c r="DT341" s="446"/>
      <c r="DU341" s="446"/>
      <c r="DV341" s="446"/>
      <c r="DW341" s="446"/>
      <c r="DX341" s="446"/>
      <c r="DY341" s="446"/>
    </row>
    <row r="342" spans="1:129" s="112" customFormat="1" ht="12.6">
      <c r="A342" s="16"/>
      <c r="B342" s="16"/>
      <c r="E342" s="1226"/>
      <c r="F342" s="1227"/>
      <c r="G342" s="1227"/>
      <c r="H342" s="1227"/>
      <c r="I342" s="1227"/>
      <c r="J342" s="1227"/>
      <c r="K342" s="1227"/>
      <c r="L342" s="1227"/>
      <c r="M342" s="1227"/>
      <c r="N342" s="1227"/>
      <c r="O342" s="1228"/>
      <c r="P342" s="1227"/>
      <c r="Q342" s="1227"/>
      <c r="R342" s="693"/>
      <c r="S342" s="693"/>
      <c r="T342" s="1229"/>
      <c r="U342" s="1230"/>
      <c r="V342" s="1589"/>
      <c r="W342" s="1589"/>
      <c r="X342" s="1589"/>
      <c r="Y342" s="1589"/>
      <c r="Z342" s="1169"/>
      <c r="AA342" s="16"/>
      <c r="AB342" s="16"/>
      <c r="AC342" s="160"/>
      <c r="AD342" s="160"/>
      <c r="AE342" s="951"/>
      <c r="AF342" s="160"/>
      <c r="AG342" s="160"/>
      <c r="AH342" s="160"/>
      <c r="AI342" s="160"/>
      <c r="AJ342" s="160"/>
      <c r="AK342" s="160"/>
      <c r="AL342" s="160"/>
      <c r="AM342" s="160"/>
      <c r="AN342" s="160"/>
      <c r="AO342" s="160"/>
      <c r="AP342" s="160"/>
      <c r="AQ342" s="160"/>
      <c r="AR342" s="160"/>
      <c r="AS342" s="160"/>
      <c r="AT342" s="160"/>
      <c r="AU342" s="160"/>
      <c r="AV342" s="160"/>
      <c r="AW342" s="160"/>
      <c r="AX342" s="160"/>
      <c r="AY342" s="160"/>
      <c r="AZ342" s="160"/>
      <c r="BA342" s="160"/>
      <c r="BB342" s="160"/>
      <c r="BC342" s="160"/>
      <c r="BD342" s="160"/>
      <c r="BE342" s="160"/>
      <c r="BF342" s="160"/>
      <c r="BG342" s="160"/>
      <c r="BH342" s="160"/>
      <c r="BI342" s="160"/>
      <c r="BJ342" s="160"/>
      <c r="BK342" s="160"/>
      <c r="BL342" s="160"/>
      <c r="BM342" s="446"/>
      <c r="BN342" s="446"/>
      <c r="BO342" s="446"/>
      <c r="BP342" s="446"/>
      <c r="BQ342" s="446"/>
      <c r="BR342" s="446"/>
      <c r="BS342" s="446"/>
      <c r="BT342" s="446"/>
      <c r="BU342" s="446"/>
      <c r="BV342" s="1225"/>
      <c r="BW342" s="446"/>
      <c r="BX342" s="446"/>
      <c r="BY342" s="446"/>
      <c r="BZ342" s="446"/>
      <c r="CA342" s="446"/>
      <c r="CB342" s="446"/>
      <c r="CC342" s="446"/>
      <c r="CD342" s="446"/>
      <c r="CE342" s="446"/>
      <c r="CF342" s="446"/>
      <c r="CG342" s="446"/>
      <c r="CH342" s="446"/>
      <c r="CI342" s="446"/>
      <c r="CJ342" s="446"/>
      <c r="CK342" s="446"/>
      <c r="CL342" s="446"/>
      <c r="CM342" s="446"/>
      <c r="CN342" s="446"/>
      <c r="CO342" s="446"/>
      <c r="CP342" s="446"/>
      <c r="CQ342" s="446"/>
      <c r="CR342" s="446"/>
      <c r="CS342" s="446"/>
      <c r="CT342" s="446"/>
      <c r="CU342" s="446"/>
      <c r="CV342" s="445"/>
      <c r="CW342" s="117"/>
      <c r="CX342" s="445"/>
      <c r="CY342" s="446"/>
      <c r="CZ342" s="446"/>
      <c r="DA342" s="446"/>
      <c r="DB342" s="446"/>
      <c r="DC342" s="446"/>
      <c r="DD342" s="446"/>
      <c r="DE342" s="446"/>
      <c r="DF342" s="446"/>
      <c r="DG342" s="446"/>
      <c r="DH342" s="446"/>
      <c r="DI342" s="446"/>
      <c r="DJ342" s="446"/>
      <c r="DK342" s="446"/>
      <c r="DL342" s="446"/>
      <c r="DM342" s="446"/>
      <c r="DN342" s="446"/>
      <c r="DO342" s="446"/>
      <c r="DP342" s="446"/>
      <c r="DQ342" s="446"/>
      <c r="DR342" s="446"/>
      <c r="DS342" s="446"/>
      <c r="DT342" s="446"/>
      <c r="DU342" s="446"/>
      <c r="DV342" s="446"/>
      <c r="DW342" s="446"/>
      <c r="DX342" s="446"/>
      <c r="DY342" s="446"/>
    </row>
    <row r="343" spans="1:129" s="112" customFormat="1" ht="12.6">
      <c r="A343" s="16"/>
      <c r="B343" s="16"/>
      <c r="E343" s="1226"/>
      <c r="F343" s="1227"/>
      <c r="G343" s="1227"/>
      <c r="H343" s="1227"/>
      <c r="I343" s="1227"/>
      <c r="J343" s="1227"/>
      <c r="K343" s="1227"/>
      <c r="L343" s="1227"/>
      <c r="M343" s="1227"/>
      <c r="N343" s="1227"/>
      <c r="O343" s="1228"/>
      <c r="P343" s="1227"/>
      <c r="Q343" s="1227"/>
      <c r="R343" s="693"/>
      <c r="S343" s="693"/>
      <c r="T343" s="1229"/>
      <c r="U343" s="1230"/>
      <c r="V343" s="1589"/>
      <c r="W343" s="1589"/>
      <c r="X343" s="1589"/>
      <c r="Y343" s="1589"/>
      <c r="Z343" s="1169"/>
      <c r="AA343" s="16"/>
      <c r="AB343" s="16"/>
      <c r="AC343" s="160"/>
      <c r="AD343" s="160"/>
      <c r="AE343" s="951"/>
      <c r="AF343" s="160"/>
      <c r="AG343" s="160"/>
      <c r="AH343" s="160"/>
      <c r="AI343" s="160"/>
      <c r="AJ343" s="160"/>
      <c r="AK343" s="160"/>
      <c r="AL343" s="160"/>
      <c r="AM343" s="160"/>
      <c r="AN343" s="160"/>
      <c r="AO343" s="160"/>
      <c r="AP343" s="160"/>
      <c r="AQ343" s="160"/>
      <c r="AR343" s="160"/>
      <c r="AS343" s="160"/>
      <c r="AT343" s="160"/>
      <c r="AU343" s="160"/>
      <c r="AV343" s="160"/>
      <c r="AW343" s="160"/>
      <c r="AX343" s="160"/>
      <c r="AY343" s="160"/>
      <c r="AZ343" s="160"/>
      <c r="BA343" s="160"/>
      <c r="BB343" s="160"/>
      <c r="BC343" s="160"/>
      <c r="BD343" s="160"/>
      <c r="BE343" s="160"/>
      <c r="BF343" s="160"/>
      <c r="BG343" s="160"/>
      <c r="BH343" s="160"/>
      <c r="BI343" s="160"/>
      <c r="BJ343" s="160"/>
      <c r="BK343" s="160"/>
      <c r="BL343" s="160"/>
      <c r="BM343" s="446"/>
      <c r="BN343" s="446"/>
      <c r="BO343" s="446"/>
      <c r="BP343" s="446"/>
      <c r="BQ343" s="446"/>
      <c r="BR343" s="446"/>
      <c r="BS343" s="446"/>
      <c r="BT343" s="446"/>
      <c r="BU343" s="446"/>
      <c r="BV343" s="1225"/>
      <c r="BW343" s="446"/>
      <c r="BX343" s="446"/>
      <c r="BY343" s="446"/>
      <c r="BZ343" s="446"/>
      <c r="CA343" s="446"/>
      <c r="CB343" s="446"/>
      <c r="CC343" s="446"/>
      <c r="CD343" s="446"/>
      <c r="CE343" s="446"/>
      <c r="CF343" s="446"/>
      <c r="CG343" s="446"/>
      <c r="CH343" s="446"/>
      <c r="CI343" s="446"/>
      <c r="CJ343" s="446"/>
      <c r="CK343" s="446"/>
      <c r="CL343" s="446"/>
      <c r="CM343" s="446"/>
      <c r="CN343" s="446"/>
      <c r="CO343" s="446"/>
      <c r="CP343" s="446"/>
      <c r="CQ343" s="446"/>
      <c r="CR343" s="446"/>
      <c r="CS343" s="446"/>
      <c r="CT343" s="446"/>
      <c r="CU343" s="446"/>
      <c r="CV343" s="445"/>
      <c r="CW343" s="117"/>
      <c r="CX343" s="445"/>
      <c r="CY343" s="446"/>
      <c r="CZ343" s="446"/>
      <c r="DA343" s="446"/>
      <c r="DB343" s="446"/>
      <c r="DC343" s="446"/>
      <c r="DD343" s="446"/>
      <c r="DE343" s="446"/>
      <c r="DF343" s="446"/>
      <c r="DG343" s="446"/>
      <c r="DH343" s="446"/>
      <c r="DI343" s="446"/>
      <c r="DJ343" s="446"/>
      <c r="DK343" s="446"/>
      <c r="DL343" s="446"/>
      <c r="DM343" s="446"/>
      <c r="DN343" s="446"/>
      <c r="DO343" s="446"/>
      <c r="DP343" s="446"/>
      <c r="DQ343" s="446"/>
      <c r="DR343" s="446"/>
      <c r="DS343" s="446"/>
      <c r="DT343" s="446"/>
      <c r="DU343" s="446"/>
      <c r="DV343" s="446"/>
      <c r="DW343" s="446"/>
      <c r="DX343" s="446"/>
      <c r="DY343" s="446"/>
    </row>
    <row r="344" spans="1:129" s="112" customFormat="1" ht="12.6">
      <c r="A344" s="16"/>
      <c r="B344" s="16"/>
      <c r="E344" s="1226"/>
      <c r="F344" s="1227"/>
      <c r="G344" s="1227"/>
      <c r="H344" s="1227"/>
      <c r="I344" s="1227"/>
      <c r="J344" s="1227"/>
      <c r="K344" s="1227"/>
      <c r="L344" s="1227"/>
      <c r="M344" s="1227"/>
      <c r="N344" s="1227"/>
      <c r="O344" s="1228"/>
      <c r="P344" s="1227"/>
      <c r="Q344" s="1227"/>
      <c r="R344" s="693"/>
      <c r="S344" s="693"/>
      <c r="T344" s="1229"/>
      <c r="U344" s="1230"/>
      <c r="V344" s="1589"/>
      <c r="W344" s="1589"/>
      <c r="X344" s="1589"/>
      <c r="Y344" s="1589"/>
      <c r="Z344" s="1169"/>
      <c r="AA344" s="16"/>
      <c r="AB344" s="16"/>
      <c r="AC344" s="160"/>
      <c r="AD344" s="160"/>
      <c r="AE344" s="951"/>
      <c r="AF344" s="160"/>
      <c r="AG344" s="160"/>
      <c r="AH344" s="160"/>
      <c r="AI344" s="160"/>
      <c r="AJ344" s="160"/>
      <c r="AK344" s="160"/>
      <c r="AL344" s="160"/>
      <c r="AM344" s="160"/>
      <c r="AN344" s="160"/>
      <c r="AO344" s="160"/>
      <c r="AP344" s="160"/>
      <c r="AQ344" s="160"/>
      <c r="AR344" s="160"/>
      <c r="AS344" s="160"/>
      <c r="AT344" s="160"/>
      <c r="AU344" s="160"/>
      <c r="AV344" s="160"/>
      <c r="AW344" s="160"/>
      <c r="AX344" s="160"/>
      <c r="AY344" s="160"/>
      <c r="AZ344" s="160"/>
      <c r="BA344" s="160"/>
      <c r="BB344" s="160"/>
      <c r="BC344" s="160"/>
      <c r="BD344" s="160"/>
      <c r="BE344" s="160"/>
      <c r="BF344" s="160"/>
      <c r="BG344" s="160"/>
      <c r="BH344" s="160"/>
      <c r="BI344" s="160"/>
      <c r="BJ344" s="160"/>
      <c r="BK344" s="160"/>
      <c r="BL344" s="160"/>
      <c r="BM344" s="446"/>
      <c r="BN344" s="446"/>
      <c r="BO344" s="446"/>
      <c r="BP344" s="446"/>
      <c r="BQ344" s="446"/>
      <c r="BR344" s="446"/>
      <c r="BS344" s="446"/>
      <c r="BT344" s="446"/>
      <c r="BU344" s="446"/>
      <c r="BV344" s="1225"/>
      <c r="BW344" s="446"/>
      <c r="BX344" s="446"/>
      <c r="BY344" s="446"/>
      <c r="BZ344" s="446"/>
      <c r="CA344" s="446"/>
      <c r="CB344" s="446"/>
      <c r="CC344" s="446"/>
      <c r="CD344" s="446"/>
      <c r="CE344" s="446"/>
      <c r="CF344" s="446"/>
      <c r="CG344" s="446"/>
      <c r="CH344" s="446"/>
      <c r="CI344" s="446"/>
      <c r="CJ344" s="446"/>
      <c r="CK344" s="446"/>
      <c r="CL344" s="446"/>
      <c r="CM344" s="446"/>
      <c r="CN344" s="446"/>
      <c r="CO344" s="446"/>
      <c r="CP344" s="446"/>
      <c r="CQ344" s="446"/>
      <c r="CR344" s="446"/>
      <c r="CS344" s="446"/>
      <c r="CT344" s="446"/>
      <c r="CU344" s="446"/>
      <c r="CV344" s="445"/>
      <c r="CW344" s="117"/>
      <c r="CX344" s="445"/>
      <c r="CY344" s="446"/>
      <c r="CZ344" s="446"/>
      <c r="DA344" s="446"/>
      <c r="DB344" s="446"/>
      <c r="DC344" s="446"/>
      <c r="DD344" s="446"/>
      <c r="DE344" s="446"/>
      <c r="DF344" s="446"/>
      <c r="DG344" s="446"/>
      <c r="DH344" s="446"/>
      <c r="DI344" s="446"/>
      <c r="DJ344" s="446"/>
      <c r="DK344" s="446"/>
      <c r="DL344" s="446"/>
      <c r="DM344" s="446"/>
      <c r="DN344" s="446"/>
      <c r="DO344" s="446"/>
      <c r="DP344" s="446"/>
      <c r="DQ344" s="446"/>
      <c r="DR344" s="446"/>
      <c r="DS344" s="446"/>
      <c r="DT344" s="446"/>
      <c r="DU344" s="446"/>
      <c r="DV344" s="446"/>
      <c r="DW344" s="446"/>
      <c r="DX344" s="446"/>
      <c r="DY344" s="446"/>
    </row>
    <row r="345" spans="1:129" s="112" customFormat="1" ht="12.6">
      <c r="A345" s="16"/>
      <c r="B345" s="16"/>
      <c r="E345" s="1226"/>
      <c r="F345" s="1227"/>
      <c r="G345" s="1227"/>
      <c r="H345" s="1227"/>
      <c r="I345" s="1227"/>
      <c r="J345" s="1227"/>
      <c r="K345" s="1227"/>
      <c r="L345" s="1227"/>
      <c r="M345" s="1227"/>
      <c r="N345" s="1227"/>
      <c r="O345" s="1228"/>
      <c r="P345" s="1227"/>
      <c r="Q345" s="1227"/>
      <c r="R345" s="693"/>
      <c r="S345" s="693"/>
      <c r="T345" s="1229"/>
      <c r="U345" s="1230"/>
      <c r="V345" s="1589"/>
      <c r="W345" s="1589"/>
      <c r="X345" s="1589"/>
      <c r="Y345" s="1589"/>
      <c r="Z345" s="1169"/>
      <c r="AA345" s="16"/>
      <c r="AB345" s="16"/>
      <c r="AC345" s="160"/>
      <c r="AD345" s="160"/>
      <c r="AE345" s="951"/>
      <c r="AF345" s="160"/>
      <c r="AG345" s="160"/>
      <c r="AH345" s="160"/>
      <c r="AI345" s="160"/>
      <c r="AJ345" s="160"/>
      <c r="AK345" s="160"/>
      <c r="AL345" s="160"/>
      <c r="AM345" s="160"/>
      <c r="AN345" s="160"/>
      <c r="AO345" s="160"/>
      <c r="AP345" s="160"/>
      <c r="AQ345" s="160"/>
      <c r="AR345" s="160"/>
      <c r="AS345" s="160"/>
      <c r="AT345" s="160"/>
      <c r="AU345" s="160"/>
      <c r="AV345" s="160"/>
      <c r="AW345" s="160"/>
      <c r="AX345" s="160"/>
      <c r="AY345" s="160"/>
      <c r="AZ345" s="160"/>
      <c r="BA345" s="160"/>
      <c r="BB345" s="160"/>
      <c r="BC345" s="160"/>
      <c r="BD345" s="160"/>
      <c r="BE345" s="160"/>
      <c r="BF345" s="160"/>
      <c r="BG345" s="160"/>
      <c r="BH345" s="160"/>
      <c r="BI345" s="160"/>
      <c r="BJ345" s="160"/>
      <c r="BK345" s="160"/>
      <c r="BL345" s="160"/>
      <c r="BM345" s="446"/>
      <c r="BN345" s="446"/>
      <c r="BO345" s="446"/>
      <c r="BP345" s="446"/>
      <c r="BQ345" s="446"/>
      <c r="BR345" s="446"/>
      <c r="BS345" s="446"/>
      <c r="BT345" s="446"/>
      <c r="BU345" s="446"/>
      <c r="BV345" s="1225"/>
      <c r="BW345" s="446"/>
      <c r="BX345" s="446"/>
      <c r="BY345" s="446"/>
      <c r="BZ345" s="446"/>
      <c r="CA345" s="446"/>
      <c r="CB345" s="446"/>
      <c r="CC345" s="446"/>
      <c r="CD345" s="446"/>
      <c r="CE345" s="446"/>
      <c r="CF345" s="446"/>
      <c r="CG345" s="446"/>
      <c r="CH345" s="446"/>
      <c r="CI345" s="446"/>
      <c r="CJ345" s="446"/>
      <c r="CK345" s="446"/>
      <c r="CL345" s="446"/>
      <c r="CM345" s="446"/>
      <c r="CN345" s="446"/>
      <c r="CO345" s="446"/>
      <c r="CP345" s="446"/>
      <c r="CQ345" s="446"/>
      <c r="CR345" s="446"/>
      <c r="CS345" s="446"/>
      <c r="CT345" s="446"/>
      <c r="CU345" s="446"/>
      <c r="CV345" s="445"/>
      <c r="CW345" s="117"/>
      <c r="CX345" s="445"/>
      <c r="CY345" s="446"/>
      <c r="CZ345" s="446"/>
      <c r="DA345" s="446"/>
      <c r="DB345" s="446"/>
      <c r="DC345" s="446"/>
      <c r="DD345" s="446"/>
      <c r="DE345" s="446"/>
      <c r="DF345" s="446"/>
      <c r="DG345" s="446"/>
      <c r="DH345" s="446"/>
      <c r="DI345" s="446"/>
      <c r="DJ345" s="446"/>
      <c r="DK345" s="446"/>
      <c r="DL345" s="446"/>
      <c r="DM345" s="446"/>
      <c r="DN345" s="446"/>
      <c r="DO345" s="446"/>
      <c r="DP345" s="446"/>
      <c r="DQ345" s="446"/>
      <c r="DR345" s="446"/>
      <c r="DS345" s="446"/>
      <c r="DT345" s="446"/>
      <c r="DU345" s="446"/>
      <c r="DV345" s="446"/>
      <c r="DW345" s="446"/>
      <c r="DX345" s="446"/>
      <c r="DY345" s="446"/>
    </row>
    <row r="346" spans="1:129" s="112" customFormat="1" ht="12.6">
      <c r="A346" s="16"/>
      <c r="B346" s="16"/>
      <c r="E346" s="1226"/>
      <c r="F346" s="1227"/>
      <c r="G346" s="1227"/>
      <c r="H346" s="1227"/>
      <c r="I346" s="1227"/>
      <c r="J346" s="1227"/>
      <c r="K346" s="1227"/>
      <c r="L346" s="1227"/>
      <c r="M346" s="1227"/>
      <c r="N346" s="1227"/>
      <c r="O346" s="1228"/>
      <c r="P346" s="1227"/>
      <c r="Q346" s="1227"/>
      <c r="R346" s="693"/>
      <c r="S346" s="693"/>
      <c r="T346" s="1229"/>
      <c r="U346" s="1230"/>
      <c r="V346" s="1589"/>
      <c r="W346" s="1589"/>
      <c r="X346" s="1589"/>
      <c r="Y346" s="1589"/>
      <c r="Z346" s="1169"/>
      <c r="AA346" s="16"/>
      <c r="AB346" s="16"/>
      <c r="AC346" s="160"/>
      <c r="AD346" s="160"/>
      <c r="AE346" s="951"/>
      <c r="AF346" s="160"/>
      <c r="AG346" s="160"/>
      <c r="AH346" s="160"/>
      <c r="AI346" s="160"/>
      <c r="AJ346" s="160"/>
      <c r="AK346" s="160"/>
      <c r="AL346" s="160"/>
      <c r="AM346" s="160"/>
      <c r="AN346" s="160"/>
      <c r="AO346" s="160"/>
      <c r="AP346" s="160"/>
      <c r="AQ346" s="160"/>
      <c r="AR346" s="160"/>
      <c r="AS346" s="160"/>
      <c r="AT346" s="160"/>
      <c r="AU346" s="160"/>
      <c r="AV346" s="160"/>
      <c r="AW346" s="160"/>
      <c r="AX346" s="160"/>
      <c r="AY346" s="160"/>
      <c r="AZ346" s="160"/>
      <c r="BA346" s="160"/>
      <c r="BB346" s="160"/>
      <c r="BC346" s="160"/>
      <c r="BD346" s="160"/>
      <c r="BE346" s="160"/>
      <c r="BF346" s="160"/>
      <c r="BG346" s="160"/>
      <c r="BH346" s="160"/>
      <c r="BI346" s="160"/>
      <c r="BJ346" s="160"/>
      <c r="BK346" s="160"/>
      <c r="BL346" s="160"/>
      <c r="BM346" s="446"/>
      <c r="BN346" s="446"/>
      <c r="BO346" s="446"/>
      <c r="BP346" s="446"/>
      <c r="BQ346" s="446"/>
      <c r="BR346" s="446"/>
      <c r="BS346" s="446"/>
      <c r="BT346" s="446"/>
      <c r="BU346" s="446"/>
      <c r="BV346" s="1225"/>
      <c r="BW346" s="446"/>
      <c r="BX346" s="446"/>
      <c r="BY346" s="446"/>
      <c r="BZ346" s="446"/>
      <c r="CA346" s="446"/>
      <c r="CB346" s="446"/>
      <c r="CC346" s="446"/>
      <c r="CD346" s="446"/>
      <c r="CE346" s="446"/>
      <c r="CF346" s="446"/>
      <c r="CG346" s="446"/>
      <c r="CH346" s="446"/>
      <c r="CI346" s="446"/>
      <c r="CJ346" s="446"/>
      <c r="CK346" s="446"/>
      <c r="CL346" s="446"/>
      <c r="CM346" s="446"/>
      <c r="CN346" s="446"/>
      <c r="CO346" s="446"/>
      <c r="CP346" s="446"/>
      <c r="CQ346" s="446"/>
      <c r="CR346" s="446"/>
      <c r="CS346" s="446"/>
      <c r="CT346" s="446"/>
      <c r="CU346" s="446"/>
      <c r="CV346" s="445"/>
      <c r="CW346" s="117"/>
      <c r="CX346" s="445"/>
      <c r="CY346" s="446"/>
      <c r="CZ346" s="446"/>
      <c r="DA346" s="446"/>
      <c r="DB346" s="446"/>
      <c r="DC346" s="446"/>
      <c r="DD346" s="446"/>
      <c r="DE346" s="446"/>
      <c r="DF346" s="446"/>
      <c r="DG346" s="446"/>
      <c r="DH346" s="446"/>
      <c r="DI346" s="446"/>
      <c r="DJ346" s="446"/>
      <c r="DK346" s="446"/>
      <c r="DL346" s="446"/>
      <c r="DM346" s="446"/>
      <c r="DN346" s="446"/>
      <c r="DO346" s="446"/>
      <c r="DP346" s="446"/>
      <c r="DQ346" s="446"/>
      <c r="DR346" s="446"/>
      <c r="DS346" s="446"/>
      <c r="DT346" s="446"/>
      <c r="DU346" s="446"/>
      <c r="DV346" s="446"/>
      <c r="DW346" s="446"/>
      <c r="DX346" s="446"/>
      <c r="DY346" s="446"/>
    </row>
    <row r="347" spans="1:129" s="112" customFormat="1" ht="12.6">
      <c r="A347" s="16"/>
      <c r="B347" s="16"/>
      <c r="E347" s="1226"/>
      <c r="F347" s="1227"/>
      <c r="G347" s="1227"/>
      <c r="H347" s="1227"/>
      <c r="I347" s="1227"/>
      <c r="J347" s="1227"/>
      <c r="K347" s="1227"/>
      <c r="L347" s="1227"/>
      <c r="M347" s="1227"/>
      <c r="N347" s="1227"/>
      <c r="O347" s="1228"/>
      <c r="P347" s="1227"/>
      <c r="Q347" s="1227"/>
      <c r="R347" s="693"/>
      <c r="S347" s="693"/>
      <c r="T347" s="1229"/>
      <c r="U347" s="1230"/>
      <c r="V347" s="1589"/>
      <c r="W347" s="1589"/>
      <c r="X347" s="1589"/>
      <c r="Y347" s="1589"/>
      <c r="Z347" s="1169"/>
      <c r="AA347" s="16"/>
      <c r="AB347" s="16"/>
      <c r="AC347" s="160"/>
      <c r="AD347" s="160"/>
      <c r="AE347" s="951"/>
      <c r="AF347" s="160"/>
      <c r="AG347" s="160"/>
      <c r="AH347" s="160"/>
      <c r="AI347" s="160"/>
      <c r="AJ347" s="160"/>
      <c r="AK347" s="160"/>
      <c r="AL347" s="160"/>
      <c r="AM347" s="160"/>
      <c r="AN347" s="160"/>
      <c r="AO347" s="160"/>
      <c r="AP347" s="160"/>
      <c r="AQ347" s="160"/>
      <c r="AR347" s="160"/>
      <c r="AS347" s="160"/>
      <c r="AT347" s="160"/>
      <c r="AU347" s="160"/>
      <c r="AV347" s="160"/>
      <c r="AW347" s="160"/>
      <c r="AX347" s="160"/>
      <c r="AY347" s="160"/>
      <c r="AZ347" s="160"/>
      <c r="BA347" s="160"/>
      <c r="BB347" s="160"/>
      <c r="BC347" s="160"/>
      <c r="BD347" s="160"/>
      <c r="BE347" s="160"/>
      <c r="BF347" s="160"/>
      <c r="BG347" s="160"/>
      <c r="BH347" s="160"/>
      <c r="BI347" s="160"/>
      <c r="BJ347" s="160"/>
      <c r="BK347" s="160"/>
      <c r="BL347" s="160"/>
      <c r="BM347" s="446"/>
      <c r="BN347" s="446"/>
      <c r="BO347" s="446"/>
      <c r="BP347" s="446"/>
      <c r="BQ347" s="446"/>
      <c r="BR347" s="446"/>
      <c r="BS347" s="446"/>
      <c r="BT347" s="446"/>
      <c r="BU347" s="446"/>
      <c r="BV347" s="1225"/>
      <c r="BW347" s="446"/>
      <c r="BX347" s="446"/>
      <c r="BY347" s="446"/>
      <c r="BZ347" s="446"/>
      <c r="CA347" s="446"/>
      <c r="CB347" s="446"/>
      <c r="CC347" s="446"/>
      <c r="CD347" s="446"/>
      <c r="CE347" s="446"/>
      <c r="CF347" s="446"/>
      <c r="CG347" s="446"/>
      <c r="CH347" s="446"/>
      <c r="CI347" s="446"/>
      <c r="CJ347" s="446"/>
      <c r="CK347" s="446"/>
      <c r="CL347" s="446"/>
      <c r="CM347" s="446"/>
      <c r="CN347" s="446"/>
      <c r="CO347" s="446"/>
      <c r="CP347" s="446"/>
      <c r="CQ347" s="446"/>
      <c r="CR347" s="446"/>
      <c r="CS347" s="446"/>
      <c r="CT347" s="446"/>
      <c r="CU347" s="446"/>
      <c r="CV347" s="445"/>
      <c r="CW347" s="117"/>
      <c r="CX347" s="445"/>
      <c r="CY347" s="446"/>
      <c r="CZ347" s="446"/>
      <c r="DA347" s="446"/>
      <c r="DB347" s="446"/>
      <c r="DC347" s="446"/>
      <c r="DD347" s="446"/>
      <c r="DE347" s="446"/>
      <c r="DF347" s="446"/>
      <c r="DG347" s="446"/>
      <c r="DH347" s="446"/>
      <c r="DI347" s="446"/>
      <c r="DJ347" s="446"/>
      <c r="DK347" s="446"/>
      <c r="DL347" s="446"/>
      <c r="DM347" s="446"/>
      <c r="DN347" s="446"/>
      <c r="DO347" s="446"/>
      <c r="DP347" s="446"/>
      <c r="DQ347" s="446"/>
      <c r="DR347" s="446"/>
      <c r="DS347" s="446"/>
      <c r="DT347" s="446"/>
      <c r="DU347" s="446"/>
      <c r="DV347" s="446"/>
      <c r="DW347" s="446"/>
      <c r="DX347" s="446"/>
      <c r="DY347" s="446"/>
    </row>
    <row r="348" spans="1:129" s="112" customFormat="1" ht="12.6">
      <c r="A348" s="16"/>
      <c r="B348" s="16"/>
      <c r="E348" s="1226"/>
      <c r="F348" s="1227"/>
      <c r="G348" s="1227"/>
      <c r="H348" s="1227"/>
      <c r="I348" s="1227"/>
      <c r="J348" s="1227"/>
      <c r="K348" s="1227"/>
      <c r="L348" s="1227"/>
      <c r="M348" s="1227"/>
      <c r="N348" s="1227"/>
      <c r="O348" s="1228"/>
      <c r="P348" s="1227"/>
      <c r="Q348" s="1227"/>
      <c r="R348" s="693"/>
      <c r="S348" s="693"/>
      <c r="T348" s="1229"/>
      <c r="U348" s="1230"/>
      <c r="V348" s="1589"/>
      <c r="W348" s="1589"/>
      <c r="X348" s="1589"/>
      <c r="Y348" s="1589"/>
      <c r="Z348" s="1169"/>
      <c r="AA348" s="16"/>
      <c r="AB348" s="16"/>
      <c r="AC348" s="160"/>
      <c r="AD348" s="160"/>
      <c r="AE348" s="951"/>
      <c r="AF348" s="160"/>
      <c r="AG348" s="160"/>
      <c r="AH348" s="160"/>
      <c r="AI348" s="160"/>
      <c r="AJ348" s="160"/>
      <c r="AK348" s="160"/>
      <c r="AL348" s="160"/>
      <c r="AM348" s="160"/>
      <c r="AN348" s="160"/>
      <c r="AO348" s="160"/>
      <c r="AP348" s="160"/>
      <c r="AQ348" s="160"/>
      <c r="AR348" s="160"/>
      <c r="AS348" s="160"/>
      <c r="AT348" s="160"/>
      <c r="AU348" s="160"/>
      <c r="AV348" s="160"/>
      <c r="AW348" s="160"/>
      <c r="AX348" s="160"/>
      <c r="AY348" s="160"/>
      <c r="AZ348" s="160"/>
      <c r="BA348" s="160"/>
      <c r="BB348" s="160"/>
      <c r="BC348" s="160"/>
      <c r="BD348" s="160"/>
      <c r="BE348" s="160"/>
      <c r="BF348" s="160"/>
      <c r="BG348" s="160"/>
      <c r="BH348" s="160"/>
      <c r="BI348" s="160"/>
      <c r="BJ348" s="160"/>
      <c r="BK348" s="160"/>
      <c r="BL348" s="160"/>
      <c r="BM348" s="446"/>
      <c r="BN348" s="446"/>
      <c r="BO348" s="446"/>
      <c r="BP348" s="446"/>
      <c r="BQ348" s="446"/>
      <c r="BR348" s="446"/>
      <c r="BS348" s="446"/>
      <c r="BT348" s="446"/>
      <c r="BU348" s="446"/>
      <c r="BV348" s="1225"/>
      <c r="BW348" s="446"/>
      <c r="BX348" s="446"/>
      <c r="BY348" s="446"/>
      <c r="BZ348" s="446"/>
      <c r="CA348" s="446"/>
      <c r="CB348" s="446"/>
      <c r="CC348" s="446"/>
      <c r="CD348" s="446"/>
      <c r="CE348" s="446"/>
      <c r="CF348" s="446"/>
      <c r="CG348" s="446"/>
      <c r="CH348" s="446"/>
      <c r="CI348" s="446"/>
      <c r="CJ348" s="446"/>
      <c r="CK348" s="446"/>
      <c r="CL348" s="446"/>
      <c r="CM348" s="446"/>
      <c r="CN348" s="446"/>
      <c r="CO348" s="446"/>
      <c r="CP348" s="446"/>
      <c r="CQ348" s="446"/>
      <c r="CR348" s="446"/>
      <c r="CS348" s="446"/>
      <c r="CT348" s="446"/>
      <c r="CU348" s="446"/>
      <c r="CV348" s="445"/>
      <c r="CW348" s="117"/>
      <c r="CX348" s="445"/>
      <c r="CY348" s="446"/>
      <c r="CZ348" s="446"/>
      <c r="DA348" s="446"/>
      <c r="DB348" s="446"/>
      <c r="DC348" s="446"/>
      <c r="DD348" s="446"/>
      <c r="DE348" s="446"/>
      <c r="DF348" s="446"/>
      <c r="DG348" s="446"/>
      <c r="DH348" s="446"/>
      <c r="DI348" s="446"/>
      <c r="DJ348" s="446"/>
      <c r="DK348" s="446"/>
      <c r="DL348" s="446"/>
      <c r="DM348" s="446"/>
      <c r="DN348" s="446"/>
      <c r="DO348" s="446"/>
      <c r="DP348" s="446"/>
      <c r="DQ348" s="446"/>
      <c r="DR348" s="446"/>
      <c r="DS348" s="446"/>
      <c r="DT348" s="446"/>
      <c r="DU348" s="446"/>
      <c r="DV348" s="446"/>
      <c r="DW348" s="446"/>
      <c r="DX348" s="446"/>
      <c r="DY348" s="446"/>
    </row>
    <row r="349" spans="1:129" s="112" customFormat="1" ht="12.6">
      <c r="A349" s="16"/>
      <c r="B349" s="16"/>
      <c r="E349" s="1226"/>
      <c r="F349" s="1227"/>
      <c r="G349" s="1227"/>
      <c r="H349" s="1227"/>
      <c r="I349" s="1227"/>
      <c r="J349" s="1227"/>
      <c r="K349" s="1227"/>
      <c r="L349" s="1227"/>
      <c r="M349" s="1227"/>
      <c r="N349" s="1227"/>
      <c r="O349" s="1228"/>
      <c r="P349" s="1227"/>
      <c r="Q349" s="1227"/>
      <c r="R349" s="693"/>
      <c r="S349" s="693"/>
      <c r="T349" s="1229"/>
      <c r="U349" s="1230"/>
      <c r="V349" s="1589"/>
      <c r="W349" s="1589"/>
      <c r="X349" s="1589"/>
      <c r="Y349" s="1589"/>
      <c r="Z349" s="1169"/>
      <c r="AA349" s="16"/>
      <c r="AB349" s="16"/>
      <c r="AC349" s="160"/>
      <c r="AD349" s="160"/>
      <c r="AE349" s="951"/>
      <c r="AF349" s="160"/>
      <c r="AG349" s="160"/>
      <c r="AH349" s="160"/>
      <c r="AI349" s="160"/>
      <c r="AJ349" s="160"/>
      <c r="AK349" s="160"/>
      <c r="AL349" s="160"/>
      <c r="AM349" s="160"/>
      <c r="AN349" s="160"/>
      <c r="AO349" s="160"/>
      <c r="AP349" s="160"/>
      <c r="AQ349" s="160"/>
      <c r="AR349" s="160"/>
      <c r="AS349" s="160"/>
      <c r="AT349" s="160"/>
      <c r="AU349" s="160"/>
      <c r="AV349" s="160"/>
      <c r="AW349" s="160"/>
      <c r="AX349" s="160"/>
      <c r="AY349" s="160"/>
      <c r="AZ349" s="160"/>
      <c r="BA349" s="160"/>
      <c r="BB349" s="160"/>
      <c r="BC349" s="160"/>
      <c r="BD349" s="160"/>
      <c r="BE349" s="160"/>
      <c r="BF349" s="160"/>
      <c r="BG349" s="160"/>
      <c r="BH349" s="160"/>
      <c r="BI349" s="160"/>
      <c r="BJ349" s="160"/>
      <c r="BK349" s="160"/>
      <c r="BL349" s="160"/>
      <c r="BM349" s="446"/>
      <c r="BN349" s="446"/>
      <c r="BO349" s="446"/>
      <c r="BP349" s="446"/>
      <c r="BQ349" s="446"/>
      <c r="BR349" s="446"/>
      <c r="BS349" s="446"/>
      <c r="BT349" s="446"/>
      <c r="BU349" s="446"/>
      <c r="BV349" s="1225"/>
      <c r="BW349" s="446"/>
      <c r="BX349" s="446"/>
      <c r="BY349" s="446"/>
      <c r="BZ349" s="446"/>
      <c r="CA349" s="446"/>
      <c r="CB349" s="446"/>
      <c r="CC349" s="446"/>
      <c r="CD349" s="446"/>
      <c r="CE349" s="446"/>
      <c r="CF349" s="446"/>
      <c r="CG349" s="446"/>
      <c r="CH349" s="446"/>
      <c r="CI349" s="446"/>
      <c r="CJ349" s="446"/>
      <c r="CK349" s="446"/>
      <c r="CL349" s="446"/>
      <c r="CM349" s="446"/>
      <c r="CN349" s="446"/>
      <c r="CO349" s="446"/>
      <c r="CP349" s="446"/>
      <c r="CQ349" s="446"/>
      <c r="CR349" s="446"/>
      <c r="CS349" s="446"/>
      <c r="CT349" s="446"/>
      <c r="CU349" s="446"/>
      <c r="CV349" s="445"/>
      <c r="CW349" s="117"/>
      <c r="CX349" s="445"/>
      <c r="CY349" s="446"/>
      <c r="CZ349" s="446"/>
      <c r="DA349" s="446"/>
      <c r="DB349" s="446"/>
      <c r="DC349" s="446"/>
      <c r="DD349" s="446"/>
      <c r="DE349" s="446"/>
      <c r="DF349" s="446"/>
      <c r="DG349" s="446"/>
      <c r="DH349" s="446"/>
      <c r="DI349" s="446"/>
      <c r="DJ349" s="446"/>
      <c r="DK349" s="446"/>
      <c r="DL349" s="446"/>
      <c r="DM349" s="446"/>
      <c r="DN349" s="446"/>
      <c r="DO349" s="446"/>
      <c r="DP349" s="446"/>
      <c r="DQ349" s="446"/>
      <c r="DR349" s="446"/>
      <c r="DS349" s="446"/>
      <c r="DT349" s="446"/>
      <c r="DU349" s="446"/>
      <c r="DV349" s="446"/>
      <c r="DW349" s="446"/>
      <c r="DX349" s="446"/>
      <c r="DY349" s="446"/>
    </row>
    <row r="350" spans="1:129" s="112" customFormat="1" ht="12.6">
      <c r="A350" s="16"/>
      <c r="B350" s="16"/>
      <c r="E350" s="1226"/>
      <c r="F350" s="1227"/>
      <c r="G350" s="1227"/>
      <c r="H350" s="1227"/>
      <c r="I350" s="1227"/>
      <c r="J350" s="1227"/>
      <c r="K350" s="1227"/>
      <c r="L350" s="1227"/>
      <c r="M350" s="1227"/>
      <c r="N350" s="1227"/>
      <c r="O350" s="1228"/>
      <c r="P350" s="1227"/>
      <c r="Q350" s="1227"/>
      <c r="R350" s="693"/>
      <c r="S350" s="693"/>
      <c r="T350" s="1229"/>
      <c r="U350" s="1230"/>
      <c r="V350" s="1589"/>
      <c r="W350" s="1589"/>
      <c r="X350" s="1589"/>
      <c r="Y350" s="1589"/>
      <c r="Z350" s="1169"/>
      <c r="AA350" s="16"/>
      <c r="AB350" s="16"/>
      <c r="AC350" s="160"/>
      <c r="AD350" s="160"/>
      <c r="AE350" s="951"/>
      <c r="AF350" s="160"/>
      <c r="AG350" s="160"/>
      <c r="AH350" s="160"/>
      <c r="AI350" s="160"/>
      <c r="AJ350" s="160"/>
      <c r="AK350" s="160"/>
      <c r="AL350" s="160"/>
      <c r="AM350" s="160"/>
      <c r="AN350" s="160"/>
      <c r="AO350" s="160"/>
      <c r="AP350" s="160"/>
      <c r="AQ350" s="160"/>
      <c r="AR350" s="160"/>
      <c r="AS350" s="160"/>
      <c r="AT350" s="160"/>
      <c r="AU350" s="160"/>
      <c r="AV350" s="160"/>
      <c r="AW350" s="160"/>
      <c r="AX350" s="160"/>
      <c r="AY350" s="160"/>
      <c r="AZ350" s="160"/>
      <c r="BA350" s="160"/>
      <c r="BB350" s="160"/>
      <c r="BC350" s="160"/>
      <c r="BD350" s="160"/>
      <c r="BE350" s="160"/>
      <c r="BF350" s="160"/>
      <c r="BG350" s="160"/>
      <c r="BH350" s="160"/>
      <c r="BI350" s="160"/>
      <c r="BJ350" s="160"/>
      <c r="BK350" s="160"/>
      <c r="BL350" s="160"/>
      <c r="BM350" s="446"/>
      <c r="BN350" s="446"/>
      <c r="BO350" s="446"/>
      <c r="BP350" s="446"/>
      <c r="BQ350" s="446"/>
      <c r="BR350" s="446"/>
      <c r="BS350" s="446"/>
      <c r="BT350" s="446"/>
      <c r="BU350" s="446"/>
      <c r="BV350" s="1225"/>
      <c r="BW350" s="446"/>
      <c r="BX350" s="446"/>
      <c r="BY350" s="446"/>
      <c r="BZ350" s="446"/>
      <c r="CA350" s="446"/>
      <c r="CB350" s="446"/>
      <c r="CC350" s="446"/>
      <c r="CD350" s="446"/>
      <c r="CE350" s="446"/>
      <c r="CF350" s="446"/>
      <c r="CG350" s="446"/>
      <c r="CH350" s="446"/>
      <c r="CI350" s="446"/>
      <c r="CJ350" s="446"/>
      <c r="CK350" s="446"/>
      <c r="CL350" s="446"/>
      <c r="CM350" s="446"/>
      <c r="CN350" s="446"/>
      <c r="CO350" s="446"/>
      <c r="CP350" s="446"/>
      <c r="CQ350" s="446"/>
      <c r="CR350" s="446"/>
      <c r="CS350" s="446"/>
      <c r="CT350" s="446"/>
      <c r="CU350" s="446"/>
      <c r="CV350" s="445"/>
      <c r="CW350" s="117"/>
      <c r="CX350" s="445"/>
      <c r="CY350" s="446"/>
      <c r="CZ350" s="446"/>
      <c r="DA350" s="446"/>
      <c r="DB350" s="446"/>
      <c r="DC350" s="446"/>
      <c r="DD350" s="446"/>
      <c r="DE350" s="446"/>
      <c r="DF350" s="446"/>
      <c r="DG350" s="446"/>
      <c r="DH350" s="446"/>
      <c r="DI350" s="446"/>
      <c r="DJ350" s="446"/>
      <c r="DK350" s="446"/>
      <c r="DL350" s="446"/>
      <c r="DM350" s="446"/>
      <c r="DN350" s="446"/>
      <c r="DO350" s="446"/>
      <c r="DP350" s="446"/>
      <c r="DQ350" s="446"/>
      <c r="DR350" s="446"/>
      <c r="DS350" s="446"/>
      <c r="DT350" s="446"/>
      <c r="DU350" s="446"/>
      <c r="DV350" s="446"/>
      <c r="DW350" s="446"/>
      <c r="DX350" s="446"/>
      <c r="DY350" s="446"/>
    </row>
    <row r="351" spans="1:129" s="112" customFormat="1" ht="12.6">
      <c r="A351" s="16"/>
      <c r="B351" s="16"/>
      <c r="E351" s="1226"/>
      <c r="F351" s="1227"/>
      <c r="G351" s="1227"/>
      <c r="H351" s="1227"/>
      <c r="I351" s="1227"/>
      <c r="J351" s="1227"/>
      <c r="K351" s="1227"/>
      <c r="L351" s="1227"/>
      <c r="M351" s="1227"/>
      <c r="N351" s="1227"/>
      <c r="O351" s="1228"/>
      <c r="P351" s="1227"/>
      <c r="Q351" s="1227"/>
      <c r="R351" s="693"/>
      <c r="S351" s="693"/>
      <c r="T351" s="1229"/>
      <c r="U351" s="1230"/>
      <c r="V351" s="1589"/>
      <c r="W351" s="1589"/>
      <c r="X351" s="1589"/>
      <c r="Y351" s="1589"/>
      <c r="Z351" s="1169"/>
      <c r="AA351" s="16"/>
      <c r="AB351" s="16"/>
      <c r="AC351" s="160"/>
      <c r="AD351" s="160"/>
      <c r="AE351" s="951"/>
      <c r="AF351" s="160"/>
      <c r="AG351" s="160"/>
      <c r="AH351" s="160"/>
      <c r="AI351" s="160"/>
      <c r="AJ351" s="160"/>
      <c r="AK351" s="160"/>
      <c r="AL351" s="160"/>
      <c r="AM351" s="160"/>
      <c r="AN351" s="160"/>
      <c r="AO351" s="160"/>
      <c r="AP351" s="160"/>
      <c r="AQ351" s="160"/>
      <c r="AR351" s="160"/>
      <c r="AS351" s="160"/>
      <c r="AT351" s="160"/>
      <c r="AU351" s="160"/>
      <c r="AV351" s="160"/>
      <c r="AW351" s="160"/>
      <c r="AX351" s="160"/>
      <c r="AY351" s="160"/>
      <c r="AZ351" s="160"/>
      <c r="BA351" s="160"/>
      <c r="BB351" s="160"/>
      <c r="BC351" s="160"/>
      <c r="BD351" s="160"/>
      <c r="BE351" s="160"/>
      <c r="BF351" s="160"/>
      <c r="BG351" s="160"/>
      <c r="BH351" s="160"/>
      <c r="BI351" s="160"/>
      <c r="BJ351" s="160"/>
      <c r="BK351" s="160"/>
      <c r="BL351" s="160"/>
      <c r="BM351" s="446"/>
      <c r="BN351" s="446"/>
      <c r="BO351" s="446"/>
      <c r="BP351" s="446"/>
      <c r="BQ351" s="446"/>
      <c r="BR351" s="446"/>
      <c r="BS351" s="446"/>
      <c r="BT351" s="446"/>
      <c r="BU351" s="446"/>
      <c r="BV351" s="1225"/>
      <c r="BW351" s="446"/>
      <c r="BX351" s="446"/>
      <c r="BY351" s="446"/>
      <c r="BZ351" s="446"/>
      <c r="CA351" s="446"/>
      <c r="CB351" s="446"/>
      <c r="CC351" s="446"/>
      <c r="CD351" s="446"/>
      <c r="CE351" s="446"/>
      <c r="CF351" s="446"/>
      <c r="CG351" s="446"/>
      <c r="CH351" s="446"/>
      <c r="CI351" s="446"/>
      <c r="CJ351" s="446"/>
      <c r="CK351" s="446"/>
      <c r="CL351" s="446"/>
      <c r="CM351" s="446"/>
      <c r="CN351" s="446"/>
      <c r="CO351" s="446"/>
      <c r="CP351" s="446"/>
      <c r="CQ351" s="446"/>
      <c r="CR351" s="446"/>
      <c r="CS351" s="446"/>
      <c r="CT351" s="446"/>
      <c r="CU351" s="446"/>
      <c r="CV351" s="445"/>
      <c r="CW351" s="117"/>
      <c r="CX351" s="445"/>
      <c r="CY351" s="446"/>
      <c r="CZ351" s="446"/>
      <c r="DA351" s="446"/>
      <c r="DB351" s="446"/>
      <c r="DC351" s="446"/>
      <c r="DD351" s="446"/>
      <c r="DE351" s="446"/>
      <c r="DF351" s="446"/>
      <c r="DG351" s="446"/>
      <c r="DH351" s="446"/>
      <c r="DI351" s="446"/>
      <c r="DJ351" s="446"/>
      <c r="DK351" s="446"/>
      <c r="DL351" s="446"/>
      <c r="DM351" s="446"/>
      <c r="DN351" s="446"/>
      <c r="DO351" s="446"/>
      <c r="DP351" s="446"/>
      <c r="DQ351" s="446"/>
      <c r="DR351" s="446"/>
      <c r="DS351" s="446"/>
      <c r="DT351" s="446"/>
      <c r="DU351" s="446"/>
      <c r="DV351" s="446"/>
      <c r="DW351" s="446"/>
      <c r="DX351" s="446"/>
      <c r="DY351" s="446"/>
    </row>
    <row r="352" spans="1:129" s="112" customFormat="1" ht="12.6">
      <c r="A352" s="16"/>
      <c r="B352" s="16"/>
      <c r="E352" s="1226"/>
      <c r="F352" s="1227"/>
      <c r="G352" s="1227"/>
      <c r="H352" s="1227"/>
      <c r="I352" s="1227"/>
      <c r="J352" s="1227"/>
      <c r="K352" s="1227"/>
      <c r="L352" s="1227"/>
      <c r="M352" s="1227"/>
      <c r="N352" s="1227"/>
      <c r="O352" s="1228"/>
      <c r="P352" s="1227"/>
      <c r="Q352" s="1227"/>
      <c r="R352" s="693"/>
      <c r="S352" s="693"/>
      <c r="T352" s="1229"/>
      <c r="U352" s="1230"/>
      <c r="V352" s="1589"/>
      <c r="W352" s="1589"/>
      <c r="X352" s="1589"/>
      <c r="Y352" s="1589"/>
      <c r="Z352" s="1169"/>
      <c r="AA352" s="16"/>
      <c r="AB352" s="16"/>
      <c r="AC352" s="160"/>
      <c r="AD352" s="160"/>
      <c r="AE352" s="951"/>
      <c r="AF352" s="160"/>
      <c r="AG352" s="160"/>
      <c r="AH352" s="160"/>
      <c r="AI352" s="160"/>
      <c r="AJ352" s="160"/>
      <c r="AK352" s="160"/>
      <c r="AL352" s="160"/>
      <c r="AM352" s="160"/>
      <c r="AN352" s="160"/>
      <c r="AO352" s="160"/>
      <c r="AP352" s="160"/>
      <c r="AQ352" s="160"/>
      <c r="AR352" s="160"/>
      <c r="AS352" s="160"/>
      <c r="AT352" s="160"/>
      <c r="AU352" s="160"/>
      <c r="AV352" s="160"/>
      <c r="AW352" s="160"/>
      <c r="AX352" s="160"/>
      <c r="AY352" s="160"/>
      <c r="AZ352" s="160"/>
      <c r="BA352" s="160"/>
      <c r="BB352" s="160"/>
      <c r="BC352" s="160"/>
      <c r="BD352" s="160"/>
      <c r="BE352" s="160"/>
      <c r="BF352" s="160"/>
      <c r="BG352" s="160"/>
      <c r="BH352" s="160"/>
      <c r="BI352" s="160"/>
      <c r="BJ352" s="160"/>
      <c r="BK352" s="160"/>
      <c r="BL352" s="160"/>
      <c r="BM352" s="446"/>
      <c r="BN352" s="446"/>
      <c r="BO352" s="446"/>
      <c r="BP352" s="446"/>
      <c r="BQ352" s="446"/>
      <c r="BR352" s="446"/>
      <c r="BS352" s="446"/>
      <c r="BT352" s="446"/>
      <c r="BU352" s="446"/>
      <c r="BV352" s="1225"/>
      <c r="BW352" s="446"/>
      <c r="BX352" s="446"/>
      <c r="BY352" s="446"/>
      <c r="BZ352" s="446"/>
      <c r="CA352" s="446"/>
      <c r="CB352" s="446"/>
      <c r="CC352" s="446"/>
      <c r="CD352" s="446"/>
      <c r="CE352" s="446"/>
      <c r="CF352" s="446"/>
      <c r="CG352" s="446"/>
      <c r="CH352" s="446"/>
      <c r="CI352" s="446"/>
      <c r="CJ352" s="446"/>
      <c r="CK352" s="446"/>
      <c r="CL352" s="446"/>
      <c r="CM352" s="446"/>
      <c r="CN352" s="446"/>
      <c r="CO352" s="446"/>
      <c r="CP352" s="446"/>
      <c r="CQ352" s="446"/>
      <c r="CR352" s="446"/>
      <c r="CS352" s="446"/>
      <c r="CT352" s="446"/>
      <c r="CU352" s="446"/>
      <c r="CV352" s="445"/>
      <c r="CW352" s="117"/>
      <c r="CX352" s="445"/>
      <c r="CY352" s="446"/>
      <c r="CZ352" s="446"/>
      <c r="DA352" s="446"/>
      <c r="DB352" s="446"/>
      <c r="DC352" s="446"/>
      <c r="DD352" s="446"/>
      <c r="DE352" s="446"/>
      <c r="DF352" s="446"/>
      <c r="DG352" s="446"/>
      <c r="DH352" s="446"/>
      <c r="DI352" s="446"/>
      <c r="DJ352" s="446"/>
      <c r="DK352" s="446"/>
      <c r="DL352" s="446"/>
      <c r="DM352" s="446"/>
      <c r="DN352" s="446"/>
      <c r="DO352" s="446"/>
      <c r="DP352" s="446"/>
      <c r="DQ352" s="446"/>
      <c r="DR352" s="446"/>
      <c r="DS352" s="446"/>
      <c r="DT352" s="446"/>
      <c r="DU352" s="446"/>
      <c r="DV352" s="446"/>
      <c r="DW352" s="446"/>
      <c r="DX352" s="446"/>
      <c r="DY352" s="446"/>
    </row>
    <row r="353" spans="1:129" s="112" customFormat="1" ht="12.6">
      <c r="A353" s="16"/>
      <c r="B353" s="16"/>
      <c r="E353" s="1226"/>
      <c r="F353" s="1227"/>
      <c r="G353" s="1227"/>
      <c r="H353" s="1227"/>
      <c r="I353" s="1227"/>
      <c r="J353" s="1227"/>
      <c r="K353" s="1227"/>
      <c r="L353" s="1227"/>
      <c r="M353" s="1227"/>
      <c r="N353" s="1227"/>
      <c r="O353" s="1228"/>
      <c r="P353" s="1227"/>
      <c r="Q353" s="1227"/>
      <c r="R353" s="693"/>
      <c r="S353" s="693"/>
      <c r="T353" s="1229"/>
      <c r="U353" s="1230"/>
      <c r="V353" s="1589"/>
      <c r="W353" s="1589"/>
      <c r="X353" s="1589"/>
      <c r="Y353" s="1589"/>
      <c r="Z353" s="1169"/>
      <c r="AA353" s="16"/>
      <c r="AB353" s="16"/>
      <c r="AC353" s="160"/>
      <c r="AD353" s="160"/>
      <c r="AE353" s="951"/>
      <c r="AF353" s="160"/>
      <c r="AG353" s="160"/>
      <c r="AH353" s="160"/>
      <c r="AI353" s="160"/>
      <c r="AJ353" s="160"/>
      <c r="AK353" s="160"/>
      <c r="AL353" s="160"/>
      <c r="AM353" s="160"/>
      <c r="AN353" s="160"/>
      <c r="AO353" s="160"/>
      <c r="AP353" s="160"/>
      <c r="AQ353" s="160"/>
      <c r="AR353" s="160"/>
      <c r="AS353" s="160"/>
      <c r="AT353" s="160"/>
      <c r="AU353" s="160"/>
      <c r="AV353" s="160"/>
      <c r="AW353" s="160"/>
      <c r="AX353" s="160"/>
      <c r="AY353" s="160"/>
      <c r="AZ353" s="160"/>
      <c r="BA353" s="160"/>
      <c r="BB353" s="160"/>
      <c r="BC353" s="160"/>
      <c r="BD353" s="160"/>
      <c r="BE353" s="160"/>
      <c r="BF353" s="160"/>
      <c r="BG353" s="160"/>
      <c r="BH353" s="160"/>
      <c r="BI353" s="160"/>
      <c r="BJ353" s="160"/>
      <c r="BK353" s="160"/>
      <c r="BL353" s="160"/>
      <c r="BM353" s="446"/>
      <c r="BN353" s="446"/>
      <c r="BO353" s="446"/>
      <c r="BP353" s="446"/>
      <c r="BQ353" s="446"/>
      <c r="BR353" s="446"/>
      <c r="BS353" s="446"/>
      <c r="BT353" s="446"/>
      <c r="BU353" s="446"/>
      <c r="BV353" s="1225"/>
      <c r="BW353" s="446"/>
      <c r="BX353" s="446"/>
      <c r="BY353" s="446"/>
      <c r="BZ353" s="446"/>
      <c r="CA353" s="446"/>
      <c r="CB353" s="446"/>
      <c r="CC353" s="446"/>
      <c r="CD353" s="446"/>
      <c r="CE353" s="446"/>
      <c r="CF353" s="446"/>
      <c r="CG353" s="446"/>
      <c r="CH353" s="446"/>
      <c r="CI353" s="446"/>
      <c r="CJ353" s="446"/>
      <c r="CK353" s="446"/>
      <c r="CL353" s="446"/>
      <c r="CM353" s="446"/>
      <c r="CN353" s="446"/>
      <c r="CO353" s="446"/>
      <c r="CP353" s="446"/>
      <c r="CQ353" s="446"/>
      <c r="CR353" s="446"/>
      <c r="CS353" s="446"/>
      <c r="CT353" s="446"/>
      <c r="CU353" s="446"/>
      <c r="CV353" s="445"/>
      <c r="CW353" s="117"/>
      <c r="CX353" s="445"/>
      <c r="CY353" s="446"/>
      <c r="CZ353" s="446"/>
      <c r="DA353" s="446"/>
      <c r="DB353" s="446"/>
      <c r="DC353" s="446"/>
      <c r="DD353" s="446"/>
      <c r="DE353" s="446"/>
      <c r="DF353" s="446"/>
      <c r="DG353" s="446"/>
      <c r="DH353" s="446"/>
      <c r="DI353" s="446"/>
      <c r="DJ353" s="446"/>
      <c r="DK353" s="446"/>
      <c r="DL353" s="446"/>
      <c r="DM353" s="446"/>
      <c r="DN353" s="446"/>
      <c r="DO353" s="446"/>
      <c r="DP353" s="446"/>
      <c r="DQ353" s="446"/>
      <c r="DR353" s="446"/>
      <c r="DS353" s="446"/>
      <c r="DT353" s="446"/>
      <c r="DU353" s="446"/>
      <c r="DV353" s="446"/>
      <c r="DW353" s="446"/>
      <c r="DX353" s="446"/>
      <c r="DY353" s="446"/>
    </row>
    <row r="354" spans="1:129" s="112" customFormat="1" ht="12.6">
      <c r="A354" s="16"/>
      <c r="B354" s="16"/>
      <c r="E354" s="1226"/>
      <c r="F354" s="1227"/>
      <c r="G354" s="1227"/>
      <c r="H354" s="1227"/>
      <c r="I354" s="1227"/>
      <c r="J354" s="1227"/>
      <c r="K354" s="1227"/>
      <c r="L354" s="1227"/>
      <c r="M354" s="1227"/>
      <c r="N354" s="1227"/>
      <c r="O354" s="1228"/>
      <c r="P354" s="1227"/>
      <c r="Q354" s="1227"/>
      <c r="R354" s="693"/>
      <c r="S354" s="693"/>
      <c r="T354" s="1229"/>
      <c r="U354" s="1230"/>
      <c r="V354" s="1589"/>
      <c r="W354" s="1589"/>
      <c r="X354" s="1589"/>
      <c r="Y354" s="1589"/>
      <c r="Z354" s="1169"/>
      <c r="AA354" s="16"/>
      <c r="AB354" s="16"/>
      <c r="AC354" s="160"/>
      <c r="AD354" s="160"/>
      <c r="AE354" s="951"/>
      <c r="AF354" s="160"/>
      <c r="AG354" s="160"/>
      <c r="AH354" s="160"/>
      <c r="AI354" s="160"/>
      <c r="AJ354" s="160"/>
      <c r="AK354" s="160"/>
      <c r="AL354" s="160"/>
      <c r="AM354" s="160"/>
      <c r="AN354" s="160"/>
      <c r="AO354" s="160"/>
      <c r="AP354" s="160"/>
      <c r="AQ354" s="160"/>
      <c r="AR354" s="160"/>
      <c r="AS354" s="160"/>
      <c r="AT354" s="160"/>
      <c r="AU354" s="160"/>
      <c r="AV354" s="160"/>
      <c r="AW354" s="160"/>
      <c r="AX354" s="160"/>
      <c r="AY354" s="160"/>
      <c r="AZ354" s="160"/>
      <c r="BA354" s="160"/>
      <c r="BB354" s="160"/>
      <c r="BC354" s="160"/>
      <c r="BD354" s="160"/>
      <c r="BE354" s="160"/>
      <c r="BF354" s="160"/>
      <c r="BG354" s="160"/>
      <c r="BH354" s="160"/>
      <c r="BI354" s="160"/>
      <c r="BJ354" s="160"/>
      <c r="BK354" s="160"/>
      <c r="BL354" s="160"/>
      <c r="BM354" s="446"/>
      <c r="BN354" s="446"/>
      <c r="BO354" s="446"/>
      <c r="BP354" s="446"/>
      <c r="BQ354" s="446"/>
      <c r="BR354" s="446"/>
      <c r="BS354" s="446"/>
      <c r="BT354" s="446"/>
      <c r="BU354" s="446"/>
      <c r="BV354" s="1225"/>
      <c r="BW354" s="446"/>
      <c r="BX354" s="446"/>
      <c r="BY354" s="446"/>
      <c r="BZ354" s="446"/>
      <c r="CA354" s="446"/>
      <c r="CB354" s="446"/>
      <c r="CC354" s="446"/>
      <c r="CD354" s="446"/>
      <c r="CE354" s="446"/>
      <c r="CF354" s="446"/>
      <c r="CG354" s="446"/>
      <c r="CH354" s="446"/>
      <c r="CI354" s="446"/>
      <c r="CJ354" s="446"/>
      <c r="CK354" s="446"/>
      <c r="CL354" s="446"/>
      <c r="CM354" s="446"/>
      <c r="CN354" s="446"/>
      <c r="CO354" s="446"/>
      <c r="CP354" s="446"/>
      <c r="CQ354" s="446"/>
      <c r="CR354" s="446"/>
      <c r="CS354" s="446"/>
      <c r="CT354" s="446"/>
      <c r="CU354" s="446"/>
      <c r="CV354" s="445"/>
      <c r="CW354" s="117"/>
      <c r="CX354" s="445"/>
      <c r="CY354" s="446"/>
      <c r="CZ354" s="446"/>
      <c r="DA354" s="446"/>
      <c r="DB354" s="446"/>
      <c r="DC354" s="446"/>
      <c r="DD354" s="446"/>
      <c r="DE354" s="446"/>
      <c r="DF354" s="446"/>
      <c r="DG354" s="446"/>
      <c r="DH354" s="446"/>
      <c r="DI354" s="446"/>
      <c r="DJ354" s="446"/>
      <c r="DK354" s="446"/>
      <c r="DL354" s="446"/>
      <c r="DM354" s="446"/>
      <c r="DN354" s="446"/>
      <c r="DO354" s="446"/>
      <c r="DP354" s="446"/>
      <c r="DQ354" s="446"/>
      <c r="DR354" s="446"/>
      <c r="DS354" s="446"/>
      <c r="DT354" s="446"/>
      <c r="DU354" s="446"/>
      <c r="DV354" s="446"/>
      <c r="DW354" s="446"/>
      <c r="DX354" s="446"/>
      <c r="DY354" s="446"/>
    </row>
    <row r="355" spans="1:129" s="112" customFormat="1" ht="12.6">
      <c r="A355" s="16"/>
      <c r="B355" s="16"/>
      <c r="E355" s="1226"/>
      <c r="F355" s="1227"/>
      <c r="G355" s="1227"/>
      <c r="H355" s="1227"/>
      <c r="I355" s="1227"/>
      <c r="J355" s="1227"/>
      <c r="K355" s="1227"/>
      <c r="L355" s="1227"/>
      <c r="M355" s="1227"/>
      <c r="N355" s="1227"/>
      <c r="O355" s="1228"/>
      <c r="P355" s="1227"/>
      <c r="Q355" s="1227"/>
      <c r="R355" s="693"/>
      <c r="S355" s="693"/>
      <c r="T355" s="1229"/>
      <c r="U355" s="1230"/>
      <c r="V355" s="1589"/>
      <c r="W355" s="1589"/>
      <c r="X355" s="1589"/>
      <c r="Y355" s="1589"/>
      <c r="Z355" s="1169"/>
      <c r="AA355" s="16"/>
      <c r="AB355" s="16"/>
      <c r="AC355" s="160"/>
      <c r="AD355" s="160"/>
      <c r="AE355" s="951"/>
      <c r="AF355" s="160"/>
      <c r="AG355" s="160"/>
      <c r="AH355" s="160"/>
      <c r="AI355" s="160"/>
      <c r="AJ355" s="160"/>
      <c r="AK355" s="160"/>
      <c r="AL355" s="160"/>
      <c r="AM355" s="160"/>
      <c r="AN355" s="160"/>
      <c r="AO355" s="160"/>
      <c r="AP355" s="160"/>
      <c r="AQ355" s="160"/>
      <c r="AR355" s="160"/>
      <c r="AS355" s="160"/>
      <c r="AT355" s="160"/>
      <c r="AU355" s="160"/>
      <c r="AV355" s="160"/>
      <c r="AW355" s="160"/>
      <c r="AX355" s="160"/>
      <c r="AY355" s="160"/>
      <c r="AZ355" s="160"/>
      <c r="BA355" s="160"/>
      <c r="BB355" s="160"/>
      <c r="BC355" s="160"/>
      <c r="BD355" s="160"/>
      <c r="BE355" s="160"/>
      <c r="BF355" s="160"/>
      <c r="BG355" s="160"/>
      <c r="BH355" s="160"/>
      <c r="BI355" s="160"/>
      <c r="BJ355" s="160"/>
      <c r="BK355" s="160"/>
      <c r="BL355" s="160"/>
      <c r="BM355" s="446"/>
      <c r="BN355" s="446"/>
      <c r="BO355" s="446"/>
      <c r="BP355" s="446"/>
      <c r="BQ355" s="446"/>
      <c r="BR355" s="446"/>
      <c r="BS355" s="446"/>
      <c r="BT355" s="446"/>
      <c r="BU355" s="446"/>
      <c r="BV355" s="1225"/>
      <c r="BW355" s="446"/>
      <c r="BX355" s="446"/>
      <c r="BY355" s="446"/>
      <c r="BZ355" s="446"/>
      <c r="CA355" s="446"/>
      <c r="CB355" s="446"/>
      <c r="CC355" s="446"/>
      <c r="CD355" s="446"/>
      <c r="CE355" s="446"/>
      <c r="CF355" s="446"/>
      <c r="CG355" s="446"/>
      <c r="CH355" s="446"/>
      <c r="CI355" s="446"/>
      <c r="CJ355" s="446"/>
      <c r="CK355" s="446"/>
      <c r="CL355" s="446"/>
      <c r="CM355" s="446"/>
      <c r="CN355" s="446"/>
      <c r="CO355" s="446"/>
      <c r="CP355" s="446"/>
      <c r="CQ355" s="446"/>
      <c r="CR355" s="446"/>
      <c r="CS355" s="446"/>
      <c r="CT355" s="446"/>
      <c r="CU355" s="446"/>
      <c r="CV355" s="445"/>
      <c r="CW355" s="117"/>
      <c r="CX355" s="445"/>
      <c r="CY355" s="446"/>
      <c r="CZ355" s="446"/>
      <c r="DA355" s="446"/>
      <c r="DB355" s="446"/>
      <c r="DC355" s="446"/>
      <c r="DD355" s="446"/>
      <c r="DE355" s="446"/>
      <c r="DF355" s="446"/>
      <c r="DG355" s="446"/>
      <c r="DH355" s="446"/>
      <c r="DI355" s="446"/>
      <c r="DJ355" s="446"/>
      <c r="DK355" s="446"/>
      <c r="DL355" s="446"/>
      <c r="DM355" s="446"/>
      <c r="DN355" s="446"/>
      <c r="DO355" s="446"/>
      <c r="DP355" s="446"/>
      <c r="DQ355" s="446"/>
      <c r="DR355" s="446"/>
      <c r="DS355" s="446"/>
      <c r="DT355" s="446"/>
      <c r="DU355" s="446"/>
      <c r="DV355" s="446"/>
      <c r="DW355" s="446"/>
      <c r="DX355" s="446"/>
      <c r="DY355" s="446"/>
    </row>
    <row r="356" spans="1:129" s="112" customFormat="1" ht="12.6">
      <c r="A356" s="16"/>
      <c r="B356" s="16"/>
      <c r="E356" s="1226"/>
      <c r="F356" s="1227"/>
      <c r="G356" s="1227"/>
      <c r="H356" s="1227"/>
      <c r="I356" s="1227"/>
      <c r="J356" s="1227"/>
      <c r="K356" s="1227"/>
      <c r="L356" s="1227"/>
      <c r="M356" s="1227"/>
      <c r="N356" s="1227"/>
      <c r="O356" s="1228"/>
      <c r="P356" s="1227"/>
      <c r="Q356" s="1227"/>
      <c r="R356" s="693"/>
      <c r="S356" s="693"/>
      <c r="T356" s="1229"/>
      <c r="U356" s="1230"/>
      <c r="V356" s="1589"/>
      <c r="W356" s="1589"/>
      <c r="X356" s="1589"/>
      <c r="Y356" s="1589"/>
      <c r="Z356" s="1169"/>
      <c r="AA356" s="16"/>
      <c r="AB356" s="16"/>
      <c r="AC356" s="160"/>
      <c r="AD356" s="160"/>
      <c r="AE356" s="951"/>
      <c r="AF356" s="160"/>
      <c r="AG356" s="160"/>
      <c r="AH356" s="160"/>
      <c r="AI356" s="160"/>
      <c r="AJ356" s="160"/>
      <c r="AK356" s="160"/>
      <c r="AL356" s="160"/>
      <c r="AM356" s="160"/>
      <c r="AN356" s="160"/>
      <c r="AO356" s="160"/>
      <c r="AP356" s="160"/>
      <c r="AQ356" s="160"/>
      <c r="AR356" s="160"/>
      <c r="AS356" s="160"/>
      <c r="AT356" s="160"/>
      <c r="AU356" s="160"/>
      <c r="AV356" s="160"/>
      <c r="AW356" s="160"/>
      <c r="AX356" s="160"/>
      <c r="AY356" s="160"/>
      <c r="AZ356" s="160"/>
      <c r="BA356" s="160"/>
      <c r="BB356" s="160"/>
      <c r="BC356" s="160"/>
      <c r="BD356" s="160"/>
      <c r="BE356" s="160"/>
      <c r="BF356" s="160"/>
      <c r="BG356" s="160"/>
      <c r="BH356" s="160"/>
      <c r="BI356" s="160"/>
      <c r="BJ356" s="160"/>
      <c r="BK356" s="160"/>
      <c r="BL356" s="160"/>
      <c r="BM356" s="446"/>
      <c r="BN356" s="446"/>
      <c r="BO356" s="446"/>
      <c r="BP356" s="446"/>
      <c r="BQ356" s="446"/>
      <c r="BR356" s="446"/>
      <c r="BS356" s="446"/>
      <c r="BT356" s="446"/>
      <c r="BU356" s="446"/>
      <c r="BV356" s="1225"/>
      <c r="BW356" s="446"/>
      <c r="BX356" s="446"/>
      <c r="BY356" s="446"/>
      <c r="BZ356" s="446"/>
      <c r="CA356" s="446"/>
      <c r="CB356" s="446"/>
      <c r="CC356" s="446"/>
      <c r="CD356" s="446"/>
      <c r="CE356" s="446"/>
      <c r="CF356" s="446"/>
      <c r="CG356" s="446"/>
      <c r="CH356" s="446"/>
      <c r="CI356" s="446"/>
      <c r="CJ356" s="446"/>
      <c r="CK356" s="446"/>
      <c r="CL356" s="446"/>
      <c r="CM356" s="446"/>
      <c r="CN356" s="446"/>
      <c r="CO356" s="446"/>
      <c r="CP356" s="446"/>
      <c r="CQ356" s="446"/>
      <c r="CR356" s="446"/>
      <c r="CS356" s="446"/>
      <c r="CT356" s="446"/>
      <c r="CU356" s="446"/>
      <c r="CV356" s="445"/>
      <c r="CW356" s="117"/>
      <c r="CX356" s="445"/>
      <c r="CY356" s="446"/>
      <c r="CZ356" s="446"/>
      <c r="DA356" s="446"/>
      <c r="DB356" s="446"/>
      <c r="DC356" s="446"/>
      <c r="DD356" s="446"/>
      <c r="DE356" s="446"/>
      <c r="DF356" s="446"/>
      <c r="DG356" s="446"/>
      <c r="DH356" s="446"/>
      <c r="DI356" s="446"/>
      <c r="DJ356" s="446"/>
      <c r="DK356" s="446"/>
      <c r="DL356" s="446"/>
      <c r="DM356" s="446"/>
      <c r="DN356" s="446"/>
      <c r="DO356" s="446"/>
      <c r="DP356" s="446"/>
      <c r="DQ356" s="446"/>
      <c r="DR356" s="446"/>
      <c r="DS356" s="446"/>
      <c r="DT356" s="446"/>
      <c r="DU356" s="446"/>
      <c r="DV356" s="446"/>
      <c r="DW356" s="446"/>
      <c r="DX356" s="446"/>
      <c r="DY356" s="446"/>
    </row>
    <row r="357" spans="1:129" s="112" customFormat="1" ht="12.6">
      <c r="A357" s="16"/>
      <c r="B357" s="16"/>
      <c r="E357" s="1226"/>
      <c r="F357" s="1227"/>
      <c r="G357" s="1227"/>
      <c r="H357" s="1227"/>
      <c r="I357" s="1227"/>
      <c r="J357" s="1227"/>
      <c r="K357" s="1227"/>
      <c r="L357" s="1227"/>
      <c r="M357" s="1227"/>
      <c r="N357" s="1227"/>
      <c r="O357" s="1228"/>
      <c r="P357" s="1227"/>
      <c r="Q357" s="1227"/>
      <c r="R357" s="693"/>
      <c r="S357" s="693"/>
      <c r="T357" s="1229"/>
      <c r="U357" s="1230"/>
      <c r="V357" s="1589"/>
      <c r="W357" s="1589"/>
      <c r="X357" s="1589"/>
      <c r="Y357" s="1589"/>
      <c r="Z357" s="1169"/>
      <c r="AA357" s="16"/>
      <c r="AB357" s="16"/>
      <c r="AC357" s="160"/>
      <c r="AD357" s="160"/>
      <c r="AE357" s="951"/>
      <c r="AF357" s="160"/>
      <c r="AG357" s="160"/>
      <c r="AH357" s="160"/>
      <c r="AI357" s="160"/>
      <c r="AJ357" s="160"/>
      <c r="AK357" s="160"/>
      <c r="AL357" s="160"/>
      <c r="AM357" s="160"/>
      <c r="AN357" s="160"/>
      <c r="AO357" s="160"/>
      <c r="AP357" s="160"/>
      <c r="AQ357" s="160"/>
      <c r="AR357" s="160"/>
      <c r="AS357" s="160"/>
      <c r="AT357" s="160"/>
      <c r="AU357" s="160"/>
      <c r="AV357" s="160"/>
      <c r="AW357" s="160"/>
      <c r="AX357" s="160"/>
      <c r="AY357" s="160"/>
      <c r="AZ357" s="160"/>
      <c r="BA357" s="160"/>
      <c r="BB357" s="160"/>
      <c r="BC357" s="160"/>
      <c r="BD357" s="160"/>
      <c r="BE357" s="160"/>
      <c r="BF357" s="160"/>
      <c r="BG357" s="160"/>
      <c r="BH357" s="160"/>
      <c r="BI357" s="160"/>
      <c r="BJ357" s="160"/>
      <c r="BK357" s="160"/>
      <c r="BL357" s="160"/>
      <c r="BM357" s="446"/>
      <c r="BN357" s="446"/>
      <c r="BO357" s="446"/>
      <c r="BP357" s="446"/>
      <c r="BQ357" s="446"/>
      <c r="BR357" s="446"/>
      <c r="BS357" s="446"/>
      <c r="BT357" s="446"/>
      <c r="BU357" s="446"/>
      <c r="BV357" s="1225"/>
      <c r="BW357" s="446"/>
      <c r="BX357" s="446"/>
      <c r="BY357" s="446"/>
      <c r="BZ357" s="446"/>
      <c r="CA357" s="446"/>
      <c r="CB357" s="446"/>
      <c r="CC357" s="446"/>
      <c r="CD357" s="446"/>
      <c r="CE357" s="446"/>
      <c r="CF357" s="446"/>
      <c r="CG357" s="446"/>
      <c r="CH357" s="446"/>
      <c r="CI357" s="446"/>
      <c r="CJ357" s="446"/>
      <c r="CK357" s="446"/>
      <c r="CL357" s="446"/>
      <c r="CM357" s="446"/>
      <c r="CN357" s="446"/>
      <c r="CO357" s="446"/>
      <c r="CP357" s="446"/>
      <c r="CQ357" s="446"/>
      <c r="CR357" s="446"/>
      <c r="CS357" s="446"/>
      <c r="CT357" s="446"/>
      <c r="CU357" s="446"/>
      <c r="CV357" s="445"/>
      <c r="CW357" s="117"/>
      <c r="CX357" s="445"/>
      <c r="CY357" s="446"/>
      <c r="CZ357" s="446"/>
      <c r="DA357" s="446"/>
      <c r="DB357" s="446"/>
      <c r="DC357" s="446"/>
      <c r="DD357" s="446"/>
      <c r="DE357" s="446"/>
      <c r="DF357" s="446"/>
      <c r="DG357" s="446"/>
      <c r="DH357" s="446"/>
      <c r="DI357" s="446"/>
      <c r="DJ357" s="446"/>
      <c r="DK357" s="446"/>
      <c r="DL357" s="446"/>
      <c r="DM357" s="446"/>
      <c r="DN357" s="446"/>
      <c r="DO357" s="446"/>
      <c r="DP357" s="446"/>
      <c r="DQ357" s="446"/>
      <c r="DR357" s="446"/>
      <c r="DS357" s="446"/>
      <c r="DT357" s="446"/>
      <c r="DU357" s="446"/>
      <c r="DV357" s="446"/>
      <c r="DW357" s="446"/>
      <c r="DX357" s="446"/>
      <c r="DY357" s="446"/>
    </row>
    <row r="358" spans="1:129" s="112" customFormat="1" ht="12.6">
      <c r="A358" s="16"/>
      <c r="B358" s="16"/>
      <c r="E358" s="1226"/>
      <c r="F358" s="1227"/>
      <c r="G358" s="1227"/>
      <c r="H358" s="1227"/>
      <c r="I358" s="1227"/>
      <c r="J358" s="1227"/>
      <c r="K358" s="1227"/>
      <c r="L358" s="1227"/>
      <c r="M358" s="1227"/>
      <c r="N358" s="1227"/>
      <c r="O358" s="1228"/>
      <c r="P358" s="1227"/>
      <c r="Q358" s="1227"/>
      <c r="R358" s="693"/>
      <c r="S358" s="693"/>
      <c r="T358" s="1229"/>
      <c r="U358" s="1230"/>
      <c r="V358" s="1589"/>
      <c r="W358" s="1589"/>
      <c r="X358" s="1589"/>
      <c r="Y358" s="1589"/>
      <c r="Z358" s="1169"/>
      <c r="AA358" s="16"/>
      <c r="AB358" s="16"/>
      <c r="AC358" s="160"/>
      <c r="AD358" s="160"/>
      <c r="AE358" s="951"/>
      <c r="AF358" s="160"/>
      <c r="AG358" s="160"/>
      <c r="AH358" s="160"/>
      <c r="AI358" s="160"/>
      <c r="AJ358" s="160"/>
      <c r="AK358" s="160"/>
      <c r="AL358" s="160"/>
      <c r="AM358" s="160"/>
      <c r="AN358" s="160"/>
      <c r="AO358" s="160"/>
      <c r="AP358" s="160"/>
      <c r="AQ358" s="160"/>
      <c r="AR358" s="160"/>
      <c r="AS358" s="160"/>
      <c r="AT358" s="160"/>
      <c r="AU358" s="160"/>
      <c r="AV358" s="160"/>
      <c r="AW358" s="160"/>
      <c r="AX358" s="160"/>
      <c r="AY358" s="160"/>
      <c r="AZ358" s="160"/>
      <c r="BA358" s="160"/>
      <c r="BB358" s="160"/>
      <c r="BC358" s="160"/>
      <c r="BD358" s="160"/>
      <c r="BE358" s="160"/>
      <c r="BF358" s="160"/>
      <c r="BG358" s="160"/>
      <c r="BH358" s="160"/>
      <c r="BI358" s="160"/>
      <c r="BJ358" s="160"/>
      <c r="BK358" s="160"/>
      <c r="BL358" s="160"/>
      <c r="BM358" s="446"/>
      <c r="BN358" s="446"/>
      <c r="BO358" s="446"/>
      <c r="BP358" s="446"/>
      <c r="BQ358" s="446"/>
      <c r="BR358" s="446"/>
      <c r="BS358" s="446"/>
      <c r="BT358" s="446"/>
      <c r="BU358" s="446"/>
      <c r="BV358" s="1225"/>
      <c r="BW358" s="446"/>
      <c r="BX358" s="446"/>
      <c r="BY358" s="446"/>
      <c r="BZ358" s="446"/>
      <c r="CA358" s="446"/>
      <c r="CB358" s="446"/>
      <c r="CC358" s="446"/>
      <c r="CD358" s="446"/>
      <c r="CE358" s="446"/>
      <c r="CF358" s="446"/>
      <c r="CG358" s="446"/>
      <c r="CH358" s="446"/>
      <c r="CI358" s="446"/>
      <c r="CJ358" s="446"/>
      <c r="CK358" s="446"/>
      <c r="CL358" s="446"/>
      <c r="CM358" s="446"/>
      <c r="CN358" s="446"/>
      <c r="CO358" s="446"/>
      <c r="CP358" s="446"/>
      <c r="CQ358" s="446"/>
      <c r="CR358" s="446"/>
      <c r="CS358" s="446"/>
      <c r="CT358" s="446"/>
      <c r="CU358" s="446"/>
      <c r="CV358" s="445"/>
      <c r="CW358" s="117"/>
      <c r="CX358" s="445"/>
      <c r="CY358" s="446"/>
      <c r="CZ358" s="446"/>
      <c r="DA358" s="446"/>
      <c r="DB358" s="446"/>
      <c r="DC358" s="446"/>
      <c r="DD358" s="446"/>
      <c r="DE358" s="446"/>
      <c r="DF358" s="446"/>
      <c r="DG358" s="446"/>
      <c r="DH358" s="446"/>
      <c r="DI358" s="446"/>
      <c r="DJ358" s="446"/>
      <c r="DK358" s="446"/>
      <c r="DL358" s="446"/>
      <c r="DM358" s="446"/>
      <c r="DN358" s="446"/>
      <c r="DO358" s="446"/>
      <c r="DP358" s="446"/>
      <c r="DQ358" s="446"/>
      <c r="DR358" s="446"/>
      <c r="DS358" s="446"/>
      <c r="DT358" s="446"/>
      <c r="DU358" s="446"/>
      <c r="DV358" s="446"/>
      <c r="DW358" s="446"/>
      <c r="DX358" s="446"/>
      <c r="DY358" s="446"/>
    </row>
    <row r="359" spans="1:129" s="112" customFormat="1" ht="12.6">
      <c r="A359" s="16"/>
      <c r="B359" s="16"/>
      <c r="E359" s="1226"/>
      <c r="F359" s="1227"/>
      <c r="G359" s="1227"/>
      <c r="H359" s="1227"/>
      <c r="I359" s="1227"/>
      <c r="J359" s="1227"/>
      <c r="K359" s="1227"/>
      <c r="L359" s="1227"/>
      <c r="M359" s="1227"/>
      <c r="N359" s="1227"/>
      <c r="O359" s="1228"/>
      <c r="P359" s="1227"/>
      <c r="Q359" s="1227"/>
      <c r="R359" s="693"/>
      <c r="S359" s="693"/>
      <c r="T359" s="1229"/>
      <c r="U359" s="1230"/>
      <c r="V359" s="1589"/>
      <c r="W359" s="1589"/>
      <c r="X359" s="1589"/>
      <c r="Y359" s="1589"/>
      <c r="Z359" s="1169"/>
      <c r="AA359" s="16"/>
      <c r="AB359" s="16"/>
      <c r="AC359" s="160"/>
      <c r="AD359" s="160"/>
      <c r="AE359" s="951"/>
      <c r="AF359" s="160"/>
      <c r="AG359" s="160"/>
      <c r="AH359" s="160"/>
      <c r="AI359" s="160"/>
      <c r="AJ359" s="160"/>
      <c r="AK359" s="160"/>
      <c r="AL359" s="160"/>
      <c r="AM359" s="160"/>
      <c r="AN359" s="160"/>
      <c r="AO359" s="160"/>
      <c r="AP359" s="160"/>
      <c r="AQ359" s="160"/>
      <c r="AR359" s="160"/>
      <c r="AS359" s="160"/>
      <c r="AT359" s="160"/>
      <c r="AU359" s="160"/>
      <c r="AV359" s="160"/>
      <c r="AW359" s="160"/>
      <c r="AX359" s="160"/>
      <c r="AY359" s="160"/>
      <c r="AZ359" s="160"/>
      <c r="BA359" s="160"/>
      <c r="BB359" s="160"/>
      <c r="BC359" s="160"/>
      <c r="BD359" s="160"/>
      <c r="BE359" s="160"/>
      <c r="BF359" s="160"/>
      <c r="BG359" s="160"/>
      <c r="BH359" s="160"/>
      <c r="BI359" s="160"/>
      <c r="BJ359" s="160"/>
      <c r="BK359" s="160"/>
      <c r="BL359" s="160"/>
      <c r="BM359" s="446"/>
      <c r="BN359" s="446"/>
      <c r="BO359" s="446"/>
      <c r="BP359" s="446"/>
      <c r="BQ359" s="446"/>
      <c r="BR359" s="446"/>
      <c r="BS359" s="446"/>
      <c r="BT359" s="446"/>
      <c r="BU359" s="446"/>
      <c r="BV359" s="1225"/>
      <c r="BW359" s="446"/>
      <c r="BX359" s="446"/>
      <c r="BY359" s="446"/>
      <c r="BZ359" s="446"/>
      <c r="CA359" s="446"/>
      <c r="CB359" s="446"/>
      <c r="CC359" s="446"/>
      <c r="CD359" s="446"/>
      <c r="CE359" s="446"/>
      <c r="CF359" s="446"/>
      <c r="CG359" s="446"/>
      <c r="CH359" s="446"/>
      <c r="CI359" s="446"/>
      <c r="CJ359" s="446"/>
      <c r="CK359" s="446"/>
      <c r="CL359" s="446"/>
      <c r="CM359" s="446"/>
      <c r="CN359" s="446"/>
      <c r="CO359" s="446"/>
      <c r="CP359" s="446"/>
      <c r="CQ359" s="446"/>
      <c r="CR359" s="446"/>
      <c r="CS359" s="446"/>
      <c r="CT359" s="446"/>
      <c r="CU359" s="446"/>
      <c r="CV359" s="445"/>
      <c r="CW359" s="117"/>
      <c r="CX359" s="445"/>
      <c r="CY359" s="446"/>
      <c r="CZ359" s="446"/>
      <c r="DA359" s="446"/>
      <c r="DB359" s="446"/>
      <c r="DC359" s="446"/>
      <c r="DD359" s="446"/>
      <c r="DE359" s="446"/>
      <c r="DF359" s="446"/>
      <c r="DG359" s="446"/>
      <c r="DH359" s="446"/>
      <c r="DI359" s="446"/>
      <c r="DJ359" s="446"/>
      <c r="DK359" s="446"/>
      <c r="DL359" s="446"/>
      <c r="DM359" s="446"/>
      <c r="DN359" s="446"/>
      <c r="DO359" s="446"/>
      <c r="DP359" s="446"/>
      <c r="DQ359" s="446"/>
      <c r="DR359" s="446"/>
      <c r="DS359" s="446"/>
      <c r="DT359" s="446"/>
      <c r="DU359" s="446"/>
      <c r="DV359" s="446"/>
      <c r="DW359" s="446"/>
      <c r="DX359" s="446"/>
      <c r="DY359" s="446"/>
    </row>
    <row r="360" spans="1:129" s="112" customFormat="1" ht="12.6">
      <c r="A360" s="16"/>
      <c r="B360" s="16"/>
      <c r="E360" s="1226"/>
      <c r="F360" s="1227"/>
      <c r="G360" s="1227"/>
      <c r="H360" s="1227"/>
      <c r="I360" s="1227"/>
      <c r="J360" s="1227"/>
      <c r="K360" s="1227"/>
      <c r="L360" s="1227"/>
      <c r="M360" s="1227"/>
      <c r="N360" s="1227"/>
      <c r="O360" s="1228"/>
      <c r="P360" s="1227"/>
      <c r="Q360" s="1227"/>
      <c r="R360" s="693"/>
      <c r="S360" s="693"/>
      <c r="T360" s="1229"/>
      <c r="U360" s="1230"/>
      <c r="V360" s="1589"/>
      <c r="W360" s="1589"/>
      <c r="X360" s="1589"/>
      <c r="Y360" s="1589"/>
      <c r="Z360" s="1169"/>
      <c r="AA360" s="16"/>
      <c r="AB360" s="16"/>
      <c r="AC360" s="160"/>
      <c r="AD360" s="160"/>
      <c r="AE360" s="951"/>
      <c r="AF360" s="160"/>
      <c r="AG360" s="160"/>
      <c r="AH360" s="160"/>
      <c r="AI360" s="160"/>
      <c r="AJ360" s="160"/>
      <c r="AK360" s="160"/>
      <c r="AL360" s="160"/>
      <c r="AM360" s="160"/>
      <c r="AN360" s="160"/>
      <c r="AO360" s="160"/>
      <c r="AP360" s="160"/>
      <c r="AQ360" s="160"/>
      <c r="AR360" s="160"/>
      <c r="AS360" s="160"/>
      <c r="AT360" s="160"/>
      <c r="AU360" s="160"/>
      <c r="AV360" s="160"/>
      <c r="AW360" s="160"/>
      <c r="AX360" s="160"/>
      <c r="AY360" s="160"/>
      <c r="AZ360" s="160"/>
      <c r="BA360" s="160"/>
      <c r="BB360" s="160"/>
      <c r="BC360" s="160"/>
      <c r="BD360" s="160"/>
      <c r="BE360" s="160"/>
      <c r="BF360" s="160"/>
      <c r="BG360" s="160"/>
      <c r="BH360" s="160"/>
      <c r="BI360" s="160"/>
      <c r="BJ360" s="160"/>
      <c r="BK360" s="160"/>
      <c r="BL360" s="160"/>
      <c r="BM360" s="446"/>
      <c r="BN360" s="446"/>
      <c r="BO360" s="446"/>
      <c r="BP360" s="446"/>
      <c r="BQ360" s="446"/>
      <c r="BR360" s="446"/>
      <c r="BS360" s="446"/>
      <c r="BT360" s="446"/>
      <c r="BU360" s="446"/>
      <c r="BV360" s="1225"/>
      <c r="BW360" s="446"/>
      <c r="BX360" s="446"/>
      <c r="BY360" s="446"/>
      <c r="BZ360" s="446"/>
      <c r="CA360" s="446"/>
      <c r="CB360" s="446"/>
      <c r="CC360" s="446"/>
      <c r="CD360" s="446"/>
      <c r="CE360" s="446"/>
      <c r="CF360" s="446"/>
      <c r="CG360" s="446"/>
      <c r="CH360" s="446"/>
      <c r="CI360" s="446"/>
      <c r="CJ360" s="446"/>
      <c r="CK360" s="446"/>
      <c r="CL360" s="446"/>
      <c r="CM360" s="446"/>
      <c r="CN360" s="446"/>
      <c r="CO360" s="446"/>
      <c r="CP360" s="446"/>
      <c r="CQ360" s="446"/>
      <c r="CR360" s="446"/>
      <c r="CS360" s="446"/>
      <c r="CT360" s="446"/>
      <c r="CU360" s="446"/>
      <c r="CV360" s="445"/>
      <c r="CW360" s="117"/>
      <c r="CX360" s="445"/>
      <c r="CY360" s="446"/>
      <c r="CZ360" s="446"/>
      <c r="DA360" s="446"/>
      <c r="DB360" s="446"/>
      <c r="DC360" s="446"/>
      <c r="DD360" s="446"/>
      <c r="DE360" s="446"/>
      <c r="DF360" s="446"/>
      <c r="DG360" s="446"/>
      <c r="DH360" s="446"/>
      <c r="DI360" s="446"/>
      <c r="DJ360" s="446"/>
      <c r="DK360" s="446"/>
      <c r="DL360" s="446"/>
      <c r="DM360" s="446"/>
      <c r="DN360" s="446"/>
      <c r="DO360" s="446"/>
      <c r="DP360" s="446"/>
      <c r="DQ360" s="446"/>
      <c r="DR360" s="446"/>
      <c r="DS360" s="446"/>
      <c r="DT360" s="446"/>
      <c r="DU360" s="446"/>
      <c r="DV360" s="446"/>
      <c r="DW360" s="446"/>
      <c r="DX360" s="446"/>
      <c r="DY360" s="446"/>
    </row>
    <row r="361" spans="1:129" s="112" customFormat="1" ht="12.6">
      <c r="A361" s="16"/>
      <c r="B361" s="16"/>
      <c r="E361" s="1226"/>
      <c r="F361" s="1227"/>
      <c r="G361" s="1227"/>
      <c r="H361" s="1227"/>
      <c r="I361" s="1227"/>
      <c r="J361" s="1227"/>
      <c r="K361" s="1227"/>
      <c r="L361" s="1227"/>
      <c r="M361" s="1227"/>
      <c r="N361" s="1227"/>
      <c r="O361" s="1228"/>
      <c r="P361" s="1227"/>
      <c r="Q361" s="1227"/>
      <c r="R361" s="693"/>
      <c r="S361" s="693"/>
      <c r="T361" s="1229"/>
      <c r="U361" s="1230"/>
      <c r="V361" s="1589"/>
      <c r="W361" s="1589"/>
      <c r="X361" s="1589"/>
      <c r="Y361" s="1589"/>
      <c r="Z361" s="1169"/>
      <c r="AA361" s="16"/>
      <c r="AB361" s="16"/>
      <c r="AC361" s="160"/>
      <c r="AD361" s="160"/>
      <c r="AE361" s="951"/>
      <c r="AF361" s="160"/>
      <c r="AG361" s="160"/>
      <c r="AH361" s="160"/>
      <c r="AI361" s="160"/>
      <c r="AJ361" s="160"/>
      <c r="AK361" s="160"/>
      <c r="AL361" s="160"/>
      <c r="AM361" s="160"/>
      <c r="AN361" s="160"/>
      <c r="AO361" s="160"/>
      <c r="AP361" s="160"/>
      <c r="AQ361" s="160"/>
      <c r="AR361" s="160"/>
      <c r="AS361" s="160"/>
      <c r="AT361" s="160"/>
      <c r="AU361" s="160"/>
      <c r="AV361" s="160"/>
      <c r="AW361" s="160"/>
      <c r="AX361" s="160"/>
      <c r="AY361" s="160"/>
      <c r="AZ361" s="160"/>
      <c r="BA361" s="160"/>
      <c r="BB361" s="160"/>
      <c r="BC361" s="160"/>
      <c r="BD361" s="160"/>
      <c r="BE361" s="160"/>
      <c r="BF361" s="160"/>
      <c r="BG361" s="160"/>
      <c r="BH361" s="160"/>
      <c r="BI361" s="160"/>
      <c r="BJ361" s="160"/>
      <c r="BK361" s="160"/>
      <c r="BL361" s="160"/>
      <c r="BM361" s="446"/>
      <c r="BN361" s="446"/>
      <c r="BO361" s="446"/>
      <c r="BP361" s="446"/>
      <c r="BQ361" s="446"/>
      <c r="BR361" s="446"/>
      <c r="BS361" s="446"/>
      <c r="BT361" s="446"/>
      <c r="BU361" s="446"/>
      <c r="BV361" s="1225"/>
      <c r="BW361" s="446"/>
      <c r="BX361" s="446"/>
      <c r="BY361" s="446"/>
      <c r="BZ361" s="446"/>
      <c r="CA361" s="446"/>
      <c r="CB361" s="446"/>
      <c r="CC361" s="446"/>
      <c r="CD361" s="446"/>
      <c r="CE361" s="446"/>
      <c r="CF361" s="446"/>
      <c r="CG361" s="446"/>
      <c r="CH361" s="446"/>
      <c r="CI361" s="446"/>
      <c r="CJ361" s="446"/>
      <c r="CK361" s="446"/>
      <c r="CL361" s="446"/>
      <c r="CM361" s="446"/>
      <c r="CN361" s="446"/>
      <c r="CO361" s="446"/>
      <c r="CP361" s="446"/>
      <c r="CQ361" s="446"/>
      <c r="CR361" s="446"/>
      <c r="CS361" s="446"/>
      <c r="CT361" s="446"/>
      <c r="CU361" s="446"/>
      <c r="CV361" s="445"/>
      <c r="CW361" s="117"/>
      <c r="CX361" s="445"/>
      <c r="CY361" s="446"/>
      <c r="CZ361" s="446"/>
      <c r="DA361" s="446"/>
      <c r="DB361" s="446"/>
      <c r="DC361" s="446"/>
      <c r="DD361" s="446"/>
      <c r="DE361" s="446"/>
      <c r="DF361" s="446"/>
      <c r="DG361" s="446"/>
      <c r="DH361" s="446"/>
      <c r="DI361" s="446"/>
      <c r="DJ361" s="446"/>
      <c r="DK361" s="446"/>
      <c r="DL361" s="446"/>
      <c r="DM361" s="446"/>
      <c r="DN361" s="446"/>
      <c r="DO361" s="446"/>
      <c r="DP361" s="446"/>
      <c r="DQ361" s="446"/>
      <c r="DR361" s="446"/>
      <c r="DS361" s="446"/>
      <c r="DT361" s="446"/>
      <c r="DU361" s="446"/>
      <c r="DV361" s="446"/>
      <c r="DW361" s="446"/>
      <c r="DX361" s="446"/>
      <c r="DY361" s="446"/>
    </row>
    <row r="362" spans="1:129" s="112" customFormat="1" ht="12.6">
      <c r="A362" s="16"/>
      <c r="B362" s="16"/>
      <c r="E362" s="1226"/>
      <c r="F362" s="1227"/>
      <c r="G362" s="1227"/>
      <c r="H362" s="1227"/>
      <c r="I362" s="1227"/>
      <c r="J362" s="1227"/>
      <c r="K362" s="1227"/>
      <c r="L362" s="1227"/>
      <c r="M362" s="1227"/>
      <c r="N362" s="1227"/>
      <c r="O362" s="1228"/>
      <c r="P362" s="1227"/>
      <c r="Q362" s="1227"/>
      <c r="R362" s="693"/>
      <c r="S362" s="693"/>
      <c r="T362" s="1229"/>
      <c r="U362" s="1230"/>
      <c r="V362" s="1589"/>
      <c r="W362" s="1589"/>
      <c r="X362" s="1589"/>
      <c r="Y362" s="1589"/>
      <c r="Z362" s="1169"/>
      <c r="AA362" s="16"/>
      <c r="AB362" s="16"/>
      <c r="AC362" s="160"/>
      <c r="AD362" s="160"/>
      <c r="AE362" s="951"/>
      <c r="AF362" s="160"/>
      <c r="AG362" s="160"/>
      <c r="AH362" s="160"/>
      <c r="AI362" s="160"/>
      <c r="AJ362" s="160"/>
      <c r="AK362" s="160"/>
      <c r="AL362" s="160"/>
      <c r="AM362" s="160"/>
      <c r="AN362" s="160"/>
      <c r="AO362" s="160"/>
      <c r="AP362" s="160"/>
      <c r="AQ362" s="160"/>
      <c r="AR362" s="160"/>
      <c r="AS362" s="160"/>
      <c r="AT362" s="160"/>
      <c r="AU362" s="160"/>
      <c r="AV362" s="160"/>
      <c r="AW362" s="160"/>
      <c r="AX362" s="160"/>
      <c r="AY362" s="160"/>
      <c r="AZ362" s="160"/>
      <c r="BA362" s="160"/>
      <c r="BB362" s="160"/>
      <c r="BC362" s="160"/>
      <c r="BD362" s="160"/>
      <c r="BE362" s="160"/>
      <c r="BF362" s="160"/>
      <c r="BG362" s="160"/>
      <c r="BH362" s="160"/>
      <c r="BI362" s="160"/>
      <c r="BJ362" s="160"/>
      <c r="BK362" s="160"/>
      <c r="BL362" s="160"/>
      <c r="BM362" s="446"/>
      <c r="BN362" s="446"/>
      <c r="BO362" s="446"/>
      <c r="BP362" s="446"/>
      <c r="BQ362" s="446"/>
      <c r="BR362" s="446"/>
      <c r="BS362" s="446"/>
      <c r="BT362" s="446"/>
      <c r="BU362" s="446"/>
      <c r="BV362" s="1225"/>
      <c r="BW362" s="446"/>
      <c r="BX362" s="446"/>
      <c r="BY362" s="446"/>
      <c r="BZ362" s="446"/>
      <c r="CA362" s="446"/>
      <c r="CB362" s="446"/>
      <c r="CC362" s="446"/>
      <c r="CD362" s="446"/>
      <c r="CE362" s="446"/>
      <c r="CF362" s="446"/>
      <c r="CG362" s="446"/>
      <c r="CH362" s="446"/>
      <c r="CI362" s="446"/>
      <c r="CJ362" s="446"/>
      <c r="CK362" s="446"/>
      <c r="CL362" s="446"/>
      <c r="CM362" s="446"/>
      <c r="CN362" s="446"/>
      <c r="CO362" s="446"/>
      <c r="CP362" s="446"/>
      <c r="CQ362" s="446"/>
      <c r="CR362" s="446"/>
      <c r="CS362" s="446"/>
      <c r="CT362" s="446"/>
      <c r="CU362" s="446"/>
      <c r="CV362" s="445"/>
      <c r="CW362" s="117"/>
      <c r="CX362" s="445"/>
      <c r="CY362" s="446"/>
      <c r="CZ362" s="446"/>
      <c r="DA362" s="446"/>
      <c r="DB362" s="446"/>
      <c r="DC362" s="446"/>
      <c r="DD362" s="446"/>
      <c r="DE362" s="446"/>
      <c r="DF362" s="446"/>
      <c r="DG362" s="446"/>
      <c r="DH362" s="446"/>
      <c r="DI362" s="446"/>
      <c r="DJ362" s="446"/>
      <c r="DK362" s="446"/>
      <c r="DL362" s="446"/>
      <c r="DM362" s="446"/>
      <c r="DN362" s="446"/>
      <c r="DO362" s="446"/>
      <c r="DP362" s="446"/>
      <c r="DQ362" s="446"/>
      <c r="DR362" s="446"/>
      <c r="DS362" s="446"/>
      <c r="DT362" s="446"/>
      <c r="DU362" s="446"/>
      <c r="DV362" s="446"/>
      <c r="DW362" s="446"/>
      <c r="DX362" s="446"/>
      <c r="DY362" s="446"/>
    </row>
    <row r="363" spans="1:129" s="112" customFormat="1" ht="12.6">
      <c r="A363" s="16"/>
      <c r="B363" s="16"/>
      <c r="E363" s="1226"/>
      <c r="F363" s="1227"/>
      <c r="G363" s="1227"/>
      <c r="H363" s="1227"/>
      <c r="I363" s="1227"/>
      <c r="J363" s="1227"/>
      <c r="K363" s="1227"/>
      <c r="L363" s="1227"/>
      <c r="M363" s="1227"/>
      <c r="N363" s="1227"/>
      <c r="O363" s="1228"/>
      <c r="P363" s="1227"/>
      <c r="Q363" s="1227"/>
      <c r="R363" s="693"/>
      <c r="S363" s="693"/>
      <c r="T363" s="1229"/>
      <c r="U363" s="1230"/>
      <c r="V363" s="1589"/>
      <c r="W363" s="1589"/>
      <c r="X363" s="1589"/>
      <c r="Y363" s="1589"/>
      <c r="Z363" s="1169"/>
      <c r="AA363" s="16"/>
      <c r="AB363" s="16"/>
      <c r="AC363" s="160"/>
      <c r="AD363" s="160"/>
      <c r="AE363" s="951"/>
      <c r="AF363" s="160"/>
      <c r="AG363" s="160"/>
      <c r="AH363" s="160"/>
      <c r="AI363" s="160"/>
      <c r="AJ363" s="160"/>
      <c r="AK363" s="160"/>
      <c r="AL363" s="160"/>
      <c r="AM363" s="160"/>
      <c r="AN363" s="160"/>
      <c r="AO363" s="160"/>
      <c r="AP363" s="160"/>
      <c r="AQ363" s="160"/>
      <c r="AR363" s="160"/>
      <c r="AS363" s="160"/>
      <c r="AT363" s="160"/>
      <c r="AU363" s="160"/>
      <c r="AV363" s="160"/>
      <c r="AW363" s="160"/>
      <c r="AX363" s="160"/>
      <c r="AY363" s="160"/>
      <c r="AZ363" s="160"/>
      <c r="BA363" s="160"/>
      <c r="BB363" s="160"/>
      <c r="BC363" s="160"/>
      <c r="BD363" s="160"/>
      <c r="BE363" s="160"/>
      <c r="BF363" s="160"/>
      <c r="BG363" s="160"/>
      <c r="BH363" s="160"/>
      <c r="BI363" s="160"/>
      <c r="BJ363" s="160"/>
      <c r="BK363" s="160"/>
      <c r="BL363" s="160"/>
      <c r="BM363" s="446"/>
      <c r="BN363" s="446"/>
      <c r="BO363" s="446"/>
      <c r="BP363" s="446"/>
      <c r="BQ363" s="446"/>
      <c r="BR363" s="446"/>
      <c r="BS363" s="446"/>
      <c r="BT363" s="446"/>
      <c r="BU363" s="446"/>
      <c r="BV363" s="1225"/>
      <c r="BW363" s="446"/>
      <c r="BX363" s="446"/>
      <c r="BY363" s="446"/>
      <c r="BZ363" s="446"/>
      <c r="CA363" s="446"/>
      <c r="CB363" s="446"/>
      <c r="CC363" s="446"/>
      <c r="CD363" s="446"/>
      <c r="CE363" s="446"/>
      <c r="CF363" s="446"/>
      <c r="CG363" s="446"/>
      <c r="CH363" s="446"/>
      <c r="CI363" s="446"/>
      <c r="CJ363" s="446"/>
      <c r="CK363" s="446"/>
      <c r="CL363" s="446"/>
      <c r="CM363" s="446"/>
      <c r="CN363" s="446"/>
      <c r="CO363" s="446"/>
      <c r="CP363" s="446"/>
      <c r="CQ363" s="446"/>
      <c r="CR363" s="446"/>
      <c r="CS363" s="446"/>
      <c r="CT363" s="446"/>
      <c r="CU363" s="446"/>
      <c r="CV363" s="445"/>
      <c r="CW363" s="117"/>
      <c r="CX363" s="445"/>
      <c r="CY363" s="446"/>
      <c r="CZ363" s="446"/>
      <c r="DA363" s="446"/>
      <c r="DB363" s="446"/>
      <c r="DC363" s="446"/>
      <c r="DD363" s="446"/>
      <c r="DE363" s="446"/>
      <c r="DF363" s="446"/>
      <c r="DG363" s="446"/>
      <c r="DH363" s="446"/>
      <c r="DI363" s="446"/>
      <c r="DJ363" s="446"/>
      <c r="DK363" s="446"/>
      <c r="DL363" s="446"/>
      <c r="DM363" s="446"/>
      <c r="DN363" s="446"/>
      <c r="DO363" s="446"/>
      <c r="DP363" s="446"/>
      <c r="DQ363" s="446"/>
      <c r="DR363" s="446"/>
      <c r="DS363" s="446"/>
      <c r="DT363" s="446"/>
      <c r="DU363" s="446"/>
      <c r="DV363" s="446"/>
      <c r="DW363" s="446"/>
      <c r="DX363" s="446"/>
      <c r="DY363" s="446"/>
    </row>
    <row r="364" spans="1:129" s="112" customFormat="1" ht="12.6">
      <c r="A364" s="16"/>
      <c r="B364" s="16"/>
      <c r="E364" s="1226"/>
      <c r="F364" s="1227"/>
      <c r="G364" s="1227"/>
      <c r="H364" s="1227"/>
      <c r="I364" s="1227"/>
      <c r="J364" s="1227"/>
      <c r="K364" s="1227"/>
      <c r="L364" s="1227"/>
      <c r="M364" s="1227"/>
      <c r="N364" s="1227"/>
      <c r="O364" s="1228"/>
      <c r="P364" s="1227"/>
      <c r="Q364" s="1227"/>
      <c r="R364" s="693"/>
      <c r="S364" s="693"/>
      <c r="T364" s="1229"/>
      <c r="U364" s="1230"/>
      <c r="V364" s="1589"/>
      <c r="W364" s="1589"/>
      <c r="X364" s="1589"/>
      <c r="Y364" s="1589"/>
      <c r="Z364" s="1169"/>
      <c r="AA364" s="16"/>
      <c r="AB364" s="16"/>
      <c r="AC364" s="160"/>
      <c r="AD364" s="160"/>
      <c r="AE364" s="951"/>
      <c r="AF364" s="160"/>
      <c r="AG364" s="160"/>
      <c r="AH364" s="160"/>
      <c r="AI364" s="160"/>
      <c r="AJ364" s="160"/>
      <c r="AK364" s="160"/>
      <c r="AL364" s="160"/>
      <c r="AM364" s="160"/>
      <c r="AN364" s="160"/>
      <c r="AO364" s="160"/>
      <c r="AP364" s="160"/>
      <c r="AQ364" s="160"/>
      <c r="AR364" s="160"/>
      <c r="AS364" s="160"/>
      <c r="AT364" s="160"/>
      <c r="AU364" s="160"/>
      <c r="AV364" s="160"/>
      <c r="AW364" s="160"/>
      <c r="AX364" s="160"/>
      <c r="AY364" s="160"/>
      <c r="AZ364" s="160"/>
      <c r="BA364" s="160"/>
      <c r="BB364" s="160"/>
      <c r="BC364" s="160"/>
      <c r="BD364" s="160"/>
      <c r="BE364" s="160"/>
      <c r="BF364" s="160"/>
      <c r="BG364" s="160"/>
      <c r="BH364" s="160"/>
      <c r="BI364" s="160"/>
      <c r="BJ364" s="160"/>
      <c r="BK364" s="160"/>
      <c r="BL364" s="160"/>
      <c r="BM364" s="446"/>
      <c r="BN364" s="446"/>
      <c r="BO364" s="446"/>
      <c r="BP364" s="446"/>
      <c r="BQ364" s="446"/>
      <c r="BR364" s="446"/>
      <c r="BS364" s="446"/>
      <c r="BT364" s="446"/>
      <c r="BU364" s="446"/>
      <c r="BV364" s="1225"/>
      <c r="BW364" s="446"/>
      <c r="BX364" s="446"/>
      <c r="BY364" s="446"/>
      <c r="BZ364" s="446"/>
      <c r="CA364" s="446"/>
      <c r="CB364" s="446"/>
      <c r="CC364" s="446"/>
      <c r="CD364" s="446"/>
      <c r="CE364" s="446"/>
      <c r="CF364" s="446"/>
      <c r="CG364" s="446"/>
      <c r="CH364" s="446"/>
      <c r="CI364" s="446"/>
      <c r="CJ364" s="446"/>
      <c r="CK364" s="446"/>
      <c r="CL364" s="446"/>
      <c r="CM364" s="446"/>
      <c r="CN364" s="446"/>
      <c r="CO364" s="446"/>
      <c r="CP364" s="446"/>
      <c r="CQ364" s="446"/>
      <c r="CR364" s="446"/>
      <c r="CS364" s="446"/>
      <c r="CT364" s="446"/>
      <c r="CU364" s="446"/>
      <c r="CV364" s="445"/>
      <c r="CW364" s="117"/>
      <c r="CX364" s="445"/>
      <c r="CY364" s="446"/>
      <c r="CZ364" s="446"/>
      <c r="DA364" s="446"/>
      <c r="DB364" s="446"/>
      <c r="DC364" s="446"/>
      <c r="DD364" s="446"/>
      <c r="DE364" s="446"/>
      <c r="DF364" s="446"/>
      <c r="DG364" s="446"/>
      <c r="DH364" s="446"/>
      <c r="DI364" s="446"/>
      <c r="DJ364" s="446"/>
      <c r="DK364" s="446"/>
      <c r="DL364" s="446"/>
      <c r="DM364" s="446"/>
      <c r="DN364" s="446"/>
      <c r="DO364" s="446"/>
      <c r="DP364" s="446"/>
      <c r="DQ364" s="446"/>
      <c r="DR364" s="446"/>
      <c r="DS364" s="446"/>
      <c r="DT364" s="446"/>
      <c r="DU364" s="446"/>
      <c r="DV364" s="446"/>
      <c r="DW364" s="446"/>
      <c r="DX364" s="446"/>
      <c r="DY364" s="446"/>
    </row>
    <row r="365" spans="1:129" s="112" customFormat="1" ht="12.6">
      <c r="A365" s="16"/>
      <c r="B365" s="16"/>
      <c r="E365" s="1226"/>
      <c r="F365" s="1227"/>
      <c r="G365" s="1227"/>
      <c r="H365" s="1227"/>
      <c r="I365" s="1227"/>
      <c r="J365" s="1227"/>
      <c r="K365" s="1227"/>
      <c r="L365" s="1227"/>
      <c r="M365" s="1227"/>
      <c r="N365" s="1227"/>
      <c r="O365" s="1228"/>
      <c r="P365" s="1227"/>
      <c r="Q365" s="1227"/>
      <c r="R365" s="693"/>
      <c r="S365" s="693"/>
      <c r="T365" s="1229"/>
      <c r="U365" s="1230"/>
      <c r="V365" s="1589"/>
      <c r="W365" s="1589"/>
      <c r="X365" s="1589"/>
      <c r="Y365" s="1589"/>
      <c r="Z365" s="1169"/>
      <c r="AA365" s="16"/>
      <c r="AB365" s="16"/>
      <c r="AC365" s="160"/>
      <c r="AD365" s="160"/>
      <c r="AE365" s="951"/>
      <c r="AF365" s="160"/>
      <c r="AG365" s="160"/>
      <c r="AH365" s="160"/>
      <c r="AI365" s="160"/>
      <c r="AJ365" s="160"/>
      <c r="AK365" s="160"/>
      <c r="AL365" s="160"/>
      <c r="AM365" s="160"/>
      <c r="AN365" s="160"/>
      <c r="AO365" s="160"/>
      <c r="AP365" s="160"/>
      <c r="AQ365" s="160"/>
      <c r="AR365" s="160"/>
      <c r="AS365" s="160"/>
      <c r="AT365" s="160"/>
      <c r="AU365" s="160"/>
      <c r="AV365" s="160"/>
      <c r="AW365" s="160"/>
      <c r="AX365" s="160"/>
      <c r="AY365" s="160"/>
      <c r="AZ365" s="160"/>
      <c r="BA365" s="160"/>
      <c r="BB365" s="160"/>
      <c r="BC365" s="160"/>
      <c r="BD365" s="160"/>
      <c r="BE365" s="160"/>
      <c r="BF365" s="160"/>
      <c r="BG365" s="160"/>
      <c r="BH365" s="160"/>
      <c r="BI365" s="160"/>
      <c r="BJ365" s="160"/>
      <c r="BK365" s="160"/>
      <c r="BL365" s="160"/>
      <c r="BM365" s="446"/>
      <c r="BN365" s="446"/>
      <c r="BO365" s="446"/>
      <c r="BP365" s="446"/>
      <c r="BQ365" s="446"/>
      <c r="BR365" s="446"/>
      <c r="BS365" s="446"/>
      <c r="BT365" s="446"/>
      <c r="BU365" s="446"/>
      <c r="BV365" s="1225"/>
      <c r="BW365" s="446"/>
      <c r="BX365" s="446"/>
      <c r="BY365" s="446"/>
      <c r="BZ365" s="446"/>
      <c r="CA365" s="446"/>
      <c r="CB365" s="446"/>
      <c r="CC365" s="446"/>
      <c r="CD365" s="446"/>
      <c r="CE365" s="446"/>
      <c r="CF365" s="446"/>
      <c r="CG365" s="446"/>
      <c r="CH365" s="446"/>
      <c r="CI365" s="446"/>
      <c r="CJ365" s="446"/>
      <c r="CK365" s="446"/>
      <c r="CL365" s="446"/>
      <c r="CM365" s="446"/>
      <c r="CN365" s="446"/>
      <c r="CO365" s="446"/>
      <c r="CP365" s="446"/>
      <c r="CQ365" s="446"/>
      <c r="CR365" s="446"/>
      <c r="CS365" s="446"/>
      <c r="CT365" s="446"/>
      <c r="CU365" s="446"/>
      <c r="CV365" s="445"/>
      <c r="CW365" s="117"/>
      <c r="CX365" s="445"/>
      <c r="CY365" s="446"/>
      <c r="CZ365" s="446"/>
      <c r="DA365" s="446"/>
      <c r="DB365" s="446"/>
      <c r="DC365" s="446"/>
      <c r="DD365" s="446"/>
      <c r="DE365" s="446"/>
      <c r="DF365" s="446"/>
      <c r="DG365" s="446"/>
      <c r="DH365" s="446"/>
      <c r="DI365" s="446"/>
      <c r="DJ365" s="446"/>
      <c r="DK365" s="446"/>
      <c r="DL365" s="446"/>
      <c r="DM365" s="446"/>
      <c r="DN365" s="446"/>
      <c r="DO365" s="446"/>
      <c r="DP365" s="446"/>
      <c r="DQ365" s="446"/>
      <c r="DR365" s="446"/>
      <c r="DS365" s="446"/>
      <c r="DT365" s="446"/>
      <c r="DU365" s="446"/>
      <c r="DV365" s="446"/>
      <c r="DW365" s="446"/>
      <c r="DX365" s="446"/>
      <c r="DY365" s="446"/>
    </row>
    <row r="366" spans="1:129" s="112" customFormat="1" ht="14.25" customHeight="1">
      <c r="A366" s="16"/>
      <c r="B366" s="16"/>
      <c r="C366" s="16"/>
      <c r="D366" s="1230"/>
      <c r="E366" s="708"/>
      <c r="F366" s="1230"/>
      <c r="G366" s="1230"/>
      <c r="H366" s="1230"/>
      <c r="I366" s="1230"/>
      <c r="J366" s="1230"/>
      <c r="K366" s="1230"/>
      <c r="L366" s="1230"/>
      <c r="M366" s="1230"/>
      <c r="N366" s="1230"/>
      <c r="O366" s="1230"/>
      <c r="P366" s="1230"/>
      <c r="Q366" s="1230"/>
      <c r="R366" s="1230"/>
      <c r="S366" s="1230"/>
      <c r="T366" s="1230"/>
      <c r="U366" s="1230"/>
      <c r="V366" s="1589"/>
      <c r="W366" s="1589"/>
      <c r="X366" s="1589"/>
      <c r="Y366" s="1589"/>
      <c r="Z366" s="1589"/>
      <c r="AA366" s="1230"/>
      <c r="AB366" s="1230"/>
      <c r="AC366" s="1230"/>
      <c r="AD366" s="1230"/>
      <c r="AE366" s="1230"/>
      <c r="AF366" s="1230"/>
      <c r="AG366" s="1230"/>
      <c r="AH366" s="1230"/>
      <c r="AI366" s="1230"/>
      <c r="AJ366" s="1230"/>
      <c r="AK366" s="1230"/>
      <c r="AL366" s="1230"/>
      <c r="AM366" s="1230"/>
      <c r="AN366" s="1230"/>
      <c r="AO366" s="1230"/>
      <c r="AP366" s="1230"/>
      <c r="AQ366" s="1230"/>
      <c r="AR366" s="1230"/>
      <c r="AS366" s="1230"/>
      <c r="AT366" s="1230"/>
      <c r="AU366" s="1230"/>
      <c r="AV366" s="1230"/>
      <c r="AW366" s="1230"/>
      <c r="AX366" s="1230"/>
      <c r="AY366" s="1230"/>
      <c r="AZ366" s="160"/>
      <c r="BA366" s="160"/>
      <c r="BB366" s="160"/>
      <c r="BC366" s="160"/>
      <c r="BD366" s="160"/>
      <c r="BE366" s="160"/>
      <c r="BF366" s="160"/>
      <c r="BG366" s="160"/>
      <c r="BH366" s="160"/>
      <c r="BI366" s="160"/>
      <c r="BJ366" s="160"/>
      <c r="BK366" s="160"/>
      <c r="BL366" s="160"/>
      <c r="BM366" s="160"/>
      <c r="BN366" s="446"/>
      <c r="BO366" s="446"/>
      <c r="BP366" s="446"/>
      <c r="BQ366" s="446"/>
      <c r="BR366" s="446"/>
      <c r="BS366" s="446"/>
      <c r="BT366" s="446"/>
      <c r="BU366" s="446"/>
      <c r="BV366" s="1225"/>
      <c r="BW366" s="446"/>
      <c r="BX366" s="446"/>
      <c r="BY366" s="446"/>
      <c r="BZ366" s="446"/>
      <c r="CA366" s="446"/>
      <c r="CB366" s="446"/>
      <c r="CC366" s="446"/>
      <c r="CD366" s="446"/>
      <c r="CE366" s="446"/>
      <c r="CF366" s="446"/>
      <c r="CG366" s="446"/>
      <c r="CH366" s="446"/>
      <c r="CI366" s="446"/>
      <c r="CJ366" s="446"/>
      <c r="CK366" s="446"/>
      <c r="CL366" s="446"/>
      <c r="CM366" s="446"/>
      <c r="CN366" s="446"/>
      <c r="CO366" s="446"/>
      <c r="CP366" s="446"/>
      <c r="CQ366" s="446"/>
      <c r="CR366" s="446"/>
      <c r="CS366" s="446"/>
      <c r="CT366" s="446"/>
      <c r="CU366" s="446"/>
      <c r="CV366" s="445"/>
      <c r="CW366" s="813"/>
      <c r="CX366" s="445"/>
      <c r="CY366" s="446"/>
      <c r="CZ366" s="446"/>
      <c r="DA366" s="446"/>
      <c r="DB366" s="446"/>
      <c r="DC366" s="446"/>
      <c r="DD366" s="446"/>
      <c r="DE366" s="446"/>
      <c r="DF366" s="446"/>
      <c r="DG366" s="446"/>
      <c r="DH366" s="446"/>
      <c r="DI366" s="446"/>
      <c r="DJ366" s="446"/>
      <c r="DK366" s="446"/>
      <c r="DL366" s="446"/>
      <c r="DM366" s="446"/>
      <c r="DN366" s="446"/>
      <c r="DO366" s="446"/>
      <c r="DP366" s="446"/>
      <c r="DQ366" s="446"/>
      <c r="DR366" s="446"/>
      <c r="DS366" s="446"/>
      <c r="DT366" s="446"/>
      <c r="DU366" s="446"/>
      <c r="DV366" s="446"/>
      <c r="DW366" s="446"/>
      <c r="DX366" s="446"/>
      <c r="DY366" s="446"/>
    </row>
    <row r="367" spans="1:129" s="112" customFormat="1" ht="14.25" customHeight="1">
      <c r="A367" s="16"/>
      <c r="B367" s="16"/>
      <c r="C367" s="16"/>
      <c r="D367" s="1230"/>
      <c r="E367" s="708"/>
      <c r="F367" s="1230"/>
      <c r="G367" s="1230"/>
      <c r="H367" s="1230"/>
      <c r="I367" s="1230"/>
      <c r="J367" s="1230"/>
      <c r="K367" s="1230"/>
      <c r="L367" s="1230"/>
      <c r="M367" s="1230"/>
      <c r="N367" s="1230"/>
      <c r="O367" s="1230"/>
      <c r="P367" s="1230"/>
      <c r="Q367" s="1230"/>
      <c r="R367" s="1230"/>
      <c r="S367" s="1230"/>
      <c r="T367" s="1230"/>
      <c r="U367" s="1230"/>
      <c r="V367" s="1589"/>
      <c r="W367" s="1589"/>
      <c r="X367" s="1589"/>
      <c r="Y367" s="1589"/>
      <c r="Z367" s="1589"/>
      <c r="AA367" s="1230"/>
      <c r="AB367" s="1230"/>
      <c r="AC367" s="1230"/>
      <c r="AD367" s="1230"/>
      <c r="AE367" s="1230"/>
      <c r="AF367" s="1230"/>
      <c r="AG367" s="1230"/>
      <c r="AH367" s="1230"/>
      <c r="AI367" s="1230"/>
      <c r="AJ367" s="1230"/>
      <c r="AK367" s="1230"/>
      <c r="AL367" s="1230"/>
      <c r="AM367" s="1230"/>
      <c r="AN367" s="1230"/>
      <c r="AO367" s="1230"/>
      <c r="AP367" s="1230"/>
      <c r="AQ367" s="1230"/>
      <c r="AR367" s="1230"/>
      <c r="AS367" s="1230"/>
      <c r="AT367" s="1230"/>
      <c r="AU367" s="1230"/>
      <c r="AV367" s="1230"/>
      <c r="AW367" s="1230"/>
      <c r="AX367" s="1230"/>
      <c r="AY367" s="1230"/>
      <c r="AZ367" s="160"/>
      <c r="BA367" s="160"/>
      <c r="BB367" s="160"/>
      <c r="BC367" s="160"/>
      <c r="BD367" s="160"/>
      <c r="BE367" s="160"/>
      <c r="BF367" s="160"/>
      <c r="BG367" s="160"/>
      <c r="BH367" s="160"/>
      <c r="BI367" s="160"/>
      <c r="BJ367" s="160"/>
      <c r="BK367" s="160"/>
      <c r="BL367" s="160"/>
      <c r="BM367" s="160"/>
      <c r="BN367" s="446"/>
      <c r="BO367" s="446"/>
      <c r="BP367" s="446"/>
      <c r="BQ367" s="446"/>
      <c r="BR367" s="446"/>
      <c r="BS367" s="446"/>
      <c r="BT367" s="446"/>
      <c r="BU367" s="446"/>
      <c r="BV367" s="1225"/>
      <c r="BW367" s="446"/>
      <c r="BX367" s="446"/>
      <c r="BY367" s="446"/>
      <c r="BZ367" s="446"/>
      <c r="CA367" s="446"/>
      <c r="CB367" s="446"/>
      <c r="CC367" s="446"/>
      <c r="CD367" s="446"/>
      <c r="CE367" s="446"/>
      <c r="CF367" s="446"/>
      <c r="CG367" s="446"/>
      <c r="CH367" s="446"/>
      <c r="CI367" s="446"/>
      <c r="CJ367" s="446"/>
      <c r="CK367" s="446"/>
      <c r="CL367" s="446"/>
      <c r="CM367" s="446"/>
      <c r="CN367" s="446"/>
      <c r="CO367" s="446"/>
      <c r="CP367" s="446"/>
      <c r="CQ367" s="446"/>
      <c r="CR367" s="446"/>
      <c r="CS367" s="446"/>
      <c r="CT367" s="446"/>
      <c r="CU367" s="446"/>
      <c r="CV367" s="445"/>
      <c r="CW367" s="813"/>
      <c r="CX367" s="445"/>
      <c r="CY367" s="446"/>
      <c r="CZ367" s="446"/>
      <c r="DA367" s="446"/>
      <c r="DB367" s="446"/>
      <c r="DC367" s="446"/>
      <c r="DD367" s="446"/>
      <c r="DE367" s="446"/>
      <c r="DF367" s="446"/>
      <c r="DG367" s="446"/>
      <c r="DH367" s="446"/>
      <c r="DI367" s="446"/>
      <c r="DJ367" s="446"/>
      <c r="DK367" s="446"/>
      <c r="DL367" s="446"/>
      <c r="DM367" s="446"/>
      <c r="DN367" s="446"/>
      <c r="DO367" s="446"/>
      <c r="DP367" s="446"/>
      <c r="DQ367" s="446"/>
      <c r="DR367" s="446"/>
      <c r="DS367" s="446"/>
      <c r="DT367" s="446"/>
      <c r="DU367" s="446"/>
      <c r="DV367" s="446"/>
      <c r="DW367" s="446"/>
      <c r="DX367" s="446"/>
      <c r="DY367" s="446"/>
    </row>
    <row r="368" spans="1:129" s="112" customFormat="1" ht="14.25" customHeight="1">
      <c r="A368" s="16"/>
      <c r="B368" s="16"/>
      <c r="C368" s="16"/>
      <c r="D368" s="1230"/>
      <c r="E368" s="708"/>
      <c r="F368" s="1230"/>
      <c r="G368" s="1230"/>
      <c r="H368" s="1230"/>
      <c r="I368" s="1230"/>
      <c r="J368" s="1230"/>
      <c r="K368" s="1230"/>
      <c r="L368" s="1230"/>
      <c r="M368" s="1230"/>
      <c r="N368" s="1230"/>
      <c r="O368" s="1230"/>
      <c r="P368" s="1230"/>
      <c r="Q368" s="1230"/>
      <c r="R368" s="1230"/>
      <c r="S368" s="1230"/>
      <c r="T368" s="1230"/>
      <c r="U368" s="1230"/>
      <c r="V368" s="1589"/>
      <c r="W368" s="1589"/>
      <c r="X368" s="1589"/>
      <c r="Y368" s="1589"/>
      <c r="Z368" s="1589"/>
      <c r="AA368" s="1230"/>
      <c r="AB368" s="1230"/>
      <c r="AC368" s="1230"/>
      <c r="AD368" s="1230"/>
      <c r="AE368" s="1230"/>
      <c r="AF368" s="1230"/>
      <c r="AG368" s="1230"/>
      <c r="AH368" s="1230"/>
      <c r="AI368" s="1230"/>
      <c r="AJ368" s="1230"/>
      <c r="AK368" s="1230"/>
      <c r="AL368" s="1230"/>
      <c r="AM368" s="1230"/>
      <c r="AN368" s="1230"/>
      <c r="AO368" s="1230"/>
      <c r="AP368" s="1230"/>
      <c r="AQ368" s="1230"/>
      <c r="AR368" s="1230"/>
      <c r="AS368" s="1230"/>
      <c r="AT368" s="1230"/>
      <c r="AU368" s="1230"/>
      <c r="AV368" s="1230"/>
      <c r="AW368" s="1230"/>
      <c r="AX368" s="1230"/>
      <c r="AY368" s="1230"/>
      <c r="AZ368" s="160"/>
      <c r="BA368" s="160"/>
      <c r="BB368" s="160"/>
      <c r="BC368" s="160"/>
      <c r="BD368" s="160"/>
      <c r="BE368" s="160"/>
      <c r="BF368" s="160"/>
      <c r="BG368" s="160"/>
      <c r="BH368" s="160"/>
      <c r="BI368" s="160"/>
      <c r="BJ368" s="160"/>
      <c r="BK368" s="160"/>
      <c r="BL368" s="160"/>
      <c r="BM368" s="160"/>
      <c r="BN368" s="446"/>
      <c r="BO368" s="446"/>
      <c r="BP368" s="446"/>
      <c r="BQ368" s="446"/>
      <c r="BR368" s="446"/>
      <c r="BS368" s="446"/>
      <c r="BT368" s="446"/>
      <c r="BU368" s="446"/>
      <c r="BV368" s="1225"/>
      <c r="BW368" s="446"/>
      <c r="BX368" s="446"/>
      <c r="BY368" s="446"/>
      <c r="BZ368" s="446"/>
      <c r="CA368" s="446"/>
      <c r="CB368" s="446"/>
      <c r="CC368" s="446"/>
      <c r="CD368" s="446"/>
      <c r="CE368" s="446"/>
      <c r="CF368" s="446"/>
      <c r="CG368" s="446"/>
      <c r="CH368" s="446"/>
      <c r="CI368" s="446"/>
      <c r="CJ368" s="446"/>
      <c r="CK368" s="446"/>
      <c r="CL368" s="446"/>
      <c r="CM368" s="446"/>
      <c r="CN368" s="446"/>
      <c r="CO368" s="446"/>
      <c r="CP368" s="446"/>
      <c r="CQ368" s="446"/>
      <c r="CR368" s="446"/>
      <c r="CS368" s="446"/>
      <c r="CT368" s="446"/>
      <c r="CU368" s="446"/>
      <c r="CV368" s="445"/>
      <c r="CW368" s="813"/>
      <c r="CX368" s="445"/>
      <c r="CY368" s="446"/>
      <c r="CZ368" s="446"/>
      <c r="DA368" s="446"/>
      <c r="DB368" s="446"/>
      <c r="DC368" s="446"/>
      <c r="DD368" s="446"/>
      <c r="DE368" s="446"/>
      <c r="DF368" s="446"/>
      <c r="DG368" s="446"/>
      <c r="DH368" s="446"/>
      <c r="DI368" s="446"/>
      <c r="DJ368" s="446"/>
      <c r="DK368" s="446"/>
      <c r="DL368" s="446"/>
      <c r="DM368" s="446"/>
      <c r="DN368" s="446"/>
      <c r="DO368" s="446"/>
      <c r="DP368" s="446"/>
      <c r="DQ368" s="446"/>
      <c r="DR368" s="446"/>
      <c r="DS368" s="446"/>
      <c r="DT368" s="446"/>
      <c r="DU368" s="446"/>
      <c r="DV368" s="446"/>
      <c r="DW368" s="446"/>
      <c r="DX368" s="446"/>
      <c r="DY368" s="446"/>
    </row>
    <row r="369" spans="1:129" s="112" customFormat="1" ht="14.25" customHeight="1">
      <c r="A369" s="16"/>
      <c r="B369" s="16"/>
      <c r="C369" s="16"/>
      <c r="D369" s="1230"/>
      <c r="E369" s="708"/>
      <c r="F369" s="1230"/>
      <c r="G369" s="1230"/>
      <c r="H369" s="1230"/>
      <c r="I369" s="1230"/>
      <c r="J369" s="1230"/>
      <c r="K369" s="1230"/>
      <c r="L369" s="1230"/>
      <c r="M369" s="1230"/>
      <c r="N369" s="1230"/>
      <c r="O369" s="1230"/>
      <c r="P369" s="1230"/>
      <c r="Q369" s="1230"/>
      <c r="R369" s="1230"/>
      <c r="S369" s="1230"/>
      <c r="T369" s="1230"/>
      <c r="U369" s="1230"/>
      <c r="V369" s="1589"/>
      <c r="W369" s="1589"/>
      <c r="X369" s="1589"/>
      <c r="Y369" s="1589"/>
      <c r="Z369" s="1589"/>
      <c r="AA369" s="1230"/>
      <c r="AB369" s="1230"/>
      <c r="AC369" s="1230"/>
      <c r="AD369" s="1230"/>
      <c r="AE369" s="1230"/>
      <c r="AF369" s="1230"/>
      <c r="AG369" s="1230"/>
      <c r="AH369" s="1230"/>
      <c r="AI369" s="1230"/>
      <c r="AJ369" s="1230"/>
      <c r="AK369" s="1230"/>
      <c r="AL369" s="1230"/>
      <c r="AM369" s="1230"/>
      <c r="AN369" s="1230"/>
      <c r="AO369" s="1230"/>
      <c r="AP369" s="1230"/>
      <c r="AQ369" s="1230"/>
      <c r="AR369" s="1230"/>
      <c r="AS369" s="1230"/>
      <c r="AT369" s="1230"/>
      <c r="AU369" s="1230"/>
      <c r="AV369" s="1230"/>
      <c r="AW369" s="1230"/>
      <c r="AX369" s="1230"/>
      <c r="AY369" s="1230"/>
      <c r="AZ369" s="160"/>
      <c r="BA369" s="160"/>
      <c r="BB369" s="160"/>
      <c r="BC369" s="160"/>
      <c r="BD369" s="160"/>
      <c r="BE369" s="160"/>
      <c r="BF369" s="160"/>
      <c r="BG369" s="160"/>
      <c r="BH369" s="160"/>
      <c r="BI369" s="160"/>
      <c r="BJ369" s="160"/>
      <c r="BK369" s="160"/>
      <c r="BL369" s="160"/>
      <c r="BM369" s="160"/>
      <c r="BN369" s="446"/>
      <c r="BO369" s="446"/>
      <c r="BP369" s="446"/>
      <c r="BQ369" s="446"/>
      <c r="BR369" s="446"/>
      <c r="BS369" s="446"/>
      <c r="BT369" s="446"/>
      <c r="BU369" s="446"/>
      <c r="BV369" s="1225"/>
      <c r="BW369" s="446"/>
      <c r="BX369" s="446"/>
      <c r="BY369" s="446"/>
      <c r="BZ369" s="446"/>
      <c r="CA369" s="446"/>
      <c r="CB369" s="446"/>
      <c r="CC369" s="446"/>
      <c r="CD369" s="446"/>
      <c r="CE369" s="446"/>
      <c r="CF369" s="446"/>
      <c r="CG369" s="446"/>
      <c r="CH369" s="446"/>
      <c r="CI369" s="446"/>
      <c r="CJ369" s="446"/>
      <c r="CK369" s="446"/>
      <c r="CL369" s="446"/>
      <c r="CM369" s="446"/>
      <c r="CN369" s="446"/>
      <c r="CO369" s="446"/>
      <c r="CP369" s="446"/>
      <c r="CQ369" s="446"/>
      <c r="CR369" s="446"/>
      <c r="CS369" s="446"/>
      <c r="CT369" s="446"/>
      <c r="CU369" s="446"/>
      <c r="CV369" s="445"/>
      <c r="CW369" s="813"/>
      <c r="CX369" s="445"/>
      <c r="CY369" s="446"/>
      <c r="CZ369" s="446"/>
      <c r="DA369" s="446"/>
      <c r="DB369" s="446"/>
      <c r="DC369" s="446"/>
      <c r="DD369" s="446"/>
      <c r="DE369" s="446"/>
      <c r="DF369" s="446"/>
      <c r="DG369" s="446"/>
      <c r="DH369" s="446"/>
      <c r="DI369" s="446"/>
      <c r="DJ369" s="446"/>
      <c r="DK369" s="446"/>
      <c r="DL369" s="446"/>
      <c r="DM369" s="446"/>
      <c r="DN369" s="446"/>
      <c r="DO369" s="446"/>
      <c r="DP369" s="446"/>
      <c r="DQ369" s="446"/>
      <c r="DR369" s="446"/>
      <c r="DS369" s="446"/>
      <c r="DT369" s="446"/>
      <c r="DU369" s="446"/>
      <c r="DV369" s="446"/>
      <c r="DW369" s="446"/>
      <c r="DX369" s="446"/>
      <c r="DY369" s="446"/>
    </row>
    <row r="370" spans="1:129" s="112" customFormat="1" ht="14.25" customHeight="1">
      <c r="A370" s="16"/>
      <c r="B370" s="16"/>
      <c r="C370" s="708"/>
      <c r="D370" s="1230"/>
      <c r="E370" s="708"/>
      <c r="F370" s="1230"/>
      <c r="G370" s="1230"/>
      <c r="H370" s="1230"/>
      <c r="I370" s="1230"/>
      <c r="J370" s="1230"/>
      <c r="K370" s="1230"/>
      <c r="L370" s="1230"/>
      <c r="M370" s="1230"/>
      <c r="N370" s="1230"/>
      <c r="O370" s="1230"/>
      <c r="P370" s="1230"/>
      <c r="Q370" s="1230"/>
      <c r="R370" s="1230"/>
      <c r="S370" s="1230"/>
      <c r="T370" s="1230"/>
      <c r="U370" s="1230"/>
      <c r="V370" s="1589"/>
      <c r="W370" s="1589"/>
      <c r="X370" s="1589"/>
      <c r="Y370" s="1589"/>
      <c r="Z370" s="1589"/>
      <c r="AA370" s="1230"/>
      <c r="AB370" s="1230"/>
      <c r="AC370" s="1230"/>
      <c r="AD370" s="1230"/>
      <c r="AE370" s="1230"/>
      <c r="AF370" s="1230"/>
      <c r="AG370" s="1230"/>
      <c r="AH370" s="1230"/>
      <c r="AI370" s="1230"/>
      <c r="AJ370" s="1230"/>
      <c r="AK370" s="1230"/>
      <c r="AL370" s="1230"/>
      <c r="AM370" s="1230"/>
      <c r="AN370" s="1230"/>
      <c r="AO370" s="1230"/>
      <c r="AP370" s="1230"/>
      <c r="AQ370" s="1230"/>
      <c r="AR370" s="1230"/>
      <c r="AS370" s="1230"/>
      <c r="AT370" s="1230"/>
      <c r="AU370" s="1230"/>
      <c r="AV370" s="1230"/>
      <c r="AW370" s="1230"/>
      <c r="AX370" s="1230"/>
      <c r="AY370" s="1230"/>
      <c r="AZ370" s="160"/>
      <c r="BA370" s="160"/>
      <c r="BB370" s="160"/>
      <c r="BC370" s="160"/>
      <c r="BD370" s="160"/>
      <c r="BE370" s="160"/>
      <c r="BF370" s="160"/>
      <c r="BG370" s="160"/>
      <c r="BH370" s="160"/>
      <c r="BI370" s="160"/>
      <c r="BJ370" s="160"/>
      <c r="BK370" s="160"/>
      <c r="BL370" s="160"/>
      <c r="BM370" s="160"/>
      <c r="BN370" s="446"/>
      <c r="BO370" s="446"/>
      <c r="BP370" s="446"/>
      <c r="BQ370" s="446"/>
      <c r="BR370" s="446"/>
      <c r="BS370" s="446"/>
      <c r="BT370" s="446"/>
      <c r="BU370" s="446"/>
      <c r="BV370" s="1225"/>
      <c r="BW370" s="446"/>
      <c r="BX370" s="446"/>
      <c r="BY370" s="446"/>
      <c r="BZ370" s="446"/>
      <c r="CA370" s="446"/>
      <c r="CB370" s="446"/>
      <c r="CC370" s="446"/>
      <c r="CD370" s="446"/>
      <c r="CE370" s="446"/>
      <c r="CF370" s="446"/>
      <c r="CG370" s="446"/>
      <c r="CH370" s="446"/>
      <c r="CI370" s="446"/>
      <c r="CJ370" s="446"/>
      <c r="CK370" s="446"/>
      <c r="CL370" s="446"/>
      <c r="CM370" s="446"/>
      <c r="CN370" s="446"/>
      <c r="CO370" s="446"/>
      <c r="CP370" s="446"/>
      <c r="CQ370" s="446"/>
      <c r="CR370" s="446"/>
      <c r="CS370" s="446"/>
      <c r="CT370" s="446"/>
      <c r="CU370" s="446"/>
      <c r="CV370" s="445"/>
      <c r="CW370" s="813"/>
      <c r="CX370" s="445"/>
      <c r="CY370" s="446"/>
      <c r="CZ370" s="446"/>
      <c r="DA370" s="446"/>
      <c r="DB370" s="446"/>
      <c r="DC370" s="446"/>
      <c r="DD370" s="446"/>
      <c r="DE370" s="446"/>
      <c r="DF370" s="446"/>
      <c r="DG370" s="446"/>
      <c r="DH370" s="446"/>
      <c r="DI370" s="446"/>
      <c r="DJ370" s="446"/>
      <c r="DK370" s="446"/>
      <c r="DL370" s="446"/>
      <c r="DM370" s="446"/>
      <c r="DN370" s="446"/>
      <c r="DO370" s="446"/>
      <c r="DP370" s="446"/>
      <c r="DQ370" s="446"/>
      <c r="DR370" s="446"/>
      <c r="DS370" s="446"/>
      <c r="DT370" s="446"/>
      <c r="DU370" s="446"/>
      <c r="DV370" s="446"/>
      <c r="DW370" s="446"/>
      <c r="DX370" s="446"/>
      <c r="DY370" s="446"/>
    </row>
    <row r="371" spans="1:129" s="112" customFormat="1" ht="14.25" customHeight="1">
      <c r="A371" s="16"/>
      <c r="B371" s="16"/>
      <c r="C371" s="16"/>
      <c r="D371" s="1230"/>
      <c r="E371" s="708"/>
      <c r="F371" s="1230"/>
      <c r="G371" s="1230"/>
      <c r="H371" s="1230"/>
      <c r="I371" s="1230"/>
      <c r="J371" s="1230"/>
      <c r="K371" s="1230"/>
      <c r="L371" s="1230"/>
      <c r="M371" s="1230"/>
      <c r="N371" s="1230"/>
      <c r="O371" s="1230"/>
      <c r="P371" s="1230"/>
      <c r="Q371" s="1230"/>
      <c r="R371" s="1230"/>
      <c r="S371" s="1230"/>
      <c r="T371" s="1230"/>
      <c r="U371" s="1230"/>
      <c r="V371" s="1589"/>
      <c r="W371" s="1589"/>
      <c r="X371" s="1589"/>
      <c r="Y371" s="1589"/>
      <c r="Z371" s="1589"/>
      <c r="AA371" s="1230"/>
      <c r="AB371" s="1230"/>
      <c r="AC371" s="1230"/>
      <c r="AD371" s="1230"/>
      <c r="AE371" s="1230"/>
      <c r="AF371" s="1230"/>
      <c r="AG371" s="1230"/>
      <c r="AH371" s="1230"/>
      <c r="AI371" s="1230"/>
      <c r="AJ371" s="1230"/>
      <c r="AK371" s="1230"/>
      <c r="AL371" s="1230"/>
      <c r="AM371" s="1230"/>
      <c r="AN371" s="1230"/>
      <c r="AO371" s="1230"/>
      <c r="AP371" s="1230"/>
      <c r="AQ371" s="1230"/>
      <c r="AR371" s="1230"/>
      <c r="AS371" s="1230"/>
      <c r="AT371" s="1230"/>
      <c r="AU371" s="1230"/>
      <c r="AV371" s="1230"/>
      <c r="AW371" s="1230"/>
      <c r="AX371" s="1230"/>
      <c r="AY371" s="1230"/>
      <c r="AZ371" s="160"/>
      <c r="BA371" s="160"/>
      <c r="BB371" s="160"/>
      <c r="BC371" s="160"/>
      <c r="BD371" s="160"/>
      <c r="BE371" s="160"/>
      <c r="BF371" s="160"/>
      <c r="BG371" s="160"/>
      <c r="BH371" s="160"/>
      <c r="BI371" s="160"/>
      <c r="BJ371" s="160"/>
      <c r="BK371" s="160"/>
      <c r="BL371" s="160"/>
      <c r="BM371" s="160"/>
      <c r="BN371" s="446"/>
      <c r="BO371" s="446"/>
      <c r="BP371" s="446"/>
      <c r="BQ371" s="446"/>
      <c r="BR371" s="446"/>
      <c r="BS371" s="446"/>
      <c r="BT371" s="446"/>
      <c r="BU371" s="446"/>
      <c r="BV371" s="1225"/>
      <c r="BW371" s="446"/>
      <c r="BX371" s="446"/>
      <c r="BY371" s="446"/>
      <c r="BZ371" s="446"/>
      <c r="CA371" s="446"/>
      <c r="CB371" s="446"/>
      <c r="CC371" s="446"/>
      <c r="CD371" s="446"/>
      <c r="CE371" s="446"/>
      <c r="CF371" s="446"/>
      <c r="CG371" s="446"/>
      <c r="CH371" s="446"/>
      <c r="CI371" s="446"/>
      <c r="CJ371" s="446"/>
      <c r="CK371" s="446"/>
      <c r="CL371" s="446"/>
      <c r="CM371" s="446"/>
      <c r="CN371" s="446"/>
      <c r="CO371" s="446"/>
      <c r="CP371" s="446"/>
      <c r="CQ371" s="446"/>
      <c r="CR371" s="446"/>
      <c r="CS371" s="446"/>
      <c r="CT371" s="446"/>
      <c r="CU371" s="446"/>
      <c r="CV371" s="445"/>
      <c r="CW371" s="813"/>
      <c r="CX371" s="445"/>
      <c r="CY371" s="446"/>
      <c r="CZ371" s="446"/>
      <c r="DA371" s="446"/>
      <c r="DB371" s="446"/>
      <c r="DC371" s="446"/>
      <c r="DD371" s="446"/>
      <c r="DE371" s="446"/>
      <c r="DF371" s="446"/>
      <c r="DG371" s="446"/>
      <c r="DH371" s="446"/>
      <c r="DI371" s="446"/>
      <c r="DJ371" s="446"/>
      <c r="DK371" s="446"/>
      <c r="DL371" s="446"/>
      <c r="DM371" s="446"/>
      <c r="DN371" s="446"/>
      <c r="DO371" s="446"/>
      <c r="DP371" s="446"/>
      <c r="DQ371" s="446"/>
      <c r="DR371" s="446"/>
      <c r="DS371" s="446"/>
      <c r="DT371" s="446"/>
      <c r="DU371" s="446"/>
      <c r="DV371" s="446"/>
      <c r="DW371" s="446"/>
      <c r="DX371" s="446"/>
      <c r="DY371" s="446"/>
    </row>
    <row r="372" spans="1:129" s="112" customFormat="1" ht="12" customHeight="1">
      <c r="A372" s="16"/>
      <c r="B372" s="16"/>
      <c r="C372" s="16"/>
      <c r="D372" s="1230"/>
      <c r="E372" s="708"/>
      <c r="F372" s="1230"/>
      <c r="G372" s="1230"/>
      <c r="H372" s="1230"/>
      <c r="I372" s="1230"/>
      <c r="J372" s="1230"/>
      <c r="K372" s="1230"/>
      <c r="L372" s="1230"/>
      <c r="M372" s="1230"/>
      <c r="N372" s="1230"/>
      <c r="O372" s="1230"/>
      <c r="P372" s="1230"/>
      <c r="Q372" s="1230"/>
      <c r="R372" s="1230"/>
      <c r="S372" s="1230"/>
      <c r="T372" s="1230"/>
      <c r="U372" s="1230"/>
      <c r="V372" s="1589"/>
      <c r="W372" s="1589"/>
      <c r="X372" s="1589"/>
      <c r="Y372" s="1589"/>
      <c r="Z372" s="1589"/>
      <c r="AA372" s="1230"/>
      <c r="AB372" s="1230"/>
      <c r="AC372" s="1230"/>
      <c r="AD372" s="1230"/>
      <c r="AE372" s="1230"/>
      <c r="AF372" s="1230"/>
      <c r="AG372" s="1230"/>
      <c r="AH372" s="1230"/>
      <c r="AI372" s="1230"/>
      <c r="AJ372" s="1230"/>
      <c r="AK372" s="1230"/>
      <c r="AL372" s="1230"/>
      <c r="AM372" s="1230"/>
      <c r="AN372" s="1230"/>
      <c r="AO372" s="1230"/>
      <c r="AP372" s="1230"/>
      <c r="AQ372" s="1230"/>
      <c r="AR372" s="1230"/>
      <c r="AS372" s="1230"/>
      <c r="AT372" s="1230"/>
      <c r="AU372" s="1230"/>
      <c r="AV372" s="1230"/>
      <c r="AW372" s="1230"/>
      <c r="AX372" s="1230"/>
      <c r="AY372" s="1230"/>
      <c r="AZ372" s="160"/>
      <c r="BA372" s="160"/>
      <c r="BB372" s="160"/>
      <c r="BC372" s="160"/>
      <c r="BD372" s="160"/>
      <c r="BE372" s="160"/>
      <c r="BF372" s="160"/>
      <c r="BG372" s="160"/>
      <c r="BH372" s="160"/>
      <c r="BI372" s="160"/>
      <c r="BJ372" s="160"/>
      <c r="BK372" s="160"/>
      <c r="BL372" s="160"/>
      <c r="BM372" s="160"/>
      <c r="BN372" s="446"/>
      <c r="BO372" s="446"/>
      <c r="BP372" s="446"/>
      <c r="BQ372" s="446"/>
      <c r="BR372" s="446"/>
      <c r="BS372" s="446"/>
      <c r="BT372" s="446"/>
      <c r="BU372" s="446"/>
      <c r="BV372" s="1225"/>
      <c r="BW372" s="446"/>
      <c r="BX372" s="446"/>
      <c r="BY372" s="446"/>
      <c r="BZ372" s="446"/>
      <c r="CA372" s="446"/>
      <c r="CB372" s="446"/>
      <c r="CC372" s="446"/>
      <c r="CD372" s="446"/>
      <c r="CE372" s="446"/>
      <c r="CF372" s="446"/>
      <c r="CG372" s="446"/>
      <c r="CH372" s="446"/>
      <c r="CI372" s="446"/>
      <c r="CJ372" s="446"/>
      <c r="CK372" s="446"/>
      <c r="CL372" s="446"/>
      <c r="CM372" s="446"/>
      <c r="CN372" s="446"/>
      <c r="CO372" s="446"/>
      <c r="CP372" s="446"/>
      <c r="CQ372" s="446"/>
      <c r="CR372" s="446"/>
      <c r="CS372" s="446"/>
      <c r="CT372" s="446"/>
      <c r="CU372" s="446"/>
      <c r="CV372" s="445"/>
      <c r="CW372" s="813"/>
      <c r="CX372" s="445"/>
      <c r="CY372" s="446"/>
      <c r="CZ372" s="446"/>
      <c r="DA372" s="446"/>
      <c r="DB372" s="446"/>
      <c r="DC372" s="446"/>
      <c r="DD372" s="446"/>
      <c r="DE372" s="446"/>
      <c r="DF372" s="446"/>
      <c r="DG372" s="446"/>
      <c r="DH372" s="446"/>
      <c r="DI372" s="446"/>
      <c r="DJ372" s="446"/>
      <c r="DK372" s="446"/>
      <c r="DL372" s="446"/>
      <c r="DM372" s="446"/>
      <c r="DN372" s="446"/>
      <c r="DO372" s="446"/>
      <c r="DP372" s="446"/>
      <c r="DQ372" s="446"/>
      <c r="DR372" s="446"/>
      <c r="DS372" s="446"/>
      <c r="DT372" s="446"/>
      <c r="DU372" s="446"/>
      <c r="DV372" s="446"/>
      <c r="DW372" s="446"/>
      <c r="DX372" s="446"/>
      <c r="DY372" s="446"/>
    </row>
    <row r="373" spans="1:129" s="112" customFormat="1" ht="12.6">
      <c r="A373" s="16"/>
      <c r="B373" s="16"/>
      <c r="E373" s="1226"/>
      <c r="F373" s="1227"/>
      <c r="G373" s="1227"/>
      <c r="H373" s="1227"/>
      <c r="I373" s="1227"/>
      <c r="J373" s="1227"/>
      <c r="K373" s="1227"/>
      <c r="L373" s="1227"/>
      <c r="M373" s="1227"/>
      <c r="N373" s="1227"/>
      <c r="O373" s="1228"/>
      <c r="P373" s="1227"/>
      <c r="Q373" s="1227"/>
      <c r="R373" s="693"/>
      <c r="S373" s="693"/>
      <c r="T373" s="1229"/>
      <c r="U373" s="1230"/>
      <c r="V373" s="1589"/>
      <c r="W373" s="1589"/>
      <c r="X373" s="1589"/>
      <c r="Y373" s="1589"/>
      <c r="Z373" s="1169"/>
      <c r="AA373" s="16"/>
      <c r="AB373" s="16"/>
      <c r="AC373" s="160"/>
      <c r="AD373" s="160"/>
      <c r="AE373" s="951"/>
      <c r="AF373" s="160"/>
      <c r="AG373" s="160"/>
      <c r="AH373" s="160"/>
      <c r="AI373" s="160"/>
      <c r="AJ373" s="160"/>
      <c r="AK373" s="160"/>
      <c r="AL373" s="160"/>
      <c r="AM373" s="160"/>
      <c r="AN373" s="160"/>
      <c r="AO373" s="160"/>
      <c r="AP373" s="160"/>
      <c r="AQ373" s="160"/>
      <c r="AR373" s="160"/>
      <c r="AS373" s="160"/>
      <c r="AT373" s="160"/>
      <c r="AU373" s="160"/>
      <c r="AV373" s="160"/>
      <c r="AW373" s="160"/>
      <c r="AX373" s="160"/>
      <c r="AY373" s="160"/>
      <c r="AZ373" s="160"/>
      <c r="BA373" s="160"/>
      <c r="BB373" s="160"/>
      <c r="BC373" s="160"/>
      <c r="BD373" s="160"/>
      <c r="BE373" s="160"/>
      <c r="BF373" s="160"/>
      <c r="BG373" s="160"/>
      <c r="BH373" s="160"/>
      <c r="BI373" s="160"/>
      <c r="BJ373" s="160"/>
      <c r="BK373" s="160"/>
      <c r="BL373" s="160"/>
      <c r="BM373" s="446"/>
      <c r="BN373" s="446"/>
      <c r="BO373" s="446"/>
      <c r="BP373" s="446"/>
      <c r="BQ373" s="446"/>
      <c r="BR373" s="446"/>
      <c r="BS373" s="446"/>
      <c r="BT373" s="446"/>
      <c r="BU373" s="446"/>
      <c r="BV373" s="1225"/>
      <c r="BW373" s="446"/>
      <c r="BX373" s="446"/>
      <c r="BY373" s="446"/>
      <c r="BZ373" s="446"/>
      <c r="CA373" s="446"/>
      <c r="CB373" s="446"/>
      <c r="CC373" s="446"/>
      <c r="CD373" s="446"/>
      <c r="CE373" s="446"/>
      <c r="CF373" s="446"/>
      <c r="CG373" s="446"/>
      <c r="CH373" s="446"/>
      <c r="CI373" s="446"/>
      <c r="CJ373" s="446"/>
      <c r="CK373" s="446"/>
      <c r="CL373" s="446"/>
      <c r="CM373" s="446"/>
      <c r="CN373" s="446"/>
      <c r="CO373" s="446"/>
      <c r="CP373" s="446"/>
      <c r="CQ373" s="446"/>
      <c r="CR373" s="446"/>
      <c r="CS373" s="446"/>
      <c r="CT373" s="446"/>
      <c r="CU373" s="446"/>
      <c r="CV373" s="445"/>
      <c r="CW373" s="117"/>
      <c r="CX373" s="445"/>
      <c r="CY373" s="446"/>
      <c r="CZ373" s="446"/>
      <c r="DA373" s="446"/>
      <c r="DB373" s="446"/>
      <c r="DC373" s="446"/>
      <c r="DD373" s="446"/>
      <c r="DE373" s="446"/>
      <c r="DF373" s="446"/>
      <c r="DG373" s="446"/>
      <c r="DH373" s="446"/>
      <c r="DI373" s="446"/>
      <c r="DJ373" s="446"/>
      <c r="DK373" s="446"/>
      <c r="DL373" s="446"/>
      <c r="DM373" s="446"/>
      <c r="DN373" s="446"/>
      <c r="DO373" s="446"/>
      <c r="DP373" s="446"/>
      <c r="DQ373" s="446"/>
      <c r="DR373" s="446"/>
      <c r="DS373" s="446"/>
      <c r="DT373" s="446"/>
      <c r="DU373" s="446"/>
      <c r="DV373" s="446"/>
      <c r="DW373" s="446"/>
      <c r="DX373" s="446"/>
      <c r="DY373" s="446"/>
    </row>
    <row r="374" spans="1:129" s="112" customFormat="1" ht="12.6">
      <c r="A374" s="16"/>
      <c r="B374" s="16"/>
      <c r="E374" s="1226"/>
      <c r="F374" s="1227"/>
      <c r="G374" s="1227"/>
      <c r="H374" s="1227"/>
      <c r="I374" s="1227"/>
      <c r="J374" s="1227"/>
      <c r="K374" s="1227"/>
      <c r="L374" s="1227"/>
      <c r="M374" s="1227"/>
      <c r="N374" s="1227"/>
      <c r="O374" s="1228"/>
      <c r="P374" s="1227"/>
      <c r="Q374" s="1227"/>
      <c r="R374" s="693"/>
      <c r="S374" s="693"/>
      <c r="T374" s="1229"/>
      <c r="U374" s="1230"/>
      <c r="V374" s="1589"/>
      <c r="W374" s="1589"/>
      <c r="X374" s="1589"/>
      <c r="Y374" s="1589"/>
      <c r="Z374" s="1169"/>
      <c r="AA374" s="16"/>
      <c r="AB374" s="16"/>
      <c r="AC374" s="160"/>
      <c r="AD374" s="160"/>
      <c r="AE374" s="951"/>
      <c r="AF374" s="160"/>
      <c r="AG374" s="160"/>
      <c r="AH374" s="160"/>
      <c r="AI374" s="160"/>
      <c r="AJ374" s="160"/>
      <c r="AK374" s="160"/>
      <c r="AL374" s="160"/>
      <c r="AM374" s="160"/>
      <c r="AN374" s="160"/>
      <c r="AO374" s="160"/>
      <c r="AP374" s="160"/>
      <c r="AQ374" s="160"/>
      <c r="AR374" s="160"/>
      <c r="AS374" s="160"/>
      <c r="AT374" s="160"/>
      <c r="AU374" s="160"/>
      <c r="AV374" s="160"/>
      <c r="AW374" s="160"/>
      <c r="AX374" s="160"/>
      <c r="AY374" s="160"/>
      <c r="AZ374" s="160"/>
      <c r="BA374" s="160"/>
      <c r="BB374" s="160"/>
      <c r="BC374" s="160"/>
      <c r="BD374" s="160"/>
      <c r="BE374" s="160"/>
      <c r="BF374" s="160"/>
      <c r="BG374" s="160"/>
      <c r="BH374" s="160"/>
      <c r="BI374" s="160"/>
      <c r="BJ374" s="160"/>
      <c r="BK374" s="160"/>
      <c r="BL374" s="160"/>
      <c r="BM374" s="446"/>
      <c r="BN374" s="446"/>
      <c r="BO374" s="446"/>
      <c r="BP374" s="446"/>
      <c r="BQ374" s="446"/>
      <c r="BR374" s="446"/>
      <c r="BS374" s="446"/>
      <c r="BT374" s="446"/>
      <c r="BU374" s="446"/>
      <c r="BV374" s="1225"/>
      <c r="BW374" s="446"/>
      <c r="BX374" s="446"/>
      <c r="BY374" s="446"/>
      <c r="BZ374" s="446"/>
      <c r="CA374" s="446"/>
      <c r="CB374" s="446"/>
      <c r="CC374" s="446"/>
      <c r="CD374" s="446"/>
      <c r="CE374" s="446"/>
      <c r="CF374" s="446"/>
      <c r="CG374" s="446"/>
      <c r="CH374" s="446"/>
      <c r="CI374" s="446"/>
      <c r="CJ374" s="446"/>
      <c r="CK374" s="446"/>
      <c r="CL374" s="446"/>
      <c r="CM374" s="446"/>
      <c r="CN374" s="446"/>
      <c r="CO374" s="446"/>
      <c r="CP374" s="446"/>
      <c r="CQ374" s="446"/>
      <c r="CR374" s="446"/>
      <c r="CS374" s="446"/>
      <c r="CT374" s="446"/>
      <c r="CU374" s="446"/>
      <c r="CV374" s="445"/>
      <c r="CW374" s="117"/>
      <c r="CX374" s="445"/>
      <c r="CY374" s="446"/>
      <c r="CZ374" s="446"/>
      <c r="DA374" s="446"/>
      <c r="DB374" s="446"/>
      <c r="DC374" s="446"/>
      <c r="DD374" s="446"/>
      <c r="DE374" s="446"/>
      <c r="DF374" s="446"/>
      <c r="DG374" s="446"/>
      <c r="DH374" s="446"/>
      <c r="DI374" s="446"/>
      <c r="DJ374" s="446"/>
      <c r="DK374" s="446"/>
      <c r="DL374" s="446"/>
      <c r="DM374" s="446"/>
      <c r="DN374" s="446"/>
      <c r="DO374" s="446"/>
      <c r="DP374" s="446"/>
      <c r="DQ374" s="446"/>
      <c r="DR374" s="446"/>
      <c r="DS374" s="446"/>
      <c r="DT374" s="446"/>
      <c r="DU374" s="446"/>
      <c r="DV374" s="446"/>
      <c r="DW374" s="446"/>
      <c r="DX374" s="446"/>
      <c r="DY374" s="446"/>
    </row>
    <row r="375" spans="1:129">
      <c r="Z375" s="74"/>
    </row>
    <row r="376" spans="1:129">
      <c r="Z376" s="74"/>
    </row>
    <row r="377" spans="1:129">
      <c r="Z377" s="74"/>
    </row>
    <row r="378" spans="1:129">
      <c r="Z378" s="74"/>
    </row>
    <row r="379" spans="1:129">
      <c r="Z379" s="74"/>
    </row>
    <row r="380" spans="1:129">
      <c r="Z380" s="74"/>
    </row>
    <row r="381" spans="1:129">
      <c r="Z381" s="74"/>
    </row>
    <row r="382" spans="1:129">
      <c r="Z382" s="74"/>
    </row>
    <row r="383" spans="1:129">
      <c r="Z383" s="74"/>
    </row>
    <row r="384" spans="1:129">
      <c r="Z384" s="74"/>
    </row>
    <row r="385" spans="1:129">
      <c r="Z385" s="74"/>
    </row>
    <row r="386" spans="1:129">
      <c r="Z386" s="74"/>
    </row>
    <row r="387" spans="1:129">
      <c r="Z387" s="74"/>
    </row>
    <row r="388" spans="1:129">
      <c r="Z388" s="74"/>
    </row>
    <row r="389" spans="1:129">
      <c r="Z389" s="74"/>
    </row>
    <row r="390" spans="1:129" s="68" customFormat="1" ht="17.399999999999999">
      <c r="E390" s="712"/>
      <c r="F390" s="76"/>
      <c r="G390" s="76"/>
      <c r="H390" s="76"/>
      <c r="I390" s="76"/>
      <c r="J390" s="76"/>
      <c r="K390" s="76"/>
      <c r="L390" s="76"/>
      <c r="M390" s="76"/>
      <c r="N390" s="76"/>
      <c r="O390" s="78"/>
      <c r="P390" s="76"/>
      <c r="Q390" s="76"/>
      <c r="R390" s="184"/>
      <c r="S390" s="188"/>
      <c r="T390" s="183"/>
      <c r="U390" s="76"/>
      <c r="V390" s="1445"/>
      <c r="W390" s="1445"/>
      <c r="X390" s="1445"/>
      <c r="Y390" s="74"/>
      <c r="Z390" s="1445"/>
      <c r="BE390" s="80"/>
      <c r="BF390" s="80"/>
      <c r="BG390" s="80"/>
      <c r="BH390" s="80"/>
      <c r="BI390" s="80"/>
      <c r="BJ390" s="80"/>
      <c r="BK390" s="80"/>
      <c r="BL390" s="80"/>
      <c r="BM390" s="80"/>
      <c r="BN390" s="80"/>
      <c r="BO390" s="80"/>
      <c r="BP390" s="80"/>
      <c r="BQ390" s="80"/>
      <c r="BR390" s="80"/>
      <c r="BS390" s="80"/>
      <c r="BT390" s="80"/>
      <c r="BU390" s="80"/>
      <c r="BV390" s="81"/>
      <c r="BW390" s="80"/>
      <c r="BX390" s="80"/>
      <c r="BY390" s="80"/>
      <c r="BZ390" s="80"/>
      <c r="CA390" s="123"/>
      <c r="CB390" s="123"/>
      <c r="CC390" s="123"/>
      <c r="CD390" s="123"/>
      <c r="CE390" s="123"/>
      <c r="CF390" s="123"/>
      <c r="CG390" s="123"/>
      <c r="CH390" s="123"/>
      <c r="CI390" s="446"/>
      <c r="CJ390" s="446"/>
      <c r="CK390" s="446"/>
      <c r="CL390" s="446"/>
      <c r="CM390" s="446"/>
      <c r="CN390" s="446"/>
      <c r="CO390" s="446"/>
      <c r="CP390" s="446"/>
      <c r="CQ390" s="446"/>
      <c r="CR390" s="446"/>
      <c r="CS390" s="446"/>
      <c r="CT390" s="446"/>
      <c r="CU390" s="446"/>
      <c r="CV390" s="445"/>
      <c r="CW390" s="305"/>
      <c r="CX390" s="117"/>
      <c r="CY390" s="133"/>
      <c r="CZ390" s="123"/>
      <c r="DA390" s="123"/>
      <c r="DB390" s="123"/>
      <c r="DC390" s="123"/>
      <c r="DD390" s="123"/>
      <c r="DE390" s="123"/>
      <c r="DF390" s="123"/>
      <c r="DG390" s="123"/>
      <c r="DH390" s="123"/>
      <c r="DI390" s="123"/>
      <c r="DJ390" s="123"/>
      <c r="DK390" s="123"/>
      <c r="DL390" s="123"/>
      <c r="DM390" s="123"/>
      <c r="DN390" s="123"/>
      <c r="DO390" s="123"/>
      <c r="DP390" s="80"/>
      <c r="DQ390" s="80"/>
      <c r="DR390" s="80"/>
      <c r="DS390" s="80"/>
      <c r="DT390" s="80"/>
      <c r="DU390" s="80"/>
      <c r="DV390" s="80"/>
      <c r="DW390" s="80"/>
      <c r="DX390" s="80"/>
      <c r="DY390" s="80"/>
    </row>
    <row r="391" spans="1:129" s="68" customFormat="1">
      <c r="E391" s="712"/>
      <c r="F391" s="76"/>
      <c r="G391" s="76"/>
      <c r="H391" s="76"/>
      <c r="I391" s="76"/>
      <c r="J391" s="76"/>
      <c r="K391" s="76"/>
      <c r="L391" s="76"/>
      <c r="M391" s="76"/>
      <c r="N391" s="76"/>
      <c r="O391" s="78"/>
      <c r="P391" s="76"/>
      <c r="Q391" s="76"/>
      <c r="R391" s="184"/>
      <c r="S391" s="184"/>
      <c r="T391" s="183"/>
      <c r="U391" s="76"/>
      <c r="V391" s="1445"/>
      <c r="W391" s="1445"/>
      <c r="X391" s="1445"/>
      <c r="Y391" s="1445"/>
      <c r="Z391" s="74"/>
      <c r="BE391" s="80"/>
      <c r="BF391" s="80"/>
      <c r="BG391" s="80"/>
      <c r="BH391" s="80"/>
      <c r="BI391" s="80"/>
      <c r="BJ391" s="80"/>
      <c r="BK391" s="80"/>
      <c r="BL391" s="80"/>
      <c r="BM391" s="80"/>
      <c r="BN391" s="80"/>
      <c r="BO391" s="80"/>
      <c r="BP391" s="80"/>
      <c r="BQ391" s="80"/>
      <c r="BR391" s="80"/>
      <c r="BS391" s="80"/>
      <c r="BT391" s="80"/>
      <c r="BU391" s="80"/>
      <c r="BV391" s="81"/>
      <c r="BW391" s="80"/>
      <c r="BX391" s="80"/>
      <c r="BY391" s="80"/>
      <c r="BZ391" s="80"/>
      <c r="CA391" s="123"/>
      <c r="CB391" s="123"/>
      <c r="CC391" s="123"/>
      <c r="CD391" s="123"/>
      <c r="CE391" s="123"/>
      <c r="CF391" s="123"/>
      <c r="CG391" s="123"/>
      <c r="CH391" s="123"/>
      <c r="CI391" s="446"/>
      <c r="CJ391" s="446"/>
      <c r="CK391" s="446"/>
      <c r="CL391" s="446"/>
      <c r="CM391" s="446"/>
      <c r="CN391" s="446"/>
      <c r="CO391" s="446"/>
      <c r="CP391" s="446"/>
      <c r="CQ391" s="446"/>
      <c r="CR391" s="446"/>
      <c r="CS391" s="446"/>
      <c r="CT391" s="446"/>
      <c r="CU391" s="446"/>
      <c r="CV391" s="445" t="str">
        <f>IF(Basisdaten!$B$15=Basisdaten!$D$2,'8 Kapital|Capital'!CW391,CX391)</f>
        <v>Sonstige</v>
      </c>
      <c r="CW391" s="814" t="s">
        <v>134</v>
      </c>
      <c r="CX391" s="117" t="s">
        <v>225</v>
      </c>
      <c r="CY391" s="123"/>
      <c r="CZ391" s="123"/>
      <c r="DA391" s="123"/>
      <c r="DB391" s="123"/>
      <c r="DC391" s="123"/>
      <c r="DD391" s="123"/>
      <c r="DE391" s="123"/>
      <c r="DF391" s="123"/>
      <c r="DG391" s="123"/>
      <c r="DH391" s="123"/>
      <c r="DI391" s="123"/>
      <c r="DJ391" s="123"/>
      <c r="DK391" s="123"/>
      <c r="DL391" s="123"/>
      <c r="DM391" s="123"/>
      <c r="DN391" s="123"/>
      <c r="DO391" s="123"/>
      <c r="DP391" s="80"/>
      <c r="DQ391" s="80"/>
      <c r="DR391" s="80"/>
      <c r="DS391" s="80"/>
      <c r="DT391" s="80"/>
      <c r="DU391" s="80"/>
      <c r="DV391" s="80"/>
      <c r="DW391" s="80"/>
      <c r="DX391" s="80"/>
      <c r="DY391" s="80"/>
    </row>
    <row r="392" spans="1:129" s="68" customFormat="1">
      <c r="R392" s="184"/>
      <c r="S392" s="184"/>
      <c r="T392" s="183"/>
      <c r="U392" s="76"/>
      <c r="V392" s="1445"/>
      <c r="W392" s="1445"/>
      <c r="X392" s="1445"/>
      <c r="Y392" s="1445"/>
      <c r="Z392" s="74"/>
      <c r="BE392" s="80"/>
      <c r="BF392" s="80"/>
      <c r="BG392" s="80"/>
      <c r="BH392" s="80"/>
      <c r="BI392" s="80"/>
      <c r="BJ392" s="80"/>
      <c r="BK392" s="80"/>
      <c r="BL392" s="80"/>
      <c r="BM392" s="80"/>
      <c r="BN392" s="80"/>
      <c r="BO392" s="80"/>
      <c r="BP392" s="80"/>
      <c r="BQ392" s="80"/>
      <c r="BR392" s="80"/>
      <c r="BS392" s="80"/>
      <c r="BT392" s="80"/>
      <c r="BU392" s="80"/>
      <c r="BV392" s="81"/>
      <c r="BW392" s="80"/>
      <c r="BX392" s="80"/>
      <c r="BY392" s="80"/>
      <c r="BZ392" s="80"/>
      <c r="CA392" s="123"/>
      <c r="CB392" s="123"/>
      <c r="CC392" s="123"/>
      <c r="CD392" s="123"/>
      <c r="CE392" s="123"/>
      <c r="CF392" s="123"/>
      <c r="CG392" s="123"/>
      <c r="CH392" s="123"/>
      <c r="CI392" s="446"/>
      <c r="CJ392" s="446"/>
      <c r="CK392" s="446"/>
      <c r="CL392" s="446"/>
      <c r="CM392" s="446"/>
      <c r="CN392" s="446"/>
      <c r="CO392" s="446"/>
      <c r="CP392" s="446"/>
      <c r="CQ392" s="446"/>
      <c r="CR392" s="446"/>
      <c r="CS392" s="446"/>
      <c r="CT392" s="446"/>
      <c r="CU392" s="446"/>
      <c r="CV392" s="445" t="str">
        <f>IF(Basisdaten!$B$15=Basisdaten!$D$2,'8 Kapital|Capital'!CW392,CX392)</f>
        <v>Eigenkaptial und -leistung</v>
      </c>
      <c r="CW392" s="487" t="s">
        <v>73</v>
      </c>
      <c r="CX392" s="117" t="s">
        <v>675</v>
      </c>
      <c r="CY392" s="133"/>
      <c r="CZ392" s="133"/>
      <c r="DA392" s="123"/>
      <c r="DB392" s="123"/>
      <c r="DC392" s="123"/>
      <c r="DD392" s="123"/>
      <c r="DE392" s="123"/>
      <c r="DF392" s="123"/>
      <c r="DG392" s="123"/>
      <c r="DH392" s="123"/>
      <c r="DI392" s="123"/>
      <c r="DJ392" s="123"/>
      <c r="DK392" s="123"/>
      <c r="DL392" s="123"/>
      <c r="DM392" s="123"/>
      <c r="DN392" s="123"/>
      <c r="DO392" s="123"/>
      <c r="DP392" s="80"/>
      <c r="DQ392" s="80"/>
      <c r="DR392" s="80"/>
      <c r="DS392" s="80"/>
      <c r="DT392" s="80"/>
      <c r="DU392" s="80"/>
      <c r="DV392" s="80"/>
      <c r="DW392" s="80"/>
      <c r="DX392" s="80"/>
      <c r="DY392" s="80"/>
    </row>
    <row r="393" spans="1:129" s="68" customFormat="1">
      <c r="R393" s="182"/>
      <c r="S393" s="182"/>
      <c r="T393" s="193"/>
      <c r="U393" s="182"/>
      <c r="V393" s="193"/>
      <c r="W393" s="193"/>
      <c r="X393" s="193"/>
      <c r="Y393" s="193"/>
      <c r="Z393" s="193"/>
      <c r="AA393" s="182"/>
      <c r="AB393" s="182"/>
      <c r="AC393" s="182"/>
      <c r="AD393" s="182"/>
      <c r="AE393" s="182"/>
      <c r="BE393" s="80"/>
      <c r="BF393" s="80"/>
      <c r="BG393" s="80"/>
      <c r="BH393" s="80"/>
      <c r="BI393" s="80"/>
      <c r="BJ393" s="80"/>
      <c r="BK393" s="80"/>
      <c r="BL393" s="80"/>
      <c r="BM393" s="80"/>
      <c r="BN393" s="80"/>
      <c r="BO393" s="80"/>
      <c r="BP393" s="80"/>
      <c r="BQ393" s="80"/>
      <c r="BR393" s="80"/>
      <c r="BS393" s="80"/>
      <c r="BT393" s="80"/>
      <c r="BU393" s="80"/>
      <c r="BV393" s="81"/>
      <c r="BW393" s="80"/>
      <c r="BX393" s="80"/>
      <c r="BY393" s="80"/>
      <c r="BZ393" s="80"/>
      <c r="CA393" s="123"/>
      <c r="CB393" s="123"/>
      <c r="CC393" s="123"/>
      <c r="CD393" s="123"/>
      <c r="CE393" s="123"/>
      <c r="CF393" s="123"/>
      <c r="CG393" s="123"/>
      <c r="CH393" s="123"/>
      <c r="CI393" s="446"/>
      <c r="CJ393" s="446"/>
      <c r="CK393" s="446"/>
      <c r="CL393" s="446"/>
      <c r="CM393" s="446"/>
      <c r="CN393" s="446"/>
      <c r="CO393" s="446"/>
      <c r="CP393" s="446"/>
      <c r="CQ393" s="446"/>
      <c r="CR393" s="446"/>
      <c r="CS393" s="446"/>
      <c r="CT393" s="446"/>
      <c r="CU393" s="446"/>
      <c r="CV393" s="445" t="str">
        <f>IF(Basisdaten!$B$15=Basisdaten!$D$2,'8 Kapital|Capital'!CW393,CX393)</f>
        <v>Summe Fremdfinanzierung</v>
      </c>
      <c r="CW393" s="487" t="s">
        <v>687</v>
      </c>
      <c r="CX393" s="117" t="s">
        <v>688</v>
      </c>
      <c r="CY393" s="133"/>
      <c r="CZ393" s="133"/>
      <c r="DA393" s="123"/>
      <c r="DB393" s="123"/>
      <c r="DC393" s="123"/>
      <c r="DD393" s="123"/>
      <c r="DE393" s="123"/>
      <c r="DF393" s="123"/>
      <c r="DG393" s="123"/>
      <c r="DH393" s="123"/>
      <c r="DI393" s="123"/>
      <c r="DJ393" s="123"/>
      <c r="DK393" s="123"/>
      <c r="DL393" s="123"/>
      <c r="DM393" s="123"/>
      <c r="DN393" s="123"/>
      <c r="DO393" s="123"/>
      <c r="DP393" s="80"/>
      <c r="DQ393" s="80"/>
      <c r="DR393" s="80"/>
      <c r="DS393" s="80"/>
      <c r="DT393" s="80"/>
      <c r="DU393" s="80"/>
      <c r="DV393" s="80"/>
      <c r="DW393" s="80"/>
      <c r="DX393" s="80"/>
      <c r="DY393" s="80"/>
    </row>
    <row r="394" spans="1:129" ht="18" customHeight="1">
      <c r="T394" s="191"/>
      <c r="U394" s="68"/>
      <c r="V394" s="74"/>
      <c r="W394" s="74"/>
      <c r="X394" s="74"/>
      <c r="Y394" s="74"/>
      <c r="Z394" s="74"/>
      <c r="AC394" s="68"/>
      <c r="AD394" s="68"/>
      <c r="AE394" s="68"/>
      <c r="AF394" s="68"/>
      <c r="AG394" s="68"/>
      <c r="AH394" s="68"/>
      <c r="AI394" s="68"/>
      <c r="AJ394" s="68"/>
      <c r="AK394" s="68"/>
      <c r="AL394" s="68"/>
      <c r="AM394" s="68"/>
      <c r="AN394" s="68"/>
      <c r="AO394" s="68"/>
      <c r="AP394" s="68"/>
      <c r="AQ394" s="68"/>
      <c r="AR394" s="68"/>
      <c r="AS394" s="68"/>
      <c r="AT394" s="68"/>
      <c r="AU394" s="68"/>
      <c r="AV394" s="68"/>
      <c r="AW394" s="68"/>
      <c r="AX394" s="68"/>
      <c r="AY394" s="68"/>
      <c r="AZ394" s="68"/>
      <c r="BA394" s="68"/>
      <c r="BB394" s="68"/>
      <c r="BC394" s="68"/>
      <c r="BD394" s="68"/>
      <c r="CV394" s="445" t="str">
        <f>IF(Basisdaten!$B$15=Basisdaten!$D$2,'8 Kapital|Capital'!CW394,CX394)</f>
        <v>Summe</v>
      </c>
      <c r="CW394" s="487" t="s">
        <v>32</v>
      </c>
      <c r="CX394" s="117" t="s">
        <v>141</v>
      </c>
      <c r="CY394" s="133"/>
      <c r="CZ394" s="133"/>
    </row>
    <row r="395" spans="1:129" s="30" customFormat="1">
      <c r="A395" s="68"/>
      <c r="B395" s="68"/>
      <c r="R395" s="182"/>
      <c r="S395" s="182"/>
      <c r="T395" s="193"/>
      <c r="U395" s="182"/>
      <c r="V395" s="193"/>
      <c r="W395" s="193"/>
      <c r="X395" s="193"/>
      <c r="Y395" s="193"/>
      <c r="Z395" s="193"/>
      <c r="AA395" s="182"/>
      <c r="AB395" s="182"/>
      <c r="AC395" s="182"/>
      <c r="AD395" s="182"/>
      <c r="AE395" s="182"/>
      <c r="AF395" s="37"/>
      <c r="AG395" s="37"/>
      <c r="AH395" s="37"/>
      <c r="AI395" s="37"/>
      <c r="AJ395" s="37"/>
      <c r="AK395" s="37"/>
      <c r="AL395" s="37"/>
      <c r="AM395" s="37"/>
      <c r="AN395" s="37"/>
      <c r="AO395" s="37"/>
      <c r="AP395" s="37"/>
      <c r="AQ395" s="37"/>
      <c r="AR395" s="37"/>
      <c r="AS395" s="37"/>
      <c r="AT395" s="37"/>
      <c r="AU395" s="37"/>
      <c r="AV395" s="37"/>
      <c r="AW395" s="37"/>
      <c r="AX395" s="37"/>
      <c r="AY395" s="37"/>
      <c r="AZ395" s="37"/>
      <c r="BA395" s="37"/>
      <c r="BB395" s="37"/>
      <c r="BC395" s="37"/>
      <c r="BD395" s="37"/>
      <c r="BE395" s="136"/>
      <c r="BF395" s="136"/>
      <c r="BG395" s="136"/>
      <c r="BH395" s="136"/>
      <c r="BI395" s="136"/>
      <c r="BJ395" s="136"/>
      <c r="BK395" s="136"/>
      <c r="BL395" s="136"/>
      <c r="BM395" s="133"/>
      <c r="BN395" s="133"/>
      <c r="BO395" s="133"/>
      <c r="BP395" s="133"/>
      <c r="BQ395" s="133"/>
      <c r="BR395" s="133"/>
      <c r="BS395" s="133"/>
      <c r="BT395" s="133"/>
      <c r="BU395" s="133"/>
      <c r="BV395" s="194"/>
      <c r="BW395" s="133"/>
      <c r="BX395" s="133"/>
      <c r="BY395" s="133"/>
      <c r="BZ395" s="133"/>
      <c r="CA395" s="133"/>
      <c r="CB395" s="133"/>
      <c r="CC395" s="133"/>
      <c r="CD395" s="133"/>
      <c r="CE395" s="133"/>
      <c r="CF395" s="133"/>
      <c r="CG395" s="133"/>
      <c r="CH395" s="133"/>
      <c r="CI395" s="445"/>
      <c r="CJ395" s="445"/>
      <c r="CK395" s="445"/>
      <c r="CL395" s="445"/>
      <c r="CM395" s="445"/>
      <c r="CN395" s="445"/>
      <c r="CO395" s="445"/>
      <c r="CP395" s="445"/>
      <c r="CQ395" s="445"/>
      <c r="CR395" s="445"/>
      <c r="CS395" s="445"/>
      <c r="CT395" s="445"/>
      <c r="CU395" s="445"/>
      <c r="CV395" s="445">
        <f>IF(Basisdaten!$B$15=Basisdaten!$D$2,'8 Kapital|Capital'!CW395,CX395)</f>
        <v>0</v>
      </c>
      <c r="CW395" s="117"/>
      <c r="CX395" s="117"/>
      <c r="CY395" s="133"/>
      <c r="CZ395" s="133"/>
      <c r="DA395" s="133"/>
      <c r="DB395" s="133"/>
      <c r="DC395" s="133"/>
      <c r="DD395" s="133"/>
      <c r="DE395" s="133"/>
      <c r="DF395" s="133"/>
      <c r="DG395" s="133"/>
      <c r="DH395" s="133"/>
      <c r="DI395" s="133"/>
      <c r="DJ395" s="133"/>
      <c r="DK395" s="133"/>
      <c r="DL395" s="133"/>
      <c r="DM395" s="133"/>
      <c r="DN395" s="133"/>
      <c r="DO395" s="133"/>
      <c r="DP395" s="133"/>
      <c r="DQ395" s="133"/>
      <c r="DR395" s="133"/>
      <c r="DS395" s="133"/>
      <c r="DT395" s="133"/>
      <c r="DU395" s="133"/>
      <c r="DV395" s="133"/>
      <c r="DW395" s="133"/>
      <c r="DX395" s="133"/>
      <c r="DY395" s="133"/>
    </row>
    <row r="396" spans="1:129">
      <c r="A396" s="37"/>
      <c r="B396" s="37"/>
      <c r="T396" s="193"/>
      <c r="U396" s="182"/>
      <c r="V396" s="193"/>
      <c r="W396" s="193"/>
      <c r="X396" s="193"/>
      <c r="Y396" s="193"/>
      <c r="Z396" s="193"/>
      <c r="AA396" s="182"/>
      <c r="AB396" s="182"/>
      <c r="AC396" s="182"/>
      <c r="AD396" s="182"/>
      <c r="AE396" s="182"/>
      <c r="AF396" s="68"/>
      <c r="AG396" s="68"/>
      <c r="AH396" s="68"/>
      <c r="AI396" s="68"/>
      <c r="AJ396" s="68"/>
      <c r="AK396" s="68"/>
      <c r="AL396" s="68"/>
      <c r="AM396" s="68"/>
      <c r="AN396" s="68"/>
      <c r="AO396" s="68"/>
      <c r="AP396" s="68"/>
      <c r="AQ396" s="68"/>
      <c r="AR396" s="68"/>
      <c r="AS396" s="68"/>
      <c r="AT396" s="68"/>
      <c r="AU396" s="68"/>
      <c r="AV396" s="68"/>
      <c r="AW396" s="68"/>
      <c r="AX396" s="68"/>
      <c r="AY396" s="68"/>
      <c r="AZ396" s="68"/>
      <c r="BA396" s="68"/>
      <c r="BB396" s="68"/>
      <c r="BC396" s="68"/>
      <c r="BD396" s="68"/>
      <c r="CV396" s="445" t="str">
        <f>IF(Basisdaten!$B$15=Basisdaten!$D$2,'8 Kapital|Capital'!CW396,CX396)</f>
        <v>Monatsbeträge für 2025</v>
      </c>
      <c r="CW396" s="117" t="s">
        <v>805</v>
      </c>
      <c r="CX396" s="117" t="s">
        <v>810</v>
      </c>
      <c r="CY396" s="133"/>
      <c r="CZ396" s="133"/>
    </row>
    <row r="397" spans="1:129">
      <c r="T397" s="193"/>
      <c r="U397" s="182"/>
      <c r="V397" s="193"/>
      <c r="W397" s="193"/>
      <c r="X397" s="193"/>
      <c r="Y397" s="193"/>
      <c r="Z397" s="193"/>
      <c r="AA397" s="182"/>
      <c r="AB397" s="182"/>
      <c r="AC397" s="182"/>
      <c r="AD397" s="182"/>
      <c r="AE397" s="182"/>
      <c r="AF397" s="68"/>
      <c r="AG397" s="68"/>
      <c r="AH397" s="68"/>
      <c r="AI397" s="68"/>
      <c r="AJ397" s="68"/>
      <c r="AK397" s="68"/>
      <c r="AL397" s="68"/>
      <c r="AM397" s="68"/>
      <c r="AN397" s="68"/>
      <c r="AO397" s="68"/>
      <c r="AP397" s="68"/>
      <c r="AQ397" s="68"/>
      <c r="AR397" s="68"/>
      <c r="AS397" s="68"/>
      <c r="AT397" s="68"/>
      <c r="AU397" s="68"/>
      <c r="AV397" s="68"/>
      <c r="AW397" s="68"/>
      <c r="AX397" s="68"/>
      <c r="AY397" s="68"/>
      <c r="AZ397" s="68"/>
      <c r="BA397" s="68"/>
      <c r="BB397" s="68"/>
      <c r="BC397" s="68"/>
      <c r="BD397" s="68"/>
      <c r="CV397" s="445" t="str">
        <f>IF(Basisdaten!$B$15=Basisdaten!$D$2,'8 Kapital|Capital'!CW397,CX397)</f>
        <v>Zins Fremdkapital</v>
      </c>
      <c r="CW397" s="117" t="s">
        <v>81</v>
      </c>
      <c r="CX397" s="117" t="s">
        <v>226</v>
      </c>
      <c r="CY397" s="133"/>
      <c r="CZ397" s="133"/>
    </row>
    <row r="398" spans="1:129" s="68" customFormat="1" ht="13.5" customHeight="1">
      <c r="R398" s="182"/>
      <c r="S398" s="182"/>
      <c r="T398" s="191"/>
      <c r="V398" s="74"/>
      <c r="W398" s="74"/>
      <c r="X398" s="74"/>
      <c r="Y398" s="74"/>
      <c r="Z398" s="74"/>
      <c r="BE398" s="80"/>
      <c r="BF398" s="80"/>
      <c r="BG398" s="80"/>
      <c r="BH398" s="80"/>
      <c r="BI398" s="80"/>
      <c r="BJ398" s="80"/>
      <c r="BK398" s="80"/>
      <c r="BL398" s="80"/>
      <c r="BM398" s="80"/>
      <c r="BN398" s="80"/>
      <c r="BO398" s="80"/>
      <c r="BP398" s="80"/>
      <c r="BQ398" s="80"/>
      <c r="BR398" s="80"/>
      <c r="BS398" s="80"/>
      <c r="BT398" s="80"/>
      <c r="BU398" s="80"/>
      <c r="BV398" s="81"/>
      <c r="BW398" s="80"/>
      <c r="BX398" s="80"/>
      <c r="BY398" s="80"/>
      <c r="BZ398" s="80"/>
      <c r="CA398" s="123"/>
      <c r="CB398" s="123"/>
      <c r="CC398" s="123"/>
      <c r="CD398" s="123"/>
      <c r="CE398" s="123"/>
      <c r="CF398" s="123"/>
      <c r="CG398" s="123"/>
      <c r="CH398" s="123"/>
      <c r="CI398" s="446"/>
      <c r="CJ398" s="446"/>
      <c r="CK398" s="446"/>
      <c r="CL398" s="446"/>
      <c r="CM398" s="446"/>
      <c r="CN398" s="446"/>
      <c r="CO398" s="446"/>
      <c r="CP398" s="446"/>
      <c r="CQ398" s="446"/>
      <c r="CR398" s="446"/>
      <c r="CS398" s="446"/>
      <c r="CT398" s="446"/>
      <c r="CU398" s="446"/>
      <c r="CV398" s="445" t="str">
        <f>IF(Basisdaten!$B$15=Basisdaten!$D$2,'8 Kapital|Capital'!CW398,CX398)</f>
        <v>Tilgung Fremdkapital</v>
      </c>
      <c r="CW398" s="117" t="s">
        <v>82</v>
      </c>
      <c r="CX398" s="117" t="s">
        <v>401</v>
      </c>
      <c r="CY398" s="133"/>
      <c r="CZ398" s="133"/>
      <c r="DA398" s="123"/>
      <c r="DB398" s="123"/>
      <c r="DC398" s="123"/>
      <c r="DD398" s="123"/>
      <c r="DE398" s="123"/>
      <c r="DF398" s="123"/>
      <c r="DG398" s="123"/>
      <c r="DH398" s="123"/>
      <c r="DI398" s="123"/>
      <c r="DJ398" s="123"/>
      <c r="DK398" s="123"/>
      <c r="DL398" s="123"/>
      <c r="DM398" s="123"/>
      <c r="DN398" s="123"/>
      <c r="DO398" s="123"/>
      <c r="DP398" s="80"/>
      <c r="DQ398" s="80"/>
      <c r="DR398" s="80"/>
      <c r="DS398" s="80"/>
      <c r="DT398" s="80"/>
      <c r="DU398" s="80"/>
      <c r="DV398" s="80"/>
      <c r="DW398" s="80"/>
      <c r="DX398" s="80"/>
      <c r="DY398" s="80"/>
    </row>
    <row r="399" spans="1:129" s="68" customFormat="1">
      <c r="R399" s="182"/>
      <c r="S399" s="182"/>
      <c r="T399" s="191"/>
      <c r="V399" s="74"/>
      <c r="W399" s="74"/>
      <c r="X399" s="74"/>
      <c r="Y399" s="74"/>
      <c r="Z399" s="74"/>
      <c r="BE399" s="80"/>
      <c r="BF399" s="80"/>
      <c r="BG399" s="80"/>
      <c r="BH399" s="80"/>
      <c r="BI399" s="80"/>
      <c r="BJ399" s="80"/>
      <c r="BK399" s="80"/>
      <c r="BL399" s="80"/>
      <c r="BM399" s="80"/>
      <c r="BN399" s="80"/>
      <c r="BO399" s="80"/>
      <c r="BP399" s="80"/>
      <c r="BQ399" s="80"/>
      <c r="BR399" s="80"/>
      <c r="BS399" s="80"/>
      <c r="BT399" s="80"/>
      <c r="BU399" s="80"/>
      <c r="BV399" s="81"/>
      <c r="BW399" s="80"/>
      <c r="BX399" s="80"/>
      <c r="BY399" s="80"/>
      <c r="BZ399" s="80"/>
      <c r="CA399" s="123"/>
      <c r="CB399" s="123"/>
      <c r="CC399" s="123"/>
      <c r="CD399" s="123"/>
      <c r="CE399" s="123"/>
      <c r="CF399" s="123"/>
      <c r="CG399" s="123"/>
      <c r="CH399" s="123"/>
      <c r="CI399" s="446"/>
      <c r="CJ399" s="446"/>
      <c r="CK399" s="446"/>
      <c r="CL399" s="446"/>
      <c r="CM399" s="446"/>
      <c r="CN399" s="446"/>
      <c r="CO399" s="446"/>
      <c r="CP399" s="446"/>
      <c r="CQ399" s="446"/>
      <c r="CR399" s="446"/>
      <c r="CS399" s="446"/>
      <c r="CT399" s="446"/>
      <c r="CU399" s="446"/>
      <c r="CV399" s="445" t="str">
        <f>IF(Basisdaten!$B$15=Basisdaten!$D$2,'8 Kapital|Capital'!CW399,CX399)</f>
        <v>Belastung gesamt</v>
      </c>
      <c r="CW399" s="305" t="s">
        <v>83</v>
      </c>
      <c r="CX399" s="117" t="s">
        <v>402</v>
      </c>
      <c r="CY399" s="133"/>
      <c r="CZ399" s="133"/>
      <c r="DA399" s="123"/>
      <c r="DB399" s="123"/>
      <c r="DC399" s="123"/>
      <c r="DD399" s="123"/>
      <c r="DE399" s="123"/>
      <c r="DF399" s="123"/>
      <c r="DG399" s="123"/>
      <c r="DH399" s="123"/>
      <c r="DI399" s="123"/>
      <c r="DJ399" s="123"/>
      <c r="DK399" s="123"/>
      <c r="DL399" s="123"/>
      <c r="DM399" s="123"/>
      <c r="DN399" s="123"/>
      <c r="DO399" s="123"/>
      <c r="DP399" s="80"/>
      <c r="DQ399" s="80"/>
      <c r="DR399" s="80"/>
      <c r="DS399" s="80"/>
      <c r="DT399" s="80"/>
      <c r="DU399" s="80"/>
      <c r="DV399" s="80"/>
      <c r="DW399" s="80"/>
      <c r="DX399" s="80"/>
      <c r="DY399" s="80"/>
    </row>
    <row r="400" spans="1:129" s="68" customFormat="1">
      <c r="R400" s="182"/>
      <c r="S400" s="182"/>
      <c r="T400" s="191"/>
      <c r="V400" s="74"/>
      <c r="W400" s="74"/>
      <c r="X400" s="74"/>
      <c r="Y400" s="74"/>
      <c r="Z400" s="74"/>
      <c r="BE400" s="80"/>
      <c r="BF400" s="80"/>
      <c r="BG400" s="80"/>
      <c r="BH400" s="80"/>
      <c r="BI400" s="80"/>
      <c r="BJ400" s="80"/>
      <c r="BK400" s="80"/>
      <c r="BL400" s="80"/>
      <c r="BM400" s="80"/>
      <c r="BN400" s="80"/>
      <c r="BO400" s="80"/>
      <c r="BP400" s="80"/>
      <c r="BQ400" s="80"/>
      <c r="BR400" s="80"/>
      <c r="BS400" s="80"/>
      <c r="BT400" s="80"/>
      <c r="BU400" s="80"/>
      <c r="BV400" s="81"/>
      <c r="BW400" s="80"/>
      <c r="BX400" s="80"/>
      <c r="BY400" s="80"/>
      <c r="BZ400" s="80"/>
      <c r="CA400" s="123"/>
      <c r="CB400" s="123"/>
      <c r="CC400" s="123"/>
      <c r="CD400" s="123"/>
      <c r="CE400" s="123"/>
      <c r="CF400" s="123"/>
      <c r="CG400" s="123"/>
      <c r="CH400" s="123"/>
      <c r="CI400" s="446"/>
      <c r="CJ400" s="446"/>
      <c r="CK400" s="446"/>
      <c r="CL400" s="446"/>
      <c r="CM400" s="446"/>
      <c r="CN400" s="446"/>
      <c r="CO400" s="446"/>
      <c r="CP400" s="446"/>
      <c r="CQ400" s="446"/>
      <c r="CR400" s="446"/>
      <c r="CS400" s="446"/>
      <c r="CT400" s="446"/>
      <c r="CU400" s="446"/>
      <c r="CV400" s="445">
        <f>IF(Basisdaten!$B$15=Basisdaten!$D$2,'8 Kapital|Capital'!CW400,CX400)</f>
        <v>0</v>
      </c>
      <c r="CW400" s="16"/>
      <c r="CX400" s="295"/>
      <c r="CY400" s="133"/>
      <c r="CZ400" s="133"/>
      <c r="DA400" s="123"/>
      <c r="DB400" s="123"/>
      <c r="DC400" s="123"/>
      <c r="DD400" s="123"/>
      <c r="DE400" s="123"/>
      <c r="DF400" s="123"/>
      <c r="DG400" s="123"/>
      <c r="DH400" s="123"/>
      <c r="DI400" s="123"/>
      <c r="DJ400" s="123"/>
      <c r="DK400" s="123"/>
      <c r="DL400" s="123"/>
      <c r="DM400" s="123"/>
      <c r="DN400" s="123"/>
      <c r="DO400" s="123"/>
      <c r="DP400" s="80"/>
      <c r="DQ400" s="80"/>
      <c r="DR400" s="80"/>
      <c r="DS400" s="80"/>
      <c r="DT400" s="80"/>
      <c r="DU400" s="80"/>
      <c r="DV400" s="80"/>
      <c r="DW400" s="80"/>
      <c r="DX400" s="80"/>
      <c r="DY400" s="80"/>
    </row>
    <row r="401" spans="1:129" s="68" customFormat="1">
      <c r="R401" s="182"/>
      <c r="S401" s="182"/>
      <c r="T401" s="191"/>
      <c r="V401" s="74"/>
      <c r="W401" s="74"/>
      <c r="X401" s="74"/>
      <c r="Y401" s="74"/>
      <c r="Z401" s="74"/>
      <c r="BE401" s="80"/>
      <c r="BF401" s="80"/>
      <c r="BG401" s="80"/>
      <c r="BH401" s="80"/>
      <c r="BI401" s="80"/>
      <c r="BJ401" s="80"/>
      <c r="BK401" s="80"/>
      <c r="BL401" s="80"/>
      <c r="BM401" s="80"/>
      <c r="BN401" s="80"/>
      <c r="BO401" s="80"/>
      <c r="BP401" s="80"/>
      <c r="BQ401" s="80"/>
      <c r="BR401" s="80"/>
      <c r="BS401" s="80"/>
      <c r="BT401" s="80"/>
      <c r="BU401" s="80"/>
      <c r="BV401" s="81"/>
      <c r="BW401" s="80"/>
      <c r="BX401" s="80"/>
      <c r="BY401" s="80"/>
      <c r="BZ401" s="80"/>
      <c r="CA401" s="123"/>
      <c r="CB401" s="123"/>
      <c r="CC401" s="123"/>
      <c r="CD401" s="123"/>
      <c r="CE401" s="123"/>
      <c r="CF401" s="123"/>
      <c r="CG401" s="123"/>
      <c r="CH401" s="123"/>
      <c r="CI401" s="446"/>
      <c r="CJ401" s="446"/>
      <c r="CK401" s="446"/>
      <c r="CL401" s="446"/>
      <c r="CM401" s="446"/>
      <c r="CN401" s="446"/>
      <c r="CO401" s="446"/>
      <c r="CP401" s="446"/>
      <c r="CQ401" s="446"/>
      <c r="CR401" s="446"/>
      <c r="CS401" s="446"/>
      <c r="CT401" s="446"/>
      <c r="CU401" s="446"/>
      <c r="CV401" s="445">
        <f>IF(Basisdaten!$B$15=Basisdaten!$D$2,'8 Kapital|Capital'!CW401,CX401)</f>
        <v>0</v>
      </c>
      <c r="CW401" s="117"/>
      <c r="CX401" s="445"/>
      <c r="CY401" s="133"/>
      <c r="CZ401" s="133"/>
      <c r="DA401" s="123"/>
      <c r="DB401" s="123"/>
      <c r="DC401" s="123"/>
      <c r="DD401" s="123"/>
      <c r="DE401" s="123"/>
      <c r="DF401" s="123"/>
      <c r="DG401" s="123"/>
      <c r="DH401" s="123"/>
      <c r="DI401" s="123"/>
      <c r="DJ401" s="123"/>
      <c r="DK401" s="123"/>
      <c r="DL401" s="123"/>
      <c r="DM401" s="123"/>
      <c r="DN401" s="123"/>
      <c r="DO401" s="123"/>
      <c r="DP401" s="80"/>
      <c r="DQ401" s="80"/>
      <c r="DR401" s="80"/>
      <c r="DS401" s="80"/>
      <c r="DT401" s="80"/>
      <c r="DU401" s="80"/>
      <c r="DV401" s="80"/>
      <c r="DW401" s="80"/>
      <c r="DX401" s="80"/>
      <c r="DY401" s="80"/>
    </row>
    <row r="402" spans="1:129" ht="18" customHeight="1">
      <c r="T402" s="191"/>
      <c r="U402" s="68"/>
      <c r="V402" s="74"/>
      <c r="W402" s="74"/>
      <c r="X402" s="74"/>
      <c r="Y402" s="74"/>
      <c r="Z402" s="74"/>
      <c r="AC402" s="68"/>
      <c r="AD402" s="68"/>
      <c r="AE402" s="68"/>
      <c r="AF402" s="68"/>
      <c r="AG402" s="68"/>
      <c r="AH402" s="68"/>
      <c r="AI402" s="68"/>
      <c r="AJ402" s="68"/>
      <c r="AK402" s="68"/>
      <c r="AL402" s="68"/>
      <c r="AM402" s="68"/>
      <c r="AN402" s="68"/>
      <c r="AO402" s="68"/>
      <c r="AP402" s="68"/>
      <c r="AQ402" s="68"/>
      <c r="AR402" s="68"/>
      <c r="AS402" s="68"/>
      <c r="AT402" s="68"/>
      <c r="AU402" s="68"/>
      <c r="AV402" s="68"/>
      <c r="AW402" s="68"/>
      <c r="AX402" s="68"/>
      <c r="AY402" s="68"/>
      <c r="AZ402" s="68"/>
      <c r="BA402" s="68"/>
      <c r="BB402" s="68"/>
      <c r="BC402" s="68"/>
      <c r="BD402" s="68"/>
      <c r="CV402" s="445" t="str">
        <f>IF(Basisdaten!$B$15=Basisdaten!$D$2,'8 Kapital|Capital'!CW402,CX402)</f>
        <v>Monatsbeträge für 2026</v>
      </c>
      <c r="CW402" s="117" t="s">
        <v>806</v>
      </c>
      <c r="CX402" s="117" t="s">
        <v>811</v>
      </c>
      <c r="CY402" s="133"/>
      <c r="CZ402" s="133"/>
    </row>
    <row r="403" spans="1:129">
      <c r="T403" s="191"/>
      <c r="U403" s="68"/>
      <c r="V403" s="74"/>
      <c r="W403" s="74"/>
      <c r="X403" s="74"/>
      <c r="Y403" s="74"/>
      <c r="Z403" s="74"/>
      <c r="AC403" s="68"/>
      <c r="AD403" s="68"/>
      <c r="AE403" s="68"/>
      <c r="AF403" s="68"/>
      <c r="AG403" s="68"/>
      <c r="AH403" s="68"/>
      <c r="AI403" s="68"/>
      <c r="AJ403" s="68"/>
      <c r="AK403" s="68"/>
      <c r="AL403" s="68"/>
      <c r="AM403" s="68"/>
      <c r="AN403" s="68"/>
      <c r="AO403" s="68"/>
      <c r="AP403" s="68"/>
      <c r="AQ403" s="68"/>
      <c r="AR403" s="68"/>
      <c r="AS403" s="68"/>
      <c r="AT403" s="68"/>
      <c r="AU403" s="68"/>
      <c r="AV403" s="68"/>
      <c r="AW403" s="68"/>
      <c r="AX403" s="68"/>
      <c r="AY403" s="68"/>
      <c r="AZ403" s="68"/>
      <c r="BA403" s="68"/>
      <c r="BB403" s="68"/>
      <c r="BC403" s="68"/>
      <c r="BD403" s="68"/>
      <c r="CV403" s="445" t="str">
        <f>IF(Basisdaten!$B$15=Basisdaten!$D$2,'8 Kapital|Capital'!CW403,CX403)</f>
        <v>Zins Fremdkapital</v>
      </c>
      <c r="CW403" s="117" t="s">
        <v>81</v>
      </c>
      <c r="CX403" s="117" t="str">
        <f>CX397</f>
        <v>Interest outside capital</v>
      </c>
      <c r="CY403" s="133"/>
      <c r="CZ403" s="133"/>
    </row>
    <row r="404" spans="1:129">
      <c r="T404" s="191"/>
      <c r="U404" s="68"/>
      <c r="V404" s="74"/>
      <c r="W404" s="74"/>
      <c r="X404" s="74"/>
      <c r="Y404" s="74"/>
      <c r="Z404" s="74"/>
      <c r="AC404" s="68"/>
      <c r="AD404" s="68"/>
      <c r="AE404" s="68"/>
      <c r="AF404" s="68"/>
      <c r="AG404" s="68"/>
      <c r="AH404" s="68"/>
      <c r="AI404" s="68"/>
      <c r="AJ404" s="68"/>
      <c r="AK404" s="68"/>
      <c r="AL404" s="68"/>
      <c r="AM404" s="68"/>
      <c r="AN404" s="68"/>
      <c r="AO404" s="68"/>
      <c r="AP404" s="68"/>
      <c r="AQ404" s="68"/>
      <c r="AR404" s="68"/>
      <c r="AS404" s="68"/>
      <c r="AT404" s="68"/>
      <c r="AU404" s="68"/>
      <c r="AV404" s="68"/>
      <c r="AW404" s="68"/>
      <c r="AX404" s="68"/>
      <c r="AY404" s="68"/>
      <c r="AZ404" s="68"/>
      <c r="BA404" s="68"/>
      <c r="BB404" s="68"/>
      <c r="BC404" s="68"/>
      <c r="BD404" s="68"/>
      <c r="CV404" s="445" t="str">
        <f>IF(Basisdaten!$B$15=Basisdaten!$D$2,'8 Kapital|Capital'!CW404,CX404)</f>
        <v>Tilgung Fremdkapital</v>
      </c>
      <c r="CW404" s="117" t="s">
        <v>82</v>
      </c>
      <c r="CX404" s="117" t="str">
        <f>CX398</f>
        <v>Repayment outside capital</v>
      </c>
      <c r="CY404" s="133"/>
      <c r="CZ404" s="133"/>
    </row>
    <row r="405" spans="1:129">
      <c r="T405" s="191"/>
      <c r="U405" s="68"/>
      <c r="V405" s="74"/>
      <c r="W405" s="74"/>
      <c r="X405" s="74"/>
      <c r="Y405" s="74"/>
      <c r="Z405" s="74"/>
      <c r="AC405" s="68"/>
      <c r="AD405" s="68"/>
      <c r="AE405" s="68"/>
      <c r="AF405" s="68"/>
      <c r="AG405" s="68"/>
      <c r="AH405" s="68"/>
      <c r="AI405" s="68"/>
      <c r="AJ405" s="68"/>
      <c r="AK405" s="68"/>
      <c r="AL405" s="68"/>
      <c r="AM405" s="68"/>
      <c r="AN405" s="68"/>
      <c r="AO405" s="68"/>
      <c r="AP405" s="68"/>
      <c r="AQ405" s="68"/>
      <c r="AR405" s="68"/>
      <c r="AS405" s="68"/>
      <c r="AT405" s="68"/>
      <c r="AU405" s="68"/>
      <c r="AV405" s="68"/>
      <c r="AW405" s="68"/>
      <c r="AX405" s="68"/>
      <c r="AY405" s="68"/>
      <c r="AZ405" s="68"/>
      <c r="BA405" s="68"/>
      <c r="BB405" s="68"/>
      <c r="BC405" s="68"/>
      <c r="BD405" s="68"/>
      <c r="CV405" s="445" t="str">
        <f>IF(Basisdaten!$B$15=Basisdaten!$D$2,'8 Kapital|Capital'!CW405,CX405)</f>
        <v>Belastung gesamt</v>
      </c>
      <c r="CW405" s="305" t="s">
        <v>83</v>
      </c>
      <c r="CX405" s="117" t="str">
        <f>CX399</f>
        <v>Total load</v>
      </c>
      <c r="CY405" s="133"/>
      <c r="CZ405" s="133"/>
    </row>
    <row r="406" spans="1:129" s="68" customFormat="1">
      <c r="R406" s="182"/>
      <c r="S406" s="182"/>
      <c r="T406" s="191"/>
      <c r="V406" s="74"/>
      <c r="W406" s="74"/>
      <c r="X406" s="74"/>
      <c r="Y406" s="74"/>
      <c r="Z406" s="74"/>
      <c r="BE406" s="80"/>
      <c r="BF406" s="80"/>
      <c r="BG406" s="80"/>
      <c r="BH406" s="80"/>
      <c r="BI406" s="80"/>
      <c r="BJ406" s="80"/>
      <c r="BK406" s="80"/>
      <c r="BL406" s="80"/>
      <c r="BM406" s="80"/>
      <c r="BN406" s="80"/>
      <c r="BO406" s="80"/>
      <c r="BP406" s="80"/>
      <c r="BQ406" s="80"/>
      <c r="BR406" s="80"/>
      <c r="BS406" s="80"/>
      <c r="BT406" s="80"/>
      <c r="BU406" s="80"/>
      <c r="BV406" s="81"/>
      <c r="BW406" s="80"/>
      <c r="BX406" s="80"/>
      <c r="BY406" s="80"/>
      <c r="BZ406" s="80"/>
      <c r="CA406" s="80"/>
      <c r="CB406" s="80"/>
      <c r="CC406" s="80"/>
      <c r="CD406" s="80"/>
      <c r="CE406" s="80"/>
      <c r="CF406" s="80"/>
      <c r="CG406" s="80"/>
      <c r="CH406" s="80"/>
      <c r="CI406" s="160"/>
      <c r="CJ406" s="160"/>
      <c r="CK406" s="160"/>
      <c r="CL406" s="160"/>
      <c r="CM406" s="160"/>
      <c r="CN406" s="160"/>
      <c r="CO406" s="160"/>
      <c r="CP406" s="160"/>
      <c r="CQ406" s="160"/>
      <c r="CR406" s="160"/>
      <c r="CS406" s="160"/>
      <c r="CT406" s="160"/>
      <c r="CU406" s="160"/>
      <c r="CV406" s="445">
        <f>IF(Basisdaten!$B$15=Basisdaten!$D$2,'8 Kapital|Capital'!CW406,CX406)</f>
        <v>0</v>
      </c>
      <c r="CW406" s="383"/>
      <c r="CX406" s="295"/>
      <c r="CY406" s="136"/>
      <c r="CZ406" s="136"/>
      <c r="DA406" s="80"/>
      <c r="DB406" s="80"/>
      <c r="DC406" s="80"/>
      <c r="DD406" s="80"/>
      <c r="DE406" s="80"/>
      <c r="DF406" s="80"/>
      <c r="DG406" s="80"/>
      <c r="DH406" s="80"/>
      <c r="DI406" s="80"/>
      <c r="DJ406" s="80"/>
      <c r="DK406" s="80"/>
      <c r="DL406" s="80"/>
      <c r="DM406" s="80"/>
      <c r="DN406" s="80"/>
      <c r="DO406" s="80"/>
      <c r="DP406" s="80"/>
      <c r="DQ406" s="80"/>
      <c r="DR406" s="80"/>
      <c r="DS406" s="80"/>
      <c r="DT406" s="80"/>
      <c r="DU406" s="80"/>
      <c r="DV406" s="80"/>
      <c r="DW406" s="80"/>
      <c r="DX406" s="80"/>
      <c r="DY406" s="80"/>
    </row>
    <row r="407" spans="1:129">
      <c r="R407" s="76"/>
      <c r="S407" s="76"/>
      <c r="T407" s="76"/>
      <c r="Z407" s="1445"/>
      <c r="AA407" s="76"/>
      <c r="AB407" s="76"/>
      <c r="AC407" s="76"/>
      <c r="AD407" s="76"/>
      <c r="AE407" s="76"/>
      <c r="AF407" s="76"/>
      <c r="AG407" s="76"/>
      <c r="AH407" s="76"/>
      <c r="AI407" s="76"/>
      <c r="AJ407" s="76"/>
      <c r="AK407" s="76"/>
      <c r="AL407" s="76"/>
      <c r="AM407" s="76"/>
      <c r="AN407" s="76"/>
      <c r="AO407" s="76"/>
      <c r="AP407" s="76"/>
      <c r="AQ407" s="76"/>
      <c r="AR407" s="76"/>
      <c r="AS407" s="76"/>
      <c r="AT407" s="76"/>
      <c r="AU407" s="76"/>
      <c r="AV407" s="76"/>
      <c r="AW407" s="76"/>
      <c r="AX407" s="76"/>
      <c r="AY407" s="76"/>
      <c r="AZ407" s="76"/>
      <c r="BA407" s="76"/>
      <c r="BB407" s="76"/>
      <c r="BC407" s="76"/>
      <c r="BD407" s="76"/>
      <c r="BE407" s="76"/>
      <c r="BF407" s="76"/>
      <c r="BG407" s="76"/>
      <c r="BH407" s="76"/>
      <c r="BI407" s="76"/>
      <c r="BJ407" s="76"/>
      <c r="BK407" s="76"/>
      <c r="BL407" s="815"/>
      <c r="CV407" s="445">
        <f>IF(Basisdaten!$B$15=Basisdaten!$D$2,'8 Kapital|Capital'!CW407,CX407)</f>
        <v>0</v>
      </c>
    </row>
    <row r="408" spans="1:129" s="68" customFormat="1" ht="17.25" customHeight="1">
      <c r="R408" s="182"/>
      <c r="S408" s="182"/>
      <c r="T408" s="191"/>
      <c r="V408" s="74"/>
      <c r="W408" s="74"/>
      <c r="X408" s="74"/>
      <c r="Y408" s="74"/>
      <c r="Z408" s="74"/>
      <c r="BE408" s="80"/>
      <c r="BF408" s="80"/>
      <c r="BG408" s="80"/>
      <c r="BH408" s="80"/>
      <c r="BI408" s="80"/>
      <c r="BJ408" s="80"/>
      <c r="BK408" s="80"/>
      <c r="BL408" s="80"/>
      <c r="BM408" s="80"/>
      <c r="BN408" s="80"/>
      <c r="BO408" s="80"/>
      <c r="BP408" s="80"/>
      <c r="BQ408" s="80"/>
      <c r="BR408" s="80"/>
      <c r="BS408" s="80"/>
      <c r="BT408" s="80"/>
      <c r="BU408" s="80"/>
      <c r="BV408" s="81"/>
      <c r="BW408" s="80"/>
      <c r="BX408" s="80"/>
      <c r="BY408" s="80"/>
      <c r="BZ408" s="80"/>
      <c r="CA408" s="80"/>
      <c r="CB408" s="80"/>
      <c r="CC408" s="80"/>
      <c r="CD408" s="80"/>
      <c r="CE408" s="80"/>
      <c r="CF408" s="80"/>
      <c r="CG408" s="80"/>
      <c r="CH408" s="80"/>
      <c r="CI408" s="160"/>
      <c r="CJ408" s="160"/>
      <c r="CK408" s="160"/>
      <c r="CL408" s="160"/>
      <c r="CM408" s="160"/>
      <c r="CN408" s="160"/>
      <c r="CO408" s="160"/>
      <c r="CP408" s="160"/>
      <c r="CQ408" s="160"/>
      <c r="CR408" s="160"/>
      <c r="CS408" s="160"/>
      <c r="CT408" s="160"/>
      <c r="CU408" s="160"/>
      <c r="CV408" s="445">
        <f>IF(Basisdaten!$B$15=Basisdaten!$D$2,'8 Kapital|Capital'!CW408,CX408)</f>
        <v>0</v>
      </c>
      <c r="CW408" s="383"/>
      <c r="CX408" s="295"/>
      <c r="CY408" s="136"/>
      <c r="CZ408" s="136"/>
      <c r="DA408" s="80"/>
      <c r="DB408" s="80"/>
      <c r="DC408" s="80"/>
      <c r="DD408" s="80"/>
      <c r="DE408" s="80"/>
      <c r="DF408" s="80"/>
      <c r="DG408" s="80"/>
      <c r="DH408" s="80"/>
      <c r="DI408" s="80"/>
      <c r="DJ408" s="80"/>
      <c r="DK408" s="80"/>
      <c r="DL408" s="80"/>
      <c r="DM408" s="80"/>
      <c r="DN408" s="80"/>
      <c r="DO408" s="80"/>
      <c r="DP408" s="80"/>
      <c r="DQ408" s="80"/>
      <c r="DR408" s="80"/>
      <c r="DS408" s="80"/>
      <c r="DT408" s="80"/>
      <c r="DU408" s="80"/>
      <c r="DV408" s="80"/>
      <c r="DW408" s="80"/>
      <c r="DX408" s="80"/>
      <c r="DY408" s="80"/>
    </row>
    <row r="409" spans="1:129" s="68" customFormat="1">
      <c r="R409" s="182"/>
      <c r="S409" s="182"/>
      <c r="T409" s="191"/>
      <c r="V409" s="74"/>
      <c r="W409" s="74"/>
      <c r="X409" s="74"/>
      <c r="Y409" s="74"/>
      <c r="Z409" s="74"/>
      <c r="BE409" s="80"/>
      <c r="BF409" s="80"/>
      <c r="BG409" s="80"/>
      <c r="BH409" s="80"/>
      <c r="BI409" s="80"/>
      <c r="BJ409" s="80"/>
      <c r="BK409" s="80"/>
      <c r="BL409" s="80"/>
      <c r="BM409" s="80"/>
      <c r="BN409" s="80"/>
      <c r="BO409" s="80"/>
      <c r="BP409" s="80"/>
      <c r="BQ409" s="80"/>
      <c r="BR409" s="80"/>
      <c r="BS409" s="80"/>
      <c r="BT409" s="80"/>
      <c r="BU409" s="80"/>
      <c r="BV409" s="81"/>
      <c r="BW409" s="80"/>
      <c r="BX409" s="80"/>
      <c r="BY409" s="80"/>
      <c r="BZ409" s="80"/>
      <c r="CA409" s="80"/>
      <c r="CB409" s="80"/>
      <c r="CC409" s="80"/>
      <c r="CD409" s="80"/>
      <c r="CE409" s="80"/>
      <c r="CF409" s="80"/>
      <c r="CG409" s="80"/>
      <c r="CH409" s="80"/>
      <c r="CI409" s="160"/>
      <c r="CJ409" s="160"/>
      <c r="CK409" s="160"/>
      <c r="CL409" s="160"/>
      <c r="CM409" s="160"/>
      <c r="CN409" s="160"/>
      <c r="CO409" s="160"/>
      <c r="CP409" s="160"/>
      <c r="CQ409" s="160"/>
      <c r="CR409" s="160"/>
      <c r="CS409" s="160"/>
      <c r="CT409" s="160"/>
      <c r="CU409" s="160"/>
      <c r="CV409" s="445" t="str">
        <f>IF(Basisdaten!$B$15=Basisdaten!$D$2,'8 Kapital|Capital'!CW409,CX409)</f>
        <v>monatliche Zins- und Tilgungsraten für die Jahre 2025 - 2029</v>
      </c>
      <c r="CW409" s="117" t="s">
        <v>807</v>
      </c>
      <c r="CX409" s="445" t="s">
        <v>812</v>
      </c>
      <c r="CY409" s="136"/>
      <c r="CZ409" s="136"/>
      <c r="DA409" s="80"/>
      <c r="DB409" s="80"/>
      <c r="DC409" s="80"/>
      <c r="DD409" s="80"/>
      <c r="DE409" s="80"/>
      <c r="DF409" s="80"/>
      <c r="DG409" s="80"/>
      <c r="DH409" s="80"/>
      <c r="DI409" s="80"/>
      <c r="DJ409" s="80"/>
      <c r="DK409" s="80"/>
      <c r="DL409" s="80"/>
      <c r="DM409" s="80"/>
      <c r="DN409" s="80"/>
      <c r="DO409" s="80"/>
      <c r="DP409" s="80"/>
      <c r="DQ409" s="80"/>
      <c r="DR409" s="80"/>
      <c r="DS409" s="80"/>
      <c r="DT409" s="80"/>
      <c r="DU409" s="80"/>
      <c r="DV409" s="80"/>
      <c r="DW409" s="80"/>
      <c r="DX409" s="80"/>
      <c r="DY409" s="80"/>
    </row>
    <row r="410" spans="1:129" s="68" customFormat="1">
      <c r="R410" s="182"/>
      <c r="S410" s="182"/>
      <c r="T410" s="191"/>
      <c r="V410" s="74"/>
      <c r="W410" s="74"/>
      <c r="X410" s="74"/>
      <c r="Y410" s="74"/>
      <c r="Z410" s="74"/>
      <c r="BE410" s="80"/>
      <c r="BF410" s="80"/>
      <c r="BG410" s="80"/>
      <c r="BH410" s="80"/>
      <c r="BI410" s="80"/>
      <c r="BJ410" s="80"/>
      <c r="BK410" s="80"/>
      <c r="BL410" s="80"/>
      <c r="BM410" s="80"/>
      <c r="BN410" s="80"/>
      <c r="BO410" s="80"/>
      <c r="BP410" s="80"/>
      <c r="BQ410" s="80"/>
      <c r="BR410" s="80"/>
      <c r="BS410" s="80"/>
      <c r="BT410" s="80"/>
      <c r="BU410" s="80"/>
      <c r="BV410" s="81"/>
      <c r="BW410" s="80"/>
      <c r="BX410" s="80"/>
      <c r="BY410" s="80"/>
      <c r="BZ410" s="80"/>
      <c r="CA410" s="123"/>
      <c r="CB410" s="123"/>
      <c r="CC410" s="123"/>
      <c r="CD410" s="123"/>
      <c r="CE410" s="123"/>
      <c r="CF410" s="123"/>
      <c r="CG410" s="123"/>
      <c r="CH410" s="123"/>
      <c r="CI410" s="446"/>
      <c r="CJ410" s="446"/>
      <c r="CK410" s="446"/>
      <c r="CL410" s="446"/>
      <c r="CM410" s="446"/>
      <c r="CN410" s="446"/>
      <c r="CO410" s="446"/>
      <c r="CP410" s="446"/>
      <c r="CQ410" s="446"/>
      <c r="CR410" s="446"/>
      <c r="CS410" s="446"/>
      <c r="CT410" s="446"/>
      <c r="CU410" s="446"/>
      <c r="CV410" s="445" t="str">
        <f>IF(Basisdaten!$B$15=Basisdaten!$D$2,'8 Kapital|Capital'!CW410,CX410)</f>
        <v>jährliche Zu- und Abgänge</v>
      </c>
      <c r="CW410" s="117" t="s">
        <v>689</v>
      </c>
      <c r="CX410" s="445" t="s">
        <v>690</v>
      </c>
      <c r="CY410" s="133"/>
      <c r="CZ410" s="133"/>
      <c r="DA410" s="123"/>
      <c r="DB410" s="123"/>
      <c r="DC410" s="123"/>
      <c r="DD410" s="123"/>
      <c r="DE410" s="123"/>
      <c r="DF410" s="123"/>
      <c r="DG410" s="123"/>
      <c r="DH410" s="123"/>
      <c r="DI410" s="123"/>
      <c r="DJ410" s="123"/>
      <c r="DK410" s="123"/>
      <c r="DL410" s="123"/>
      <c r="DM410" s="123"/>
      <c r="DN410" s="123"/>
      <c r="DO410" s="123"/>
      <c r="DP410" s="80"/>
      <c r="DQ410" s="80"/>
      <c r="DR410" s="80"/>
      <c r="DS410" s="80"/>
      <c r="DT410" s="80"/>
      <c r="DU410" s="80"/>
      <c r="DV410" s="80"/>
      <c r="DW410" s="80"/>
      <c r="DX410" s="80"/>
      <c r="DY410" s="80"/>
    </row>
    <row r="411" spans="1:129" s="68" customFormat="1">
      <c r="R411" s="182"/>
      <c r="S411" s="182"/>
      <c r="T411" s="191"/>
      <c r="V411" s="74"/>
      <c r="W411" s="74"/>
      <c r="X411" s="74"/>
      <c r="Y411" s="74"/>
      <c r="Z411" s="74"/>
      <c r="BE411" s="80"/>
      <c r="BF411" s="80"/>
      <c r="BG411" s="80"/>
      <c r="BH411" s="80"/>
      <c r="BI411" s="80"/>
      <c r="BJ411" s="80"/>
      <c r="BK411" s="80"/>
      <c r="BL411" s="80"/>
      <c r="BM411" s="80"/>
      <c r="BN411" s="80"/>
      <c r="BO411" s="80"/>
      <c r="BP411" s="80"/>
      <c r="BQ411" s="80"/>
      <c r="BR411" s="80"/>
      <c r="BS411" s="80"/>
      <c r="BT411" s="80"/>
      <c r="BU411" s="80"/>
      <c r="BV411" s="81"/>
      <c r="BW411" s="80"/>
      <c r="BX411" s="80"/>
      <c r="BY411" s="80"/>
      <c r="BZ411" s="80"/>
      <c r="CA411" s="123"/>
      <c r="CB411" s="123"/>
      <c r="CC411" s="123"/>
      <c r="CD411" s="123"/>
      <c r="CE411" s="123"/>
      <c r="CF411" s="123"/>
      <c r="CG411" s="123"/>
      <c r="CH411" s="123"/>
      <c r="CI411" s="446"/>
      <c r="CJ411" s="446"/>
      <c r="CK411" s="446"/>
      <c r="CL411" s="446"/>
      <c r="CM411" s="446"/>
      <c r="CN411" s="446"/>
      <c r="CO411" s="446"/>
      <c r="CP411" s="446"/>
      <c r="CQ411" s="446"/>
      <c r="CR411" s="446"/>
      <c r="CS411" s="446"/>
      <c r="CT411" s="446"/>
      <c r="CU411" s="446"/>
      <c r="CV411" s="445" t="str">
        <f>IF(Basisdaten!$B$15=Basisdaten!$D$2,'8 Kapital|Capital'!CW411,CX411)</f>
        <v>Kapital Zu- und Abgänge</v>
      </c>
      <c r="CW411" s="117" t="s">
        <v>691</v>
      </c>
      <c r="CX411" s="445" t="s">
        <v>692</v>
      </c>
      <c r="CY411" s="133"/>
      <c r="CZ411" s="133"/>
      <c r="DA411" s="123"/>
      <c r="DB411" s="123"/>
      <c r="DC411" s="123"/>
      <c r="DD411" s="123"/>
      <c r="DE411" s="123"/>
      <c r="DF411" s="123"/>
      <c r="DG411" s="123"/>
      <c r="DH411" s="123"/>
      <c r="DI411" s="123"/>
      <c r="DJ411" s="123"/>
      <c r="DK411" s="123"/>
      <c r="DL411" s="123"/>
      <c r="DM411" s="123"/>
      <c r="DN411" s="123"/>
      <c r="DO411" s="123"/>
      <c r="DP411" s="80"/>
      <c r="DQ411" s="80"/>
      <c r="DR411" s="80"/>
      <c r="DS411" s="80"/>
      <c r="DT411" s="80"/>
      <c r="DU411" s="80"/>
      <c r="DV411" s="80"/>
      <c r="DW411" s="80"/>
      <c r="DX411" s="80"/>
      <c r="DY411" s="80"/>
    </row>
    <row r="412" spans="1:129" s="68" customFormat="1">
      <c r="R412" s="182"/>
      <c r="S412" s="182"/>
      <c r="T412" s="191"/>
      <c r="V412" s="74"/>
      <c r="W412" s="74"/>
      <c r="X412" s="74"/>
      <c r="Y412" s="74"/>
      <c r="Z412" s="74"/>
      <c r="BE412" s="80"/>
      <c r="BF412" s="80"/>
      <c r="BG412" s="80"/>
      <c r="BH412" s="80"/>
      <c r="BI412" s="80"/>
      <c r="BJ412" s="80"/>
      <c r="BK412" s="80"/>
      <c r="BL412" s="80"/>
      <c r="BM412" s="80"/>
      <c r="BN412" s="80"/>
      <c r="BO412" s="80"/>
      <c r="BP412" s="80"/>
      <c r="BQ412" s="80"/>
      <c r="BR412" s="80"/>
      <c r="BS412" s="80"/>
      <c r="BT412" s="80"/>
      <c r="BU412" s="80"/>
      <c r="BV412" s="81"/>
      <c r="BW412" s="80"/>
      <c r="BX412" s="80"/>
      <c r="BY412" s="80"/>
      <c r="BZ412" s="80"/>
      <c r="CA412" s="123"/>
      <c r="CB412" s="123"/>
      <c r="CC412" s="123"/>
      <c r="CD412" s="123"/>
      <c r="CE412" s="123"/>
      <c r="CF412" s="123"/>
      <c r="CG412" s="123"/>
      <c r="CH412" s="123"/>
      <c r="CI412" s="446"/>
      <c r="CJ412" s="446"/>
      <c r="CK412" s="446"/>
      <c r="CL412" s="446"/>
      <c r="CM412" s="446"/>
      <c r="CN412" s="446"/>
      <c r="CO412" s="446"/>
      <c r="CP412" s="446"/>
      <c r="CQ412" s="446"/>
      <c r="CR412" s="446"/>
      <c r="CS412" s="446"/>
      <c r="CT412" s="446"/>
      <c r="CU412" s="446"/>
      <c r="CV412" s="445" t="str">
        <f>IF(Basisdaten!$B$15=Basisdaten!$D$2,'8 Kapital|Capital'!CW412,CX412)</f>
        <v>Kapital Zugänge (EUR)</v>
      </c>
      <c r="CW412" s="117" t="s">
        <v>693</v>
      </c>
      <c r="CX412" s="445" t="s">
        <v>694</v>
      </c>
      <c r="CY412" s="123"/>
      <c r="CZ412" s="123"/>
      <c r="DA412" s="123"/>
      <c r="DB412" s="123"/>
      <c r="DC412" s="123"/>
      <c r="DD412" s="123"/>
      <c r="DE412" s="123"/>
      <c r="DF412" s="123"/>
      <c r="DG412" s="123"/>
      <c r="DH412" s="123"/>
      <c r="DI412" s="123"/>
      <c r="DJ412" s="123"/>
      <c r="DK412" s="123"/>
      <c r="DL412" s="123"/>
      <c r="DM412" s="123"/>
      <c r="DN412" s="123"/>
      <c r="DO412" s="123"/>
      <c r="DP412" s="80"/>
      <c r="DQ412" s="80"/>
      <c r="DR412" s="80"/>
      <c r="DS412" s="80"/>
      <c r="DT412" s="80"/>
      <c r="DU412" s="80"/>
      <c r="DV412" s="80"/>
      <c r="DW412" s="80"/>
      <c r="DX412" s="80"/>
      <c r="DY412" s="80"/>
    </row>
    <row r="413" spans="1:129" s="68" customFormat="1">
      <c r="R413" s="184"/>
      <c r="S413" s="184"/>
      <c r="T413" s="191"/>
      <c r="V413" s="74"/>
      <c r="W413" s="74"/>
      <c r="X413" s="74"/>
      <c r="Y413" s="74"/>
      <c r="Z413" s="74"/>
      <c r="BE413" s="80"/>
      <c r="BF413" s="80"/>
      <c r="BG413" s="80"/>
      <c r="BH413" s="80"/>
      <c r="BI413" s="80"/>
      <c r="BJ413" s="80"/>
      <c r="BK413" s="80"/>
      <c r="BL413" s="80"/>
      <c r="BM413" s="80"/>
      <c r="BN413" s="80"/>
      <c r="BO413" s="80"/>
      <c r="BP413" s="80"/>
      <c r="BQ413" s="80"/>
      <c r="BR413" s="80"/>
      <c r="BS413" s="80"/>
      <c r="BT413" s="80"/>
      <c r="BU413" s="80"/>
      <c r="BV413" s="80"/>
      <c r="BW413" s="80"/>
      <c r="BX413" s="80"/>
      <c r="BY413" s="80"/>
      <c r="BZ413" s="80"/>
      <c r="CA413" s="123"/>
      <c r="CB413" s="123"/>
      <c r="CC413" s="123"/>
      <c r="CD413" s="123"/>
      <c r="CE413" s="123"/>
      <c r="CF413" s="123"/>
      <c r="CG413" s="123"/>
      <c r="CH413" s="123"/>
      <c r="CI413" s="446"/>
      <c r="CJ413" s="446"/>
      <c r="CK413" s="446"/>
      <c r="CL413" s="446"/>
      <c r="CM413" s="446"/>
      <c r="CN413" s="446"/>
      <c r="CO413" s="446"/>
      <c r="CP413" s="446"/>
      <c r="CQ413" s="446"/>
      <c r="CR413" s="446"/>
      <c r="CS413" s="446"/>
      <c r="CT413" s="446"/>
      <c r="CU413" s="446"/>
      <c r="CV413" s="445" t="str">
        <f>IF(Basisdaten!$B$15=Basisdaten!$D$2,'8 Kapital|Capital'!CW413,CX413)</f>
        <v>jährliche Zu- und Abgänge (EUR)</v>
      </c>
      <c r="CW413" s="117" t="s">
        <v>695</v>
      </c>
      <c r="CX413" s="445" t="s">
        <v>696</v>
      </c>
      <c r="CY413" s="123"/>
      <c r="CZ413" s="123"/>
      <c r="DA413" s="123"/>
      <c r="DB413" s="123"/>
      <c r="DC413" s="123"/>
      <c r="DD413" s="123"/>
      <c r="DE413" s="123"/>
      <c r="DF413" s="123"/>
      <c r="DG413" s="123"/>
      <c r="DH413" s="123"/>
      <c r="DI413" s="123"/>
      <c r="DJ413" s="123"/>
      <c r="DK413" s="123"/>
      <c r="DL413" s="123"/>
      <c r="DM413" s="123"/>
      <c r="DN413" s="123"/>
      <c r="DO413" s="123"/>
      <c r="DP413" s="80"/>
      <c r="DQ413" s="80"/>
      <c r="DR413" s="80"/>
      <c r="DS413" s="80"/>
      <c r="DT413" s="80"/>
      <c r="DU413" s="80"/>
      <c r="DV413" s="80"/>
      <c r="DW413" s="80"/>
      <c r="DX413" s="80"/>
      <c r="DY413" s="80"/>
    </row>
    <row r="414" spans="1:129" s="68" customFormat="1">
      <c r="R414" s="184"/>
      <c r="S414" s="184"/>
      <c r="T414" s="191"/>
      <c r="V414" s="74"/>
      <c r="W414" s="74"/>
      <c r="X414" s="74"/>
      <c r="Y414" s="74"/>
      <c r="Z414" s="74"/>
      <c r="BE414" s="80"/>
      <c r="BF414" s="80"/>
      <c r="BG414" s="80"/>
      <c r="BH414" s="80"/>
      <c r="BI414" s="80"/>
      <c r="BJ414" s="80"/>
      <c r="BK414" s="80"/>
      <c r="BL414" s="80"/>
      <c r="BM414" s="80"/>
      <c r="BN414" s="80"/>
      <c r="BO414" s="80"/>
      <c r="BP414" s="80"/>
      <c r="BQ414" s="80"/>
      <c r="BR414" s="80"/>
      <c r="BS414" s="80"/>
      <c r="BT414" s="80"/>
      <c r="BU414" s="80"/>
      <c r="BV414" s="80"/>
      <c r="BW414" s="80"/>
      <c r="BX414" s="80"/>
      <c r="BY414" s="80"/>
      <c r="BZ414" s="80"/>
      <c r="CA414" s="123"/>
      <c r="CB414" s="123"/>
      <c r="CC414" s="123"/>
      <c r="CD414" s="123"/>
      <c r="CE414" s="123"/>
      <c r="CF414" s="123"/>
      <c r="CG414" s="123"/>
      <c r="CH414" s="123"/>
      <c r="CI414" s="446"/>
      <c r="CJ414" s="446"/>
      <c r="CK414" s="446"/>
      <c r="CL414" s="446"/>
      <c r="CM414" s="446"/>
      <c r="CN414" s="446"/>
      <c r="CO414" s="446"/>
      <c r="CP414" s="446"/>
      <c r="CQ414" s="446"/>
      <c r="CR414" s="446"/>
      <c r="CS414" s="446"/>
      <c r="CT414" s="446"/>
      <c r="CU414" s="446"/>
      <c r="CV414" s="445">
        <f>IF(Basisdaten!$B$15=Basisdaten!$D$2,'8 Kapital|Capital'!CW414,CX414)</f>
        <v>0</v>
      </c>
      <c r="CW414" s="117"/>
      <c r="CX414" s="445"/>
      <c r="CY414" s="123"/>
      <c r="CZ414" s="123"/>
      <c r="DA414" s="123"/>
      <c r="DB414" s="123"/>
      <c r="DC414" s="123"/>
      <c r="DD414" s="123"/>
      <c r="DE414" s="123"/>
      <c r="DF414" s="123"/>
      <c r="DG414" s="123"/>
      <c r="DH414" s="123"/>
      <c r="DI414" s="123"/>
      <c r="DJ414" s="123"/>
      <c r="DK414" s="123"/>
      <c r="DL414" s="123"/>
      <c r="DM414" s="123"/>
      <c r="DN414" s="123"/>
      <c r="DO414" s="123"/>
      <c r="DP414" s="80"/>
      <c r="DQ414" s="80"/>
      <c r="DR414" s="80"/>
      <c r="DS414" s="80"/>
      <c r="DT414" s="80"/>
      <c r="DU414" s="80"/>
      <c r="DV414" s="80"/>
      <c r="DW414" s="80"/>
      <c r="DX414" s="80"/>
      <c r="DY414" s="80"/>
    </row>
    <row r="415" spans="1:129" s="68" customFormat="1" ht="18" customHeight="1">
      <c r="R415" s="184"/>
      <c r="S415" s="184"/>
      <c r="T415" s="191"/>
      <c r="V415" s="74"/>
      <c r="W415" s="74"/>
      <c r="X415" s="74"/>
      <c r="Y415" s="74"/>
      <c r="Z415" s="74"/>
      <c r="BE415" s="80"/>
      <c r="BF415" s="80"/>
      <c r="BG415" s="80"/>
      <c r="BH415" s="80"/>
      <c r="BI415" s="80"/>
      <c r="BJ415" s="80"/>
      <c r="BK415" s="80"/>
      <c r="BL415" s="80"/>
      <c r="BM415" s="80"/>
      <c r="BN415" s="80"/>
      <c r="BO415" s="80"/>
      <c r="BP415" s="80"/>
      <c r="BQ415" s="80"/>
      <c r="BR415" s="80"/>
      <c r="BS415" s="80"/>
      <c r="BT415" s="80"/>
      <c r="BU415" s="80"/>
      <c r="BV415" s="80"/>
      <c r="BW415" s="80"/>
      <c r="BX415" s="80"/>
      <c r="BY415" s="80"/>
      <c r="BZ415" s="80"/>
      <c r="CA415" s="123"/>
      <c r="CB415" s="123"/>
      <c r="CC415" s="123"/>
      <c r="CD415" s="123"/>
      <c r="CE415" s="123"/>
      <c r="CF415" s="123"/>
      <c r="CG415" s="123"/>
      <c r="CH415" s="123"/>
      <c r="CI415" s="446"/>
      <c r="CJ415" s="446"/>
      <c r="CK415" s="446"/>
      <c r="CL415" s="446"/>
      <c r="CM415" s="446"/>
      <c r="CN415" s="446"/>
      <c r="CO415" s="446"/>
      <c r="CP415" s="446"/>
      <c r="CQ415" s="446"/>
      <c r="CR415" s="446"/>
      <c r="CS415" s="446"/>
      <c r="CT415" s="446"/>
      <c r="CU415" s="446"/>
      <c r="CV415" s="445" t="str">
        <f>IF(Basisdaten!$B$15=Basisdaten!$D$2,'8 Kapital|Capital'!CW415,CX415)</f>
        <v>durchschn. Jahresbeträge</v>
      </c>
      <c r="CW415" s="117" t="s">
        <v>84</v>
      </c>
      <c r="CX415" s="117" t="s">
        <v>227</v>
      </c>
      <c r="CY415" s="123"/>
      <c r="CZ415" s="123"/>
      <c r="DA415" s="123"/>
      <c r="DB415" s="123"/>
      <c r="DC415" s="123"/>
      <c r="DD415" s="123"/>
      <c r="DE415" s="123"/>
      <c r="DF415" s="123"/>
      <c r="DG415" s="123"/>
      <c r="DH415" s="123"/>
      <c r="DI415" s="123"/>
      <c r="DJ415" s="123"/>
      <c r="DK415" s="123"/>
      <c r="DL415" s="123"/>
      <c r="DM415" s="123"/>
      <c r="DN415" s="123"/>
      <c r="DO415" s="123"/>
      <c r="DP415" s="80"/>
      <c r="DQ415" s="80"/>
      <c r="DR415" s="80"/>
      <c r="DS415" s="80"/>
      <c r="DT415" s="80"/>
      <c r="DU415" s="80"/>
      <c r="DV415" s="80"/>
      <c r="DW415" s="80"/>
      <c r="DX415" s="80"/>
      <c r="DY415" s="80"/>
    </row>
    <row r="416" spans="1:129">
      <c r="A416" s="80"/>
      <c r="B416" s="80"/>
      <c r="C416" s="80"/>
      <c r="D416" s="80"/>
      <c r="E416" s="80"/>
      <c r="F416" s="80"/>
      <c r="G416" s="80"/>
      <c r="H416" s="80"/>
      <c r="I416" s="80"/>
      <c r="J416" s="80"/>
      <c r="K416" s="80"/>
      <c r="L416" s="80"/>
      <c r="M416" s="80"/>
      <c r="N416" s="80"/>
      <c r="O416" s="80"/>
      <c r="P416" s="80"/>
      <c r="Q416" s="80"/>
      <c r="R416" s="80"/>
      <c r="S416" s="80"/>
      <c r="T416" s="80"/>
      <c r="U416" s="80"/>
      <c r="V416" s="74"/>
      <c r="W416" s="74"/>
      <c r="X416" s="74"/>
      <c r="Y416" s="74"/>
      <c r="Z416" s="74"/>
      <c r="AA416" s="80"/>
      <c r="AB416" s="80"/>
      <c r="AE416" s="80"/>
      <c r="BL416" s="815"/>
    </row>
    <row r="417" spans="1:64">
      <c r="A417" s="80"/>
      <c r="B417" s="80"/>
      <c r="C417" s="80"/>
      <c r="D417" s="80"/>
      <c r="E417" s="80"/>
      <c r="F417" s="80"/>
      <c r="G417" s="80"/>
      <c r="H417" s="80"/>
      <c r="I417" s="80"/>
      <c r="J417" s="80"/>
      <c r="K417" s="80"/>
      <c r="L417" s="80"/>
      <c r="M417" s="80"/>
      <c r="N417" s="80"/>
      <c r="O417" s="80"/>
      <c r="P417" s="80"/>
      <c r="Q417" s="80"/>
      <c r="R417" s="80"/>
      <c r="S417" s="80"/>
      <c r="T417" s="80"/>
      <c r="U417" s="80"/>
      <c r="V417" s="74"/>
      <c r="W417" s="74"/>
      <c r="X417" s="74"/>
      <c r="Y417" s="74"/>
      <c r="Z417" s="74"/>
      <c r="AA417" s="80"/>
      <c r="AB417" s="80"/>
      <c r="AE417" s="80"/>
      <c r="BL417" s="815"/>
    </row>
    <row r="418" spans="1:64">
      <c r="A418" s="80"/>
      <c r="B418" s="80"/>
      <c r="C418" s="80"/>
      <c r="D418" s="80"/>
      <c r="E418" s="80"/>
      <c r="F418" s="80"/>
      <c r="G418" s="80"/>
      <c r="H418" s="80"/>
      <c r="I418" s="80"/>
      <c r="J418" s="80"/>
      <c r="K418" s="80"/>
      <c r="L418" s="80"/>
      <c r="M418" s="80"/>
      <c r="N418" s="80"/>
      <c r="O418" s="80"/>
      <c r="P418" s="80"/>
      <c r="Q418" s="80"/>
      <c r="R418" s="80"/>
      <c r="S418" s="80"/>
      <c r="T418" s="80"/>
      <c r="U418" s="80"/>
      <c r="V418" s="74"/>
      <c r="W418" s="74"/>
      <c r="X418" s="74"/>
      <c r="Y418" s="74"/>
      <c r="Z418" s="74"/>
      <c r="AA418" s="80"/>
      <c r="AB418" s="80"/>
      <c r="AE418" s="80"/>
      <c r="BL418" s="815"/>
    </row>
    <row r="419" spans="1:64">
      <c r="A419" s="80"/>
      <c r="B419" s="80"/>
      <c r="C419" s="80"/>
      <c r="D419" s="80"/>
      <c r="E419" s="80"/>
      <c r="F419" s="80"/>
      <c r="G419" s="80"/>
      <c r="H419" s="80"/>
      <c r="I419" s="80"/>
      <c r="J419" s="80"/>
      <c r="K419" s="80"/>
      <c r="L419" s="80"/>
      <c r="M419" s="80"/>
      <c r="N419" s="80"/>
      <c r="O419" s="80"/>
      <c r="P419" s="80"/>
      <c r="Q419" s="80"/>
      <c r="R419" s="80"/>
      <c r="S419" s="80"/>
      <c r="T419" s="80"/>
      <c r="U419" s="80"/>
      <c r="V419" s="74"/>
      <c r="W419" s="74"/>
      <c r="X419" s="74"/>
      <c r="Y419" s="74"/>
      <c r="Z419" s="74"/>
      <c r="AA419" s="80"/>
      <c r="AB419" s="80"/>
      <c r="AE419" s="80"/>
      <c r="BL419" s="815"/>
    </row>
    <row r="420" spans="1:64">
      <c r="A420" s="80"/>
      <c r="B420" s="80"/>
      <c r="C420" s="80"/>
      <c r="D420" s="80"/>
      <c r="E420" s="80"/>
      <c r="F420" s="80"/>
      <c r="G420" s="80"/>
      <c r="H420" s="80"/>
      <c r="I420" s="80"/>
      <c r="J420" s="80"/>
      <c r="K420" s="80"/>
      <c r="L420" s="80"/>
      <c r="M420" s="80"/>
      <c r="N420" s="80"/>
      <c r="O420" s="80"/>
      <c r="P420" s="80"/>
      <c r="Q420" s="80"/>
      <c r="R420" s="80"/>
      <c r="S420" s="80"/>
      <c r="T420" s="80"/>
      <c r="U420" s="80"/>
      <c r="V420" s="74"/>
      <c r="W420" s="74"/>
      <c r="X420" s="74"/>
      <c r="Y420" s="74"/>
      <c r="Z420" s="74"/>
      <c r="AA420" s="80"/>
      <c r="AB420" s="80"/>
      <c r="AE420" s="80"/>
      <c r="BL420" s="815"/>
    </row>
    <row r="421" spans="1:64">
      <c r="A421" s="80"/>
      <c r="B421" s="80"/>
      <c r="C421" s="80"/>
      <c r="D421" s="80"/>
      <c r="E421" s="80"/>
      <c r="F421" s="80"/>
      <c r="G421" s="80"/>
      <c r="H421" s="80"/>
      <c r="I421" s="80"/>
      <c r="J421" s="80"/>
      <c r="K421" s="80"/>
      <c r="L421" s="80"/>
      <c r="M421" s="80"/>
      <c r="N421" s="80"/>
      <c r="O421" s="80"/>
      <c r="P421" s="80"/>
      <c r="Q421" s="80"/>
      <c r="R421" s="80"/>
      <c r="S421" s="80"/>
      <c r="T421" s="80"/>
      <c r="U421" s="80"/>
      <c r="V421" s="74"/>
      <c r="W421" s="74"/>
      <c r="X421" s="74"/>
      <c r="Y421" s="74"/>
      <c r="Z421" s="74"/>
      <c r="AA421" s="80"/>
      <c r="AB421" s="80"/>
      <c r="AE421" s="80"/>
      <c r="BL421" s="815"/>
    </row>
    <row r="422" spans="1:64">
      <c r="A422" s="80"/>
      <c r="B422" s="80"/>
      <c r="C422" s="80"/>
      <c r="D422" s="80"/>
      <c r="E422" s="80"/>
      <c r="F422" s="80"/>
      <c r="G422" s="80"/>
      <c r="H422" s="80"/>
      <c r="I422" s="80"/>
      <c r="J422" s="80"/>
      <c r="K422" s="80"/>
      <c r="L422" s="80"/>
      <c r="M422" s="80"/>
      <c r="N422" s="80"/>
      <c r="O422" s="80"/>
      <c r="P422" s="80"/>
      <c r="Q422" s="80"/>
      <c r="R422" s="80"/>
      <c r="S422" s="80"/>
      <c r="T422" s="80"/>
      <c r="U422" s="80"/>
      <c r="V422" s="74"/>
      <c r="W422" s="74"/>
      <c r="X422" s="74"/>
      <c r="Y422" s="74"/>
      <c r="Z422" s="74"/>
      <c r="AA422" s="80"/>
      <c r="AB422" s="80"/>
      <c r="AE422" s="80"/>
      <c r="BL422" s="815"/>
    </row>
    <row r="423" spans="1:64">
      <c r="A423" s="80"/>
      <c r="B423" s="80"/>
      <c r="C423" s="80"/>
      <c r="D423" s="80"/>
      <c r="E423" s="80"/>
      <c r="F423" s="80"/>
      <c r="G423" s="80"/>
      <c r="H423" s="80"/>
      <c r="I423" s="80"/>
      <c r="J423" s="80"/>
      <c r="K423" s="80"/>
      <c r="L423" s="80"/>
      <c r="M423" s="80"/>
      <c r="N423" s="80"/>
      <c r="O423" s="80"/>
      <c r="P423" s="80"/>
      <c r="Q423" s="80"/>
      <c r="R423" s="80"/>
      <c r="S423" s="80"/>
      <c r="T423" s="80"/>
      <c r="U423" s="80"/>
      <c r="V423" s="74"/>
      <c r="W423" s="74"/>
      <c r="X423" s="74"/>
      <c r="Y423" s="74"/>
      <c r="Z423" s="74"/>
      <c r="AA423" s="80"/>
      <c r="AB423" s="80"/>
      <c r="AE423" s="80"/>
      <c r="BL423" s="815"/>
    </row>
    <row r="424" spans="1:64">
      <c r="C424" s="68"/>
      <c r="D424" s="76"/>
      <c r="E424" s="712"/>
      <c r="F424" s="76"/>
      <c r="G424" s="76"/>
      <c r="H424" s="76"/>
      <c r="I424" s="76"/>
      <c r="J424" s="76"/>
      <c r="K424" s="76"/>
      <c r="L424" s="76"/>
      <c r="M424" s="76"/>
      <c r="N424" s="76"/>
      <c r="O424" s="76"/>
      <c r="P424" s="76"/>
      <c r="Q424" s="76"/>
      <c r="R424" s="76"/>
      <c r="S424" s="76"/>
      <c r="T424" s="76"/>
      <c r="Z424" s="1445"/>
      <c r="AA424" s="76"/>
      <c r="AB424" s="76"/>
      <c r="AC424" s="76"/>
      <c r="AD424" s="76"/>
      <c r="AE424" s="76"/>
      <c r="AF424" s="76"/>
      <c r="AG424" s="76"/>
      <c r="AH424" s="76"/>
      <c r="AI424" s="76"/>
      <c r="AJ424" s="76"/>
      <c r="AK424" s="76"/>
      <c r="AL424" s="76"/>
      <c r="AM424" s="76"/>
      <c r="AN424" s="76"/>
      <c r="AO424" s="76"/>
      <c r="AP424" s="76"/>
      <c r="AQ424" s="76"/>
      <c r="AR424" s="76"/>
      <c r="AS424" s="76"/>
      <c r="AT424" s="76"/>
      <c r="AU424" s="76"/>
      <c r="AV424" s="76"/>
      <c r="AW424" s="76"/>
      <c r="AX424" s="76"/>
      <c r="AY424" s="76"/>
      <c r="AZ424" s="76"/>
      <c r="BA424" s="76"/>
      <c r="BB424" s="76"/>
      <c r="BC424" s="76"/>
      <c r="BD424" s="76"/>
      <c r="BE424" s="76"/>
      <c r="BF424" s="76"/>
      <c r="BG424" s="76"/>
      <c r="BH424" s="76"/>
      <c r="BI424" s="76"/>
      <c r="BJ424" s="76"/>
      <c r="BK424" s="76"/>
      <c r="BL424" s="815"/>
    </row>
    <row r="425" spans="1:64">
      <c r="C425" s="68"/>
      <c r="D425" s="816"/>
      <c r="E425" s="817"/>
      <c r="F425" s="816"/>
      <c r="G425" s="816"/>
      <c r="H425" s="816"/>
      <c r="I425" s="816"/>
      <c r="J425" s="816"/>
      <c r="K425" s="816"/>
      <c r="L425" s="816"/>
      <c r="M425" s="816"/>
      <c r="N425" s="816"/>
      <c r="O425" s="816"/>
      <c r="P425" s="816"/>
      <c r="Q425" s="816"/>
      <c r="R425" s="816"/>
      <c r="S425" s="816"/>
      <c r="T425" s="816"/>
      <c r="U425" s="816"/>
      <c r="V425" s="1591"/>
      <c r="W425" s="1591"/>
      <c r="X425" s="1591"/>
      <c r="Y425" s="1591"/>
      <c r="Z425" s="1591"/>
      <c r="AA425" s="816"/>
      <c r="AB425" s="816"/>
      <c r="AC425" s="816"/>
      <c r="AD425" s="816"/>
      <c r="AE425" s="816"/>
      <c r="AF425" s="816"/>
      <c r="AG425" s="816"/>
      <c r="AH425" s="816"/>
      <c r="AI425" s="816"/>
      <c r="AJ425" s="816"/>
      <c r="AK425" s="816"/>
      <c r="AL425" s="816"/>
      <c r="AM425" s="816"/>
      <c r="AN425" s="816"/>
      <c r="AO425" s="816"/>
      <c r="AP425" s="816"/>
      <c r="AQ425" s="816"/>
      <c r="AR425" s="816"/>
      <c r="AS425" s="816"/>
      <c r="AT425" s="816"/>
      <c r="AU425" s="816"/>
      <c r="AV425" s="816"/>
      <c r="AW425" s="816"/>
      <c r="AX425" s="816"/>
      <c r="AY425" s="816"/>
      <c r="AZ425" s="816"/>
      <c r="BA425" s="816"/>
      <c r="BB425" s="816"/>
      <c r="BC425" s="816"/>
      <c r="BD425" s="816"/>
      <c r="BE425" s="816"/>
      <c r="BF425" s="816"/>
      <c r="BG425" s="816"/>
      <c r="BH425" s="816"/>
      <c r="BI425" s="816"/>
      <c r="BJ425" s="816"/>
      <c r="BK425" s="816"/>
      <c r="BL425" s="815"/>
    </row>
    <row r="426" spans="1:64">
      <c r="C426" s="68"/>
      <c r="D426" s="203"/>
      <c r="E426" s="68"/>
      <c r="F426" s="70"/>
      <c r="G426" s="70"/>
      <c r="H426" s="70"/>
      <c r="I426" s="70"/>
      <c r="J426" s="203"/>
      <c r="K426" s="70"/>
      <c r="L426" s="70"/>
      <c r="M426" s="70"/>
      <c r="N426" s="70"/>
      <c r="O426" s="70"/>
      <c r="P426" s="70"/>
      <c r="Q426" s="70"/>
      <c r="R426" s="70"/>
      <c r="S426" s="70"/>
      <c r="T426" s="70"/>
      <c r="U426" s="70"/>
      <c r="V426" s="1592"/>
      <c r="W426" s="1592"/>
      <c r="X426" s="1592"/>
      <c r="Y426" s="1592"/>
      <c r="Z426" s="1592"/>
      <c r="AA426" s="70"/>
      <c r="AB426" s="70"/>
      <c r="AC426" s="70"/>
      <c r="AD426" s="70"/>
      <c r="AE426" s="70"/>
      <c r="AF426" s="70"/>
      <c r="AG426" s="70"/>
      <c r="AH426" s="70"/>
      <c r="AI426" s="70"/>
      <c r="AJ426" s="70"/>
      <c r="AK426" s="70"/>
      <c r="AL426" s="70"/>
      <c r="AM426" s="70"/>
      <c r="AN426" s="70"/>
      <c r="AO426" s="70"/>
      <c r="AP426" s="70"/>
      <c r="AQ426" s="70"/>
      <c r="AR426" s="70"/>
      <c r="AS426" s="70"/>
      <c r="AT426" s="70"/>
      <c r="AU426" s="70"/>
      <c r="AV426" s="70"/>
      <c r="AW426" s="70"/>
      <c r="AX426" s="70"/>
      <c r="AY426" s="70"/>
      <c r="AZ426" s="70"/>
      <c r="BA426" s="70"/>
      <c r="BB426" s="70"/>
      <c r="BC426" s="70"/>
      <c r="BD426" s="70"/>
      <c r="BE426" s="70"/>
      <c r="BF426" s="70"/>
      <c r="BG426" s="70"/>
      <c r="BH426" s="70"/>
      <c r="BI426" s="70"/>
      <c r="BJ426" s="70"/>
      <c r="BK426" s="70"/>
      <c r="BL426" s="815"/>
    </row>
    <row r="427" spans="1:64">
      <c r="C427" s="68"/>
      <c r="D427" s="70"/>
      <c r="E427" s="68"/>
      <c r="F427" s="70"/>
      <c r="G427" s="70"/>
      <c r="H427" s="70"/>
      <c r="I427" s="70"/>
      <c r="J427" s="70"/>
      <c r="K427" s="70"/>
      <c r="L427" s="70"/>
      <c r="M427" s="70"/>
      <c r="N427" s="70"/>
      <c r="O427" s="70"/>
      <c r="P427" s="70"/>
      <c r="Q427" s="70"/>
      <c r="R427" s="70"/>
      <c r="S427" s="70"/>
      <c r="T427" s="70"/>
      <c r="U427" s="70"/>
      <c r="V427" s="1592"/>
      <c r="W427" s="1592"/>
      <c r="X427" s="1592"/>
      <c r="Y427" s="1592"/>
      <c r="Z427" s="1592"/>
      <c r="AA427" s="70"/>
      <c r="AB427" s="70"/>
      <c r="AC427" s="70"/>
      <c r="AD427" s="70"/>
      <c r="AE427" s="70"/>
      <c r="AF427" s="70"/>
      <c r="AG427" s="70"/>
      <c r="AH427" s="70"/>
      <c r="AI427" s="70"/>
      <c r="AJ427" s="70"/>
      <c r="AK427" s="70"/>
      <c r="AL427" s="70"/>
      <c r="AM427" s="70"/>
      <c r="AN427" s="70"/>
      <c r="AO427" s="70"/>
      <c r="AP427" s="70"/>
      <c r="AQ427" s="70"/>
      <c r="AR427" s="70"/>
      <c r="AS427" s="70"/>
      <c r="AT427" s="70"/>
      <c r="AU427" s="70"/>
      <c r="AV427" s="70"/>
      <c r="AW427" s="70"/>
      <c r="AX427" s="70"/>
      <c r="AY427" s="70"/>
      <c r="AZ427" s="70"/>
      <c r="BA427" s="70"/>
      <c r="BB427" s="70"/>
      <c r="BC427" s="70"/>
      <c r="BD427" s="70"/>
      <c r="BE427" s="70"/>
      <c r="BF427" s="70"/>
      <c r="BG427" s="70"/>
      <c r="BH427" s="70"/>
      <c r="BI427" s="70"/>
      <c r="BJ427" s="70"/>
      <c r="BK427" s="70"/>
      <c r="BL427" s="815"/>
    </row>
    <row r="428" spans="1:64">
      <c r="C428" s="68"/>
      <c r="D428" s="68"/>
      <c r="E428" s="712"/>
      <c r="F428" s="68"/>
      <c r="G428" s="68"/>
      <c r="H428" s="68"/>
      <c r="I428" s="68"/>
      <c r="J428" s="68"/>
      <c r="K428" s="76"/>
      <c r="L428" s="68"/>
      <c r="M428" s="68"/>
      <c r="N428" s="68"/>
      <c r="O428" s="68"/>
      <c r="P428" s="68"/>
      <c r="Q428" s="76"/>
      <c r="R428" s="68"/>
      <c r="S428" s="68"/>
      <c r="T428" s="68"/>
      <c r="U428" s="68"/>
      <c r="V428" s="74"/>
      <c r="X428" s="74"/>
      <c r="Y428" s="74"/>
      <c r="Z428" s="74"/>
      <c r="AC428" s="76"/>
      <c r="AD428" s="68"/>
      <c r="AE428" s="68"/>
      <c r="AF428" s="68"/>
      <c r="AG428" s="68"/>
      <c r="AH428" s="68"/>
      <c r="AI428" s="76"/>
      <c r="AJ428" s="68"/>
      <c r="AK428" s="68"/>
      <c r="AL428" s="68"/>
      <c r="AM428" s="68"/>
      <c r="AN428" s="68"/>
      <c r="AO428" s="76"/>
      <c r="AP428" s="68"/>
      <c r="AQ428" s="68"/>
      <c r="AR428" s="68"/>
      <c r="AS428" s="68"/>
      <c r="AT428" s="68"/>
      <c r="AU428" s="76"/>
      <c r="AV428" s="68"/>
      <c r="AW428" s="68"/>
      <c r="AX428" s="68"/>
      <c r="AY428" s="68"/>
      <c r="AZ428" s="68"/>
      <c r="BA428" s="76"/>
      <c r="BB428" s="68"/>
      <c r="BC428" s="68"/>
      <c r="BD428" s="68"/>
      <c r="BE428" s="68"/>
      <c r="BF428" s="68"/>
      <c r="BG428" s="76"/>
      <c r="BH428" s="68"/>
      <c r="BI428" s="68"/>
      <c r="BJ428" s="68"/>
      <c r="BK428" s="68"/>
      <c r="BL428" s="815"/>
    </row>
    <row r="429" spans="1:64">
      <c r="C429" s="68"/>
      <c r="D429" s="68"/>
      <c r="E429" s="68"/>
      <c r="F429" s="204"/>
      <c r="G429" s="204"/>
      <c r="H429" s="204"/>
      <c r="I429" s="204"/>
      <c r="J429" s="68"/>
      <c r="K429" s="68"/>
      <c r="L429" s="204"/>
      <c r="M429" s="204"/>
      <c r="N429" s="204"/>
      <c r="O429" s="204"/>
      <c r="P429" s="204"/>
      <c r="Q429" s="68"/>
      <c r="R429" s="204"/>
      <c r="S429" s="204"/>
      <c r="T429" s="204"/>
      <c r="U429" s="204"/>
      <c r="V429" s="1593"/>
      <c r="W429" s="74"/>
      <c r="X429" s="1593"/>
      <c r="Y429" s="1593"/>
      <c r="Z429" s="1593"/>
      <c r="AA429" s="204"/>
      <c r="AB429" s="204"/>
      <c r="AC429" s="68"/>
      <c r="AD429" s="204"/>
      <c r="AE429" s="204"/>
      <c r="AF429" s="204"/>
      <c r="AG429" s="204"/>
      <c r="AH429" s="204"/>
      <c r="AI429" s="68"/>
      <c r="AJ429" s="204"/>
      <c r="AK429" s="204"/>
      <c r="AL429" s="204"/>
      <c r="AM429" s="204"/>
      <c r="AN429" s="204"/>
      <c r="AO429" s="68"/>
      <c r="AP429" s="204"/>
      <c r="AQ429" s="204"/>
      <c r="AR429" s="204"/>
      <c r="AS429" s="204"/>
      <c r="AT429" s="204"/>
      <c r="AU429" s="68"/>
      <c r="AV429" s="204"/>
      <c r="AW429" s="204"/>
      <c r="AX429" s="204"/>
      <c r="AY429" s="204"/>
      <c r="AZ429" s="204"/>
      <c r="BA429" s="68"/>
      <c r="BB429" s="204"/>
      <c r="BC429" s="204"/>
      <c r="BD429" s="204"/>
      <c r="BE429" s="204"/>
      <c r="BF429" s="204"/>
      <c r="BG429" s="68"/>
      <c r="BH429" s="204"/>
      <c r="BI429" s="204"/>
      <c r="BJ429" s="204"/>
      <c r="BK429" s="204"/>
      <c r="BL429" s="815"/>
    </row>
    <row r="430" spans="1:64">
      <c r="C430" s="68"/>
      <c r="D430" s="68"/>
      <c r="E430" s="68"/>
      <c r="F430" s="204"/>
      <c r="G430" s="204"/>
      <c r="H430" s="204"/>
      <c r="I430" s="204"/>
      <c r="J430" s="68"/>
      <c r="K430" s="68"/>
      <c r="L430" s="204"/>
      <c r="M430" s="204"/>
      <c r="N430" s="204"/>
      <c r="O430" s="204"/>
      <c r="P430" s="204"/>
      <c r="Q430" s="68"/>
      <c r="R430" s="204"/>
      <c r="S430" s="204"/>
      <c r="T430" s="204"/>
      <c r="U430" s="204"/>
      <c r="V430" s="1593"/>
      <c r="W430" s="74"/>
      <c r="X430" s="1593"/>
      <c r="Y430" s="1593"/>
      <c r="Z430" s="1593"/>
      <c r="AA430" s="204"/>
      <c r="AB430" s="204"/>
      <c r="AC430" s="68"/>
      <c r="AD430" s="204"/>
      <c r="AE430" s="204"/>
      <c r="AF430" s="204"/>
      <c r="AG430" s="204"/>
      <c r="AH430" s="204"/>
      <c r="AI430" s="68"/>
      <c r="AJ430" s="204"/>
      <c r="AK430" s="204"/>
      <c r="AL430" s="204"/>
      <c r="AM430" s="204"/>
      <c r="AN430" s="204"/>
      <c r="AO430" s="68"/>
      <c r="AP430" s="204"/>
      <c r="AQ430" s="204"/>
      <c r="AR430" s="204"/>
      <c r="AS430" s="204"/>
      <c r="AT430" s="204"/>
      <c r="AU430" s="68"/>
      <c r="AV430" s="204"/>
      <c r="AW430" s="204"/>
      <c r="AX430" s="204"/>
      <c r="AY430" s="204"/>
      <c r="AZ430" s="204"/>
      <c r="BA430" s="68"/>
      <c r="BB430" s="204"/>
      <c r="BC430" s="204"/>
      <c r="BD430" s="204"/>
      <c r="BE430" s="204"/>
      <c r="BF430" s="204"/>
      <c r="BG430" s="68"/>
      <c r="BH430" s="204"/>
      <c r="BI430" s="204"/>
      <c r="BJ430" s="204"/>
      <c r="BK430" s="204"/>
      <c r="BL430" s="815"/>
    </row>
    <row r="431" spans="1:64" ht="13.65" customHeight="1">
      <c r="C431" s="68"/>
      <c r="D431" s="68"/>
      <c r="E431" s="68"/>
      <c r="F431" s="204"/>
      <c r="G431" s="204"/>
      <c r="H431" s="204"/>
      <c r="I431" s="204"/>
      <c r="J431" s="68"/>
      <c r="K431" s="68"/>
      <c r="L431" s="204"/>
      <c r="M431" s="204"/>
      <c r="N431" s="204"/>
      <c r="O431" s="204"/>
      <c r="P431" s="204"/>
      <c r="Q431" s="68"/>
      <c r="R431" s="204"/>
      <c r="S431" s="204"/>
      <c r="T431" s="204"/>
      <c r="U431" s="204"/>
      <c r="V431" s="1593"/>
      <c r="W431" s="74"/>
      <c r="X431" s="1593"/>
      <c r="Y431" s="1593"/>
      <c r="Z431" s="1593"/>
      <c r="AA431" s="204"/>
      <c r="AB431" s="204"/>
      <c r="AC431" s="68"/>
      <c r="AD431" s="204"/>
      <c r="AE431" s="204"/>
      <c r="AF431" s="204"/>
      <c r="AG431" s="204"/>
      <c r="AH431" s="204"/>
      <c r="AI431" s="68"/>
      <c r="AJ431" s="204"/>
      <c r="AK431" s="204"/>
      <c r="AL431" s="204"/>
      <c r="AM431" s="204"/>
      <c r="AN431" s="204"/>
      <c r="AO431" s="68"/>
      <c r="AP431" s="204"/>
      <c r="AQ431" s="204"/>
      <c r="AR431" s="204"/>
      <c r="AS431" s="204"/>
      <c r="AT431" s="204"/>
      <c r="AU431" s="68"/>
      <c r="AV431" s="204"/>
      <c r="AW431" s="204"/>
      <c r="AX431" s="204"/>
      <c r="AY431" s="204"/>
      <c r="AZ431" s="204"/>
      <c r="BA431" s="68"/>
      <c r="BB431" s="204"/>
      <c r="BC431" s="204"/>
      <c r="BD431" s="204"/>
      <c r="BE431" s="204"/>
      <c r="BF431" s="204"/>
      <c r="BG431" s="68"/>
      <c r="BH431" s="204"/>
      <c r="BI431" s="204"/>
      <c r="BJ431" s="204"/>
      <c r="BK431" s="204"/>
      <c r="BL431" s="815"/>
    </row>
    <row r="432" spans="1:64">
      <c r="C432" s="68"/>
      <c r="D432" s="68"/>
      <c r="E432" s="68"/>
      <c r="F432" s="204"/>
      <c r="G432" s="204"/>
      <c r="H432" s="204"/>
      <c r="I432" s="204"/>
      <c r="J432" s="68"/>
      <c r="K432" s="68"/>
      <c r="L432" s="204"/>
      <c r="M432" s="204"/>
      <c r="N432" s="204"/>
      <c r="O432" s="204"/>
      <c r="P432" s="204"/>
      <c r="Q432" s="68"/>
      <c r="R432" s="204"/>
      <c r="S432" s="204"/>
      <c r="T432" s="204"/>
      <c r="U432" s="204"/>
      <c r="V432" s="1593"/>
      <c r="W432" s="74"/>
      <c r="X432" s="1593"/>
      <c r="Y432" s="1593"/>
      <c r="Z432" s="1593"/>
      <c r="AA432" s="204"/>
      <c r="AB432" s="204"/>
      <c r="AC432" s="68"/>
      <c r="AD432" s="204"/>
      <c r="AE432" s="204"/>
      <c r="AF432" s="204"/>
      <c r="AG432" s="204"/>
      <c r="AH432" s="204"/>
      <c r="AI432" s="68"/>
      <c r="AJ432" s="204"/>
      <c r="AK432" s="204"/>
      <c r="AL432" s="204"/>
      <c r="AM432" s="204"/>
      <c r="AN432" s="204"/>
      <c r="AO432" s="68"/>
      <c r="AP432" s="204"/>
      <c r="AQ432" s="204"/>
      <c r="AR432" s="204"/>
      <c r="AS432" s="204"/>
      <c r="AT432" s="204"/>
      <c r="AU432" s="68"/>
      <c r="AV432" s="204"/>
      <c r="AW432" s="204"/>
      <c r="AX432" s="204"/>
      <c r="AY432" s="204"/>
      <c r="AZ432" s="204"/>
      <c r="BA432" s="68"/>
      <c r="BB432" s="204"/>
      <c r="BC432" s="204"/>
      <c r="BD432" s="204"/>
      <c r="BE432" s="204"/>
      <c r="BF432" s="204"/>
      <c r="BG432" s="68"/>
      <c r="BH432" s="204"/>
      <c r="BI432" s="204"/>
      <c r="BJ432" s="204"/>
      <c r="BK432" s="204"/>
      <c r="BL432" s="815"/>
    </row>
    <row r="433" spans="3:101">
      <c r="C433" s="68"/>
      <c r="D433" s="68"/>
      <c r="E433" s="68"/>
      <c r="F433" s="204"/>
      <c r="G433" s="204"/>
      <c r="H433" s="204"/>
      <c r="I433" s="204"/>
      <c r="J433" s="68"/>
      <c r="K433" s="68"/>
      <c r="L433" s="204"/>
      <c r="M433" s="204"/>
      <c r="N433" s="204"/>
      <c r="O433" s="204"/>
      <c r="P433" s="204"/>
      <c r="Q433" s="68"/>
      <c r="R433" s="204"/>
      <c r="S433" s="204"/>
      <c r="T433" s="204"/>
      <c r="U433" s="204"/>
      <c r="V433" s="1593"/>
      <c r="W433" s="74"/>
      <c r="X433" s="1593"/>
      <c r="Y433" s="1593"/>
      <c r="Z433" s="1593"/>
      <c r="AA433" s="204"/>
      <c r="AB433" s="204"/>
      <c r="AC433" s="68"/>
      <c r="AD433" s="204"/>
      <c r="AE433" s="204"/>
      <c r="AF433" s="204"/>
      <c r="AG433" s="204"/>
      <c r="AH433" s="204"/>
      <c r="AI433" s="68"/>
      <c r="AJ433" s="204"/>
      <c r="AK433" s="204"/>
      <c r="AL433" s="204"/>
      <c r="AM433" s="204"/>
      <c r="AN433" s="204"/>
      <c r="AO433" s="68"/>
      <c r="AP433" s="204"/>
      <c r="AQ433" s="204"/>
      <c r="AR433" s="204"/>
      <c r="AS433" s="204"/>
      <c r="AT433" s="204"/>
      <c r="AU433" s="68"/>
      <c r="AV433" s="204"/>
      <c r="AW433" s="204"/>
      <c r="AX433" s="204"/>
      <c r="AY433" s="204"/>
      <c r="AZ433" s="204"/>
      <c r="BA433" s="68"/>
      <c r="BB433" s="204"/>
      <c r="BC433" s="204"/>
      <c r="BD433" s="204"/>
      <c r="BE433" s="204"/>
      <c r="BF433" s="204"/>
      <c r="BG433" s="68"/>
      <c r="BH433" s="204"/>
      <c r="BI433" s="204"/>
      <c r="BJ433" s="204"/>
      <c r="BK433" s="204"/>
      <c r="BL433" s="815"/>
    </row>
    <row r="434" spans="3:101">
      <c r="C434" s="68"/>
      <c r="D434" s="68"/>
      <c r="E434" s="68"/>
      <c r="F434" s="204"/>
      <c r="G434" s="204"/>
      <c r="H434" s="204"/>
      <c r="I434" s="204"/>
      <c r="J434" s="68"/>
      <c r="K434" s="68"/>
      <c r="L434" s="204"/>
      <c r="M434" s="204"/>
      <c r="N434" s="204"/>
      <c r="O434" s="204"/>
      <c r="P434" s="204"/>
      <c r="Q434" s="68"/>
      <c r="R434" s="204"/>
      <c r="S434" s="204"/>
      <c r="T434" s="204"/>
      <c r="U434" s="204"/>
      <c r="V434" s="1593"/>
      <c r="W434" s="74"/>
      <c r="X434" s="1593"/>
      <c r="Y434" s="1593"/>
      <c r="Z434" s="1593"/>
      <c r="AA434" s="204"/>
      <c r="AB434" s="204"/>
      <c r="AC434" s="68"/>
      <c r="AD434" s="204"/>
      <c r="AE434" s="204"/>
      <c r="AF434" s="204"/>
      <c r="AG434" s="204"/>
      <c r="AH434" s="204"/>
      <c r="AI434" s="68"/>
      <c r="AJ434" s="204"/>
      <c r="AK434" s="204"/>
      <c r="AL434" s="204"/>
      <c r="AM434" s="204"/>
      <c r="AN434" s="204"/>
      <c r="AO434" s="68"/>
      <c r="AP434" s="204"/>
      <c r="AQ434" s="204"/>
      <c r="AR434" s="204"/>
      <c r="AS434" s="204"/>
      <c r="AT434" s="204"/>
      <c r="AU434" s="68"/>
      <c r="AV434" s="204"/>
      <c r="AW434" s="204"/>
      <c r="AX434" s="204"/>
      <c r="AY434" s="204"/>
      <c r="AZ434" s="204"/>
      <c r="BA434" s="68"/>
      <c r="BB434" s="204"/>
      <c r="BC434" s="204"/>
      <c r="BD434" s="204"/>
      <c r="BE434" s="204"/>
      <c r="BF434" s="204"/>
      <c r="BG434" s="68"/>
      <c r="BH434" s="204"/>
      <c r="BI434" s="204"/>
      <c r="BJ434" s="204"/>
      <c r="BK434" s="204"/>
      <c r="BL434" s="815"/>
    </row>
    <row r="435" spans="3:101">
      <c r="C435" s="68"/>
      <c r="D435" s="68"/>
      <c r="E435" s="68"/>
      <c r="F435" s="204"/>
      <c r="G435" s="204"/>
      <c r="H435" s="204"/>
      <c r="I435" s="204"/>
      <c r="J435" s="68"/>
      <c r="K435" s="68"/>
      <c r="L435" s="204"/>
      <c r="M435" s="204"/>
      <c r="N435" s="204"/>
      <c r="O435" s="204"/>
      <c r="P435" s="204"/>
      <c r="Q435" s="68"/>
      <c r="R435" s="204"/>
      <c r="S435" s="204"/>
      <c r="T435" s="204"/>
      <c r="U435" s="204"/>
      <c r="V435" s="1593"/>
      <c r="W435" s="74"/>
      <c r="X435" s="1593"/>
      <c r="Y435" s="1593"/>
      <c r="Z435" s="1593"/>
      <c r="AA435" s="204"/>
      <c r="AB435" s="204"/>
      <c r="AC435" s="68"/>
      <c r="AD435" s="204"/>
      <c r="AE435" s="204"/>
      <c r="AF435" s="204"/>
      <c r="AG435" s="204"/>
      <c r="AH435" s="204"/>
      <c r="AI435" s="68"/>
      <c r="AJ435" s="204"/>
      <c r="AK435" s="204"/>
      <c r="AL435" s="204"/>
      <c r="AM435" s="204"/>
      <c r="AN435" s="204"/>
      <c r="AO435" s="68"/>
      <c r="AP435" s="204"/>
      <c r="AQ435" s="204"/>
      <c r="AR435" s="204"/>
      <c r="AS435" s="204"/>
      <c r="AT435" s="204"/>
      <c r="AU435" s="68"/>
      <c r="AV435" s="204"/>
      <c r="AW435" s="204"/>
      <c r="AX435" s="204"/>
      <c r="AY435" s="204"/>
      <c r="AZ435" s="204"/>
      <c r="BA435" s="68"/>
      <c r="BB435" s="204"/>
      <c r="BC435" s="204"/>
      <c r="BD435" s="204"/>
      <c r="BE435" s="204"/>
      <c r="BF435" s="204"/>
      <c r="BG435" s="68"/>
      <c r="BH435" s="204"/>
      <c r="BI435" s="204"/>
      <c r="BJ435" s="204"/>
      <c r="BK435" s="204"/>
      <c r="BL435" s="815"/>
    </row>
    <row r="436" spans="3:101">
      <c r="C436" s="68"/>
      <c r="D436" s="68"/>
      <c r="E436" s="68"/>
      <c r="F436" s="204"/>
      <c r="G436" s="204"/>
      <c r="H436" s="204"/>
      <c r="I436" s="204"/>
      <c r="J436" s="68"/>
      <c r="K436" s="68"/>
      <c r="L436" s="204"/>
      <c r="M436" s="204"/>
      <c r="N436" s="204"/>
      <c r="O436" s="204"/>
      <c r="P436" s="204"/>
      <c r="Q436" s="68"/>
      <c r="R436" s="204"/>
      <c r="S436" s="204"/>
      <c r="T436" s="204"/>
      <c r="U436" s="204"/>
      <c r="V436" s="1593"/>
      <c r="W436" s="74"/>
      <c r="X436" s="1593"/>
      <c r="Y436" s="1593"/>
      <c r="Z436" s="1593"/>
      <c r="AA436" s="204"/>
      <c r="AB436" s="204"/>
      <c r="AC436" s="68"/>
      <c r="AD436" s="204"/>
      <c r="AE436" s="204"/>
      <c r="AF436" s="204"/>
      <c r="AG436" s="204"/>
      <c r="AH436" s="204"/>
      <c r="AI436" s="68"/>
      <c r="AJ436" s="204"/>
      <c r="AK436" s="204"/>
      <c r="AL436" s="204"/>
      <c r="AM436" s="204"/>
      <c r="AN436" s="204"/>
      <c r="AO436" s="68"/>
      <c r="AP436" s="204"/>
      <c r="AQ436" s="204"/>
      <c r="AR436" s="204"/>
      <c r="AS436" s="204"/>
      <c r="AT436" s="204"/>
      <c r="AU436" s="68"/>
      <c r="AV436" s="204"/>
      <c r="AW436" s="204"/>
      <c r="AX436" s="204"/>
      <c r="AY436" s="204"/>
      <c r="AZ436" s="204"/>
      <c r="BA436" s="68"/>
      <c r="BB436" s="204"/>
      <c r="BC436" s="204"/>
      <c r="BD436" s="204"/>
      <c r="BE436" s="204"/>
      <c r="BF436" s="204"/>
      <c r="BG436" s="68"/>
      <c r="BH436" s="204"/>
      <c r="BI436" s="204"/>
      <c r="BJ436" s="204"/>
      <c r="BK436" s="204"/>
      <c r="BL436" s="815"/>
    </row>
    <row r="437" spans="3:101">
      <c r="C437" s="204"/>
      <c r="D437" s="204"/>
      <c r="E437" s="818"/>
      <c r="F437" s="204"/>
      <c r="G437" s="204"/>
      <c r="H437" s="204"/>
      <c r="I437" s="204"/>
      <c r="J437" s="204"/>
      <c r="K437" s="204"/>
      <c r="L437" s="204"/>
      <c r="M437" s="204"/>
      <c r="N437" s="204"/>
      <c r="O437" s="204"/>
      <c r="P437" s="204"/>
      <c r="Q437" s="204"/>
      <c r="R437" s="204"/>
      <c r="S437" s="204"/>
      <c r="T437" s="204"/>
      <c r="U437" s="204"/>
      <c r="V437" s="1593"/>
      <c r="W437" s="1593"/>
      <c r="X437" s="1593"/>
      <c r="Y437" s="1593"/>
      <c r="Z437" s="1593"/>
      <c r="AA437" s="204"/>
      <c r="AB437" s="204"/>
      <c r="AC437" s="204"/>
      <c r="AD437" s="204"/>
      <c r="AE437" s="204"/>
      <c r="AF437" s="204"/>
      <c r="AG437" s="204"/>
      <c r="AH437" s="204"/>
      <c r="AI437" s="204"/>
      <c r="AJ437" s="204"/>
      <c r="AK437" s="204"/>
      <c r="AL437" s="204"/>
      <c r="AM437" s="204"/>
      <c r="AN437" s="204"/>
      <c r="AO437" s="204"/>
      <c r="AP437" s="204"/>
      <c r="AQ437" s="204"/>
      <c r="AR437" s="204"/>
      <c r="AS437" s="204"/>
      <c r="AT437" s="204"/>
      <c r="AU437" s="204"/>
      <c r="AV437" s="204"/>
      <c r="AW437" s="204"/>
      <c r="AX437" s="204"/>
      <c r="AY437" s="204"/>
      <c r="AZ437" s="204"/>
      <c r="BA437" s="204"/>
      <c r="BB437" s="204"/>
      <c r="BC437" s="204"/>
      <c r="BD437" s="204"/>
      <c r="BE437" s="204"/>
      <c r="BF437" s="204"/>
      <c r="BG437" s="204"/>
      <c r="BH437" s="204"/>
      <c r="BI437" s="204"/>
      <c r="BJ437" s="204"/>
      <c r="BK437" s="204"/>
      <c r="BL437" s="815"/>
    </row>
    <row r="438" spans="3:101">
      <c r="C438" s="203"/>
      <c r="D438" s="204"/>
      <c r="E438" s="818"/>
      <c r="F438" s="204"/>
      <c r="G438" s="204"/>
      <c r="H438" s="204"/>
      <c r="I438" s="204"/>
      <c r="J438" s="204"/>
      <c r="K438" s="204"/>
      <c r="L438" s="204"/>
      <c r="M438" s="204"/>
      <c r="N438" s="204"/>
      <c r="O438" s="204"/>
      <c r="P438" s="204"/>
      <c r="Q438" s="204"/>
      <c r="R438" s="204"/>
      <c r="S438" s="204"/>
      <c r="T438" s="204"/>
      <c r="U438" s="204"/>
      <c r="V438" s="1593"/>
      <c r="W438" s="1593"/>
      <c r="X438" s="1593"/>
      <c r="Y438" s="1593"/>
      <c r="Z438" s="1593"/>
      <c r="AA438" s="204"/>
      <c r="AB438" s="204"/>
      <c r="AC438" s="204"/>
      <c r="AD438" s="204"/>
      <c r="AE438" s="204"/>
      <c r="AF438" s="204"/>
      <c r="AG438" s="204"/>
      <c r="AH438" s="204"/>
      <c r="AI438" s="204"/>
      <c r="AJ438" s="204"/>
      <c r="AK438" s="204"/>
      <c r="AL438" s="204"/>
      <c r="AM438" s="204"/>
      <c r="AN438" s="204"/>
      <c r="AO438" s="204"/>
      <c r="AP438" s="204"/>
      <c r="AQ438" s="204"/>
      <c r="AR438" s="204"/>
      <c r="AS438" s="204"/>
      <c r="AT438" s="204"/>
      <c r="AU438" s="204"/>
      <c r="AV438" s="204"/>
      <c r="AW438" s="204"/>
      <c r="AX438" s="204"/>
      <c r="AY438" s="204"/>
      <c r="AZ438" s="204"/>
      <c r="BA438" s="204"/>
      <c r="BB438" s="204"/>
      <c r="BC438" s="204"/>
      <c r="BD438" s="204"/>
      <c r="BE438" s="204"/>
      <c r="BF438" s="204"/>
      <c r="BG438" s="204"/>
      <c r="BH438" s="204"/>
      <c r="BI438" s="204"/>
      <c r="BJ438" s="204"/>
      <c r="BK438" s="204"/>
      <c r="BL438" s="815"/>
    </row>
    <row r="439" spans="3:101">
      <c r="C439" s="70"/>
      <c r="D439" s="819"/>
      <c r="E439" s="820"/>
      <c r="F439" s="819"/>
      <c r="G439" s="819"/>
      <c r="H439" s="819"/>
      <c r="I439" s="819"/>
      <c r="J439" s="819"/>
      <c r="K439" s="819"/>
      <c r="L439" s="819"/>
      <c r="M439" s="819"/>
      <c r="N439" s="819"/>
      <c r="O439" s="819"/>
      <c r="P439" s="819"/>
      <c r="Q439" s="819"/>
      <c r="R439" s="819"/>
      <c r="S439" s="819"/>
      <c r="T439" s="819"/>
      <c r="U439" s="819"/>
      <c r="V439" s="1594"/>
      <c r="W439" s="1594"/>
      <c r="X439" s="1594"/>
      <c r="Y439" s="1594"/>
      <c r="Z439" s="1594"/>
      <c r="AA439" s="819"/>
      <c r="AB439" s="819"/>
      <c r="AC439" s="819"/>
      <c r="AD439" s="819"/>
      <c r="AE439" s="819"/>
      <c r="AF439" s="819"/>
      <c r="AG439" s="819"/>
      <c r="AH439" s="819"/>
      <c r="AI439" s="819"/>
      <c r="AJ439" s="819"/>
      <c r="AK439" s="819"/>
      <c r="AL439" s="819"/>
      <c r="AM439" s="819"/>
      <c r="AN439" s="819"/>
      <c r="AO439" s="819"/>
      <c r="AP439" s="819"/>
      <c r="AQ439" s="819"/>
      <c r="AR439" s="819"/>
      <c r="AS439" s="819"/>
      <c r="AT439" s="819"/>
      <c r="AU439" s="819"/>
      <c r="AV439" s="819"/>
      <c r="AW439" s="819"/>
      <c r="AX439" s="819"/>
      <c r="AY439" s="819"/>
      <c r="AZ439" s="819"/>
      <c r="BA439" s="819"/>
      <c r="BB439" s="819"/>
      <c r="BC439" s="819"/>
      <c r="BD439" s="819"/>
      <c r="BE439" s="819"/>
      <c r="BF439" s="819"/>
      <c r="BG439" s="819"/>
      <c r="BH439" s="819"/>
      <c r="BI439" s="819"/>
      <c r="BJ439" s="819"/>
      <c r="BK439" s="819"/>
      <c r="BL439" s="815"/>
    </row>
    <row r="440" spans="3:101">
      <c r="C440" s="70"/>
      <c r="D440" s="819"/>
      <c r="E440" s="820"/>
      <c r="F440" s="819"/>
      <c r="G440" s="819"/>
      <c r="H440" s="819"/>
      <c r="I440" s="819"/>
      <c r="J440" s="819"/>
      <c r="K440" s="819"/>
      <c r="L440" s="819"/>
      <c r="M440" s="819"/>
      <c r="N440" s="819"/>
      <c r="O440" s="819"/>
      <c r="P440" s="819"/>
      <c r="Q440" s="819"/>
      <c r="R440" s="819"/>
      <c r="S440" s="819"/>
      <c r="T440" s="819"/>
      <c r="U440" s="819"/>
      <c r="V440" s="1594"/>
      <c r="W440" s="1594"/>
      <c r="X440" s="1594"/>
      <c r="Y440" s="1594"/>
      <c r="Z440" s="1594"/>
      <c r="AA440" s="819"/>
      <c r="AB440" s="819"/>
      <c r="AC440" s="819"/>
      <c r="AD440" s="819"/>
      <c r="AE440" s="819"/>
      <c r="AF440" s="819"/>
      <c r="AG440" s="819"/>
      <c r="AH440" s="819"/>
      <c r="AI440" s="819"/>
      <c r="AJ440" s="819"/>
      <c r="AK440" s="819"/>
      <c r="AL440" s="819"/>
      <c r="AM440" s="819"/>
      <c r="AN440" s="819"/>
      <c r="AO440" s="819"/>
      <c r="AP440" s="819"/>
      <c r="AQ440" s="819"/>
      <c r="AR440" s="819"/>
      <c r="AS440" s="819"/>
      <c r="AT440" s="819"/>
      <c r="AU440" s="819"/>
      <c r="AV440" s="819"/>
      <c r="AW440" s="819"/>
      <c r="AX440" s="819"/>
      <c r="AY440" s="819"/>
      <c r="AZ440" s="819"/>
      <c r="BA440" s="819"/>
      <c r="BB440" s="819"/>
      <c r="BC440" s="819"/>
      <c r="BD440" s="819"/>
      <c r="BE440" s="819"/>
      <c r="BF440" s="819"/>
      <c r="BG440" s="819"/>
      <c r="BH440" s="819"/>
      <c r="BI440" s="819"/>
      <c r="BJ440" s="819"/>
      <c r="BK440" s="819"/>
      <c r="BL440" s="815"/>
    </row>
    <row r="441" spans="3:101">
      <c r="C441" s="70"/>
      <c r="D441" s="819"/>
      <c r="E441" s="820"/>
      <c r="F441" s="819"/>
      <c r="G441" s="819"/>
      <c r="H441" s="819"/>
      <c r="I441" s="819"/>
      <c r="J441" s="819"/>
      <c r="K441" s="819"/>
      <c r="L441" s="819"/>
      <c r="M441" s="819"/>
      <c r="N441" s="819"/>
      <c r="O441" s="819"/>
      <c r="P441" s="819"/>
      <c r="Q441" s="819"/>
      <c r="R441" s="819"/>
      <c r="S441" s="819"/>
      <c r="T441" s="819"/>
      <c r="U441" s="819"/>
      <c r="V441" s="1594"/>
      <c r="W441" s="1594"/>
      <c r="X441" s="1594"/>
      <c r="Y441" s="1594"/>
      <c r="Z441" s="1594"/>
      <c r="AA441" s="819"/>
      <c r="AB441" s="819"/>
      <c r="AC441" s="819"/>
      <c r="AD441" s="819"/>
      <c r="AE441" s="819"/>
      <c r="AF441" s="819"/>
      <c r="AG441" s="819"/>
      <c r="AH441" s="819"/>
      <c r="AI441" s="819"/>
      <c r="AJ441" s="819"/>
      <c r="AK441" s="819"/>
      <c r="AL441" s="819"/>
      <c r="AM441" s="819"/>
      <c r="AN441" s="819"/>
      <c r="AO441" s="819"/>
      <c r="AP441" s="819"/>
      <c r="AQ441" s="819"/>
      <c r="AR441" s="819"/>
      <c r="AS441" s="819"/>
      <c r="AT441" s="819"/>
      <c r="AU441" s="819"/>
      <c r="AV441" s="819"/>
      <c r="AW441" s="819"/>
      <c r="AX441" s="819"/>
      <c r="AY441" s="819"/>
      <c r="AZ441" s="819"/>
      <c r="BA441" s="819"/>
      <c r="BB441" s="819"/>
      <c r="BC441" s="819"/>
      <c r="BD441" s="819"/>
      <c r="BE441" s="819"/>
      <c r="BF441" s="819"/>
      <c r="BG441" s="819"/>
      <c r="BH441" s="819"/>
      <c r="BI441" s="819"/>
      <c r="BJ441" s="819"/>
      <c r="BK441" s="819"/>
      <c r="BL441" s="815"/>
    </row>
    <row r="442" spans="3:101">
      <c r="C442" s="70"/>
      <c r="D442" s="819"/>
      <c r="E442" s="820"/>
      <c r="F442" s="819"/>
      <c r="G442" s="819"/>
      <c r="H442" s="819"/>
      <c r="I442" s="819"/>
      <c r="J442" s="819"/>
      <c r="K442" s="819"/>
      <c r="L442" s="819"/>
      <c r="M442" s="819"/>
      <c r="N442" s="819"/>
      <c r="O442" s="819"/>
      <c r="P442" s="819"/>
      <c r="Q442" s="819"/>
      <c r="R442" s="819"/>
      <c r="S442" s="819"/>
      <c r="T442" s="819"/>
      <c r="U442" s="819"/>
      <c r="V442" s="1594"/>
      <c r="W442" s="1594"/>
      <c r="X442" s="1594"/>
      <c r="Y442" s="1594"/>
      <c r="Z442" s="1594"/>
      <c r="AA442" s="819"/>
      <c r="AB442" s="819"/>
      <c r="AC442" s="819"/>
      <c r="AD442" s="819"/>
      <c r="AE442" s="819"/>
      <c r="AF442" s="819"/>
      <c r="AG442" s="819"/>
      <c r="AH442" s="819"/>
      <c r="AI442" s="819"/>
      <c r="AJ442" s="819"/>
      <c r="AK442" s="819"/>
      <c r="AL442" s="819"/>
      <c r="AM442" s="819"/>
      <c r="AN442" s="819"/>
      <c r="AO442" s="819"/>
      <c r="AP442" s="819"/>
      <c r="AQ442" s="819"/>
      <c r="AR442" s="819"/>
      <c r="AS442" s="819"/>
      <c r="AT442" s="819"/>
      <c r="AU442" s="819"/>
      <c r="AV442" s="819"/>
      <c r="AW442" s="819"/>
      <c r="AX442" s="819"/>
      <c r="AY442" s="819"/>
      <c r="AZ442" s="819"/>
      <c r="BA442" s="819"/>
      <c r="BB442" s="819"/>
      <c r="BC442" s="819"/>
      <c r="BD442" s="819"/>
      <c r="BE442" s="819"/>
      <c r="BF442" s="819"/>
      <c r="BG442" s="819"/>
      <c r="BH442" s="819"/>
      <c r="BI442" s="819"/>
      <c r="BJ442" s="819"/>
      <c r="BK442" s="819"/>
      <c r="BL442" s="815"/>
      <c r="CW442" s="326"/>
    </row>
    <row r="443" spans="3:101">
      <c r="C443" s="70"/>
      <c r="D443" s="819"/>
      <c r="E443" s="820"/>
      <c r="F443" s="819"/>
      <c r="G443" s="819"/>
      <c r="H443" s="819"/>
      <c r="I443" s="819"/>
      <c r="J443" s="819"/>
      <c r="K443" s="819"/>
      <c r="L443" s="819"/>
      <c r="M443" s="819"/>
      <c r="N443" s="819"/>
      <c r="O443" s="819"/>
      <c r="P443" s="819"/>
      <c r="Q443" s="819"/>
      <c r="R443" s="819"/>
      <c r="S443" s="819"/>
      <c r="T443" s="819"/>
      <c r="U443" s="819"/>
      <c r="V443" s="1594"/>
      <c r="W443" s="1594"/>
      <c r="X443" s="1594"/>
      <c r="Y443" s="1594"/>
      <c r="Z443" s="1594"/>
      <c r="AA443" s="819"/>
      <c r="AB443" s="819"/>
      <c r="AC443" s="819"/>
      <c r="AD443" s="819"/>
      <c r="AE443" s="819"/>
      <c r="AF443" s="819"/>
      <c r="AG443" s="819"/>
      <c r="AH443" s="819"/>
      <c r="AI443" s="819"/>
      <c r="AJ443" s="819"/>
      <c r="AK443" s="819"/>
      <c r="AL443" s="819"/>
      <c r="AM443" s="819"/>
      <c r="AN443" s="819"/>
      <c r="AO443" s="819"/>
      <c r="AP443" s="819"/>
      <c r="AQ443" s="819"/>
      <c r="AR443" s="819"/>
      <c r="AS443" s="819"/>
      <c r="AT443" s="819"/>
      <c r="AU443" s="819"/>
      <c r="AV443" s="819"/>
      <c r="AW443" s="819"/>
      <c r="AX443" s="819"/>
      <c r="AY443" s="819"/>
      <c r="AZ443" s="819"/>
      <c r="BA443" s="819"/>
      <c r="BB443" s="819"/>
      <c r="BC443" s="819"/>
      <c r="BD443" s="819"/>
      <c r="BE443" s="819"/>
      <c r="BF443" s="819"/>
      <c r="BG443" s="819"/>
      <c r="BH443" s="819"/>
      <c r="BI443" s="819"/>
      <c r="BJ443" s="819"/>
      <c r="BK443" s="819"/>
      <c r="BL443" s="815"/>
      <c r="CW443" s="813"/>
    </row>
    <row r="444" spans="3:101">
      <c r="C444" s="70"/>
      <c r="D444" s="819"/>
      <c r="E444" s="820"/>
      <c r="F444" s="819"/>
      <c r="G444" s="819"/>
      <c r="H444" s="819"/>
      <c r="I444" s="819"/>
      <c r="J444" s="819"/>
      <c r="K444" s="819"/>
      <c r="L444" s="819"/>
      <c r="M444" s="819"/>
      <c r="N444" s="819"/>
      <c r="O444" s="819"/>
      <c r="P444" s="819"/>
      <c r="Q444" s="819"/>
      <c r="R444" s="819"/>
      <c r="S444" s="819"/>
      <c r="T444" s="819"/>
      <c r="U444" s="819"/>
      <c r="V444" s="1594"/>
      <c r="W444" s="1594"/>
      <c r="X444" s="1594"/>
      <c r="Y444" s="1594"/>
      <c r="Z444" s="1594"/>
      <c r="AA444" s="819"/>
      <c r="AB444" s="819"/>
      <c r="AC444" s="819"/>
      <c r="AD444" s="819"/>
      <c r="AE444" s="819"/>
      <c r="AF444" s="819"/>
      <c r="AG444" s="819"/>
      <c r="AH444" s="819"/>
      <c r="AI444" s="819"/>
      <c r="AJ444" s="819"/>
      <c r="AK444" s="819"/>
      <c r="AL444" s="819"/>
      <c r="AM444" s="819"/>
      <c r="AN444" s="819"/>
      <c r="AO444" s="819"/>
      <c r="AP444" s="819"/>
      <c r="AQ444" s="819"/>
      <c r="AR444" s="819"/>
      <c r="AS444" s="819"/>
      <c r="AT444" s="819"/>
      <c r="AU444" s="819"/>
      <c r="AV444" s="819"/>
      <c r="AW444" s="819"/>
      <c r="AX444" s="819"/>
      <c r="AY444" s="819"/>
      <c r="AZ444" s="819"/>
      <c r="BA444" s="819"/>
      <c r="BB444" s="819"/>
      <c r="BC444" s="819"/>
      <c r="BD444" s="819"/>
      <c r="BE444" s="819"/>
      <c r="BF444" s="819"/>
      <c r="BG444" s="819"/>
      <c r="BH444" s="819"/>
      <c r="BI444" s="819"/>
      <c r="BJ444" s="819"/>
      <c r="BK444" s="819"/>
      <c r="BL444" s="815"/>
      <c r="CW444" s="813"/>
    </row>
    <row r="445" spans="3:101">
      <c r="C445" s="70"/>
      <c r="D445" s="819"/>
      <c r="E445" s="820"/>
      <c r="F445" s="819"/>
      <c r="G445" s="819"/>
      <c r="H445" s="819"/>
      <c r="I445" s="819"/>
      <c r="J445" s="819"/>
      <c r="K445" s="819"/>
      <c r="L445" s="819"/>
      <c r="M445" s="819"/>
      <c r="N445" s="819"/>
      <c r="O445" s="819"/>
      <c r="P445" s="819"/>
      <c r="Q445" s="819"/>
      <c r="R445" s="819"/>
      <c r="S445" s="819"/>
      <c r="T445" s="819"/>
      <c r="U445" s="819"/>
      <c r="V445" s="1594"/>
      <c r="W445" s="1594"/>
      <c r="X445" s="1594"/>
      <c r="Y445" s="1594"/>
      <c r="Z445" s="1594"/>
      <c r="AA445" s="819"/>
      <c r="AB445" s="819"/>
      <c r="AC445" s="819"/>
      <c r="AD445" s="819"/>
      <c r="AE445" s="819"/>
      <c r="AF445" s="819"/>
      <c r="AG445" s="819"/>
      <c r="AH445" s="819"/>
      <c r="AI445" s="819"/>
      <c r="AJ445" s="819"/>
      <c r="AK445" s="819"/>
      <c r="AL445" s="819"/>
      <c r="AM445" s="819"/>
      <c r="AN445" s="819"/>
      <c r="AO445" s="819"/>
      <c r="AP445" s="819"/>
      <c r="AQ445" s="819"/>
      <c r="AR445" s="819"/>
      <c r="AS445" s="819"/>
      <c r="AT445" s="819"/>
      <c r="AU445" s="819"/>
      <c r="AV445" s="819"/>
      <c r="AW445" s="819"/>
      <c r="AX445" s="819"/>
      <c r="AY445" s="819"/>
      <c r="AZ445" s="819"/>
      <c r="BA445" s="819"/>
      <c r="BB445" s="819"/>
      <c r="BC445" s="819"/>
      <c r="BD445" s="819"/>
      <c r="BE445" s="819"/>
      <c r="BF445" s="819"/>
      <c r="BG445" s="819"/>
      <c r="BH445" s="819"/>
      <c r="BI445" s="819"/>
      <c r="BJ445" s="819"/>
      <c r="BK445" s="819"/>
      <c r="BL445" s="815"/>
      <c r="CW445" s="813"/>
    </row>
    <row r="446" spans="3:101">
      <c r="C446" s="70"/>
      <c r="D446" s="819"/>
      <c r="E446" s="820"/>
      <c r="F446" s="819"/>
      <c r="G446" s="819"/>
      <c r="H446" s="819"/>
      <c r="I446" s="819"/>
      <c r="J446" s="819"/>
      <c r="K446" s="819"/>
      <c r="L446" s="819"/>
      <c r="M446" s="819"/>
      <c r="N446" s="819"/>
      <c r="O446" s="819"/>
      <c r="P446" s="819"/>
      <c r="Q446" s="819"/>
      <c r="R446" s="819"/>
      <c r="S446" s="819"/>
      <c r="T446" s="819"/>
      <c r="U446" s="819"/>
      <c r="V446" s="1594"/>
      <c r="W446" s="1594"/>
      <c r="X446" s="1594"/>
      <c r="Y446" s="1594"/>
      <c r="Z446" s="1594"/>
      <c r="AA446" s="819"/>
      <c r="AB446" s="819"/>
      <c r="AC446" s="819"/>
      <c r="AD446" s="819"/>
      <c r="AE446" s="819"/>
      <c r="AF446" s="819"/>
      <c r="AG446" s="819"/>
      <c r="AH446" s="819"/>
      <c r="AI446" s="819"/>
      <c r="AJ446" s="819"/>
      <c r="AK446" s="819"/>
      <c r="AL446" s="819"/>
      <c r="AM446" s="819"/>
      <c r="AN446" s="819"/>
      <c r="AO446" s="819"/>
      <c r="AP446" s="819"/>
      <c r="AQ446" s="819"/>
      <c r="AR446" s="819"/>
      <c r="AS446" s="819"/>
      <c r="AT446" s="819"/>
      <c r="AU446" s="819"/>
      <c r="AV446" s="819"/>
      <c r="AW446" s="819"/>
      <c r="AX446" s="819"/>
      <c r="AY446" s="819"/>
      <c r="AZ446" s="819"/>
      <c r="BA446" s="819"/>
      <c r="BB446" s="819"/>
      <c r="BC446" s="819"/>
      <c r="BD446" s="819"/>
      <c r="BE446" s="819"/>
      <c r="BF446" s="819"/>
      <c r="BG446" s="819"/>
      <c r="BH446" s="819"/>
      <c r="BI446" s="819"/>
      <c r="BJ446" s="819"/>
      <c r="BK446" s="819"/>
      <c r="BL446" s="815"/>
      <c r="CW446" s="813"/>
    </row>
    <row r="447" spans="3:101">
      <c r="C447" s="70"/>
      <c r="D447" s="819"/>
      <c r="E447" s="820"/>
      <c r="F447" s="819"/>
      <c r="G447" s="819"/>
      <c r="H447" s="819"/>
      <c r="I447" s="819"/>
      <c r="J447" s="819"/>
      <c r="K447" s="819"/>
      <c r="L447" s="819"/>
      <c r="M447" s="819"/>
      <c r="N447" s="819"/>
      <c r="O447" s="819"/>
      <c r="P447" s="819"/>
      <c r="Q447" s="819"/>
      <c r="R447" s="819"/>
      <c r="S447" s="819"/>
      <c r="T447" s="819"/>
      <c r="U447" s="819"/>
      <c r="V447" s="1594"/>
      <c r="W447" s="1594"/>
      <c r="X447" s="1594"/>
      <c r="Y447" s="1594"/>
      <c r="Z447" s="1594"/>
      <c r="AA447" s="819"/>
      <c r="AB447" s="819"/>
      <c r="AC447" s="819"/>
      <c r="AD447" s="819"/>
      <c r="AE447" s="819"/>
      <c r="AF447" s="819"/>
      <c r="AG447" s="819"/>
      <c r="AH447" s="819"/>
      <c r="AI447" s="819"/>
      <c r="AJ447" s="819"/>
      <c r="AK447" s="819"/>
      <c r="AL447" s="819"/>
      <c r="AM447" s="819"/>
      <c r="AN447" s="819"/>
      <c r="AO447" s="819"/>
      <c r="AP447" s="819"/>
      <c r="AQ447" s="819"/>
      <c r="AR447" s="819"/>
      <c r="AS447" s="819"/>
      <c r="AT447" s="819"/>
      <c r="AU447" s="819"/>
      <c r="AV447" s="819"/>
      <c r="AW447" s="819"/>
      <c r="AX447" s="819"/>
      <c r="AY447" s="819"/>
      <c r="AZ447" s="819"/>
      <c r="BA447" s="819"/>
      <c r="BB447" s="819"/>
      <c r="BC447" s="819"/>
      <c r="BD447" s="819"/>
      <c r="BE447" s="819"/>
      <c r="BF447" s="819"/>
      <c r="BG447" s="819"/>
      <c r="BH447" s="819"/>
      <c r="BI447" s="819"/>
      <c r="BJ447" s="819"/>
      <c r="BK447" s="819"/>
      <c r="BL447" s="815"/>
      <c r="CW447" s="813"/>
    </row>
    <row r="448" spans="3:101">
      <c r="C448" s="70"/>
      <c r="D448" s="819"/>
      <c r="E448" s="820"/>
      <c r="F448" s="819"/>
      <c r="G448" s="819"/>
      <c r="H448" s="819"/>
      <c r="I448" s="819"/>
      <c r="J448" s="819"/>
      <c r="K448" s="819"/>
      <c r="L448" s="819"/>
      <c r="M448" s="819"/>
      <c r="N448" s="819"/>
      <c r="O448" s="819"/>
      <c r="P448" s="819"/>
      <c r="Q448" s="819"/>
      <c r="R448" s="819"/>
      <c r="S448" s="819"/>
      <c r="T448" s="819"/>
      <c r="U448" s="819"/>
      <c r="V448" s="1594"/>
      <c r="W448" s="1594"/>
      <c r="X448" s="1594"/>
      <c r="Y448" s="1594"/>
      <c r="Z448" s="1594"/>
      <c r="AA448" s="819"/>
      <c r="AB448" s="819"/>
      <c r="AC448" s="819"/>
      <c r="AD448" s="819"/>
      <c r="AE448" s="819"/>
      <c r="AF448" s="819"/>
      <c r="AG448" s="819"/>
      <c r="AH448" s="819"/>
      <c r="AI448" s="819"/>
      <c r="AJ448" s="819"/>
      <c r="AK448" s="819"/>
      <c r="AL448" s="819"/>
      <c r="AM448" s="819"/>
      <c r="AN448" s="819"/>
      <c r="AO448" s="819"/>
      <c r="AP448" s="819"/>
      <c r="AQ448" s="819"/>
      <c r="AR448" s="819"/>
      <c r="AS448" s="819"/>
      <c r="AT448" s="819"/>
      <c r="AU448" s="819"/>
      <c r="AV448" s="819"/>
      <c r="AW448" s="819"/>
      <c r="AX448" s="819"/>
      <c r="AY448" s="819"/>
      <c r="AZ448" s="819"/>
      <c r="BA448" s="819"/>
      <c r="BB448" s="819"/>
      <c r="BC448" s="819"/>
      <c r="BD448" s="819"/>
      <c r="BE448" s="819"/>
      <c r="BF448" s="819"/>
      <c r="BG448" s="819"/>
      <c r="BH448" s="819"/>
      <c r="BI448" s="819"/>
      <c r="BJ448" s="819"/>
      <c r="BK448" s="819"/>
      <c r="BL448" s="815"/>
      <c r="CW448" s="813"/>
    </row>
    <row r="449" spans="3:101">
      <c r="C449" s="70"/>
      <c r="D449" s="819"/>
      <c r="E449" s="820"/>
      <c r="F449" s="819"/>
      <c r="G449" s="819"/>
      <c r="H449" s="819"/>
      <c r="I449" s="819"/>
      <c r="J449" s="819"/>
      <c r="K449" s="819"/>
      <c r="L449" s="819"/>
      <c r="M449" s="819"/>
      <c r="N449" s="819"/>
      <c r="O449" s="819"/>
      <c r="P449" s="819"/>
      <c r="Q449" s="819"/>
      <c r="R449" s="819"/>
      <c r="S449" s="819"/>
      <c r="T449" s="819"/>
      <c r="U449" s="819"/>
      <c r="V449" s="1594"/>
      <c r="W449" s="1594"/>
      <c r="X449" s="1594"/>
      <c r="Y449" s="1594"/>
      <c r="Z449" s="1594"/>
      <c r="AA449" s="819"/>
      <c r="AB449" s="819"/>
      <c r="AC449" s="819"/>
      <c r="AD449" s="819"/>
      <c r="AE449" s="819"/>
      <c r="AF449" s="819"/>
      <c r="AG449" s="819"/>
      <c r="AH449" s="819"/>
      <c r="AI449" s="819"/>
      <c r="AJ449" s="819"/>
      <c r="AK449" s="819"/>
      <c r="AL449" s="819"/>
      <c r="AM449" s="819"/>
      <c r="AN449" s="819"/>
      <c r="AO449" s="819"/>
      <c r="AP449" s="819"/>
      <c r="AQ449" s="819"/>
      <c r="AR449" s="819"/>
      <c r="AS449" s="819"/>
      <c r="AT449" s="819"/>
      <c r="AU449" s="819"/>
      <c r="AV449" s="819"/>
      <c r="AW449" s="819"/>
      <c r="AX449" s="819"/>
      <c r="AY449" s="819"/>
      <c r="AZ449" s="819"/>
      <c r="BA449" s="819"/>
      <c r="BB449" s="819"/>
      <c r="BC449" s="819"/>
      <c r="BD449" s="819"/>
      <c r="BE449" s="819"/>
      <c r="BF449" s="819"/>
      <c r="BG449" s="819"/>
      <c r="BH449" s="819"/>
      <c r="BI449" s="819"/>
      <c r="BJ449" s="819"/>
      <c r="BK449" s="819"/>
      <c r="BL449" s="815"/>
      <c r="CW449" s="813"/>
    </row>
    <row r="450" spans="3:101">
      <c r="C450" s="70"/>
      <c r="D450" s="819"/>
      <c r="E450" s="820"/>
      <c r="F450" s="819"/>
      <c r="G450" s="819"/>
      <c r="H450" s="819"/>
      <c r="I450" s="819"/>
      <c r="J450" s="819"/>
      <c r="K450" s="819"/>
      <c r="L450" s="819"/>
      <c r="M450" s="819"/>
      <c r="N450" s="819"/>
      <c r="O450" s="819"/>
      <c r="P450" s="819"/>
      <c r="Q450" s="819"/>
      <c r="R450" s="819"/>
      <c r="S450" s="819"/>
      <c r="T450" s="819"/>
      <c r="U450" s="819"/>
      <c r="V450" s="1594"/>
      <c r="W450" s="1594"/>
      <c r="X450" s="1594"/>
      <c r="Y450" s="1594"/>
      <c r="Z450" s="1594"/>
      <c r="AA450" s="819"/>
      <c r="AB450" s="819"/>
      <c r="AC450" s="819"/>
      <c r="AD450" s="819"/>
      <c r="AE450" s="819"/>
      <c r="AF450" s="819"/>
      <c r="AG450" s="819"/>
      <c r="AH450" s="819"/>
      <c r="AI450" s="819"/>
      <c r="AJ450" s="819"/>
      <c r="AK450" s="819"/>
      <c r="AL450" s="819"/>
      <c r="AM450" s="819"/>
      <c r="AN450" s="819"/>
      <c r="AO450" s="819"/>
      <c r="AP450" s="819"/>
      <c r="AQ450" s="819"/>
      <c r="AR450" s="819"/>
      <c r="AS450" s="819"/>
      <c r="AT450" s="819"/>
      <c r="AU450" s="819"/>
      <c r="AV450" s="819"/>
      <c r="AW450" s="819"/>
      <c r="AX450" s="819"/>
      <c r="AY450" s="819"/>
      <c r="AZ450" s="819"/>
      <c r="BA450" s="819"/>
      <c r="BB450" s="819"/>
      <c r="BC450" s="819"/>
      <c r="BD450" s="819"/>
      <c r="BE450" s="819"/>
      <c r="BF450" s="819"/>
      <c r="BG450" s="819"/>
      <c r="BH450" s="819"/>
      <c r="BI450" s="819"/>
      <c r="BJ450" s="819"/>
      <c r="BK450" s="819"/>
      <c r="BL450" s="815"/>
      <c r="CW450" s="813"/>
    </row>
    <row r="451" spans="3:101">
      <c r="C451" s="70"/>
      <c r="D451" s="819"/>
      <c r="E451" s="820"/>
      <c r="F451" s="819"/>
      <c r="G451" s="819"/>
      <c r="H451" s="819"/>
      <c r="I451" s="819"/>
      <c r="J451" s="819"/>
      <c r="K451" s="819"/>
      <c r="L451" s="819"/>
      <c r="M451" s="819"/>
      <c r="N451" s="819"/>
      <c r="O451" s="819"/>
      <c r="P451" s="819"/>
      <c r="Q451" s="819"/>
      <c r="R451" s="819"/>
      <c r="S451" s="819"/>
      <c r="T451" s="819"/>
      <c r="U451" s="819"/>
      <c r="V451" s="1594"/>
      <c r="W451" s="1594"/>
      <c r="X451" s="1594"/>
      <c r="Y451" s="1594"/>
      <c r="Z451" s="1594"/>
      <c r="AA451" s="819"/>
      <c r="AB451" s="819"/>
      <c r="AC451" s="819"/>
      <c r="AD451" s="819"/>
      <c r="AE451" s="819"/>
      <c r="AF451" s="819"/>
      <c r="AG451" s="819"/>
      <c r="AH451" s="819"/>
      <c r="AI451" s="819"/>
      <c r="AJ451" s="819"/>
      <c r="AK451" s="819"/>
      <c r="AL451" s="819"/>
      <c r="AM451" s="819"/>
      <c r="AN451" s="819"/>
      <c r="AO451" s="819"/>
      <c r="AP451" s="819"/>
      <c r="AQ451" s="819"/>
      <c r="AR451" s="819"/>
      <c r="AS451" s="819"/>
      <c r="AT451" s="819"/>
      <c r="AU451" s="819"/>
      <c r="AV451" s="819"/>
      <c r="AW451" s="819"/>
      <c r="AX451" s="819"/>
      <c r="AY451" s="819"/>
      <c r="AZ451" s="819"/>
      <c r="BA451" s="819"/>
      <c r="BB451" s="819"/>
      <c r="BC451" s="819"/>
      <c r="BD451" s="819"/>
      <c r="BE451" s="819"/>
      <c r="BF451" s="819"/>
      <c r="BG451" s="819"/>
      <c r="BH451" s="819"/>
      <c r="BI451" s="819"/>
      <c r="BJ451" s="819"/>
      <c r="BK451" s="819"/>
      <c r="BL451" s="815"/>
      <c r="CW451" s="813"/>
    </row>
    <row r="452" spans="3:101">
      <c r="C452" s="70"/>
      <c r="D452" s="819"/>
      <c r="E452" s="820"/>
      <c r="F452" s="819"/>
      <c r="G452" s="819"/>
      <c r="H452" s="819"/>
      <c r="I452" s="819"/>
      <c r="J452" s="819"/>
      <c r="K452" s="819"/>
      <c r="L452" s="819"/>
      <c r="M452" s="819"/>
      <c r="N452" s="819"/>
      <c r="O452" s="819"/>
      <c r="P452" s="819"/>
      <c r="Q452" s="819"/>
      <c r="R452" s="819"/>
      <c r="S452" s="819"/>
      <c r="T452" s="819"/>
      <c r="U452" s="819"/>
      <c r="V452" s="1594"/>
      <c r="W452" s="1594"/>
      <c r="X452" s="1594"/>
      <c r="Y452" s="1594"/>
      <c r="Z452" s="1594"/>
      <c r="AA452" s="819"/>
      <c r="AB452" s="819"/>
      <c r="AC452" s="819"/>
      <c r="AD452" s="819"/>
      <c r="AE452" s="819"/>
      <c r="AF452" s="819"/>
      <c r="AG452" s="819"/>
      <c r="AH452" s="819"/>
      <c r="AI452" s="819"/>
      <c r="AJ452" s="819"/>
      <c r="AK452" s="819"/>
      <c r="AL452" s="819"/>
      <c r="AM452" s="819"/>
      <c r="AN452" s="819"/>
      <c r="AO452" s="819"/>
      <c r="AP452" s="819"/>
      <c r="AQ452" s="819"/>
      <c r="AR452" s="819"/>
      <c r="AS452" s="819"/>
      <c r="AT452" s="819"/>
      <c r="AU452" s="819"/>
      <c r="AV452" s="819"/>
      <c r="AW452" s="819"/>
      <c r="AX452" s="819"/>
      <c r="AY452" s="819"/>
      <c r="AZ452" s="819"/>
      <c r="BA452" s="819"/>
      <c r="BB452" s="819"/>
      <c r="BC452" s="819"/>
      <c r="BD452" s="819"/>
      <c r="BE452" s="819"/>
      <c r="BF452" s="819"/>
      <c r="BG452" s="819"/>
      <c r="BH452" s="819"/>
      <c r="BI452" s="819"/>
      <c r="BJ452" s="819"/>
      <c r="BK452" s="819"/>
      <c r="BL452" s="815"/>
      <c r="CW452" s="813"/>
    </row>
    <row r="453" spans="3:101">
      <c r="C453" s="70"/>
      <c r="D453" s="819"/>
      <c r="E453" s="820"/>
      <c r="F453" s="819"/>
      <c r="G453" s="819"/>
      <c r="H453" s="819"/>
      <c r="I453" s="819"/>
      <c r="J453" s="819"/>
      <c r="K453" s="819"/>
      <c r="L453" s="819"/>
      <c r="M453" s="819"/>
      <c r="N453" s="819"/>
      <c r="O453" s="819"/>
      <c r="P453" s="819"/>
      <c r="Q453" s="819"/>
      <c r="R453" s="819"/>
      <c r="S453" s="819"/>
      <c r="T453" s="819"/>
      <c r="U453" s="819"/>
      <c r="V453" s="1594"/>
      <c r="W453" s="1594"/>
      <c r="X453" s="1594"/>
      <c r="Y453" s="1594"/>
      <c r="Z453" s="1594"/>
      <c r="AA453" s="819"/>
      <c r="AB453" s="819"/>
      <c r="AC453" s="819"/>
      <c r="AD453" s="819"/>
      <c r="AE453" s="819"/>
      <c r="AF453" s="819"/>
      <c r="AG453" s="819"/>
      <c r="AH453" s="819"/>
      <c r="AI453" s="819"/>
      <c r="AJ453" s="819"/>
      <c r="AK453" s="819"/>
      <c r="AL453" s="819"/>
      <c r="AM453" s="819"/>
      <c r="AN453" s="819"/>
      <c r="AO453" s="819"/>
      <c r="AP453" s="819"/>
      <c r="AQ453" s="819"/>
      <c r="AR453" s="819"/>
      <c r="AS453" s="819"/>
      <c r="AT453" s="819"/>
      <c r="AU453" s="819"/>
      <c r="AV453" s="819"/>
      <c r="AW453" s="819"/>
      <c r="AX453" s="819"/>
      <c r="AY453" s="819"/>
      <c r="AZ453" s="819"/>
      <c r="BA453" s="819"/>
      <c r="BB453" s="819"/>
      <c r="BC453" s="819"/>
      <c r="BD453" s="819"/>
      <c r="BE453" s="819"/>
      <c r="BF453" s="819"/>
      <c r="BG453" s="819"/>
      <c r="BH453" s="819"/>
      <c r="BI453" s="819"/>
      <c r="BJ453" s="819"/>
      <c r="BK453" s="819"/>
      <c r="BL453" s="815"/>
      <c r="CW453" s="813"/>
    </row>
    <row r="454" spans="3:101">
      <c r="C454" s="70"/>
      <c r="D454" s="819"/>
      <c r="E454" s="820"/>
      <c r="F454" s="819"/>
      <c r="G454" s="819"/>
      <c r="H454" s="819"/>
      <c r="I454" s="819"/>
      <c r="J454" s="819"/>
      <c r="K454" s="819"/>
      <c r="L454" s="819"/>
      <c r="M454" s="819"/>
      <c r="N454" s="819"/>
      <c r="O454" s="819"/>
      <c r="P454" s="819"/>
      <c r="Q454" s="819"/>
      <c r="R454" s="819"/>
      <c r="S454" s="819"/>
      <c r="T454" s="819"/>
      <c r="U454" s="819"/>
      <c r="V454" s="1594"/>
      <c r="W454" s="1594"/>
      <c r="X454" s="1594"/>
      <c r="Y454" s="1594"/>
      <c r="Z454" s="1594"/>
      <c r="AA454" s="819"/>
      <c r="AB454" s="819"/>
      <c r="AC454" s="819"/>
      <c r="AD454" s="819"/>
      <c r="AE454" s="819"/>
      <c r="AF454" s="819"/>
      <c r="AG454" s="819"/>
      <c r="AH454" s="819"/>
      <c r="AI454" s="819"/>
      <c r="AJ454" s="819"/>
      <c r="AK454" s="819"/>
      <c r="AL454" s="819"/>
      <c r="AM454" s="819"/>
      <c r="AN454" s="819"/>
      <c r="AO454" s="819"/>
      <c r="AP454" s="819"/>
      <c r="AQ454" s="819"/>
      <c r="AR454" s="819"/>
      <c r="AS454" s="819"/>
      <c r="AT454" s="819"/>
      <c r="AU454" s="819"/>
      <c r="AV454" s="819"/>
      <c r="AW454" s="819"/>
      <c r="AX454" s="819"/>
      <c r="AY454" s="819"/>
      <c r="AZ454" s="819"/>
      <c r="BA454" s="819"/>
      <c r="BB454" s="819"/>
      <c r="BC454" s="819"/>
      <c r="BD454" s="819"/>
      <c r="BE454" s="819"/>
      <c r="BF454" s="819"/>
      <c r="BG454" s="819"/>
      <c r="BH454" s="819"/>
      <c r="BI454" s="819"/>
      <c r="BJ454" s="819"/>
      <c r="BK454" s="819"/>
      <c r="BL454" s="815"/>
      <c r="CW454" s="813"/>
    </row>
    <row r="455" spans="3:101">
      <c r="C455" s="70"/>
      <c r="D455" s="819"/>
      <c r="E455" s="820"/>
      <c r="F455" s="819"/>
      <c r="G455" s="819"/>
      <c r="H455" s="819"/>
      <c r="I455" s="819"/>
      <c r="J455" s="819"/>
      <c r="K455" s="819"/>
      <c r="L455" s="819"/>
      <c r="M455" s="819"/>
      <c r="N455" s="819"/>
      <c r="O455" s="819"/>
      <c r="P455" s="819"/>
      <c r="Q455" s="819"/>
      <c r="R455" s="819"/>
      <c r="S455" s="819"/>
      <c r="T455" s="819"/>
      <c r="U455" s="819"/>
      <c r="V455" s="1594"/>
      <c r="W455" s="1594"/>
      <c r="X455" s="1594"/>
      <c r="Y455" s="1594"/>
      <c r="Z455" s="1594"/>
      <c r="AA455" s="819"/>
      <c r="AB455" s="819"/>
      <c r="AC455" s="819"/>
      <c r="AD455" s="819"/>
      <c r="AE455" s="819"/>
      <c r="AF455" s="819"/>
      <c r="AG455" s="819"/>
      <c r="AH455" s="819"/>
      <c r="AI455" s="819"/>
      <c r="AJ455" s="819"/>
      <c r="AK455" s="819"/>
      <c r="AL455" s="819"/>
      <c r="AM455" s="819"/>
      <c r="AN455" s="819"/>
      <c r="AO455" s="819"/>
      <c r="AP455" s="819"/>
      <c r="AQ455" s="819"/>
      <c r="AR455" s="819"/>
      <c r="AS455" s="819"/>
      <c r="AT455" s="819"/>
      <c r="AU455" s="819"/>
      <c r="AV455" s="819"/>
      <c r="AW455" s="819"/>
      <c r="AX455" s="819"/>
      <c r="AY455" s="819"/>
      <c r="AZ455" s="819"/>
      <c r="BA455" s="819"/>
      <c r="BB455" s="819"/>
      <c r="BC455" s="819"/>
      <c r="BD455" s="819"/>
      <c r="BE455" s="819"/>
      <c r="BF455" s="819"/>
      <c r="BG455" s="819"/>
      <c r="BH455" s="819"/>
      <c r="BI455" s="819"/>
      <c r="BJ455" s="819"/>
      <c r="BK455" s="819"/>
      <c r="BL455" s="815"/>
      <c r="CW455" s="813"/>
    </row>
    <row r="456" spans="3:101">
      <c r="C456" s="70"/>
      <c r="D456" s="819"/>
      <c r="E456" s="820"/>
      <c r="F456" s="819"/>
      <c r="G456" s="819"/>
      <c r="H456" s="819"/>
      <c r="I456" s="819"/>
      <c r="J456" s="819"/>
      <c r="K456" s="819"/>
      <c r="L456" s="819"/>
      <c r="M456" s="819"/>
      <c r="N456" s="819"/>
      <c r="O456" s="819"/>
      <c r="P456" s="819"/>
      <c r="Q456" s="819"/>
      <c r="R456" s="819"/>
      <c r="S456" s="819"/>
      <c r="T456" s="819"/>
      <c r="U456" s="819"/>
      <c r="V456" s="1594"/>
      <c r="W456" s="1594"/>
      <c r="X456" s="1594"/>
      <c r="Y456" s="1594"/>
      <c r="Z456" s="1594"/>
      <c r="AA456" s="819"/>
      <c r="AB456" s="819"/>
      <c r="AC456" s="819"/>
      <c r="AD456" s="819"/>
      <c r="AE456" s="819"/>
      <c r="AF456" s="819"/>
      <c r="AG456" s="819"/>
      <c r="AH456" s="819"/>
      <c r="AI456" s="819"/>
      <c r="AJ456" s="819"/>
      <c r="AK456" s="819"/>
      <c r="AL456" s="819"/>
      <c r="AM456" s="819"/>
      <c r="AN456" s="819"/>
      <c r="AO456" s="819"/>
      <c r="AP456" s="819"/>
      <c r="AQ456" s="819"/>
      <c r="AR456" s="819"/>
      <c r="AS456" s="819"/>
      <c r="AT456" s="819"/>
      <c r="AU456" s="819"/>
      <c r="AV456" s="819"/>
      <c r="AW456" s="819"/>
      <c r="AX456" s="819"/>
      <c r="AY456" s="819"/>
      <c r="AZ456" s="819"/>
      <c r="BA456" s="819"/>
      <c r="BB456" s="819"/>
      <c r="BC456" s="819"/>
      <c r="BD456" s="819"/>
      <c r="BE456" s="819"/>
      <c r="BF456" s="819"/>
      <c r="BG456" s="819"/>
      <c r="BH456" s="819"/>
      <c r="BI456" s="819"/>
      <c r="BJ456" s="819"/>
      <c r="BK456" s="819"/>
      <c r="BL456" s="815"/>
      <c r="CW456" s="813"/>
    </row>
    <row r="457" spans="3:101">
      <c r="C457" s="70"/>
      <c r="D457" s="819"/>
      <c r="E457" s="820"/>
      <c r="F457" s="819"/>
      <c r="G457" s="819"/>
      <c r="H457" s="819"/>
      <c r="I457" s="819"/>
      <c r="J457" s="819"/>
      <c r="K457" s="819"/>
      <c r="L457" s="819"/>
      <c r="M457" s="819"/>
      <c r="N457" s="819"/>
      <c r="O457" s="819"/>
      <c r="P457" s="819"/>
      <c r="Q457" s="819"/>
      <c r="R457" s="819"/>
      <c r="S457" s="819"/>
      <c r="T457" s="819"/>
      <c r="U457" s="819"/>
      <c r="V457" s="1594"/>
      <c r="W457" s="1594"/>
      <c r="X457" s="1594"/>
      <c r="Y457" s="1594"/>
      <c r="Z457" s="1594"/>
      <c r="AA457" s="819"/>
      <c r="AB457" s="819"/>
      <c r="AC457" s="819"/>
      <c r="AD457" s="819"/>
      <c r="AE457" s="819"/>
      <c r="AF457" s="819"/>
      <c r="AG457" s="819"/>
      <c r="AH457" s="819"/>
      <c r="AI457" s="819"/>
      <c r="AJ457" s="819"/>
      <c r="AK457" s="819"/>
      <c r="AL457" s="819"/>
      <c r="AM457" s="819"/>
      <c r="AN457" s="819"/>
      <c r="AO457" s="819"/>
      <c r="AP457" s="819"/>
      <c r="AQ457" s="819"/>
      <c r="AR457" s="819"/>
      <c r="AS457" s="819"/>
      <c r="AT457" s="819"/>
      <c r="AU457" s="819"/>
      <c r="AV457" s="819"/>
      <c r="AW457" s="819"/>
      <c r="AX457" s="819"/>
      <c r="AY457" s="819"/>
      <c r="AZ457" s="819"/>
      <c r="BA457" s="819"/>
      <c r="BB457" s="819"/>
      <c r="BC457" s="819"/>
      <c r="BD457" s="819"/>
      <c r="BE457" s="819"/>
      <c r="BF457" s="819"/>
      <c r="BG457" s="819"/>
      <c r="BH457" s="819"/>
      <c r="BI457" s="819"/>
      <c r="BJ457" s="819"/>
      <c r="BK457" s="819"/>
      <c r="BL457" s="815"/>
      <c r="CW457" s="813"/>
    </row>
    <row r="458" spans="3:101">
      <c r="C458" s="70"/>
      <c r="D458" s="819"/>
      <c r="E458" s="820"/>
      <c r="F458" s="819"/>
      <c r="G458" s="819"/>
      <c r="H458" s="819"/>
      <c r="I458" s="819"/>
      <c r="J458" s="819"/>
      <c r="K458" s="819"/>
      <c r="L458" s="819"/>
      <c r="M458" s="819"/>
      <c r="N458" s="819"/>
      <c r="O458" s="819"/>
      <c r="P458" s="819"/>
      <c r="Q458" s="819"/>
      <c r="R458" s="819"/>
      <c r="S458" s="819"/>
      <c r="T458" s="819"/>
      <c r="U458" s="819"/>
      <c r="V458" s="1594"/>
      <c r="W458" s="1594"/>
      <c r="X458" s="1594"/>
      <c r="Y458" s="1594"/>
      <c r="Z458" s="1594"/>
      <c r="AA458" s="819"/>
      <c r="AB458" s="819"/>
      <c r="AC458" s="819"/>
      <c r="AD458" s="819"/>
      <c r="AE458" s="819"/>
      <c r="AF458" s="819"/>
      <c r="AG458" s="819"/>
      <c r="AH458" s="819"/>
      <c r="AI458" s="819"/>
      <c r="AJ458" s="819"/>
      <c r="AK458" s="819"/>
      <c r="AL458" s="819"/>
      <c r="AM458" s="819"/>
      <c r="AN458" s="819"/>
      <c r="AO458" s="819"/>
      <c r="AP458" s="819"/>
      <c r="AQ458" s="819"/>
      <c r="AR458" s="819"/>
      <c r="AS458" s="819"/>
      <c r="AT458" s="819"/>
      <c r="AU458" s="819"/>
      <c r="AV458" s="819"/>
      <c r="AW458" s="819"/>
      <c r="AX458" s="819"/>
      <c r="AY458" s="819"/>
      <c r="AZ458" s="819"/>
      <c r="BA458" s="819"/>
      <c r="BB458" s="819"/>
      <c r="BC458" s="819"/>
      <c r="BD458" s="819"/>
      <c r="BE458" s="819"/>
      <c r="BF458" s="819"/>
      <c r="BG458" s="819"/>
      <c r="BH458" s="819"/>
      <c r="BI458" s="819"/>
      <c r="BJ458" s="819"/>
      <c r="BK458" s="819"/>
      <c r="BL458" s="815"/>
      <c r="CW458" s="813"/>
    </row>
    <row r="459" spans="3:101">
      <c r="C459" s="70"/>
      <c r="D459" s="819"/>
      <c r="E459" s="820"/>
      <c r="F459" s="819"/>
      <c r="G459" s="819"/>
      <c r="H459" s="819"/>
      <c r="I459" s="819"/>
      <c r="J459" s="819"/>
      <c r="K459" s="819"/>
      <c r="L459" s="819"/>
      <c r="M459" s="819"/>
      <c r="N459" s="819"/>
      <c r="O459" s="819"/>
      <c r="P459" s="819"/>
      <c r="Q459" s="819"/>
      <c r="R459" s="819"/>
      <c r="S459" s="819"/>
      <c r="T459" s="819"/>
      <c r="U459" s="819"/>
      <c r="V459" s="1594"/>
      <c r="W459" s="1594"/>
      <c r="X459" s="1594"/>
      <c r="Y459" s="1594"/>
      <c r="Z459" s="1594"/>
      <c r="AA459" s="819"/>
      <c r="AB459" s="819"/>
      <c r="AC459" s="819"/>
      <c r="AD459" s="819"/>
      <c r="AE459" s="819"/>
      <c r="AF459" s="819"/>
      <c r="AG459" s="819"/>
      <c r="AH459" s="819"/>
      <c r="AI459" s="819"/>
      <c r="AJ459" s="819"/>
      <c r="AK459" s="819"/>
      <c r="AL459" s="819"/>
      <c r="AM459" s="819"/>
      <c r="AN459" s="819"/>
      <c r="AO459" s="819"/>
      <c r="AP459" s="819"/>
      <c r="AQ459" s="819"/>
      <c r="AR459" s="819"/>
      <c r="AS459" s="819"/>
      <c r="AT459" s="819"/>
      <c r="AU459" s="819"/>
      <c r="AV459" s="819"/>
      <c r="AW459" s="819"/>
      <c r="AX459" s="819"/>
      <c r="AY459" s="819"/>
      <c r="AZ459" s="819"/>
      <c r="BA459" s="819"/>
      <c r="BB459" s="819"/>
      <c r="BC459" s="819"/>
      <c r="BD459" s="819"/>
      <c r="BE459" s="819"/>
      <c r="BF459" s="819"/>
      <c r="BG459" s="819"/>
      <c r="BH459" s="819"/>
      <c r="BI459" s="819"/>
      <c r="BJ459" s="819"/>
      <c r="BK459" s="819"/>
      <c r="BL459" s="815"/>
      <c r="CW459" s="813"/>
    </row>
    <row r="460" spans="3:101">
      <c r="C460" s="70"/>
      <c r="D460" s="819"/>
      <c r="E460" s="820"/>
      <c r="F460" s="819"/>
      <c r="G460" s="819"/>
      <c r="H460" s="819"/>
      <c r="I460" s="819"/>
      <c r="J460" s="819"/>
      <c r="K460" s="819"/>
      <c r="L460" s="819"/>
      <c r="M460" s="819"/>
      <c r="N460" s="819"/>
      <c r="O460" s="819"/>
      <c r="P460" s="819"/>
      <c r="Q460" s="819"/>
      <c r="R460" s="819"/>
      <c r="S460" s="819"/>
      <c r="T460" s="819"/>
      <c r="U460" s="819"/>
      <c r="V460" s="1594"/>
      <c r="W460" s="1594"/>
      <c r="X460" s="1594"/>
      <c r="Y460" s="1594"/>
      <c r="Z460" s="1594"/>
      <c r="AA460" s="819"/>
      <c r="AB460" s="819"/>
      <c r="AC460" s="819"/>
      <c r="AD460" s="819"/>
      <c r="AE460" s="819"/>
      <c r="AF460" s="819"/>
      <c r="AG460" s="819"/>
      <c r="AH460" s="819"/>
      <c r="AI460" s="819"/>
      <c r="AJ460" s="819"/>
      <c r="AK460" s="819"/>
      <c r="AL460" s="819"/>
      <c r="AM460" s="819"/>
      <c r="AN460" s="819"/>
      <c r="AO460" s="819"/>
      <c r="AP460" s="819"/>
      <c r="AQ460" s="819"/>
      <c r="AR460" s="819"/>
      <c r="AS460" s="819"/>
      <c r="AT460" s="819"/>
      <c r="AU460" s="819"/>
      <c r="AV460" s="819"/>
      <c r="AW460" s="819"/>
      <c r="AX460" s="819"/>
      <c r="AY460" s="819"/>
      <c r="AZ460" s="819"/>
      <c r="BA460" s="819"/>
      <c r="BB460" s="819"/>
      <c r="BC460" s="819"/>
      <c r="BD460" s="819"/>
      <c r="BE460" s="819"/>
      <c r="BF460" s="819"/>
      <c r="BG460" s="819"/>
      <c r="BH460" s="819"/>
      <c r="BI460" s="819"/>
      <c r="BJ460" s="819"/>
      <c r="BK460" s="819"/>
      <c r="BL460" s="815"/>
      <c r="CW460" s="813"/>
    </row>
    <row r="461" spans="3:101">
      <c r="C461" s="70"/>
      <c r="D461" s="819"/>
      <c r="E461" s="820"/>
      <c r="F461" s="819"/>
      <c r="G461" s="819"/>
      <c r="H461" s="819"/>
      <c r="I461" s="819"/>
      <c r="J461" s="819"/>
      <c r="K461" s="819"/>
      <c r="L461" s="819"/>
      <c r="M461" s="819"/>
      <c r="N461" s="819"/>
      <c r="O461" s="819"/>
      <c r="P461" s="819"/>
      <c r="Q461" s="819"/>
      <c r="R461" s="819"/>
      <c r="S461" s="819"/>
      <c r="T461" s="819"/>
      <c r="U461" s="819"/>
      <c r="V461" s="1594"/>
      <c r="W461" s="1594"/>
      <c r="X461" s="1594"/>
      <c r="Y461" s="1594"/>
      <c r="Z461" s="1594"/>
      <c r="AA461" s="819"/>
      <c r="AB461" s="819"/>
      <c r="AC461" s="819"/>
      <c r="AD461" s="819"/>
      <c r="AE461" s="819"/>
      <c r="AF461" s="819"/>
      <c r="AG461" s="819"/>
      <c r="AH461" s="819"/>
      <c r="AI461" s="819"/>
      <c r="AJ461" s="819"/>
      <c r="AK461" s="819"/>
      <c r="AL461" s="819"/>
      <c r="AM461" s="819"/>
      <c r="AN461" s="819"/>
      <c r="AO461" s="819"/>
      <c r="AP461" s="819"/>
      <c r="AQ461" s="819"/>
      <c r="AR461" s="819"/>
      <c r="AS461" s="819"/>
      <c r="AT461" s="819"/>
      <c r="AU461" s="819"/>
      <c r="AV461" s="819"/>
      <c r="AW461" s="819"/>
      <c r="AX461" s="819"/>
      <c r="AY461" s="819"/>
      <c r="AZ461" s="819"/>
      <c r="BA461" s="819"/>
      <c r="BB461" s="819"/>
      <c r="BC461" s="819"/>
      <c r="BD461" s="819"/>
      <c r="BE461" s="819"/>
      <c r="BF461" s="819"/>
      <c r="BG461" s="819"/>
      <c r="BH461" s="819"/>
      <c r="BI461" s="819"/>
      <c r="BJ461" s="819"/>
      <c r="BK461" s="819"/>
      <c r="BL461" s="815"/>
      <c r="CW461" s="813"/>
    </row>
    <row r="462" spans="3:101">
      <c r="C462" s="70"/>
      <c r="D462" s="819"/>
      <c r="E462" s="820"/>
      <c r="F462" s="819"/>
      <c r="G462" s="819"/>
      <c r="H462" s="819"/>
      <c r="I462" s="819"/>
      <c r="J462" s="819"/>
      <c r="K462" s="819"/>
      <c r="L462" s="819"/>
      <c r="M462" s="819"/>
      <c r="N462" s="819"/>
      <c r="O462" s="819"/>
      <c r="P462" s="819"/>
      <c r="Q462" s="819"/>
      <c r="R462" s="819"/>
      <c r="S462" s="819"/>
      <c r="T462" s="819"/>
      <c r="U462" s="819"/>
      <c r="V462" s="1594"/>
      <c r="W462" s="1594"/>
      <c r="X462" s="1594"/>
      <c r="Y462" s="1594"/>
      <c r="Z462" s="1594"/>
      <c r="AA462" s="819"/>
      <c r="AB462" s="819"/>
      <c r="AC462" s="819"/>
      <c r="AD462" s="819"/>
      <c r="AE462" s="819"/>
      <c r="AF462" s="819"/>
      <c r="AG462" s="819"/>
      <c r="AH462" s="819"/>
      <c r="AI462" s="819"/>
      <c r="AJ462" s="819"/>
      <c r="AK462" s="819"/>
      <c r="AL462" s="819"/>
      <c r="AM462" s="819"/>
      <c r="AN462" s="819"/>
      <c r="AO462" s="819"/>
      <c r="AP462" s="819"/>
      <c r="AQ462" s="819"/>
      <c r="AR462" s="819"/>
      <c r="AS462" s="819"/>
      <c r="AT462" s="819"/>
      <c r="AU462" s="819"/>
      <c r="AV462" s="819"/>
      <c r="AW462" s="819"/>
      <c r="AX462" s="819"/>
      <c r="AY462" s="819"/>
      <c r="AZ462" s="819"/>
      <c r="BA462" s="819"/>
      <c r="BB462" s="819"/>
      <c r="BC462" s="819"/>
      <c r="BD462" s="819"/>
      <c r="BE462" s="819"/>
      <c r="BF462" s="819"/>
      <c r="BG462" s="819"/>
      <c r="BH462" s="819"/>
      <c r="BI462" s="819"/>
      <c r="BJ462" s="819"/>
      <c r="BK462" s="819"/>
      <c r="CW462" s="813"/>
    </row>
    <row r="463" spans="3:101">
      <c r="C463" s="70"/>
      <c r="D463" s="819"/>
      <c r="E463" s="820"/>
      <c r="F463" s="819"/>
      <c r="G463" s="819"/>
      <c r="H463" s="819"/>
      <c r="I463" s="819"/>
      <c r="J463" s="819"/>
      <c r="K463" s="819"/>
      <c r="L463" s="819"/>
      <c r="M463" s="819"/>
      <c r="N463" s="819"/>
      <c r="O463" s="819"/>
      <c r="P463" s="819"/>
      <c r="Q463" s="819"/>
      <c r="R463" s="819"/>
      <c r="S463" s="819"/>
      <c r="T463" s="819"/>
      <c r="U463" s="819"/>
      <c r="V463" s="1594"/>
      <c r="W463" s="1594"/>
      <c r="X463" s="1594"/>
      <c r="Y463" s="1594"/>
      <c r="Z463" s="1594"/>
      <c r="AA463" s="819"/>
      <c r="AB463" s="819"/>
      <c r="AC463" s="819"/>
      <c r="AD463" s="819"/>
      <c r="AE463" s="819"/>
      <c r="AF463" s="819"/>
      <c r="AG463" s="819"/>
      <c r="AH463" s="819"/>
      <c r="AI463" s="819"/>
      <c r="AJ463" s="819"/>
      <c r="AK463" s="819"/>
      <c r="AL463" s="819"/>
      <c r="AM463" s="819"/>
      <c r="AN463" s="819"/>
      <c r="AO463" s="819"/>
      <c r="AP463" s="819"/>
      <c r="AQ463" s="819"/>
      <c r="AR463" s="819"/>
      <c r="AS463" s="819"/>
      <c r="AT463" s="819"/>
      <c r="AU463" s="819"/>
      <c r="AV463" s="819"/>
      <c r="AW463" s="819"/>
      <c r="AX463" s="819"/>
      <c r="AY463" s="819"/>
      <c r="AZ463" s="819"/>
      <c r="BA463" s="819"/>
      <c r="BB463" s="819"/>
      <c r="BC463" s="819"/>
      <c r="BD463" s="819"/>
      <c r="BE463" s="819"/>
      <c r="BF463" s="819"/>
      <c r="BG463" s="819"/>
      <c r="BH463" s="819"/>
      <c r="BI463" s="819"/>
      <c r="BJ463" s="819"/>
      <c r="BK463" s="819"/>
      <c r="CW463" s="813"/>
    </row>
    <row r="464" spans="3:101">
      <c r="C464" s="70"/>
      <c r="D464" s="819"/>
      <c r="E464" s="820"/>
      <c r="F464" s="819"/>
      <c r="G464" s="819"/>
      <c r="H464" s="819"/>
      <c r="I464" s="819"/>
      <c r="J464" s="819"/>
      <c r="K464" s="819"/>
      <c r="L464" s="819"/>
      <c r="M464" s="819"/>
      <c r="N464" s="819"/>
      <c r="O464" s="819"/>
      <c r="P464" s="819"/>
      <c r="Q464" s="819"/>
      <c r="R464" s="819"/>
      <c r="S464" s="819"/>
      <c r="T464" s="819"/>
      <c r="U464" s="819"/>
      <c r="V464" s="1594"/>
      <c r="W464" s="1594"/>
      <c r="X464" s="1594"/>
      <c r="Y464" s="1594"/>
      <c r="Z464" s="1594"/>
      <c r="AA464" s="819"/>
      <c r="AB464" s="819"/>
      <c r="AC464" s="819"/>
      <c r="AD464" s="819"/>
      <c r="AE464" s="819"/>
      <c r="AF464" s="819"/>
      <c r="AG464" s="819"/>
      <c r="AH464" s="819"/>
      <c r="AI464" s="819"/>
      <c r="AJ464" s="819"/>
      <c r="AK464" s="819"/>
      <c r="AL464" s="819"/>
      <c r="AM464" s="819"/>
      <c r="AN464" s="819"/>
      <c r="AO464" s="819"/>
      <c r="AP464" s="819"/>
      <c r="AQ464" s="819"/>
      <c r="AR464" s="819"/>
      <c r="AS464" s="819"/>
      <c r="AT464" s="819"/>
      <c r="AU464" s="819"/>
      <c r="AV464" s="819"/>
      <c r="AW464" s="819"/>
      <c r="AX464" s="819"/>
      <c r="AY464" s="819"/>
      <c r="AZ464" s="819"/>
      <c r="BA464" s="819"/>
      <c r="BB464" s="819"/>
      <c r="BC464" s="819"/>
      <c r="BD464" s="819"/>
      <c r="BE464" s="819"/>
      <c r="BF464" s="819"/>
      <c r="BG464" s="819"/>
      <c r="BH464" s="819"/>
      <c r="BI464" s="819"/>
      <c r="BJ464" s="819"/>
      <c r="BK464" s="819"/>
      <c r="BL464" s="68"/>
      <c r="CW464" s="813"/>
    </row>
    <row r="465" spans="3:101">
      <c r="C465" s="70"/>
      <c r="D465" s="819"/>
      <c r="E465" s="820"/>
      <c r="F465" s="819"/>
      <c r="G465" s="819"/>
      <c r="H465" s="819"/>
      <c r="I465" s="819"/>
      <c r="J465" s="819"/>
      <c r="K465" s="819"/>
      <c r="L465" s="819"/>
      <c r="M465" s="819"/>
      <c r="N465" s="819"/>
      <c r="O465" s="819"/>
      <c r="P465" s="819"/>
      <c r="Q465" s="819"/>
      <c r="R465" s="819"/>
      <c r="S465" s="819"/>
      <c r="T465" s="819"/>
      <c r="U465" s="819"/>
      <c r="V465" s="1594"/>
      <c r="W465" s="1594"/>
      <c r="X465" s="1594"/>
      <c r="Y465" s="1594"/>
      <c r="Z465" s="1594"/>
      <c r="AA465" s="819"/>
      <c r="AB465" s="819"/>
      <c r="AC465" s="819"/>
      <c r="AD465" s="819"/>
      <c r="AE465" s="819"/>
      <c r="AF465" s="819"/>
      <c r="AG465" s="819"/>
      <c r="AH465" s="819"/>
      <c r="AI465" s="819"/>
      <c r="AJ465" s="819"/>
      <c r="AK465" s="819"/>
      <c r="AL465" s="819"/>
      <c r="AM465" s="819"/>
      <c r="AN465" s="819"/>
      <c r="AO465" s="819"/>
      <c r="AP465" s="819"/>
      <c r="AQ465" s="819"/>
      <c r="AR465" s="819"/>
      <c r="AS465" s="819"/>
      <c r="AT465" s="819"/>
      <c r="AU465" s="819"/>
      <c r="AV465" s="819"/>
      <c r="AW465" s="819"/>
      <c r="AX465" s="819"/>
      <c r="AY465" s="819"/>
      <c r="AZ465" s="819"/>
      <c r="BA465" s="819"/>
      <c r="BB465" s="819"/>
      <c r="BC465" s="819"/>
      <c r="BD465" s="819"/>
      <c r="BE465" s="819"/>
      <c r="BF465" s="819"/>
      <c r="BG465" s="819"/>
      <c r="BH465" s="819"/>
      <c r="BI465" s="819"/>
      <c r="BJ465" s="819"/>
      <c r="BK465" s="819"/>
      <c r="BL465" s="68"/>
      <c r="CW465" s="813"/>
    </row>
    <row r="466" spans="3:101">
      <c r="C466" s="70"/>
      <c r="D466" s="819"/>
      <c r="E466" s="820"/>
      <c r="F466" s="819"/>
      <c r="G466" s="819"/>
      <c r="H466" s="819"/>
      <c r="I466" s="819"/>
      <c r="J466" s="819"/>
      <c r="K466" s="819"/>
      <c r="L466" s="819"/>
      <c r="M466" s="819"/>
      <c r="N466" s="819"/>
      <c r="O466" s="819"/>
      <c r="P466" s="819"/>
      <c r="Q466" s="819"/>
      <c r="R466" s="819"/>
      <c r="S466" s="819"/>
      <c r="T466" s="819"/>
      <c r="U466" s="819"/>
      <c r="V466" s="1594"/>
      <c r="W466" s="1594"/>
      <c r="X466" s="1594"/>
      <c r="Y466" s="1594"/>
      <c r="Z466" s="1594"/>
      <c r="AA466" s="819"/>
      <c r="AB466" s="819"/>
      <c r="AC466" s="819"/>
      <c r="AD466" s="819"/>
      <c r="AE466" s="819"/>
      <c r="AF466" s="819"/>
      <c r="AG466" s="819"/>
      <c r="AH466" s="819"/>
      <c r="AI466" s="819"/>
      <c r="AJ466" s="819"/>
      <c r="AK466" s="819"/>
      <c r="AL466" s="819"/>
      <c r="AM466" s="819"/>
      <c r="AN466" s="819"/>
      <c r="AO466" s="819"/>
      <c r="AP466" s="819"/>
      <c r="AQ466" s="819"/>
      <c r="AR466" s="819"/>
      <c r="AS466" s="819"/>
      <c r="AT466" s="819"/>
      <c r="AU466" s="819"/>
      <c r="AV466" s="819"/>
      <c r="AW466" s="819"/>
      <c r="AX466" s="819"/>
      <c r="AY466" s="819"/>
      <c r="AZ466" s="819"/>
      <c r="BA466" s="819"/>
      <c r="BB466" s="819"/>
      <c r="BC466" s="819"/>
      <c r="BD466" s="819"/>
      <c r="BE466" s="819"/>
      <c r="BF466" s="819"/>
      <c r="BG466" s="819"/>
      <c r="BH466" s="819"/>
      <c r="BI466" s="819"/>
      <c r="BJ466" s="819"/>
      <c r="BK466" s="819"/>
      <c r="BL466" s="68"/>
      <c r="CW466" s="813"/>
    </row>
    <row r="467" spans="3:101">
      <c r="C467" s="70"/>
      <c r="D467" s="819"/>
      <c r="E467" s="820"/>
      <c r="F467" s="819"/>
      <c r="G467" s="819"/>
      <c r="H467" s="819"/>
      <c r="I467" s="819"/>
      <c r="J467" s="819"/>
      <c r="K467" s="819"/>
      <c r="L467" s="819"/>
      <c r="M467" s="819"/>
      <c r="N467" s="819"/>
      <c r="O467" s="819"/>
      <c r="P467" s="819"/>
      <c r="Q467" s="819"/>
      <c r="R467" s="819"/>
      <c r="S467" s="819"/>
      <c r="T467" s="819"/>
      <c r="U467" s="819"/>
      <c r="V467" s="1594"/>
      <c r="W467" s="1594"/>
      <c r="X467" s="1594"/>
      <c r="Y467" s="1594"/>
      <c r="Z467" s="1594"/>
      <c r="AA467" s="819"/>
      <c r="AB467" s="819"/>
      <c r="AC467" s="819"/>
      <c r="AD467" s="819"/>
      <c r="AE467" s="819"/>
      <c r="AF467" s="819"/>
      <c r="AG467" s="819"/>
      <c r="AH467" s="819"/>
      <c r="AI467" s="819"/>
      <c r="AJ467" s="819"/>
      <c r="AK467" s="819"/>
      <c r="AL467" s="819"/>
      <c r="AM467" s="819"/>
      <c r="AN467" s="819"/>
      <c r="AO467" s="819"/>
      <c r="AP467" s="819"/>
      <c r="AQ467" s="819"/>
      <c r="AR467" s="819"/>
      <c r="AS467" s="819"/>
      <c r="AT467" s="819"/>
      <c r="AU467" s="819"/>
      <c r="AV467" s="819"/>
      <c r="AW467" s="819"/>
      <c r="AX467" s="819"/>
      <c r="AY467" s="819"/>
      <c r="AZ467" s="819"/>
      <c r="BA467" s="819"/>
      <c r="BB467" s="819"/>
      <c r="BC467" s="819"/>
      <c r="BD467" s="819"/>
      <c r="BE467" s="819"/>
      <c r="BF467" s="819"/>
      <c r="BG467" s="819"/>
      <c r="BH467" s="819"/>
      <c r="BI467" s="819"/>
      <c r="BJ467" s="819"/>
      <c r="BK467" s="819"/>
      <c r="BL467" s="68"/>
      <c r="CW467" s="813"/>
    </row>
    <row r="468" spans="3:101">
      <c r="C468" s="70"/>
      <c r="D468" s="819"/>
      <c r="E468" s="820"/>
      <c r="F468" s="819"/>
      <c r="G468" s="819"/>
      <c r="H468" s="819"/>
      <c r="I468" s="819"/>
      <c r="J468" s="819"/>
      <c r="K468" s="819"/>
      <c r="L468" s="819"/>
      <c r="M468" s="819"/>
      <c r="N468" s="819"/>
      <c r="O468" s="819"/>
      <c r="P468" s="819"/>
      <c r="Q468" s="819"/>
      <c r="R468" s="819"/>
      <c r="S468" s="819"/>
      <c r="T468" s="819"/>
      <c r="U468" s="819"/>
      <c r="V468" s="1594"/>
      <c r="W468" s="1594"/>
      <c r="X468" s="1594"/>
      <c r="Y468" s="1594"/>
      <c r="Z468" s="1594"/>
      <c r="AA468" s="819"/>
      <c r="AB468" s="819"/>
      <c r="AC468" s="819"/>
      <c r="AD468" s="819"/>
      <c r="AE468" s="819"/>
      <c r="AF468" s="819"/>
      <c r="AG468" s="819"/>
      <c r="AH468" s="819"/>
      <c r="AI468" s="819"/>
      <c r="AJ468" s="819"/>
      <c r="AK468" s="819"/>
      <c r="AL468" s="819"/>
      <c r="AM468" s="819"/>
      <c r="AN468" s="819"/>
      <c r="AO468" s="819"/>
      <c r="AP468" s="819"/>
      <c r="AQ468" s="819"/>
      <c r="AR468" s="819"/>
      <c r="AS468" s="819"/>
      <c r="AT468" s="819"/>
      <c r="AU468" s="819"/>
      <c r="AV468" s="819"/>
      <c r="AW468" s="819"/>
      <c r="AX468" s="819"/>
      <c r="AY468" s="819"/>
      <c r="AZ468" s="819"/>
      <c r="BA468" s="819"/>
      <c r="BB468" s="819"/>
      <c r="BC468" s="819"/>
      <c r="BD468" s="819"/>
      <c r="BE468" s="819"/>
      <c r="BF468" s="819"/>
      <c r="BG468" s="819"/>
      <c r="BH468" s="819"/>
      <c r="BI468" s="819"/>
      <c r="BJ468" s="819"/>
      <c r="BK468" s="819"/>
      <c r="BL468" s="68"/>
      <c r="CW468" s="813"/>
    </row>
    <row r="469" spans="3:101">
      <c r="C469" s="70"/>
      <c r="D469" s="819"/>
      <c r="E469" s="820"/>
      <c r="F469" s="819"/>
      <c r="G469" s="819"/>
      <c r="H469" s="819"/>
      <c r="I469" s="819"/>
      <c r="J469" s="819"/>
      <c r="K469" s="819"/>
      <c r="L469" s="819"/>
      <c r="M469" s="819"/>
      <c r="N469" s="819"/>
      <c r="O469" s="819"/>
      <c r="P469" s="819"/>
      <c r="Q469" s="819"/>
      <c r="R469" s="819"/>
      <c r="S469" s="819"/>
      <c r="T469" s="819"/>
      <c r="U469" s="819"/>
      <c r="V469" s="1594"/>
      <c r="W469" s="1594"/>
      <c r="X469" s="1594"/>
      <c r="Y469" s="1594"/>
      <c r="Z469" s="1594"/>
      <c r="AA469" s="819"/>
      <c r="AB469" s="819"/>
      <c r="AC469" s="819"/>
      <c r="AD469" s="819"/>
      <c r="AE469" s="819"/>
      <c r="AF469" s="819"/>
      <c r="AG469" s="819"/>
      <c r="AH469" s="819"/>
      <c r="AI469" s="819"/>
      <c r="AJ469" s="819"/>
      <c r="AK469" s="819"/>
      <c r="AL469" s="819"/>
      <c r="AM469" s="819"/>
      <c r="AN469" s="819"/>
      <c r="AO469" s="819"/>
      <c r="AP469" s="819"/>
      <c r="AQ469" s="819"/>
      <c r="AR469" s="819"/>
      <c r="AS469" s="819"/>
      <c r="AT469" s="819"/>
      <c r="AU469" s="819"/>
      <c r="AV469" s="819"/>
      <c r="AW469" s="819"/>
      <c r="AX469" s="819"/>
      <c r="AY469" s="819"/>
      <c r="AZ469" s="819"/>
      <c r="BA469" s="819"/>
      <c r="BB469" s="819"/>
      <c r="BC469" s="819"/>
      <c r="BD469" s="819"/>
      <c r="BE469" s="819"/>
      <c r="BF469" s="819"/>
      <c r="BG469" s="819"/>
      <c r="BH469" s="819"/>
      <c r="BI469" s="819"/>
      <c r="BJ469" s="819"/>
      <c r="BK469" s="819"/>
      <c r="BL469" s="68"/>
      <c r="CW469" s="813"/>
    </row>
    <row r="470" spans="3:101">
      <c r="C470" s="70"/>
      <c r="D470" s="819"/>
      <c r="E470" s="820"/>
      <c r="F470" s="819"/>
      <c r="G470" s="819"/>
      <c r="H470" s="819"/>
      <c r="I470" s="819"/>
      <c r="J470" s="819"/>
      <c r="K470" s="819"/>
      <c r="L470" s="819"/>
      <c r="M470" s="819"/>
      <c r="N470" s="819"/>
      <c r="O470" s="819"/>
      <c r="P470" s="819"/>
      <c r="Q470" s="819"/>
      <c r="R470" s="819"/>
      <c r="S470" s="819"/>
      <c r="T470" s="819"/>
      <c r="U470" s="819"/>
      <c r="V470" s="1594"/>
      <c r="W470" s="1594"/>
      <c r="X470" s="1594"/>
      <c r="Y470" s="1594"/>
      <c r="Z470" s="1594"/>
      <c r="AA470" s="819"/>
      <c r="AB470" s="819"/>
      <c r="AC470" s="819"/>
      <c r="AD470" s="819"/>
      <c r="AE470" s="819"/>
      <c r="AF470" s="819"/>
      <c r="AG470" s="819"/>
      <c r="AH470" s="819"/>
      <c r="AI470" s="819"/>
      <c r="AJ470" s="819"/>
      <c r="AK470" s="819"/>
      <c r="AL470" s="819"/>
      <c r="AM470" s="819"/>
      <c r="AN470" s="819"/>
      <c r="AO470" s="819"/>
      <c r="AP470" s="819"/>
      <c r="AQ470" s="819"/>
      <c r="AR470" s="819"/>
      <c r="AS470" s="819"/>
      <c r="AT470" s="819"/>
      <c r="AU470" s="819"/>
      <c r="AV470" s="819"/>
      <c r="AW470" s="819"/>
      <c r="AX470" s="819"/>
      <c r="AY470" s="819"/>
      <c r="AZ470" s="819"/>
      <c r="BA470" s="819"/>
      <c r="BB470" s="819"/>
      <c r="BC470" s="819"/>
      <c r="BD470" s="819"/>
      <c r="BE470" s="819"/>
      <c r="BF470" s="819"/>
      <c r="BG470" s="819"/>
      <c r="BH470" s="819"/>
      <c r="BI470" s="819"/>
      <c r="BJ470" s="819"/>
      <c r="BK470" s="819"/>
      <c r="BL470" s="68"/>
      <c r="CW470" s="813"/>
    </row>
    <row r="471" spans="3:101">
      <c r="C471" s="70"/>
      <c r="D471" s="819"/>
      <c r="E471" s="820"/>
      <c r="F471" s="819"/>
      <c r="G471" s="819"/>
      <c r="H471" s="819"/>
      <c r="I471" s="819"/>
      <c r="J471" s="819"/>
      <c r="K471" s="819"/>
      <c r="L471" s="819"/>
      <c r="M471" s="819"/>
      <c r="N471" s="819"/>
      <c r="O471" s="819"/>
      <c r="P471" s="819"/>
      <c r="Q471" s="819"/>
      <c r="R471" s="819"/>
      <c r="S471" s="819"/>
      <c r="T471" s="819"/>
      <c r="U471" s="819"/>
      <c r="V471" s="1594"/>
      <c r="W471" s="1594"/>
      <c r="X471" s="1594"/>
      <c r="Y471" s="1594"/>
      <c r="Z471" s="1594"/>
      <c r="AA471" s="819"/>
      <c r="AB471" s="819"/>
      <c r="AC471" s="819"/>
      <c r="AD471" s="819"/>
      <c r="AE471" s="819"/>
      <c r="AF471" s="819"/>
      <c r="AG471" s="819"/>
      <c r="AH471" s="819"/>
      <c r="AI471" s="819"/>
      <c r="AJ471" s="819"/>
      <c r="AK471" s="819"/>
      <c r="AL471" s="819"/>
      <c r="AM471" s="819"/>
      <c r="AN471" s="819"/>
      <c r="AO471" s="819"/>
      <c r="AP471" s="819"/>
      <c r="AQ471" s="819"/>
      <c r="AR471" s="819"/>
      <c r="AS471" s="819"/>
      <c r="AT471" s="819"/>
      <c r="AU471" s="819"/>
      <c r="AV471" s="819"/>
      <c r="AW471" s="819"/>
      <c r="AX471" s="819"/>
      <c r="AY471" s="819"/>
      <c r="AZ471" s="819"/>
      <c r="BA471" s="819"/>
      <c r="BB471" s="819"/>
      <c r="BC471" s="819"/>
      <c r="BD471" s="819"/>
      <c r="BE471" s="819"/>
      <c r="BF471" s="819"/>
      <c r="BG471" s="819"/>
      <c r="BH471" s="819"/>
      <c r="BI471" s="819"/>
      <c r="BJ471" s="819"/>
      <c r="BK471" s="819"/>
      <c r="BL471" s="68"/>
      <c r="CW471" s="813"/>
    </row>
    <row r="472" spans="3:101">
      <c r="C472" s="70"/>
      <c r="D472" s="819"/>
      <c r="E472" s="820"/>
      <c r="F472" s="819"/>
      <c r="G472" s="819"/>
      <c r="H472" s="819"/>
      <c r="I472" s="819"/>
      <c r="J472" s="819"/>
      <c r="K472" s="819"/>
      <c r="L472" s="819"/>
      <c r="M472" s="819"/>
      <c r="N472" s="819"/>
      <c r="O472" s="819"/>
      <c r="P472" s="819"/>
      <c r="Q472" s="819"/>
      <c r="R472" s="819"/>
      <c r="S472" s="819"/>
      <c r="T472" s="819"/>
      <c r="U472" s="819"/>
      <c r="V472" s="1594"/>
      <c r="W472" s="1594"/>
      <c r="X472" s="1594"/>
      <c r="Y472" s="1594"/>
      <c r="Z472" s="1594"/>
      <c r="AA472" s="819"/>
      <c r="AB472" s="819"/>
      <c r="AC472" s="819"/>
      <c r="AD472" s="819"/>
      <c r="AE472" s="819"/>
      <c r="AF472" s="819"/>
      <c r="AG472" s="819"/>
      <c r="AH472" s="819"/>
      <c r="AI472" s="819"/>
      <c r="AJ472" s="819"/>
      <c r="AK472" s="819"/>
      <c r="AL472" s="819"/>
      <c r="AM472" s="819"/>
      <c r="AN472" s="819"/>
      <c r="AO472" s="819"/>
      <c r="AP472" s="819"/>
      <c r="AQ472" s="819"/>
      <c r="AR472" s="819"/>
      <c r="AS472" s="819"/>
      <c r="AT472" s="819"/>
      <c r="AU472" s="819"/>
      <c r="AV472" s="819"/>
      <c r="AW472" s="819"/>
      <c r="AX472" s="819"/>
      <c r="AY472" s="819"/>
      <c r="AZ472" s="819"/>
      <c r="BA472" s="819"/>
      <c r="BB472" s="819"/>
      <c r="BC472" s="819"/>
      <c r="BD472" s="819"/>
      <c r="BE472" s="819"/>
      <c r="BF472" s="819"/>
      <c r="BG472" s="819"/>
      <c r="BH472" s="819"/>
      <c r="BI472" s="819"/>
      <c r="BJ472" s="819"/>
      <c r="BK472" s="819"/>
      <c r="BL472" s="68"/>
      <c r="CW472" s="813"/>
    </row>
    <row r="473" spans="3:101">
      <c r="C473" s="70"/>
      <c r="D473" s="819"/>
      <c r="E473" s="820"/>
      <c r="F473" s="819"/>
      <c r="G473" s="819"/>
      <c r="H473" s="819"/>
      <c r="I473" s="819"/>
      <c r="J473" s="819"/>
      <c r="K473" s="819"/>
      <c r="L473" s="819"/>
      <c r="M473" s="819"/>
      <c r="N473" s="819"/>
      <c r="O473" s="819"/>
      <c r="P473" s="819"/>
      <c r="Q473" s="819"/>
      <c r="R473" s="819"/>
      <c r="S473" s="819"/>
      <c r="T473" s="819"/>
      <c r="U473" s="819"/>
      <c r="V473" s="1594"/>
      <c r="W473" s="1594"/>
      <c r="X473" s="1594"/>
      <c r="Y473" s="1594"/>
      <c r="Z473" s="1594"/>
      <c r="AA473" s="819"/>
      <c r="AB473" s="819"/>
      <c r="AC473" s="819"/>
      <c r="AD473" s="819"/>
      <c r="AE473" s="819"/>
      <c r="AF473" s="819"/>
      <c r="AG473" s="819"/>
      <c r="AH473" s="819"/>
      <c r="AI473" s="819"/>
      <c r="AJ473" s="819"/>
      <c r="AK473" s="819"/>
      <c r="AL473" s="819"/>
      <c r="AM473" s="819"/>
      <c r="AN473" s="819"/>
      <c r="AO473" s="819"/>
      <c r="AP473" s="819"/>
      <c r="AQ473" s="819"/>
      <c r="AR473" s="819"/>
      <c r="AS473" s="819"/>
      <c r="AT473" s="819"/>
      <c r="AU473" s="819"/>
      <c r="AV473" s="819"/>
      <c r="AW473" s="819"/>
      <c r="AX473" s="819"/>
      <c r="AY473" s="819"/>
      <c r="AZ473" s="819"/>
      <c r="BA473" s="819"/>
      <c r="BB473" s="819"/>
      <c r="BC473" s="819"/>
      <c r="BD473" s="819"/>
      <c r="BE473" s="819"/>
      <c r="BF473" s="819"/>
      <c r="BG473" s="819"/>
      <c r="BH473" s="819"/>
      <c r="BI473" s="819"/>
      <c r="BJ473" s="819"/>
      <c r="BK473" s="819"/>
      <c r="BL473" s="68"/>
      <c r="CW473" s="813"/>
    </row>
    <row r="474" spans="3:101">
      <c r="C474" s="70"/>
      <c r="D474" s="819"/>
      <c r="E474" s="820"/>
      <c r="F474" s="819"/>
      <c r="G474" s="819"/>
      <c r="H474" s="819"/>
      <c r="I474" s="819"/>
      <c r="J474" s="819"/>
      <c r="K474" s="819"/>
      <c r="L474" s="819"/>
      <c r="M474" s="819"/>
      <c r="N474" s="819"/>
      <c r="O474" s="819"/>
      <c r="P474" s="819"/>
      <c r="Q474" s="819"/>
      <c r="R474" s="819"/>
      <c r="S474" s="819"/>
      <c r="T474" s="819"/>
      <c r="U474" s="819"/>
      <c r="V474" s="1594"/>
      <c r="W474" s="1594"/>
      <c r="X474" s="1594"/>
      <c r="Y474" s="1594"/>
      <c r="Z474" s="1594"/>
      <c r="AA474" s="819"/>
      <c r="AB474" s="819"/>
      <c r="AC474" s="819"/>
      <c r="AD474" s="819"/>
      <c r="AE474" s="819"/>
      <c r="AF474" s="819"/>
      <c r="AG474" s="819"/>
      <c r="AH474" s="819"/>
      <c r="AI474" s="819"/>
      <c r="AJ474" s="819"/>
      <c r="AK474" s="819"/>
      <c r="AL474" s="819"/>
      <c r="AM474" s="819"/>
      <c r="AN474" s="819"/>
      <c r="AO474" s="819"/>
      <c r="AP474" s="819"/>
      <c r="AQ474" s="819"/>
      <c r="AR474" s="819"/>
      <c r="AS474" s="819"/>
      <c r="AT474" s="819"/>
      <c r="AU474" s="819"/>
      <c r="AV474" s="819"/>
      <c r="AW474" s="819"/>
      <c r="AX474" s="819"/>
      <c r="AY474" s="819"/>
      <c r="AZ474" s="819"/>
      <c r="BA474" s="819"/>
      <c r="BB474" s="819"/>
      <c r="BC474" s="819"/>
      <c r="BD474" s="819"/>
      <c r="BE474" s="819"/>
      <c r="BF474" s="819"/>
      <c r="BG474" s="819"/>
      <c r="BH474" s="819"/>
      <c r="BI474" s="819"/>
      <c r="BJ474" s="819"/>
      <c r="BK474" s="819"/>
      <c r="BL474" s="68"/>
      <c r="CW474" s="813"/>
    </row>
    <row r="475" spans="3:101">
      <c r="C475" s="70"/>
      <c r="D475" s="819"/>
      <c r="E475" s="820"/>
      <c r="F475" s="819"/>
      <c r="G475" s="819"/>
      <c r="H475" s="819"/>
      <c r="I475" s="819"/>
      <c r="J475" s="819"/>
      <c r="K475" s="819"/>
      <c r="L475" s="819"/>
      <c r="M475" s="819"/>
      <c r="N475" s="819"/>
      <c r="O475" s="819"/>
      <c r="P475" s="819"/>
      <c r="Q475" s="819"/>
      <c r="R475" s="819"/>
      <c r="S475" s="819"/>
      <c r="T475" s="819"/>
      <c r="U475" s="819"/>
      <c r="V475" s="1594"/>
      <c r="W475" s="1594"/>
      <c r="X475" s="1594"/>
      <c r="Y475" s="1594"/>
      <c r="Z475" s="1594"/>
      <c r="AA475" s="819"/>
      <c r="AB475" s="819"/>
      <c r="AC475" s="819"/>
      <c r="AD475" s="819"/>
      <c r="AE475" s="819"/>
      <c r="AF475" s="819"/>
      <c r="AG475" s="819"/>
      <c r="AH475" s="819"/>
      <c r="AI475" s="819"/>
      <c r="AJ475" s="819"/>
      <c r="AK475" s="819"/>
      <c r="AL475" s="819"/>
      <c r="AM475" s="819"/>
      <c r="AN475" s="819"/>
      <c r="AO475" s="819"/>
      <c r="AP475" s="819"/>
      <c r="AQ475" s="819"/>
      <c r="AR475" s="819"/>
      <c r="AS475" s="819"/>
      <c r="AT475" s="819"/>
      <c r="AU475" s="819"/>
      <c r="AV475" s="819"/>
      <c r="AW475" s="819"/>
      <c r="AX475" s="819"/>
      <c r="AY475" s="819"/>
      <c r="AZ475" s="819"/>
      <c r="BA475" s="819"/>
      <c r="BB475" s="819"/>
      <c r="BC475" s="819"/>
      <c r="BD475" s="819"/>
      <c r="BE475" s="819"/>
      <c r="BF475" s="819"/>
      <c r="BG475" s="819"/>
      <c r="BH475" s="819"/>
      <c r="BI475" s="819"/>
      <c r="BJ475" s="819"/>
      <c r="BK475" s="819"/>
      <c r="BL475" s="68"/>
      <c r="CW475" s="813"/>
    </row>
    <row r="476" spans="3:101">
      <c r="C476" s="70"/>
      <c r="D476" s="819"/>
      <c r="E476" s="820"/>
      <c r="F476" s="819"/>
      <c r="G476" s="819"/>
      <c r="H476" s="819"/>
      <c r="I476" s="819"/>
      <c r="J476" s="819"/>
      <c r="K476" s="819"/>
      <c r="L476" s="819"/>
      <c r="M476" s="819"/>
      <c r="N476" s="819"/>
      <c r="O476" s="819"/>
      <c r="P476" s="819"/>
      <c r="Q476" s="819"/>
      <c r="R476" s="819"/>
      <c r="S476" s="819"/>
      <c r="T476" s="819"/>
      <c r="U476" s="819"/>
      <c r="V476" s="1594"/>
      <c r="W476" s="1594"/>
      <c r="X476" s="1594"/>
      <c r="Y476" s="1594"/>
      <c r="Z476" s="1594"/>
      <c r="AA476" s="819"/>
      <c r="AB476" s="819"/>
      <c r="AC476" s="819"/>
      <c r="AD476" s="819"/>
      <c r="AE476" s="819"/>
      <c r="AF476" s="819"/>
      <c r="AG476" s="819"/>
      <c r="AH476" s="819"/>
      <c r="AI476" s="819"/>
      <c r="AJ476" s="819"/>
      <c r="AK476" s="819"/>
      <c r="AL476" s="819"/>
      <c r="AM476" s="819"/>
      <c r="AN476" s="819"/>
      <c r="AO476" s="819"/>
      <c r="AP476" s="819"/>
      <c r="AQ476" s="819"/>
      <c r="AR476" s="819"/>
      <c r="AS476" s="819"/>
      <c r="AT476" s="819"/>
      <c r="AU476" s="819"/>
      <c r="AV476" s="819"/>
      <c r="AW476" s="819"/>
      <c r="AX476" s="819"/>
      <c r="AY476" s="819"/>
      <c r="AZ476" s="819"/>
      <c r="BA476" s="819"/>
      <c r="BB476" s="819"/>
      <c r="BC476" s="819"/>
      <c r="BD476" s="819"/>
      <c r="BE476" s="819"/>
      <c r="BF476" s="819"/>
      <c r="BG476" s="819"/>
      <c r="BH476" s="819"/>
      <c r="BI476" s="819"/>
      <c r="BJ476" s="819"/>
      <c r="BK476" s="819"/>
      <c r="BL476" s="68"/>
      <c r="CW476" s="813"/>
    </row>
    <row r="477" spans="3:101">
      <c r="C477" s="70"/>
      <c r="D477" s="819"/>
      <c r="E477" s="820"/>
      <c r="F477" s="819"/>
      <c r="G477" s="819"/>
      <c r="H477" s="819"/>
      <c r="I477" s="819"/>
      <c r="J477" s="819"/>
      <c r="K477" s="819"/>
      <c r="L477" s="819"/>
      <c r="M477" s="819"/>
      <c r="N477" s="819"/>
      <c r="O477" s="819"/>
      <c r="P477" s="819"/>
      <c r="Q477" s="819"/>
      <c r="R477" s="819"/>
      <c r="S477" s="819"/>
      <c r="T477" s="819"/>
      <c r="U477" s="819"/>
      <c r="V477" s="1594"/>
      <c r="W477" s="1594"/>
      <c r="X477" s="1594"/>
      <c r="Y477" s="1594"/>
      <c r="Z477" s="1594"/>
      <c r="AA477" s="819"/>
      <c r="AB477" s="819"/>
      <c r="AC477" s="819"/>
      <c r="AD477" s="819"/>
      <c r="AE477" s="819"/>
      <c r="AF477" s="819"/>
      <c r="AG477" s="819"/>
      <c r="AH477" s="819"/>
      <c r="AI477" s="819"/>
      <c r="AJ477" s="819"/>
      <c r="AK477" s="819"/>
      <c r="AL477" s="819"/>
      <c r="AM477" s="819"/>
      <c r="AN477" s="819"/>
      <c r="AO477" s="819"/>
      <c r="AP477" s="819"/>
      <c r="AQ477" s="819"/>
      <c r="AR477" s="819"/>
      <c r="AS477" s="819"/>
      <c r="AT477" s="819"/>
      <c r="AU477" s="819"/>
      <c r="AV477" s="819"/>
      <c r="AW477" s="819"/>
      <c r="AX477" s="819"/>
      <c r="AY477" s="819"/>
      <c r="AZ477" s="819"/>
      <c r="BA477" s="819"/>
      <c r="BB477" s="819"/>
      <c r="BC477" s="819"/>
      <c r="BD477" s="819"/>
      <c r="BE477" s="819"/>
      <c r="BF477" s="819"/>
      <c r="BG477" s="819"/>
      <c r="BH477" s="819"/>
      <c r="BI477" s="819"/>
      <c r="BJ477" s="819"/>
      <c r="BK477" s="819"/>
      <c r="BL477" s="68"/>
      <c r="CW477" s="813"/>
    </row>
    <row r="478" spans="3:101">
      <c r="C478" s="70"/>
      <c r="D478" s="819"/>
      <c r="E478" s="820"/>
      <c r="F478" s="819"/>
      <c r="G478" s="819"/>
      <c r="H478" s="819"/>
      <c r="I478" s="819"/>
      <c r="J478" s="819"/>
      <c r="K478" s="819"/>
      <c r="L478" s="819"/>
      <c r="M478" s="819"/>
      <c r="N478" s="819"/>
      <c r="O478" s="819"/>
      <c r="P478" s="819"/>
      <c r="Q478" s="819"/>
      <c r="R478" s="819"/>
      <c r="S478" s="819"/>
      <c r="T478" s="819"/>
      <c r="U478" s="819"/>
      <c r="V478" s="1594"/>
      <c r="W478" s="1594"/>
      <c r="X478" s="1594"/>
      <c r="Y478" s="1594"/>
      <c r="Z478" s="1594"/>
      <c r="AA478" s="819"/>
      <c r="AB478" s="819"/>
      <c r="AC478" s="819"/>
      <c r="AD478" s="819"/>
      <c r="AE478" s="819"/>
      <c r="AF478" s="819"/>
      <c r="AG478" s="819"/>
      <c r="AH478" s="819"/>
      <c r="AI478" s="819"/>
      <c r="AJ478" s="819"/>
      <c r="AK478" s="819"/>
      <c r="AL478" s="819"/>
      <c r="AM478" s="819"/>
      <c r="AN478" s="819"/>
      <c r="AO478" s="819"/>
      <c r="AP478" s="819"/>
      <c r="AQ478" s="819"/>
      <c r="AR478" s="819"/>
      <c r="AS478" s="819"/>
      <c r="AT478" s="819"/>
      <c r="AU478" s="819"/>
      <c r="AV478" s="819"/>
      <c r="AW478" s="819"/>
      <c r="AX478" s="819"/>
      <c r="AY478" s="819"/>
      <c r="AZ478" s="819"/>
      <c r="BA478" s="819"/>
      <c r="BB478" s="819"/>
      <c r="BC478" s="819"/>
      <c r="BD478" s="819"/>
      <c r="BE478" s="819"/>
      <c r="BF478" s="819"/>
      <c r="BG478" s="819"/>
      <c r="BH478" s="819"/>
      <c r="BI478" s="819"/>
      <c r="BJ478" s="819"/>
      <c r="BK478" s="819"/>
      <c r="BL478" s="68"/>
      <c r="CW478" s="813"/>
    </row>
    <row r="479" spans="3:101">
      <c r="C479" s="70"/>
      <c r="D479" s="819"/>
      <c r="E479" s="820"/>
      <c r="F479" s="819"/>
      <c r="G479" s="819"/>
      <c r="H479" s="819"/>
      <c r="I479" s="819"/>
      <c r="J479" s="819"/>
      <c r="K479" s="819"/>
      <c r="L479" s="819"/>
      <c r="M479" s="819"/>
      <c r="N479" s="819"/>
      <c r="O479" s="819"/>
      <c r="P479" s="819"/>
      <c r="Q479" s="819"/>
      <c r="R479" s="819"/>
      <c r="S479" s="819"/>
      <c r="T479" s="819"/>
      <c r="U479" s="819"/>
      <c r="V479" s="1594"/>
      <c r="W479" s="1594"/>
      <c r="X479" s="1594"/>
      <c r="Y479" s="1594"/>
      <c r="Z479" s="1594"/>
      <c r="AA479" s="819"/>
      <c r="AB479" s="819"/>
      <c r="AC479" s="819"/>
      <c r="AD479" s="819"/>
      <c r="AE479" s="819"/>
      <c r="AF479" s="819"/>
      <c r="AG479" s="819"/>
      <c r="AH479" s="819"/>
      <c r="AI479" s="819"/>
      <c r="AJ479" s="819"/>
      <c r="AK479" s="819"/>
      <c r="AL479" s="819"/>
      <c r="AM479" s="819"/>
      <c r="AN479" s="819"/>
      <c r="AO479" s="819"/>
      <c r="AP479" s="819"/>
      <c r="AQ479" s="819"/>
      <c r="AR479" s="819"/>
      <c r="AS479" s="819"/>
      <c r="AT479" s="819"/>
      <c r="AU479" s="819"/>
      <c r="AV479" s="819"/>
      <c r="AW479" s="819"/>
      <c r="AX479" s="819"/>
      <c r="AY479" s="819"/>
      <c r="AZ479" s="819"/>
      <c r="BA479" s="819"/>
      <c r="BB479" s="819"/>
      <c r="BC479" s="819"/>
      <c r="BD479" s="819"/>
      <c r="BE479" s="819"/>
      <c r="BF479" s="819"/>
      <c r="BG479" s="819"/>
      <c r="BH479" s="819"/>
      <c r="BI479" s="819"/>
      <c r="BJ479" s="819"/>
      <c r="BK479" s="819"/>
      <c r="BL479" s="68"/>
      <c r="CW479" s="813"/>
    </row>
    <row r="480" spans="3:101">
      <c r="C480" s="70"/>
      <c r="D480" s="819"/>
      <c r="E480" s="820"/>
      <c r="F480" s="819"/>
      <c r="G480" s="819"/>
      <c r="H480" s="819"/>
      <c r="I480" s="819"/>
      <c r="J480" s="819"/>
      <c r="K480" s="819"/>
      <c r="L480" s="819"/>
      <c r="M480" s="819"/>
      <c r="N480" s="819"/>
      <c r="O480" s="819"/>
      <c r="P480" s="819"/>
      <c r="Q480" s="819"/>
      <c r="R480" s="819"/>
      <c r="S480" s="819"/>
      <c r="T480" s="819"/>
      <c r="U480" s="819"/>
      <c r="V480" s="1594"/>
      <c r="W480" s="1594"/>
      <c r="X480" s="1594"/>
      <c r="Y480" s="1594"/>
      <c r="Z480" s="1594"/>
      <c r="AA480" s="819"/>
      <c r="AB480" s="819"/>
      <c r="AC480" s="819"/>
      <c r="AD480" s="819"/>
      <c r="AE480" s="819"/>
      <c r="AF480" s="819"/>
      <c r="AG480" s="819"/>
      <c r="AH480" s="819"/>
      <c r="AI480" s="819"/>
      <c r="AJ480" s="819"/>
      <c r="AK480" s="819"/>
      <c r="AL480" s="819"/>
      <c r="AM480" s="819"/>
      <c r="AN480" s="819"/>
      <c r="AO480" s="819"/>
      <c r="AP480" s="819"/>
      <c r="AQ480" s="819"/>
      <c r="AR480" s="819"/>
      <c r="AS480" s="819"/>
      <c r="AT480" s="819"/>
      <c r="AU480" s="819"/>
      <c r="AV480" s="819"/>
      <c r="AW480" s="819"/>
      <c r="AX480" s="819"/>
      <c r="AY480" s="819"/>
      <c r="AZ480" s="819"/>
      <c r="BA480" s="819"/>
      <c r="BB480" s="819"/>
      <c r="BC480" s="819"/>
      <c r="BD480" s="819"/>
      <c r="BE480" s="819"/>
      <c r="BF480" s="819"/>
      <c r="BG480" s="819"/>
      <c r="BH480" s="819"/>
      <c r="BI480" s="819"/>
      <c r="BJ480" s="819"/>
      <c r="BK480" s="819"/>
      <c r="BL480" s="68"/>
      <c r="CW480" s="813"/>
    </row>
    <row r="481" spans="3:101">
      <c r="C481" s="70"/>
      <c r="D481" s="819"/>
      <c r="E481" s="820"/>
      <c r="F481" s="819"/>
      <c r="G481" s="819"/>
      <c r="H481" s="819"/>
      <c r="I481" s="819"/>
      <c r="J481" s="819"/>
      <c r="K481" s="819"/>
      <c r="L481" s="819"/>
      <c r="M481" s="819"/>
      <c r="N481" s="819"/>
      <c r="O481" s="819"/>
      <c r="P481" s="819"/>
      <c r="Q481" s="819"/>
      <c r="R481" s="819"/>
      <c r="S481" s="819"/>
      <c r="T481" s="819"/>
      <c r="U481" s="819"/>
      <c r="V481" s="1594"/>
      <c r="W481" s="1594"/>
      <c r="X481" s="1594"/>
      <c r="Y481" s="1594"/>
      <c r="Z481" s="1594"/>
      <c r="AA481" s="819"/>
      <c r="AB481" s="819"/>
      <c r="AC481" s="819"/>
      <c r="AD481" s="819"/>
      <c r="AE481" s="819"/>
      <c r="AF481" s="819"/>
      <c r="AG481" s="819"/>
      <c r="AH481" s="819"/>
      <c r="AI481" s="819"/>
      <c r="AJ481" s="819"/>
      <c r="AK481" s="819"/>
      <c r="AL481" s="819"/>
      <c r="AM481" s="819"/>
      <c r="AN481" s="819"/>
      <c r="AO481" s="819"/>
      <c r="AP481" s="819"/>
      <c r="AQ481" s="819"/>
      <c r="AR481" s="819"/>
      <c r="AS481" s="819"/>
      <c r="AT481" s="819"/>
      <c r="AU481" s="819"/>
      <c r="AV481" s="819"/>
      <c r="AW481" s="819"/>
      <c r="AX481" s="819"/>
      <c r="AY481" s="819"/>
      <c r="AZ481" s="819"/>
      <c r="BA481" s="819"/>
      <c r="BB481" s="819"/>
      <c r="BC481" s="819"/>
      <c r="BD481" s="819"/>
      <c r="BE481" s="819"/>
      <c r="BF481" s="819"/>
      <c r="BG481" s="819"/>
      <c r="BH481" s="819"/>
      <c r="BI481" s="819"/>
      <c r="BJ481" s="819"/>
      <c r="BK481" s="819"/>
      <c r="BL481" s="68"/>
      <c r="CW481" s="813"/>
    </row>
    <row r="482" spans="3:101">
      <c r="C482" s="70"/>
      <c r="D482" s="819"/>
      <c r="E482" s="820"/>
      <c r="F482" s="819"/>
      <c r="G482" s="819"/>
      <c r="H482" s="819"/>
      <c r="I482" s="819"/>
      <c r="J482" s="819"/>
      <c r="K482" s="819"/>
      <c r="L482" s="819"/>
      <c r="M482" s="819"/>
      <c r="N482" s="819"/>
      <c r="O482" s="819"/>
      <c r="P482" s="819"/>
      <c r="Q482" s="819"/>
      <c r="R482" s="819"/>
      <c r="S482" s="819"/>
      <c r="T482" s="819"/>
      <c r="U482" s="819"/>
      <c r="V482" s="1594"/>
      <c r="W482" s="1594"/>
      <c r="X482" s="1594"/>
      <c r="Y482" s="1594"/>
      <c r="Z482" s="1594"/>
      <c r="AA482" s="819"/>
      <c r="AB482" s="819"/>
      <c r="AC482" s="819"/>
      <c r="AD482" s="819"/>
      <c r="AE482" s="819"/>
      <c r="AF482" s="819"/>
      <c r="AG482" s="819"/>
      <c r="AH482" s="819"/>
      <c r="AI482" s="819"/>
      <c r="AJ482" s="819"/>
      <c r="AK482" s="819"/>
      <c r="AL482" s="819"/>
      <c r="AM482" s="819"/>
      <c r="AN482" s="819"/>
      <c r="AO482" s="819"/>
      <c r="AP482" s="819"/>
      <c r="AQ482" s="819"/>
      <c r="AR482" s="819"/>
      <c r="AS482" s="819"/>
      <c r="AT482" s="819"/>
      <c r="AU482" s="819"/>
      <c r="AV482" s="819"/>
      <c r="AW482" s="819"/>
      <c r="AX482" s="819"/>
      <c r="AY482" s="819"/>
      <c r="AZ482" s="819"/>
      <c r="BA482" s="819"/>
      <c r="BB482" s="819"/>
      <c r="BC482" s="819"/>
      <c r="BD482" s="819"/>
      <c r="BE482" s="819"/>
      <c r="BF482" s="819"/>
      <c r="BG482" s="819"/>
      <c r="BH482" s="819"/>
      <c r="BI482" s="819"/>
      <c r="BJ482" s="819"/>
      <c r="BK482" s="819"/>
      <c r="BL482" s="68"/>
      <c r="CW482" s="813"/>
    </row>
    <row r="483" spans="3:101">
      <c r="C483" s="70"/>
      <c r="D483" s="819"/>
      <c r="E483" s="820"/>
      <c r="F483" s="819"/>
      <c r="G483" s="819"/>
      <c r="H483" s="819"/>
      <c r="I483" s="819"/>
      <c r="J483" s="819"/>
      <c r="K483" s="819"/>
      <c r="L483" s="819"/>
      <c r="M483" s="819"/>
      <c r="N483" s="819"/>
      <c r="O483" s="819"/>
      <c r="P483" s="819"/>
      <c r="Q483" s="819"/>
      <c r="R483" s="819"/>
      <c r="S483" s="819"/>
      <c r="T483" s="819"/>
      <c r="U483" s="819"/>
      <c r="V483" s="1594"/>
      <c r="W483" s="1594"/>
      <c r="X483" s="1594"/>
      <c r="Y483" s="1594"/>
      <c r="Z483" s="1594"/>
      <c r="AA483" s="819"/>
      <c r="AB483" s="819"/>
      <c r="AC483" s="819"/>
      <c r="AD483" s="819"/>
      <c r="AE483" s="819"/>
      <c r="AF483" s="819"/>
      <c r="AG483" s="819"/>
      <c r="AH483" s="819"/>
      <c r="AI483" s="819"/>
      <c r="AJ483" s="819"/>
      <c r="AK483" s="819"/>
      <c r="AL483" s="819"/>
      <c r="AM483" s="819"/>
      <c r="AN483" s="819"/>
      <c r="AO483" s="819"/>
      <c r="AP483" s="819"/>
      <c r="AQ483" s="819"/>
      <c r="AR483" s="819"/>
      <c r="AS483" s="819"/>
      <c r="AT483" s="819"/>
      <c r="AU483" s="819"/>
      <c r="AV483" s="819"/>
      <c r="AW483" s="819"/>
      <c r="AX483" s="819"/>
      <c r="AY483" s="819"/>
      <c r="AZ483" s="819"/>
      <c r="BA483" s="819"/>
      <c r="BB483" s="819"/>
      <c r="BC483" s="819"/>
      <c r="BD483" s="819"/>
      <c r="BE483" s="819"/>
      <c r="BF483" s="819"/>
      <c r="BG483" s="819"/>
      <c r="BH483" s="819"/>
      <c r="BI483" s="819"/>
      <c r="BJ483" s="819"/>
      <c r="BK483" s="819"/>
      <c r="BL483" s="68"/>
      <c r="CW483" s="813"/>
    </row>
    <row r="484" spans="3:101">
      <c r="C484" s="70"/>
      <c r="D484" s="819"/>
      <c r="E484" s="820"/>
      <c r="F484" s="819"/>
      <c r="G484" s="819"/>
      <c r="H484" s="819"/>
      <c r="I484" s="819"/>
      <c r="J484" s="819"/>
      <c r="K484" s="819"/>
      <c r="L484" s="819"/>
      <c r="M484" s="819"/>
      <c r="N484" s="819"/>
      <c r="O484" s="819"/>
      <c r="P484" s="819"/>
      <c r="Q484" s="819"/>
      <c r="R484" s="819"/>
      <c r="S484" s="819"/>
      <c r="T484" s="819"/>
      <c r="U484" s="819"/>
      <c r="V484" s="1594"/>
      <c r="W484" s="1594"/>
      <c r="X484" s="1594"/>
      <c r="Y484" s="1594"/>
      <c r="Z484" s="1594"/>
      <c r="AA484" s="819"/>
      <c r="AB484" s="819"/>
      <c r="AC484" s="819"/>
      <c r="AD484" s="819"/>
      <c r="AE484" s="819"/>
      <c r="AF484" s="819"/>
      <c r="AG484" s="819"/>
      <c r="AH484" s="819"/>
      <c r="AI484" s="819"/>
      <c r="AJ484" s="819"/>
      <c r="AK484" s="819"/>
      <c r="AL484" s="819"/>
      <c r="AM484" s="819"/>
      <c r="AN484" s="819"/>
      <c r="AO484" s="819"/>
      <c r="AP484" s="819"/>
      <c r="AQ484" s="819"/>
      <c r="AR484" s="819"/>
      <c r="AS484" s="819"/>
      <c r="AT484" s="819"/>
      <c r="AU484" s="819"/>
      <c r="AV484" s="819"/>
      <c r="AW484" s="819"/>
      <c r="AX484" s="819"/>
      <c r="AY484" s="819"/>
      <c r="AZ484" s="819"/>
      <c r="BA484" s="819"/>
      <c r="BB484" s="819"/>
      <c r="BC484" s="819"/>
      <c r="BD484" s="819"/>
      <c r="BE484" s="819"/>
      <c r="BF484" s="819"/>
      <c r="BG484" s="819"/>
      <c r="BH484" s="819"/>
      <c r="BI484" s="819"/>
      <c r="BJ484" s="819"/>
      <c r="BK484" s="819"/>
      <c r="BL484" s="68"/>
      <c r="CW484" s="813"/>
    </row>
    <row r="485" spans="3:101">
      <c r="C485" s="70"/>
      <c r="D485" s="819"/>
      <c r="E485" s="820"/>
      <c r="F485" s="819"/>
      <c r="G485" s="819"/>
      <c r="H485" s="819"/>
      <c r="I485" s="819"/>
      <c r="J485" s="819"/>
      <c r="K485" s="819"/>
      <c r="L485" s="819"/>
      <c r="M485" s="819"/>
      <c r="N485" s="819"/>
      <c r="O485" s="819"/>
      <c r="P485" s="819"/>
      <c r="Q485" s="819"/>
      <c r="R485" s="819"/>
      <c r="S485" s="819"/>
      <c r="T485" s="819"/>
      <c r="U485" s="819"/>
      <c r="V485" s="1594"/>
      <c r="W485" s="1594"/>
      <c r="X485" s="1594"/>
      <c r="Y485" s="1594"/>
      <c r="Z485" s="1594"/>
      <c r="AA485" s="819"/>
      <c r="AB485" s="819"/>
      <c r="AC485" s="819"/>
      <c r="AD485" s="819"/>
      <c r="AE485" s="819"/>
      <c r="AF485" s="819"/>
      <c r="AG485" s="819"/>
      <c r="AH485" s="819"/>
      <c r="AI485" s="819"/>
      <c r="AJ485" s="819"/>
      <c r="AK485" s="819"/>
      <c r="AL485" s="819"/>
      <c r="AM485" s="819"/>
      <c r="AN485" s="819"/>
      <c r="AO485" s="819"/>
      <c r="AP485" s="819"/>
      <c r="AQ485" s="819"/>
      <c r="AR485" s="819"/>
      <c r="AS485" s="819"/>
      <c r="AT485" s="819"/>
      <c r="AU485" s="819"/>
      <c r="AV485" s="819"/>
      <c r="AW485" s="819"/>
      <c r="AX485" s="819"/>
      <c r="AY485" s="819"/>
      <c r="AZ485" s="819"/>
      <c r="BA485" s="819"/>
      <c r="BB485" s="819"/>
      <c r="BC485" s="819"/>
      <c r="BD485" s="819"/>
      <c r="BE485" s="819"/>
      <c r="BF485" s="819"/>
      <c r="BG485" s="819"/>
      <c r="BH485" s="819"/>
      <c r="BI485" s="819"/>
      <c r="BJ485" s="819"/>
      <c r="BK485" s="819"/>
      <c r="BL485" s="68"/>
      <c r="CW485" s="813"/>
    </row>
    <row r="486" spans="3:101">
      <c r="C486" s="70"/>
      <c r="D486" s="819"/>
      <c r="E486" s="820"/>
      <c r="F486" s="819"/>
      <c r="G486" s="819"/>
      <c r="H486" s="819"/>
      <c r="I486" s="819"/>
      <c r="J486" s="819"/>
      <c r="K486" s="819"/>
      <c r="L486" s="819"/>
      <c r="M486" s="819"/>
      <c r="N486" s="819"/>
      <c r="O486" s="819"/>
      <c r="P486" s="819"/>
      <c r="Q486" s="819"/>
      <c r="R486" s="819"/>
      <c r="S486" s="819"/>
      <c r="T486" s="819"/>
      <c r="U486" s="819"/>
      <c r="V486" s="1594"/>
      <c r="W486" s="1594"/>
      <c r="X486" s="1594"/>
      <c r="Y486" s="1594"/>
      <c r="Z486" s="1594"/>
      <c r="AA486" s="819"/>
      <c r="AB486" s="819"/>
      <c r="AC486" s="819"/>
      <c r="AD486" s="819"/>
      <c r="AE486" s="819"/>
      <c r="AF486" s="819"/>
      <c r="AG486" s="819"/>
      <c r="AH486" s="819"/>
      <c r="AI486" s="819"/>
      <c r="AJ486" s="819"/>
      <c r="AK486" s="819"/>
      <c r="AL486" s="819"/>
      <c r="AM486" s="819"/>
      <c r="AN486" s="819"/>
      <c r="AO486" s="819"/>
      <c r="AP486" s="819"/>
      <c r="AQ486" s="819"/>
      <c r="AR486" s="819"/>
      <c r="AS486" s="819"/>
      <c r="AT486" s="819"/>
      <c r="AU486" s="819"/>
      <c r="AV486" s="819"/>
      <c r="AW486" s="819"/>
      <c r="AX486" s="819"/>
      <c r="AY486" s="819"/>
      <c r="AZ486" s="819"/>
      <c r="BA486" s="819"/>
      <c r="BB486" s="819"/>
      <c r="BC486" s="819"/>
      <c r="BD486" s="819"/>
      <c r="BE486" s="819"/>
      <c r="BF486" s="819"/>
      <c r="BG486" s="819"/>
      <c r="BH486" s="819"/>
      <c r="BI486" s="819"/>
      <c r="BJ486" s="819"/>
      <c r="BK486" s="819"/>
      <c r="BL486" s="68"/>
      <c r="CW486" s="813"/>
    </row>
    <row r="487" spans="3:101">
      <c r="C487" s="70"/>
      <c r="D487" s="819"/>
      <c r="E487" s="820"/>
      <c r="F487" s="819"/>
      <c r="G487" s="819"/>
      <c r="H487" s="819"/>
      <c r="I487" s="819"/>
      <c r="J487" s="819"/>
      <c r="K487" s="819"/>
      <c r="L487" s="819"/>
      <c r="M487" s="819"/>
      <c r="N487" s="819"/>
      <c r="O487" s="819"/>
      <c r="P487" s="819"/>
      <c r="Q487" s="819"/>
      <c r="R487" s="819"/>
      <c r="S487" s="819"/>
      <c r="T487" s="819"/>
      <c r="U487" s="819"/>
      <c r="V487" s="1594"/>
      <c r="W487" s="1594"/>
      <c r="X487" s="1594"/>
      <c r="Y487" s="1594"/>
      <c r="Z487" s="1594"/>
      <c r="AA487" s="819"/>
      <c r="AB487" s="819"/>
      <c r="AC487" s="819"/>
      <c r="AD487" s="819"/>
      <c r="AE487" s="819"/>
      <c r="AF487" s="819"/>
      <c r="AG487" s="819"/>
      <c r="AH487" s="819"/>
      <c r="AI487" s="819"/>
      <c r="AJ487" s="819"/>
      <c r="AK487" s="819"/>
      <c r="AL487" s="819"/>
      <c r="AM487" s="819"/>
      <c r="AN487" s="819"/>
      <c r="AO487" s="819"/>
      <c r="AP487" s="819"/>
      <c r="AQ487" s="819"/>
      <c r="AR487" s="819"/>
      <c r="AS487" s="819"/>
      <c r="AT487" s="819"/>
      <c r="AU487" s="819"/>
      <c r="AV487" s="819"/>
      <c r="AW487" s="819"/>
      <c r="AX487" s="819"/>
      <c r="AY487" s="819"/>
      <c r="AZ487" s="819"/>
      <c r="BA487" s="819"/>
      <c r="BB487" s="819"/>
      <c r="BC487" s="819"/>
      <c r="BD487" s="819"/>
      <c r="BE487" s="819"/>
      <c r="BF487" s="819"/>
      <c r="BG487" s="819"/>
      <c r="BH487" s="819"/>
      <c r="BI487" s="819"/>
      <c r="BJ487" s="819"/>
      <c r="BK487" s="819"/>
      <c r="BL487" s="68"/>
      <c r="CW487" s="813"/>
    </row>
    <row r="488" spans="3:101">
      <c r="C488" s="70"/>
      <c r="D488" s="819"/>
      <c r="E488" s="820"/>
      <c r="F488" s="819"/>
      <c r="G488" s="819"/>
      <c r="H488" s="819"/>
      <c r="I488" s="819"/>
      <c r="J488" s="819"/>
      <c r="K488" s="819"/>
      <c r="L488" s="819"/>
      <c r="M488" s="819"/>
      <c r="N488" s="819"/>
      <c r="O488" s="819"/>
      <c r="P488" s="819"/>
      <c r="Q488" s="819"/>
      <c r="R488" s="819"/>
      <c r="S488" s="819"/>
      <c r="T488" s="819"/>
      <c r="U488" s="819"/>
      <c r="V488" s="1594"/>
      <c r="W488" s="1594"/>
      <c r="X488" s="1594"/>
      <c r="Y488" s="1594"/>
      <c r="Z488" s="1594"/>
      <c r="AA488" s="819"/>
      <c r="AB488" s="819"/>
      <c r="AC488" s="819"/>
      <c r="AD488" s="819"/>
      <c r="AE488" s="819"/>
      <c r="AF488" s="819"/>
      <c r="AG488" s="819"/>
      <c r="AH488" s="819"/>
      <c r="AI488" s="819"/>
      <c r="AJ488" s="819"/>
      <c r="AK488" s="819"/>
      <c r="AL488" s="819"/>
      <c r="AM488" s="819"/>
      <c r="AN488" s="819"/>
      <c r="AO488" s="819"/>
      <c r="AP488" s="819"/>
      <c r="AQ488" s="819"/>
      <c r="AR488" s="819"/>
      <c r="AS488" s="819"/>
      <c r="AT488" s="819"/>
      <c r="AU488" s="819"/>
      <c r="AV488" s="819"/>
      <c r="AW488" s="819"/>
      <c r="AX488" s="819"/>
      <c r="AY488" s="819"/>
      <c r="AZ488" s="819"/>
      <c r="BA488" s="819"/>
      <c r="BB488" s="819"/>
      <c r="BC488" s="819"/>
      <c r="BD488" s="819"/>
      <c r="BE488" s="819"/>
      <c r="BF488" s="819"/>
      <c r="BG488" s="819"/>
      <c r="BH488" s="819"/>
      <c r="BI488" s="819"/>
      <c r="BJ488" s="819"/>
      <c r="BK488" s="819"/>
      <c r="BL488" s="68"/>
      <c r="CW488" s="813"/>
    </row>
    <row r="489" spans="3:101">
      <c r="C489" s="70"/>
      <c r="D489" s="819"/>
      <c r="E489" s="820"/>
      <c r="F489" s="819"/>
      <c r="G489" s="819"/>
      <c r="H489" s="819"/>
      <c r="I489" s="819"/>
      <c r="J489" s="819"/>
      <c r="K489" s="819"/>
      <c r="L489" s="819"/>
      <c r="M489" s="819"/>
      <c r="N489" s="819"/>
      <c r="O489" s="819"/>
      <c r="P489" s="819"/>
      <c r="Q489" s="819"/>
      <c r="R489" s="819"/>
      <c r="S489" s="819"/>
      <c r="T489" s="819"/>
      <c r="U489" s="819"/>
      <c r="V489" s="1594"/>
      <c r="W489" s="1594"/>
      <c r="X489" s="1594"/>
      <c r="Y489" s="1594"/>
      <c r="Z489" s="1594"/>
      <c r="AA489" s="819"/>
      <c r="AB489" s="819"/>
      <c r="AC489" s="819"/>
      <c r="AD489" s="819"/>
      <c r="AE489" s="819"/>
      <c r="AF489" s="819"/>
      <c r="AG489" s="819"/>
      <c r="AH489" s="819"/>
      <c r="AI489" s="819"/>
      <c r="AJ489" s="819"/>
      <c r="AK489" s="819"/>
      <c r="AL489" s="819"/>
      <c r="AM489" s="819"/>
      <c r="AN489" s="819"/>
      <c r="AO489" s="819"/>
      <c r="AP489" s="819"/>
      <c r="AQ489" s="819"/>
      <c r="AR489" s="819"/>
      <c r="AS489" s="819"/>
      <c r="AT489" s="819"/>
      <c r="AU489" s="819"/>
      <c r="AV489" s="819"/>
      <c r="AW489" s="819"/>
      <c r="AX489" s="819"/>
      <c r="AY489" s="819"/>
      <c r="AZ489" s="819"/>
      <c r="BA489" s="819"/>
      <c r="BB489" s="819"/>
      <c r="BC489" s="819"/>
      <c r="BD489" s="819"/>
      <c r="BE489" s="819"/>
      <c r="BF489" s="819"/>
      <c r="BG489" s="819"/>
      <c r="BH489" s="819"/>
      <c r="BI489" s="819"/>
      <c r="BJ489" s="819"/>
      <c r="BK489" s="819"/>
      <c r="BL489" s="68"/>
      <c r="CW489" s="813"/>
    </row>
    <row r="490" spans="3:101">
      <c r="C490" s="70"/>
      <c r="D490" s="819"/>
      <c r="E490" s="820"/>
      <c r="F490" s="819"/>
      <c r="G490" s="819"/>
      <c r="H490" s="819"/>
      <c r="I490" s="819"/>
      <c r="J490" s="819"/>
      <c r="K490" s="819"/>
      <c r="L490" s="819"/>
      <c r="M490" s="819"/>
      <c r="N490" s="819"/>
      <c r="O490" s="819"/>
      <c r="P490" s="819"/>
      <c r="Q490" s="819"/>
      <c r="R490" s="819"/>
      <c r="S490" s="819"/>
      <c r="T490" s="819"/>
      <c r="U490" s="819"/>
      <c r="V490" s="1594"/>
      <c r="W490" s="1594"/>
      <c r="X490" s="1594"/>
      <c r="Y490" s="1594"/>
      <c r="Z490" s="1594"/>
      <c r="AA490" s="819"/>
      <c r="AB490" s="819"/>
      <c r="AC490" s="819"/>
      <c r="AD490" s="819"/>
      <c r="AE490" s="819"/>
      <c r="AF490" s="819"/>
      <c r="AG490" s="819"/>
      <c r="AH490" s="819"/>
      <c r="AI490" s="819"/>
      <c r="AJ490" s="819"/>
      <c r="AK490" s="819"/>
      <c r="AL490" s="819"/>
      <c r="AM490" s="819"/>
      <c r="AN490" s="819"/>
      <c r="AO490" s="819"/>
      <c r="AP490" s="819"/>
      <c r="AQ490" s="819"/>
      <c r="AR490" s="819"/>
      <c r="AS490" s="819"/>
      <c r="AT490" s="819"/>
      <c r="AU490" s="819"/>
      <c r="AV490" s="819"/>
      <c r="AW490" s="819"/>
      <c r="AX490" s="819"/>
      <c r="AY490" s="819"/>
      <c r="AZ490" s="819"/>
      <c r="BA490" s="819"/>
      <c r="BB490" s="819"/>
      <c r="BC490" s="819"/>
      <c r="BD490" s="819"/>
      <c r="BE490" s="819"/>
      <c r="BF490" s="819"/>
      <c r="BG490" s="819"/>
      <c r="BH490" s="819"/>
      <c r="BI490" s="819"/>
      <c r="BJ490" s="819"/>
      <c r="BK490" s="819"/>
      <c r="BL490" s="68"/>
      <c r="CW490" s="813"/>
    </row>
    <row r="491" spans="3:101">
      <c r="C491" s="70"/>
      <c r="D491" s="819"/>
      <c r="E491" s="820"/>
      <c r="F491" s="819"/>
      <c r="G491" s="819"/>
      <c r="H491" s="819"/>
      <c r="I491" s="819"/>
      <c r="J491" s="819"/>
      <c r="K491" s="819"/>
      <c r="L491" s="819"/>
      <c r="M491" s="819"/>
      <c r="N491" s="819"/>
      <c r="O491" s="819"/>
      <c r="P491" s="819"/>
      <c r="Q491" s="819"/>
      <c r="R491" s="819"/>
      <c r="S491" s="819"/>
      <c r="T491" s="819"/>
      <c r="U491" s="819"/>
      <c r="V491" s="1594"/>
      <c r="W491" s="1594"/>
      <c r="X491" s="1594"/>
      <c r="Y491" s="1594"/>
      <c r="Z491" s="1594"/>
      <c r="AA491" s="819"/>
      <c r="AB491" s="819"/>
      <c r="AC491" s="819"/>
      <c r="AD491" s="819"/>
      <c r="AE491" s="819"/>
      <c r="AF491" s="819"/>
      <c r="AG491" s="819"/>
      <c r="AH491" s="819"/>
      <c r="AI491" s="819"/>
      <c r="AJ491" s="819"/>
      <c r="AK491" s="819"/>
      <c r="AL491" s="819"/>
      <c r="AM491" s="819"/>
      <c r="AN491" s="819"/>
      <c r="AO491" s="819"/>
      <c r="AP491" s="819"/>
      <c r="AQ491" s="819"/>
      <c r="AR491" s="819"/>
      <c r="AS491" s="819"/>
      <c r="AT491" s="819"/>
      <c r="AU491" s="819"/>
      <c r="AV491" s="819"/>
      <c r="AW491" s="819"/>
      <c r="AX491" s="819"/>
      <c r="AY491" s="819"/>
      <c r="AZ491" s="819"/>
      <c r="BA491" s="819"/>
      <c r="BB491" s="819"/>
      <c r="BC491" s="819"/>
      <c r="BD491" s="819"/>
      <c r="BE491" s="819"/>
      <c r="BF491" s="819"/>
      <c r="BG491" s="819"/>
      <c r="BH491" s="819"/>
      <c r="BI491" s="819"/>
      <c r="BJ491" s="819"/>
      <c r="BK491" s="819"/>
      <c r="BL491" s="68"/>
      <c r="CW491" s="813"/>
    </row>
    <row r="492" spans="3:101">
      <c r="C492" s="70"/>
      <c r="D492" s="819"/>
      <c r="E492" s="820"/>
      <c r="F492" s="819"/>
      <c r="G492" s="819"/>
      <c r="H492" s="819"/>
      <c r="I492" s="819"/>
      <c r="J492" s="819"/>
      <c r="K492" s="819"/>
      <c r="L492" s="819"/>
      <c r="M492" s="819"/>
      <c r="N492" s="819"/>
      <c r="O492" s="819"/>
      <c r="P492" s="819"/>
      <c r="Q492" s="819"/>
      <c r="R492" s="819"/>
      <c r="S492" s="819"/>
      <c r="T492" s="819"/>
      <c r="U492" s="819"/>
      <c r="V492" s="1594"/>
      <c r="W492" s="1594"/>
      <c r="X492" s="1594"/>
      <c r="Y492" s="1594"/>
      <c r="Z492" s="1594"/>
      <c r="AA492" s="819"/>
      <c r="AB492" s="819"/>
      <c r="AC492" s="819"/>
      <c r="AD492" s="819"/>
      <c r="AE492" s="819"/>
      <c r="AF492" s="819"/>
      <c r="AG492" s="819"/>
      <c r="AH492" s="819"/>
      <c r="AI492" s="819"/>
      <c r="AJ492" s="819"/>
      <c r="AK492" s="819"/>
      <c r="AL492" s="819"/>
      <c r="AM492" s="819"/>
      <c r="AN492" s="819"/>
      <c r="AO492" s="819"/>
      <c r="AP492" s="819"/>
      <c r="AQ492" s="819"/>
      <c r="AR492" s="819"/>
      <c r="AS492" s="819"/>
      <c r="AT492" s="819"/>
      <c r="AU492" s="819"/>
      <c r="AV492" s="819"/>
      <c r="AW492" s="819"/>
      <c r="AX492" s="819"/>
      <c r="AY492" s="819"/>
      <c r="AZ492" s="819"/>
      <c r="BA492" s="819"/>
      <c r="BB492" s="819"/>
      <c r="BC492" s="819"/>
      <c r="BD492" s="819"/>
      <c r="BE492" s="819"/>
      <c r="BF492" s="819"/>
      <c r="BG492" s="819"/>
      <c r="BH492" s="819"/>
      <c r="BI492" s="819"/>
      <c r="BJ492" s="819"/>
      <c r="BK492" s="819"/>
      <c r="BL492" s="68"/>
      <c r="CW492" s="813"/>
    </row>
    <row r="493" spans="3:101">
      <c r="C493" s="70"/>
      <c r="D493" s="819"/>
      <c r="E493" s="820"/>
      <c r="F493" s="819"/>
      <c r="G493" s="819"/>
      <c r="H493" s="819"/>
      <c r="I493" s="819"/>
      <c r="J493" s="819"/>
      <c r="K493" s="819"/>
      <c r="L493" s="819"/>
      <c r="M493" s="819"/>
      <c r="N493" s="819"/>
      <c r="O493" s="819"/>
      <c r="P493" s="819"/>
      <c r="Q493" s="819"/>
      <c r="R493" s="819"/>
      <c r="S493" s="819"/>
      <c r="T493" s="819"/>
      <c r="U493" s="819"/>
      <c r="V493" s="1594"/>
      <c r="W493" s="1594"/>
      <c r="X493" s="1594"/>
      <c r="Y493" s="1594"/>
      <c r="Z493" s="1594"/>
      <c r="AA493" s="819"/>
      <c r="AB493" s="819"/>
      <c r="AC493" s="819"/>
      <c r="AD493" s="819"/>
      <c r="AE493" s="819"/>
      <c r="AF493" s="819"/>
      <c r="AG493" s="819"/>
      <c r="AH493" s="819"/>
      <c r="AI493" s="819"/>
      <c r="AJ493" s="819"/>
      <c r="AK493" s="819"/>
      <c r="AL493" s="819"/>
      <c r="AM493" s="819"/>
      <c r="AN493" s="819"/>
      <c r="AO493" s="819"/>
      <c r="AP493" s="819"/>
      <c r="AQ493" s="819"/>
      <c r="AR493" s="819"/>
      <c r="AS493" s="819"/>
      <c r="AT493" s="819"/>
      <c r="AU493" s="819"/>
      <c r="AV493" s="819"/>
      <c r="AW493" s="819"/>
      <c r="AX493" s="819"/>
      <c r="AY493" s="819"/>
      <c r="AZ493" s="819"/>
      <c r="BA493" s="819"/>
      <c r="BB493" s="819"/>
      <c r="BC493" s="819"/>
      <c r="BD493" s="819"/>
      <c r="BE493" s="819"/>
      <c r="BF493" s="819"/>
      <c r="BG493" s="819"/>
      <c r="BH493" s="819"/>
      <c r="BI493" s="819"/>
      <c r="BJ493" s="819"/>
      <c r="BK493" s="819"/>
      <c r="BL493" s="68"/>
      <c r="CW493" s="813"/>
    </row>
    <row r="494" spans="3:101">
      <c r="C494" s="70"/>
      <c r="D494" s="819"/>
      <c r="E494" s="820"/>
      <c r="F494" s="819"/>
      <c r="G494" s="819"/>
      <c r="H494" s="819"/>
      <c r="I494" s="819"/>
      <c r="J494" s="819"/>
      <c r="K494" s="819"/>
      <c r="L494" s="819"/>
      <c r="M494" s="819"/>
      <c r="N494" s="819"/>
      <c r="O494" s="819"/>
      <c r="P494" s="819"/>
      <c r="Q494" s="819"/>
      <c r="R494" s="819"/>
      <c r="S494" s="819"/>
      <c r="T494" s="819"/>
      <c r="U494" s="819"/>
      <c r="V494" s="1594"/>
      <c r="W494" s="1594"/>
      <c r="X494" s="1594"/>
      <c r="Y494" s="1594"/>
      <c r="Z494" s="1594"/>
      <c r="AA494" s="819"/>
      <c r="AB494" s="819"/>
      <c r="AC494" s="819"/>
      <c r="AD494" s="819"/>
      <c r="AE494" s="819"/>
      <c r="AF494" s="819"/>
      <c r="AG494" s="819"/>
      <c r="AH494" s="819"/>
      <c r="AI494" s="819"/>
      <c r="AJ494" s="819"/>
      <c r="AK494" s="819"/>
      <c r="AL494" s="819"/>
      <c r="AM494" s="819"/>
      <c r="AN494" s="819"/>
      <c r="AO494" s="819"/>
      <c r="AP494" s="819"/>
      <c r="AQ494" s="819"/>
      <c r="AR494" s="819"/>
      <c r="AS494" s="819"/>
      <c r="AT494" s="819"/>
      <c r="AU494" s="819"/>
      <c r="AV494" s="819"/>
      <c r="AW494" s="819"/>
      <c r="AX494" s="819"/>
      <c r="AY494" s="819"/>
      <c r="AZ494" s="819"/>
      <c r="BA494" s="819"/>
      <c r="BB494" s="819"/>
      <c r="BC494" s="819"/>
      <c r="BD494" s="819"/>
      <c r="BE494" s="819"/>
      <c r="BF494" s="819"/>
      <c r="BG494" s="819"/>
      <c r="BH494" s="819"/>
      <c r="BI494" s="819"/>
      <c r="BJ494" s="819"/>
      <c r="BK494" s="819"/>
      <c r="BL494" s="68"/>
      <c r="CW494" s="813"/>
    </row>
    <row r="495" spans="3:101">
      <c r="C495" s="70"/>
      <c r="D495" s="819"/>
      <c r="E495" s="820"/>
      <c r="F495" s="819"/>
      <c r="G495" s="819"/>
      <c r="H495" s="819"/>
      <c r="I495" s="819"/>
      <c r="J495" s="819"/>
      <c r="K495" s="819"/>
      <c r="L495" s="819"/>
      <c r="M495" s="819"/>
      <c r="N495" s="819"/>
      <c r="O495" s="819"/>
      <c r="P495" s="819"/>
      <c r="Q495" s="819"/>
      <c r="R495" s="819"/>
      <c r="S495" s="819"/>
      <c r="T495" s="819"/>
      <c r="U495" s="819"/>
      <c r="V495" s="1594"/>
      <c r="W495" s="1594"/>
      <c r="X495" s="1594"/>
      <c r="Y495" s="1594"/>
      <c r="Z495" s="1594"/>
      <c r="AA495" s="819"/>
      <c r="AB495" s="819"/>
      <c r="AC495" s="819"/>
      <c r="AD495" s="819"/>
      <c r="AE495" s="819"/>
      <c r="AF495" s="819"/>
      <c r="AG495" s="819"/>
      <c r="AH495" s="819"/>
      <c r="AI495" s="819"/>
      <c r="AJ495" s="819"/>
      <c r="AK495" s="819"/>
      <c r="AL495" s="819"/>
      <c r="AM495" s="819"/>
      <c r="AN495" s="819"/>
      <c r="AO495" s="819"/>
      <c r="AP495" s="819"/>
      <c r="AQ495" s="819"/>
      <c r="AR495" s="819"/>
      <c r="AS495" s="819"/>
      <c r="AT495" s="819"/>
      <c r="AU495" s="819"/>
      <c r="AV495" s="819"/>
      <c r="AW495" s="819"/>
      <c r="AX495" s="819"/>
      <c r="AY495" s="819"/>
      <c r="AZ495" s="819"/>
      <c r="BA495" s="819"/>
      <c r="BB495" s="819"/>
      <c r="BC495" s="819"/>
      <c r="BD495" s="819"/>
      <c r="BE495" s="819"/>
      <c r="BF495" s="819"/>
      <c r="BG495" s="819"/>
      <c r="BH495" s="819"/>
      <c r="BI495" s="819"/>
      <c r="BJ495" s="819"/>
      <c r="BK495" s="819"/>
      <c r="BL495" s="68"/>
      <c r="CW495" s="813"/>
    </row>
    <row r="496" spans="3:101">
      <c r="C496" s="70"/>
      <c r="D496" s="819"/>
      <c r="E496" s="820"/>
      <c r="F496" s="819"/>
      <c r="G496" s="819"/>
      <c r="H496" s="819"/>
      <c r="I496" s="819"/>
      <c r="J496" s="819"/>
      <c r="K496" s="819"/>
      <c r="L496" s="819"/>
      <c r="M496" s="819"/>
      <c r="N496" s="819"/>
      <c r="O496" s="819"/>
      <c r="P496" s="819"/>
      <c r="Q496" s="819"/>
      <c r="R496" s="819"/>
      <c r="S496" s="819"/>
      <c r="T496" s="819"/>
      <c r="U496" s="819"/>
      <c r="V496" s="1594"/>
      <c r="W496" s="1594"/>
      <c r="X496" s="1594"/>
      <c r="Y496" s="1594"/>
      <c r="Z496" s="1594"/>
      <c r="AA496" s="819"/>
      <c r="AB496" s="819"/>
      <c r="AC496" s="819"/>
      <c r="AD496" s="819"/>
      <c r="AE496" s="819"/>
      <c r="AF496" s="819"/>
      <c r="AG496" s="819"/>
      <c r="AH496" s="819"/>
      <c r="AI496" s="819"/>
      <c r="AJ496" s="819"/>
      <c r="AK496" s="819"/>
      <c r="AL496" s="819"/>
      <c r="AM496" s="819"/>
      <c r="AN496" s="819"/>
      <c r="AO496" s="819"/>
      <c r="AP496" s="819"/>
      <c r="AQ496" s="819"/>
      <c r="AR496" s="819"/>
      <c r="AS496" s="819"/>
      <c r="AT496" s="819"/>
      <c r="AU496" s="819"/>
      <c r="AV496" s="819"/>
      <c r="AW496" s="819"/>
      <c r="AX496" s="819"/>
      <c r="AY496" s="819"/>
      <c r="AZ496" s="819"/>
      <c r="BA496" s="819"/>
      <c r="BB496" s="819"/>
      <c r="BC496" s="819"/>
      <c r="BD496" s="819"/>
      <c r="BE496" s="819"/>
      <c r="BF496" s="819"/>
      <c r="BG496" s="819"/>
      <c r="BH496" s="819"/>
      <c r="BI496" s="819"/>
      <c r="BJ496" s="819"/>
      <c r="BK496" s="819"/>
      <c r="BL496" s="68"/>
      <c r="CW496" s="813"/>
    </row>
    <row r="497" spans="3:101">
      <c r="C497" s="70"/>
      <c r="D497" s="819"/>
      <c r="E497" s="820"/>
      <c r="F497" s="819"/>
      <c r="G497" s="819"/>
      <c r="H497" s="819"/>
      <c r="I497" s="819"/>
      <c r="J497" s="819"/>
      <c r="K497" s="819"/>
      <c r="L497" s="819"/>
      <c r="M497" s="819"/>
      <c r="N497" s="819"/>
      <c r="O497" s="819"/>
      <c r="P497" s="819"/>
      <c r="Q497" s="819"/>
      <c r="R497" s="819"/>
      <c r="S497" s="819"/>
      <c r="T497" s="819"/>
      <c r="U497" s="819"/>
      <c r="V497" s="1594"/>
      <c r="W497" s="1594"/>
      <c r="X497" s="1594"/>
      <c r="Y497" s="1594"/>
      <c r="Z497" s="1594"/>
      <c r="AA497" s="819"/>
      <c r="AB497" s="819"/>
      <c r="AC497" s="819"/>
      <c r="AD497" s="819"/>
      <c r="AE497" s="819"/>
      <c r="AF497" s="819"/>
      <c r="AG497" s="819"/>
      <c r="AH497" s="819"/>
      <c r="AI497" s="819"/>
      <c r="AJ497" s="819"/>
      <c r="AK497" s="819"/>
      <c r="AL497" s="819"/>
      <c r="AM497" s="819"/>
      <c r="AN497" s="819"/>
      <c r="AO497" s="819"/>
      <c r="AP497" s="819"/>
      <c r="AQ497" s="819"/>
      <c r="AR497" s="819"/>
      <c r="AS497" s="819"/>
      <c r="AT497" s="819"/>
      <c r="AU497" s="819"/>
      <c r="AV497" s="819"/>
      <c r="AW497" s="819"/>
      <c r="AX497" s="819"/>
      <c r="AY497" s="819"/>
      <c r="AZ497" s="819"/>
      <c r="BA497" s="819"/>
      <c r="BB497" s="819"/>
      <c r="BC497" s="819"/>
      <c r="BD497" s="819"/>
      <c r="BE497" s="819"/>
      <c r="BF497" s="819"/>
      <c r="BG497" s="819"/>
      <c r="BH497" s="819"/>
      <c r="BI497" s="819"/>
      <c r="BJ497" s="819"/>
      <c r="BK497" s="819"/>
      <c r="BL497" s="68"/>
      <c r="CW497" s="813"/>
    </row>
    <row r="498" spans="3:101">
      <c r="C498" s="70"/>
      <c r="D498" s="819"/>
      <c r="E498" s="820"/>
      <c r="F498" s="819"/>
      <c r="G498" s="819"/>
      <c r="H498" s="819"/>
      <c r="I498" s="819"/>
      <c r="J498" s="819"/>
      <c r="K498" s="819"/>
      <c r="L498" s="819"/>
      <c r="M498" s="819"/>
      <c r="N498" s="819"/>
      <c r="O498" s="819"/>
      <c r="P498" s="819"/>
      <c r="Q498" s="819"/>
      <c r="R498" s="819"/>
      <c r="S498" s="819"/>
      <c r="T498" s="819"/>
      <c r="U498" s="819"/>
      <c r="V498" s="1594"/>
      <c r="W498" s="1594"/>
      <c r="X498" s="1594"/>
      <c r="Y498" s="1594"/>
      <c r="Z498" s="1594"/>
      <c r="AA498" s="819"/>
      <c r="AB498" s="819"/>
      <c r="AC498" s="819"/>
      <c r="AD498" s="819"/>
      <c r="AE498" s="819"/>
      <c r="AF498" s="819"/>
      <c r="AG498" s="819"/>
      <c r="AH498" s="819"/>
      <c r="AI498" s="819"/>
      <c r="AJ498" s="819"/>
      <c r="AK498" s="819"/>
      <c r="AL498" s="819"/>
      <c r="AM498" s="819"/>
      <c r="AN498" s="819"/>
      <c r="AO498" s="819"/>
      <c r="AP498" s="819"/>
      <c r="AQ498" s="819"/>
      <c r="AR498" s="819"/>
      <c r="AS498" s="819"/>
      <c r="AT498" s="819"/>
      <c r="AU498" s="819"/>
      <c r="AV498" s="819"/>
      <c r="AW498" s="819"/>
      <c r="AX498" s="819"/>
      <c r="AY498" s="819"/>
      <c r="AZ498" s="819"/>
      <c r="BA498" s="819"/>
      <c r="BB498" s="819"/>
      <c r="BC498" s="819"/>
      <c r="BD498" s="819"/>
      <c r="BE498" s="819"/>
      <c r="BF498" s="819"/>
      <c r="BG498" s="819"/>
      <c r="BH498" s="819"/>
      <c r="BI498" s="819"/>
      <c r="BJ498" s="819"/>
      <c r="BK498" s="819"/>
      <c r="BL498" s="68"/>
      <c r="CW498" s="813"/>
    </row>
    <row r="499" spans="3:101">
      <c r="C499" s="68"/>
      <c r="D499" s="76"/>
      <c r="E499" s="712"/>
      <c r="F499" s="76"/>
      <c r="G499" s="76"/>
      <c r="H499" s="76"/>
      <c r="I499" s="76"/>
      <c r="J499" s="76"/>
      <c r="K499" s="76"/>
      <c r="L499" s="76"/>
      <c r="M499" s="76"/>
      <c r="N499" s="76"/>
      <c r="O499" s="76"/>
      <c r="P499" s="76"/>
      <c r="Q499" s="76"/>
      <c r="R499" s="76"/>
      <c r="S499" s="76"/>
      <c r="T499" s="76"/>
      <c r="Z499" s="1445"/>
      <c r="AA499" s="76"/>
      <c r="AB499" s="76"/>
      <c r="AC499" s="76"/>
      <c r="AD499" s="76"/>
      <c r="AE499" s="76"/>
      <c r="AF499" s="76"/>
      <c r="AG499" s="76"/>
      <c r="AH499" s="76"/>
      <c r="AI499" s="76"/>
      <c r="AJ499" s="76"/>
      <c r="AK499" s="76"/>
      <c r="AL499" s="76"/>
      <c r="AM499" s="76"/>
      <c r="AN499" s="76"/>
      <c r="AO499" s="76"/>
      <c r="AP499" s="76"/>
      <c r="AQ499" s="76"/>
      <c r="AR499" s="76"/>
      <c r="AS499" s="76"/>
      <c r="AT499" s="76"/>
      <c r="AU499" s="76"/>
      <c r="AV499" s="76"/>
      <c r="AW499" s="76"/>
      <c r="AX499" s="76"/>
      <c r="AY499" s="76"/>
      <c r="AZ499" s="76"/>
      <c r="BA499" s="76"/>
      <c r="BB499" s="76"/>
      <c r="BC499" s="76"/>
      <c r="BD499" s="76"/>
      <c r="BE499" s="76"/>
      <c r="BF499" s="76"/>
      <c r="BG499" s="76"/>
      <c r="BH499" s="76"/>
      <c r="BI499" s="76"/>
      <c r="BJ499" s="76"/>
      <c r="BK499" s="76"/>
      <c r="BL499" s="68"/>
      <c r="CW499" s="813"/>
    </row>
    <row r="500" spans="3:101">
      <c r="C500" s="68"/>
      <c r="D500" s="76"/>
      <c r="E500" s="712"/>
      <c r="F500" s="76"/>
      <c r="G500" s="76"/>
      <c r="H500" s="76"/>
      <c r="I500" s="76"/>
      <c r="J500" s="76"/>
      <c r="K500" s="76"/>
      <c r="L500" s="76"/>
      <c r="M500" s="76"/>
      <c r="N500" s="76"/>
      <c r="O500" s="76"/>
      <c r="P500" s="76"/>
      <c r="Q500" s="76"/>
      <c r="R500" s="76"/>
      <c r="S500" s="76"/>
      <c r="T500" s="76"/>
      <c r="Z500" s="1445"/>
      <c r="AA500" s="76"/>
      <c r="AB500" s="76"/>
      <c r="AC500" s="76"/>
      <c r="AD500" s="76"/>
      <c r="AE500" s="76"/>
      <c r="AF500" s="76"/>
      <c r="AG500" s="76"/>
      <c r="AH500" s="76"/>
      <c r="AI500" s="76"/>
      <c r="AJ500" s="76"/>
      <c r="AK500" s="76"/>
      <c r="AL500" s="76"/>
      <c r="AM500" s="76"/>
      <c r="AN500" s="76"/>
      <c r="AO500" s="76"/>
      <c r="AP500" s="76"/>
      <c r="AQ500" s="76"/>
      <c r="AR500" s="76"/>
      <c r="AS500" s="76"/>
      <c r="AT500" s="76"/>
      <c r="AU500" s="76"/>
      <c r="AV500" s="76"/>
      <c r="AW500" s="76"/>
      <c r="AX500" s="76"/>
      <c r="AY500" s="76"/>
      <c r="AZ500" s="76"/>
      <c r="BA500" s="76"/>
      <c r="BB500" s="76"/>
      <c r="BC500" s="76"/>
      <c r="BD500" s="76"/>
      <c r="BE500" s="76"/>
      <c r="BF500" s="76"/>
      <c r="BG500" s="76"/>
      <c r="BH500" s="76"/>
      <c r="BI500" s="76"/>
      <c r="BJ500" s="76"/>
      <c r="BK500" s="76"/>
      <c r="BL500" s="68"/>
      <c r="CW500" s="813"/>
    </row>
    <row r="501" spans="3:101">
      <c r="C501" s="68"/>
      <c r="D501" s="76"/>
      <c r="E501" s="712"/>
      <c r="F501" s="76"/>
      <c r="G501" s="76"/>
      <c r="H501" s="76"/>
      <c r="I501" s="76"/>
      <c r="J501" s="76"/>
      <c r="K501" s="76"/>
      <c r="L501" s="76"/>
      <c r="M501" s="76"/>
      <c r="N501" s="76"/>
      <c r="O501" s="76"/>
      <c r="P501" s="76"/>
      <c r="Q501" s="76"/>
      <c r="R501" s="76"/>
      <c r="S501" s="76"/>
      <c r="T501" s="76"/>
      <c r="Z501" s="1445"/>
      <c r="AA501" s="76"/>
      <c r="AB501" s="76"/>
      <c r="AC501" s="76"/>
      <c r="AD501" s="76"/>
      <c r="AE501" s="76"/>
      <c r="AF501" s="76"/>
      <c r="AG501" s="76"/>
      <c r="AH501" s="76"/>
      <c r="AI501" s="76"/>
      <c r="AJ501" s="76"/>
      <c r="AK501" s="76"/>
      <c r="AL501" s="76"/>
      <c r="AM501" s="76"/>
      <c r="AN501" s="76"/>
      <c r="AO501" s="76"/>
      <c r="AP501" s="76"/>
      <c r="AQ501" s="76"/>
      <c r="AR501" s="76"/>
      <c r="AS501" s="76"/>
      <c r="AT501" s="76"/>
      <c r="AU501" s="76"/>
      <c r="AV501" s="76"/>
      <c r="AW501" s="76"/>
      <c r="AX501" s="76"/>
      <c r="AY501" s="76"/>
      <c r="AZ501" s="76"/>
      <c r="BA501" s="76"/>
      <c r="BB501" s="76"/>
      <c r="BC501" s="76"/>
      <c r="BD501" s="76"/>
      <c r="BE501" s="76"/>
      <c r="BF501" s="76"/>
      <c r="BG501" s="76"/>
      <c r="BH501" s="76"/>
      <c r="BI501" s="76"/>
      <c r="BJ501" s="76"/>
      <c r="BK501" s="76"/>
      <c r="BL501" s="68"/>
      <c r="CW501" s="813"/>
    </row>
    <row r="502" spans="3:101">
      <c r="C502" s="68"/>
      <c r="D502" s="76"/>
      <c r="E502" s="712"/>
      <c r="F502" s="76"/>
      <c r="G502" s="76"/>
      <c r="H502" s="76"/>
      <c r="I502" s="76"/>
      <c r="J502" s="76"/>
      <c r="K502" s="76"/>
      <c r="L502" s="76"/>
      <c r="M502" s="76"/>
      <c r="N502" s="76"/>
      <c r="O502" s="76"/>
      <c r="P502" s="76"/>
      <c r="Q502" s="76"/>
      <c r="R502" s="76"/>
      <c r="S502" s="76"/>
      <c r="T502" s="76"/>
      <c r="Z502" s="1445"/>
      <c r="AA502" s="76"/>
      <c r="AB502" s="76"/>
      <c r="AC502" s="76"/>
      <c r="AD502" s="76"/>
      <c r="AE502" s="76"/>
      <c r="AF502" s="76"/>
      <c r="AG502" s="76"/>
      <c r="AH502" s="76"/>
      <c r="AI502" s="76"/>
      <c r="AJ502" s="76"/>
      <c r="AK502" s="76"/>
      <c r="AL502" s="76"/>
      <c r="AM502" s="76"/>
      <c r="AN502" s="76"/>
      <c r="AO502" s="76"/>
      <c r="AP502" s="76"/>
      <c r="AQ502" s="76"/>
      <c r="AR502" s="76"/>
      <c r="AS502" s="76"/>
      <c r="AT502" s="76"/>
      <c r="AU502" s="76"/>
      <c r="AV502" s="76"/>
      <c r="AW502" s="76"/>
      <c r="AX502" s="76"/>
      <c r="AY502" s="76"/>
      <c r="AZ502" s="76"/>
      <c r="BA502" s="76"/>
      <c r="BB502" s="76"/>
      <c r="BC502" s="76"/>
      <c r="BD502" s="76"/>
      <c r="BE502" s="76"/>
      <c r="BF502" s="76"/>
      <c r="BG502" s="76"/>
      <c r="BH502" s="76"/>
      <c r="BI502" s="76"/>
      <c r="BJ502" s="76"/>
      <c r="BK502" s="76"/>
      <c r="BL502" s="68"/>
      <c r="CW502" s="813"/>
    </row>
    <row r="503" spans="3:101">
      <c r="C503" s="68"/>
      <c r="D503" s="76"/>
      <c r="E503" s="712"/>
      <c r="F503" s="76"/>
      <c r="G503" s="76"/>
      <c r="H503" s="76"/>
      <c r="I503" s="76"/>
      <c r="J503" s="76"/>
      <c r="K503" s="76"/>
      <c r="L503" s="76"/>
      <c r="M503" s="76"/>
      <c r="N503" s="76"/>
      <c r="O503" s="76"/>
      <c r="P503" s="76"/>
      <c r="Q503" s="76"/>
      <c r="R503" s="76"/>
      <c r="S503" s="76"/>
      <c r="T503" s="76"/>
      <c r="Z503" s="1445"/>
      <c r="AA503" s="76"/>
      <c r="AB503" s="76"/>
      <c r="AC503" s="76"/>
      <c r="AD503" s="76"/>
      <c r="AE503" s="76"/>
      <c r="AF503" s="76"/>
      <c r="AG503" s="76"/>
      <c r="AH503" s="76"/>
      <c r="AI503" s="76"/>
      <c r="AJ503" s="76"/>
      <c r="AK503" s="76"/>
      <c r="AL503" s="76"/>
      <c r="AM503" s="76"/>
      <c r="AN503" s="76"/>
      <c r="AO503" s="76"/>
      <c r="AP503" s="76"/>
      <c r="AQ503" s="76"/>
      <c r="AR503" s="76"/>
      <c r="AS503" s="76"/>
      <c r="AT503" s="76"/>
      <c r="AU503" s="76"/>
      <c r="AV503" s="76"/>
      <c r="AW503" s="76"/>
      <c r="AX503" s="76"/>
      <c r="AY503" s="76"/>
      <c r="AZ503" s="76"/>
      <c r="BA503" s="76"/>
      <c r="BB503" s="76"/>
      <c r="BC503" s="76"/>
      <c r="BD503" s="76"/>
      <c r="BE503" s="76"/>
      <c r="BF503" s="76"/>
      <c r="BG503" s="76"/>
      <c r="BH503" s="76"/>
      <c r="BI503" s="76"/>
      <c r="BJ503" s="76"/>
      <c r="BK503" s="76"/>
      <c r="BL503" s="68"/>
      <c r="CW503" s="813"/>
    </row>
    <row r="504" spans="3:101">
      <c r="C504" s="68"/>
      <c r="D504" s="76"/>
      <c r="E504" s="712"/>
      <c r="F504" s="68"/>
      <c r="G504" s="68"/>
      <c r="H504" s="68"/>
      <c r="I504" s="68"/>
      <c r="J504" s="76"/>
      <c r="K504" s="76"/>
      <c r="L504" s="68"/>
      <c r="M504" s="68"/>
      <c r="N504" s="68"/>
      <c r="O504" s="68"/>
      <c r="P504" s="68"/>
      <c r="Q504" s="76"/>
      <c r="R504" s="68"/>
      <c r="S504" s="68"/>
      <c r="T504" s="68"/>
      <c r="U504" s="68"/>
      <c r="V504" s="74"/>
      <c r="X504" s="74"/>
      <c r="Y504" s="74"/>
      <c r="Z504" s="74"/>
      <c r="AC504" s="76"/>
      <c r="AD504" s="68"/>
      <c r="AE504" s="68"/>
      <c r="AF504" s="68"/>
      <c r="AG504" s="68"/>
      <c r="AH504" s="68"/>
      <c r="AI504" s="76"/>
      <c r="AJ504" s="68"/>
      <c r="AK504" s="68"/>
      <c r="AL504" s="68"/>
      <c r="AM504" s="68"/>
      <c r="AN504" s="68"/>
      <c r="AO504" s="76"/>
      <c r="AP504" s="68"/>
      <c r="AQ504" s="68"/>
      <c r="AR504" s="68"/>
      <c r="AS504" s="68"/>
      <c r="AT504" s="68"/>
      <c r="AU504" s="76"/>
      <c r="AV504" s="68"/>
      <c r="AW504" s="68"/>
      <c r="AX504" s="68"/>
      <c r="AY504" s="68"/>
      <c r="AZ504" s="68"/>
      <c r="BA504" s="76"/>
      <c r="BB504" s="68"/>
      <c r="BC504" s="68"/>
      <c r="BD504" s="68"/>
      <c r="BE504" s="68"/>
      <c r="BF504" s="68"/>
      <c r="BG504" s="76"/>
      <c r="BH504" s="68"/>
      <c r="BI504" s="68"/>
      <c r="BJ504" s="68"/>
      <c r="BK504" s="68"/>
      <c r="BL504" s="68"/>
      <c r="CW504" s="813"/>
    </row>
    <row r="505" spans="3:101">
      <c r="C505" s="68"/>
      <c r="D505" s="76"/>
      <c r="E505" s="712"/>
      <c r="F505" s="76"/>
      <c r="G505" s="76"/>
      <c r="H505" s="76"/>
      <c r="I505" s="76"/>
      <c r="J505" s="76"/>
      <c r="K505" s="76"/>
      <c r="L505" s="76"/>
      <c r="M505" s="76"/>
      <c r="N505" s="76"/>
      <c r="O505" s="76"/>
      <c r="P505" s="76"/>
      <c r="Q505" s="76"/>
      <c r="R505" s="76"/>
      <c r="S505" s="76"/>
      <c r="T505" s="76"/>
      <c r="Z505" s="1445"/>
      <c r="AA505" s="76"/>
      <c r="AB505" s="76"/>
      <c r="AC505" s="76"/>
      <c r="AD505" s="76"/>
      <c r="AE505" s="76"/>
      <c r="AF505" s="76"/>
      <c r="AG505" s="76"/>
      <c r="AH505" s="76"/>
      <c r="AI505" s="76"/>
      <c r="AJ505" s="76"/>
      <c r="AK505" s="76"/>
      <c r="AL505" s="76"/>
      <c r="AM505" s="76"/>
      <c r="AN505" s="76"/>
      <c r="AO505" s="76"/>
      <c r="AP505" s="76"/>
      <c r="AQ505" s="76"/>
      <c r="AR505" s="76"/>
      <c r="AS505" s="76"/>
      <c r="AT505" s="76"/>
      <c r="AU505" s="76"/>
      <c r="AV505" s="76"/>
      <c r="AW505" s="76"/>
      <c r="AX505" s="76"/>
      <c r="AY505" s="76"/>
      <c r="AZ505" s="76"/>
      <c r="BA505" s="76"/>
      <c r="BB505" s="76"/>
      <c r="BC505" s="76"/>
      <c r="BD505" s="76"/>
      <c r="BE505" s="76"/>
      <c r="BF505" s="76"/>
      <c r="BG505" s="76"/>
      <c r="BH505" s="76"/>
      <c r="BI505" s="76"/>
      <c r="BJ505" s="76"/>
      <c r="BK505" s="76"/>
      <c r="BL505" s="68"/>
    </row>
    <row r="506" spans="3:101">
      <c r="C506" s="68"/>
      <c r="D506" s="76"/>
      <c r="E506" s="712"/>
      <c r="F506" s="76"/>
      <c r="G506" s="76"/>
      <c r="H506" s="76"/>
      <c r="I506" s="76"/>
      <c r="J506" s="76"/>
      <c r="K506" s="76"/>
      <c r="L506" s="76"/>
      <c r="M506" s="76"/>
      <c r="N506" s="76"/>
      <c r="O506" s="76"/>
      <c r="P506" s="76"/>
      <c r="Q506" s="76"/>
      <c r="R506" s="76"/>
      <c r="S506" s="76"/>
      <c r="T506" s="76"/>
      <c r="Z506" s="1445"/>
      <c r="AA506" s="76"/>
      <c r="AB506" s="76"/>
      <c r="AC506" s="76"/>
      <c r="AD506" s="76"/>
      <c r="AE506" s="76"/>
      <c r="AF506" s="76"/>
      <c r="AG506" s="76"/>
      <c r="AH506" s="76"/>
      <c r="AI506" s="76"/>
      <c r="AJ506" s="76"/>
      <c r="AK506" s="76"/>
      <c r="AL506" s="76"/>
      <c r="AM506" s="76"/>
      <c r="AN506" s="76"/>
      <c r="AO506" s="76"/>
      <c r="AP506" s="76"/>
      <c r="AQ506" s="76"/>
      <c r="AR506" s="76"/>
      <c r="AS506" s="76"/>
      <c r="AT506" s="76"/>
      <c r="AU506" s="76"/>
      <c r="AV506" s="76"/>
      <c r="AW506" s="76"/>
      <c r="AX506" s="76"/>
      <c r="AY506" s="76"/>
      <c r="AZ506" s="76"/>
      <c r="BA506" s="76"/>
      <c r="BB506" s="76"/>
      <c r="BC506" s="76"/>
      <c r="BD506" s="76"/>
      <c r="BE506" s="76"/>
      <c r="BF506" s="76"/>
      <c r="BG506" s="76"/>
      <c r="BH506" s="76"/>
      <c r="BI506" s="76"/>
      <c r="BJ506" s="76"/>
      <c r="BK506" s="76"/>
      <c r="BL506" s="68"/>
    </row>
    <row r="507" spans="3:101">
      <c r="C507" s="68"/>
      <c r="D507" s="76"/>
      <c r="E507" s="712"/>
      <c r="F507" s="76"/>
      <c r="G507" s="76"/>
      <c r="H507" s="76"/>
      <c r="I507" s="76"/>
      <c r="J507" s="76"/>
      <c r="K507" s="76"/>
      <c r="L507" s="76"/>
      <c r="M507" s="76"/>
      <c r="N507" s="76"/>
      <c r="O507" s="76"/>
      <c r="P507" s="76"/>
      <c r="Q507" s="76"/>
      <c r="R507" s="76"/>
      <c r="S507" s="76"/>
      <c r="T507" s="76"/>
      <c r="Z507" s="1445"/>
      <c r="AA507" s="76"/>
      <c r="AB507" s="76"/>
      <c r="AC507" s="76"/>
      <c r="AD507" s="76"/>
      <c r="AE507" s="76"/>
      <c r="AF507" s="76"/>
      <c r="AG507" s="76"/>
      <c r="AH507" s="76"/>
      <c r="AI507" s="76"/>
      <c r="AJ507" s="76"/>
      <c r="AK507" s="76"/>
      <c r="AL507" s="76"/>
      <c r="AM507" s="76"/>
      <c r="AN507" s="76"/>
      <c r="AO507" s="76"/>
      <c r="AP507" s="76"/>
      <c r="AQ507" s="76"/>
      <c r="AR507" s="76"/>
      <c r="AS507" s="76"/>
      <c r="AT507" s="76"/>
      <c r="AU507" s="76"/>
      <c r="AV507" s="76"/>
      <c r="AW507" s="76"/>
      <c r="AX507" s="76"/>
      <c r="AY507" s="76"/>
      <c r="AZ507" s="76"/>
      <c r="BA507" s="76"/>
      <c r="BB507" s="76"/>
      <c r="BC507" s="76"/>
      <c r="BD507" s="76"/>
      <c r="BE507" s="76"/>
      <c r="BF507" s="76"/>
      <c r="BG507" s="76"/>
      <c r="BH507" s="76"/>
      <c r="BI507" s="76"/>
      <c r="BJ507" s="76"/>
      <c r="BK507" s="76"/>
      <c r="BL507" s="68"/>
    </row>
    <row r="508" spans="3:101">
      <c r="C508" s="68"/>
      <c r="D508" s="70"/>
      <c r="E508" s="68"/>
      <c r="F508" s="202"/>
      <c r="G508" s="821"/>
      <c r="H508" s="821"/>
      <c r="I508" s="821"/>
      <c r="J508" s="70"/>
      <c r="K508" s="201"/>
      <c r="L508" s="821"/>
      <c r="M508" s="821"/>
      <c r="N508" s="821"/>
      <c r="O508" s="821"/>
      <c r="P508" s="821"/>
      <c r="Q508" s="201"/>
      <c r="R508" s="821"/>
      <c r="S508" s="821"/>
      <c r="T508" s="821"/>
      <c r="U508" s="821"/>
      <c r="V508" s="1595"/>
      <c r="W508" s="1447"/>
      <c r="X508" s="1595"/>
      <c r="Y508" s="1595"/>
      <c r="Z508" s="1595"/>
      <c r="AA508" s="821"/>
      <c r="AB508" s="821"/>
      <c r="AC508" s="201"/>
      <c r="AD508" s="821"/>
      <c r="AE508" s="821"/>
      <c r="AF508" s="821"/>
      <c r="AG508" s="821"/>
      <c r="AH508" s="821"/>
      <c r="AI508" s="201"/>
      <c r="AJ508" s="821"/>
      <c r="AK508" s="821"/>
      <c r="AL508" s="821"/>
      <c r="AM508" s="821"/>
      <c r="AN508" s="821"/>
      <c r="AO508" s="201"/>
      <c r="AP508" s="821"/>
      <c r="AQ508" s="821"/>
      <c r="AR508" s="821"/>
      <c r="AS508" s="821"/>
      <c r="AT508" s="821"/>
      <c r="AU508" s="201"/>
      <c r="AV508" s="821"/>
      <c r="AW508" s="821"/>
      <c r="AX508" s="821"/>
      <c r="AY508" s="821"/>
      <c r="AZ508" s="202"/>
      <c r="BA508" s="201"/>
      <c r="BB508" s="202"/>
      <c r="BC508" s="202"/>
      <c r="BD508" s="202"/>
      <c r="BE508" s="202"/>
      <c r="BF508" s="202"/>
      <c r="BG508" s="201"/>
      <c r="BH508" s="202"/>
      <c r="BI508" s="202"/>
      <c r="BJ508" s="202"/>
      <c r="BK508" s="202"/>
      <c r="BL508" s="68"/>
    </row>
    <row r="509" spans="3:101">
      <c r="C509" s="68"/>
      <c r="D509" s="68"/>
      <c r="E509" s="68"/>
      <c r="F509" s="76"/>
      <c r="G509" s="76"/>
      <c r="H509" s="76"/>
      <c r="I509" s="76"/>
      <c r="J509" s="68"/>
      <c r="K509" s="201"/>
      <c r="L509" s="76"/>
      <c r="M509" s="76"/>
      <c r="N509" s="76"/>
      <c r="O509" s="76"/>
      <c r="P509" s="76"/>
      <c r="Q509" s="201"/>
      <c r="R509" s="76"/>
      <c r="S509" s="76"/>
      <c r="T509" s="76"/>
      <c r="W509" s="1447"/>
      <c r="Z509" s="1445"/>
      <c r="AA509" s="76"/>
      <c r="AB509" s="76"/>
      <c r="AC509" s="201"/>
      <c r="AD509" s="76"/>
      <c r="AE509" s="76"/>
      <c r="AF509" s="76"/>
      <c r="AG509" s="76"/>
      <c r="AH509" s="76"/>
      <c r="AI509" s="201"/>
      <c r="AJ509" s="76"/>
      <c r="AK509" s="76"/>
      <c r="AL509" s="76"/>
      <c r="AM509" s="76"/>
      <c r="AN509" s="76"/>
      <c r="AO509" s="201"/>
      <c r="AP509" s="76"/>
      <c r="AQ509" s="76"/>
      <c r="AR509" s="76"/>
      <c r="AS509" s="76"/>
      <c r="AT509" s="76"/>
      <c r="AU509" s="201"/>
      <c r="AV509" s="76"/>
      <c r="AW509" s="76"/>
      <c r="AX509" s="76"/>
      <c r="AY509" s="76"/>
      <c r="AZ509" s="76"/>
      <c r="BA509" s="201"/>
      <c r="BB509" s="76"/>
      <c r="BC509" s="76"/>
      <c r="BD509" s="76"/>
      <c r="BE509" s="76"/>
      <c r="BF509" s="76"/>
      <c r="BG509" s="201"/>
      <c r="BH509" s="76"/>
      <c r="BI509" s="76"/>
      <c r="BJ509" s="76"/>
      <c r="BK509" s="76"/>
      <c r="BL509" s="68"/>
    </row>
    <row r="510" spans="3:101">
      <c r="C510" s="68"/>
      <c r="D510" s="68"/>
      <c r="E510" s="68"/>
      <c r="F510" s="202"/>
      <c r="G510" s="821"/>
      <c r="H510" s="821"/>
      <c r="I510" s="821"/>
      <c r="J510" s="68"/>
      <c r="K510" s="201"/>
      <c r="L510" s="821"/>
      <c r="M510" s="821"/>
      <c r="N510" s="821"/>
      <c r="O510" s="821"/>
      <c r="P510" s="821"/>
      <c r="Q510" s="201"/>
      <c r="R510" s="821"/>
      <c r="S510" s="821"/>
      <c r="T510" s="821"/>
      <c r="U510" s="821"/>
      <c r="V510" s="1595"/>
      <c r="W510" s="1447"/>
      <c r="X510" s="1595"/>
      <c r="Y510" s="1595"/>
      <c r="Z510" s="1595"/>
      <c r="AA510" s="821"/>
      <c r="AB510" s="821"/>
      <c r="AC510" s="201"/>
      <c r="AD510" s="821"/>
      <c r="AE510" s="821"/>
      <c r="AF510" s="821"/>
      <c r="AG510" s="821"/>
      <c r="AH510" s="821"/>
      <c r="AI510" s="201"/>
      <c r="AJ510" s="821"/>
      <c r="AK510" s="821"/>
      <c r="AL510" s="821"/>
      <c r="AM510" s="821"/>
      <c r="AN510" s="821"/>
      <c r="AO510" s="201"/>
      <c r="AP510" s="821"/>
      <c r="AQ510" s="821"/>
      <c r="AR510" s="821"/>
      <c r="AS510" s="821"/>
      <c r="AT510" s="821"/>
      <c r="AU510" s="201"/>
      <c r="AV510" s="821"/>
      <c r="AW510" s="821"/>
      <c r="AX510" s="821"/>
      <c r="AY510" s="821"/>
      <c r="AZ510" s="202"/>
      <c r="BA510" s="201"/>
      <c r="BB510" s="202"/>
      <c r="BC510" s="202"/>
      <c r="BD510" s="202"/>
      <c r="BE510" s="202"/>
      <c r="BF510" s="202"/>
      <c r="BG510" s="201"/>
      <c r="BH510" s="202"/>
      <c r="BI510" s="202"/>
      <c r="BJ510" s="202"/>
      <c r="BK510" s="202"/>
      <c r="BL510" s="68"/>
    </row>
    <row r="511" spans="3:101">
      <c r="C511" s="68"/>
      <c r="D511" s="68"/>
      <c r="E511" s="68"/>
      <c r="F511" s="76"/>
      <c r="G511" s="76"/>
      <c r="H511" s="76"/>
      <c r="I511" s="76"/>
      <c r="J511" s="68"/>
      <c r="K511" s="201"/>
      <c r="L511" s="76"/>
      <c r="M511" s="76"/>
      <c r="N511" s="76"/>
      <c r="O511" s="76"/>
      <c r="P511" s="76"/>
      <c r="Q511" s="201"/>
      <c r="R511" s="76"/>
      <c r="S511" s="76"/>
      <c r="T511" s="76"/>
      <c r="W511" s="1447"/>
      <c r="Z511" s="1445"/>
      <c r="AA511" s="76"/>
      <c r="AB511" s="76"/>
      <c r="AC511" s="201"/>
      <c r="AD511" s="76"/>
      <c r="AE511" s="76"/>
      <c r="AF511" s="76"/>
      <c r="AG511" s="76"/>
      <c r="AH511" s="76"/>
      <c r="AI511" s="201"/>
      <c r="AJ511" s="76"/>
      <c r="AK511" s="76"/>
      <c r="AL511" s="76"/>
      <c r="AM511" s="76"/>
      <c r="AN511" s="76"/>
      <c r="AO511" s="201"/>
      <c r="AP511" s="76"/>
      <c r="AQ511" s="76"/>
      <c r="AR511" s="76"/>
      <c r="AS511" s="76"/>
      <c r="AT511" s="76"/>
      <c r="AU511" s="201"/>
      <c r="AV511" s="76"/>
      <c r="AW511" s="76"/>
      <c r="AX511" s="76"/>
      <c r="AY511" s="76"/>
      <c r="AZ511" s="76"/>
      <c r="BA511" s="201"/>
      <c r="BB511" s="76"/>
      <c r="BC511" s="76"/>
      <c r="BD511" s="76"/>
      <c r="BE511" s="76"/>
      <c r="BF511" s="76"/>
      <c r="BG511" s="201"/>
      <c r="BH511" s="76"/>
      <c r="BI511" s="76"/>
      <c r="BJ511" s="76"/>
      <c r="BK511" s="76"/>
    </row>
    <row r="512" spans="3:101">
      <c r="C512" s="68"/>
      <c r="D512" s="68"/>
      <c r="E512" s="68"/>
      <c r="F512" s="76"/>
      <c r="G512" s="76"/>
      <c r="H512" s="76"/>
      <c r="I512" s="76"/>
      <c r="J512" s="68"/>
      <c r="K512" s="201"/>
      <c r="L512" s="76"/>
      <c r="M512" s="76"/>
      <c r="N512" s="76"/>
      <c r="O512" s="76"/>
      <c r="P512" s="76"/>
      <c r="Q512" s="201"/>
      <c r="R512" s="76"/>
      <c r="S512" s="76"/>
      <c r="T512" s="76"/>
      <c r="W512" s="1447"/>
      <c r="Z512" s="1445"/>
      <c r="AA512" s="76"/>
      <c r="AB512" s="76"/>
      <c r="AC512" s="201"/>
      <c r="AD512" s="76"/>
      <c r="AE512" s="76"/>
      <c r="AF512" s="76"/>
      <c r="AG512" s="76"/>
      <c r="AH512" s="76"/>
      <c r="AI512" s="201"/>
      <c r="AJ512" s="76"/>
      <c r="AK512" s="76"/>
      <c r="AL512" s="76"/>
      <c r="AM512" s="76"/>
      <c r="AN512" s="76"/>
      <c r="AO512" s="201"/>
      <c r="AP512" s="76"/>
      <c r="AQ512" s="76"/>
      <c r="AR512" s="76"/>
      <c r="AS512" s="76"/>
      <c r="AT512" s="76"/>
      <c r="AU512" s="201"/>
      <c r="AV512" s="76"/>
      <c r="AW512" s="76"/>
      <c r="AX512" s="76"/>
      <c r="AY512" s="76"/>
      <c r="AZ512" s="76"/>
      <c r="BA512" s="201"/>
      <c r="BB512" s="76"/>
      <c r="BC512" s="76"/>
      <c r="BD512" s="76"/>
      <c r="BE512" s="76"/>
      <c r="BF512" s="76"/>
      <c r="BG512" s="201"/>
      <c r="BH512" s="76"/>
      <c r="BI512" s="76"/>
      <c r="BJ512" s="76"/>
      <c r="BK512" s="76"/>
    </row>
    <row r="513" spans="1:64">
      <c r="C513" s="816"/>
      <c r="D513" s="203"/>
      <c r="E513" s="68"/>
      <c r="F513" s="204"/>
      <c r="G513" s="204"/>
      <c r="H513" s="204"/>
      <c r="I513" s="204"/>
      <c r="J513" s="203"/>
      <c r="K513" s="70"/>
      <c r="L513" s="204"/>
      <c r="M513" s="204"/>
      <c r="N513" s="204"/>
      <c r="O513" s="204"/>
      <c r="P513" s="204"/>
      <c r="Q513" s="70"/>
      <c r="R513" s="204"/>
      <c r="S513" s="204"/>
      <c r="T513" s="204"/>
      <c r="U513" s="204"/>
      <c r="V513" s="1593"/>
      <c r="W513" s="1592"/>
      <c r="X513" s="1593"/>
      <c r="Y513" s="1593"/>
      <c r="Z513" s="1593"/>
      <c r="AA513" s="204"/>
      <c r="AB513" s="204"/>
      <c r="AC513" s="70"/>
      <c r="AD513" s="204"/>
      <c r="AE513" s="204"/>
      <c r="AF513" s="204"/>
      <c r="AG513" s="204"/>
      <c r="AH513" s="204"/>
      <c r="AI513" s="70"/>
      <c r="AJ513" s="204"/>
      <c r="AK513" s="204"/>
      <c r="AL513" s="204"/>
      <c r="AM513" s="204"/>
      <c r="AN513" s="204"/>
      <c r="AO513" s="70"/>
      <c r="AP513" s="204"/>
      <c r="AQ513" s="204"/>
      <c r="AR513" s="204"/>
      <c r="AS513" s="204"/>
      <c r="AT513" s="204"/>
      <c r="AU513" s="70"/>
      <c r="AV513" s="204"/>
      <c r="AW513" s="204"/>
      <c r="AX513" s="204"/>
      <c r="AY513" s="204"/>
      <c r="AZ513" s="204"/>
      <c r="BA513" s="70"/>
      <c r="BB513" s="204"/>
      <c r="BC513" s="204"/>
      <c r="BD513" s="204"/>
      <c r="BE513" s="204"/>
      <c r="BF513" s="204"/>
      <c r="BG513" s="70"/>
      <c r="BH513" s="204"/>
      <c r="BI513" s="204"/>
      <c r="BJ513" s="204"/>
      <c r="BK513" s="204"/>
    </row>
    <row r="514" spans="1:64">
      <c r="C514" s="816"/>
      <c r="D514" s="70"/>
      <c r="E514" s="68"/>
      <c r="F514" s="815"/>
      <c r="G514" s="815"/>
      <c r="H514" s="815"/>
      <c r="I514" s="815"/>
      <c r="J514" s="70"/>
      <c r="K514" s="70"/>
      <c r="L514" s="815"/>
      <c r="M514" s="815"/>
      <c r="N514" s="815"/>
      <c r="O514" s="815"/>
      <c r="P514" s="815"/>
      <c r="Q514" s="70"/>
      <c r="R514" s="815"/>
      <c r="S514" s="815"/>
      <c r="T514" s="815"/>
      <c r="U514" s="815"/>
      <c r="V514" s="1596"/>
      <c r="W514" s="1592"/>
      <c r="X514" s="1596"/>
      <c r="Y514" s="1596"/>
      <c r="Z514" s="1596"/>
      <c r="AA514" s="815"/>
      <c r="AB514" s="815"/>
      <c r="AC514" s="70"/>
      <c r="AD514" s="815"/>
      <c r="AE514" s="815"/>
      <c r="AF514" s="815"/>
      <c r="AG514" s="815"/>
      <c r="AH514" s="815"/>
      <c r="AI514" s="70"/>
      <c r="AJ514" s="815"/>
      <c r="AK514" s="815"/>
      <c r="AL514" s="815"/>
      <c r="AM514" s="815"/>
      <c r="AN514" s="815"/>
      <c r="AO514" s="70"/>
      <c r="AP514" s="815"/>
      <c r="AQ514" s="815"/>
      <c r="AR514" s="815"/>
      <c r="AS514" s="815"/>
      <c r="AT514" s="815"/>
      <c r="AU514" s="70"/>
      <c r="AV514" s="815"/>
      <c r="AW514" s="815"/>
      <c r="AX514" s="815"/>
      <c r="AY514" s="815"/>
      <c r="AZ514" s="815"/>
      <c r="BA514" s="70"/>
      <c r="BB514" s="815"/>
      <c r="BC514" s="815"/>
      <c r="BD514" s="815"/>
      <c r="BE514" s="815"/>
      <c r="BF514" s="815"/>
      <c r="BG514" s="70"/>
      <c r="BH514" s="815"/>
      <c r="BI514" s="815"/>
      <c r="BJ514" s="815"/>
      <c r="BK514" s="815"/>
      <c r="BL514" s="68"/>
    </row>
    <row r="515" spans="1:64">
      <c r="C515" s="816"/>
      <c r="D515" s="70"/>
      <c r="E515" s="68"/>
      <c r="F515" s="815"/>
      <c r="G515" s="815"/>
      <c r="H515" s="815"/>
      <c r="I515" s="815"/>
      <c r="J515" s="70"/>
      <c r="K515" s="70"/>
      <c r="L515" s="815"/>
      <c r="M515" s="815"/>
      <c r="N515" s="815"/>
      <c r="O515" s="815"/>
      <c r="P515" s="815"/>
      <c r="Q515" s="70"/>
      <c r="R515" s="815"/>
      <c r="S515" s="815"/>
      <c r="T515" s="815"/>
      <c r="U515" s="815"/>
      <c r="V515" s="1596"/>
      <c r="W515" s="1592"/>
      <c r="X515" s="1596"/>
      <c r="Y515" s="1596"/>
      <c r="Z515" s="1596"/>
      <c r="AA515" s="815"/>
      <c r="AB515" s="815"/>
      <c r="AC515" s="70"/>
      <c r="AD515" s="815"/>
      <c r="AE515" s="815"/>
      <c r="AF515" s="815"/>
      <c r="AG515" s="815"/>
      <c r="AH515" s="815"/>
      <c r="AI515" s="70"/>
      <c r="AJ515" s="815"/>
      <c r="AK515" s="815"/>
      <c r="AL515" s="815"/>
      <c r="AM515" s="815"/>
      <c r="AN515" s="815"/>
      <c r="AO515" s="70"/>
      <c r="AP515" s="815"/>
      <c r="AQ515" s="815"/>
      <c r="AR515" s="815"/>
      <c r="AS515" s="815"/>
      <c r="AT515" s="815"/>
      <c r="AU515" s="70"/>
      <c r="AV515" s="815"/>
      <c r="AW515" s="815"/>
      <c r="AX515" s="815"/>
      <c r="AY515" s="815"/>
      <c r="AZ515" s="815"/>
      <c r="BA515" s="70"/>
      <c r="BB515" s="815"/>
      <c r="BC515" s="815"/>
      <c r="BD515" s="815"/>
      <c r="BE515" s="815"/>
      <c r="BF515" s="815"/>
      <c r="BG515" s="70"/>
      <c r="BH515" s="815"/>
      <c r="BI515" s="815"/>
      <c r="BJ515" s="815"/>
      <c r="BK515" s="815"/>
      <c r="BL515" s="68"/>
    </row>
    <row r="516" spans="1:64">
      <c r="C516" s="816"/>
      <c r="D516" s="70"/>
      <c r="E516" s="68"/>
      <c r="F516" s="815"/>
      <c r="G516" s="815"/>
      <c r="H516" s="815"/>
      <c r="I516" s="815"/>
      <c r="J516" s="70"/>
      <c r="K516" s="70"/>
      <c r="L516" s="815"/>
      <c r="M516" s="815"/>
      <c r="N516" s="815"/>
      <c r="O516" s="815"/>
      <c r="P516" s="815"/>
      <c r="Q516" s="70"/>
      <c r="R516" s="815"/>
      <c r="S516" s="815"/>
      <c r="T516" s="815"/>
      <c r="U516" s="815"/>
      <c r="V516" s="1596"/>
      <c r="W516" s="1592"/>
      <c r="X516" s="1596"/>
      <c r="Y516" s="1596"/>
      <c r="Z516" s="1596"/>
      <c r="AA516" s="815"/>
      <c r="AB516" s="815"/>
      <c r="AC516" s="70"/>
      <c r="AD516" s="815"/>
      <c r="AE516" s="815"/>
      <c r="AF516" s="815"/>
      <c r="AG516" s="815"/>
      <c r="AH516" s="815"/>
      <c r="AI516" s="70"/>
      <c r="AJ516" s="815"/>
      <c r="AK516" s="815"/>
      <c r="AL516" s="815"/>
      <c r="AM516" s="815"/>
      <c r="AN516" s="815"/>
      <c r="AO516" s="70"/>
      <c r="AP516" s="815"/>
      <c r="AQ516" s="815"/>
      <c r="AR516" s="815"/>
      <c r="AS516" s="815"/>
      <c r="AT516" s="815"/>
      <c r="AU516" s="70"/>
      <c r="AV516" s="815"/>
      <c r="AW516" s="815"/>
      <c r="AX516" s="815"/>
      <c r="AY516" s="815"/>
      <c r="AZ516" s="815"/>
      <c r="BA516" s="70"/>
      <c r="BB516" s="815"/>
      <c r="BC516" s="815"/>
      <c r="BD516" s="815"/>
      <c r="BE516" s="815"/>
      <c r="BF516" s="815"/>
      <c r="BG516" s="70"/>
      <c r="BH516" s="815"/>
      <c r="BI516" s="815"/>
      <c r="BJ516" s="815"/>
      <c r="BK516" s="815"/>
      <c r="BL516" s="68"/>
    </row>
    <row r="517" spans="1:64">
      <c r="C517" s="816"/>
      <c r="D517" s="70"/>
      <c r="E517" s="68"/>
      <c r="F517" s="815"/>
      <c r="G517" s="815"/>
      <c r="H517" s="815"/>
      <c r="I517" s="815"/>
      <c r="J517" s="70"/>
      <c r="K517" s="70"/>
      <c r="L517" s="815"/>
      <c r="M517" s="815"/>
      <c r="N517" s="815"/>
      <c r="O517" s="815"/>
      <c r="P517" s="815"/>
      <c r="Q517" s="70"/>
      <c r="R517" s="815"/>
      <c r="S517" s="815"/>
      <c r="T517" s="815"/>
      <c r="U517" s="815"/>
      <c r="V517" s="1596"/>
      <c r="W517" s="1592"/>
      <c r="X517" s="1596"/>
      <c r="Y517" s="1596"/>
      <c r="Z517" s="1596"/>
      <c r="AA517" s="815"/>
      <c r="AB517" s="815"/>
      <c r="AC517" s="70"/>
      <c r="AD517" s="815"/>
      <c r="AE517" s="815"/>
      <c r="AF517" s="815"/>
      <c r="AG517" s="815"/>
      <c r="AH517" s="815"/>
      <c r="AI517" s="70"/>
      <c r="AJ517" s="815"/>
      <c r="AK517" s="815"/>
      <c r="AL517" s="815"/>
      <c r="AM517" s="815"/>
      <c r="AN517" s="815"/>
      <c r="AO517" s="70"/>
      <c r="AP517" s="815"/>
      <c r="AQ517" s="815"/>
      <c r="AR517" s="815"/>
      <c r="AS517" s="815"/>
      <c r="AT517" s="815"/>
      <c r="AU517" s="70"/>
      <c r="AV517" s="815"/>
      <c r="AW517" s="815"/>
      <c r="AX517" s="815"/>
      <c r="AY517" s="815"/>
      <c r="AZ517" s="815"/>
      <c r="BA517" s="70"/>
      <c r="BB517" s="815"/>
      <c r="BC517" s="815"/>
      <c r="BD517" s="815"/>
      <c r="BE517" s="815"/>
      <c r="BF517" s="815"/>
      <c r="BG517" s="70"/>
      <c r="BH517" s="815"/>
      <c r="BI517" s="815"/>
      <c r="BJ517" s="815"/>
      <c r="BK517" s="815"/>
      <c r="BL517" s="68"/>
    </row>
    <row r="518" spans="1:64">
      <c r="C518" s="816"/>
      <c r="D518" s="70"/>
      <c r="E518" s="68"/>
      <c r="F518" s="815"/>
      <c r="G518" s="815"/>
      <c r="H518" s="815"/>
      <c r="I518" s="815"/>
      <c r="J518" s="70"/>
      <c r="K518" s="70"/>
      <c r="L518" s="815"/>
      <c r="M518" s="815"/>
      <c r="N518" s="815"/>
      <c r="O518" s="815"/>
      <c r="P518" s="815"/>
      <c r="Q518" s="70"/>
      <c r="R518" s="815"/>
      <c r="S518" s="815"/>
      <c r="T518" s="815"/>
      <c r="U518" s="815"/>
      <c r="V518" s="1596"/>
      <c r="W518" s="1592"/>
      <c r="X518" s="1596"/>
      <c r="Y518" s="1596"/>
      <c r="Z518" s="1596"/>
      <c r="AA518" s="815"/>
      <c r="AB518" s="815"/>
      <c r="AC518" s="70"/>
      <c r="AD518" s="815"/>
      <c r="AE518" s="815"/>
      <c r="AF518" s="815"/>
      <c r="AG518" s="815"/>
      <c r="AH518" s="815"/>
      <c r="AI518" s="70"/>
      <c r="AJ518" s="815"/>
      <c r="AK518" s="815"/>
      <c r="AL518" s="815"/>
      <c r="AM518" s="815"/>
      <c r="AN518" s="815"/>
      <c r="AO518" s="70"/>
      <c r="AP518" s="815"/>
      <c r="AQ518" s="815"/>
      <c r="AR518" s="815"/>
      <c r="AS518" s="815"/>
      <c r="AT518" s="815"/>
      <c r="AU518" s="70"/>
      <c r="AV518" s="815"/>
      <c r="AW518" s="815"/>
      <c r="AX518" s="815"/>
      <c r="AY518" s="815"/>
      <c r="AZ518" s="815"/>
      <c r="BA518" s="70"/>
      <c r="BB518" s="815"/>
      <c r="BC518" s="815"/>
      <c r="BD518" s="815"/>
      <c r="BE518" s="815"/>
      <c r="BF518" s="815"/>
      <c r="BG518" s="70"/>
      <c r="BH518" s="815"/>
      <c r="BI518" s="815"/>
      <c r="BJ518" s="815"/>
      <c r="BK518" s="815"/>
      <c r="BL518" s="68"/>
    </row>
    <row r="519" spans="1:64">
      <c r="C519" s="816"/>
      <c r="D519" s="70"/>
      <c r="E519" s="68"/>
      <c r="F519" s="815"/>
      <c r="G519" s="815"/>
      <c r="H519" s="815"/>
      <c r="I519" s="815"/>
      <c r="J519" s="70"/>
      <c r="K519" s="70"/>
      <c r="L519" s="815"/>
      <c r="M519" s="815"/>
      <c r="N519" s="815"/>
      <c r="O519" s="815"/>
      <c r="P519" s="815"/>
      <c r="Q519" s="70"/>
      <c r="R519" s="815"/>
      <c r="S519" s="815"/>
      <c r="T519" s="815"/>
      <c r="U519" s="815"/>
      <c r="V519" s="1596"/>
      <c r="W519" s="1592"/>
      <c r="X519" s="1596"/>
      <c r="Y519" s="1596"/>
      <c r="Z519" s="1596"/>
      <c r="AA519" s="815"/>
      <c r="AB519" s="815"/>
      <c r="AC519" s="70"/>
      <c r="AD519" s="815"/>
      <c r="AE519" s="815"/>
      <c r="AF519" s="815"/>
      <c r="AG519" s="815"/>
      <c r="AH519" s="815"/>
      <c r="AI519" s="70"/>
      <c r="AJ519" s="815"/>
      <c r="AK519" s="815"/>
      <c r="AL519" s="815"/>
      <c r="AM519" s="815"/>
      <c r="AN519" s="815"/>
      <c r="AO519" s="70"/>
      <c r="AP519" s="815"/>
      <c r="AQ519" s="815"/>
      <c r="AR519" s="815"/>
      <c r="AS519" s="815"/>
      <c r="AT519" s="815"/>
      <c r="AU519" s="70"/>
      <c r="AV519" s="815"/>
      <c r="AW519" s="815"/>
      <c r="AX519" s="815"/>
      <c r="AY519" s="815"/>
      <c r="AZ519" s="815"/>
      <c r="BA519" s="70"/>
      <c r="BB519" s="815"/>
      <c r="BC519" s="815"/>
      <c r="BD519" s="815"/>
      <c r="BE519" s="815"/>
      <c r="BF519" s="815"/>
      <c r="BG519" s="70"/>
      <c r="BH519" s="815"/>
      <c r="BI519" s="815"/>
      <c r="BJ519" s="815"/>
      <c r="BK519" s="815"/>
      <c r="BL519" s="68"/>
    </row>
    <row r="520" spans="1:64">
      <c r="C520" s="816"/>
      <c r="D520" s="70"/>
      <c r="E520" s="68"/>
      <c r="F520" s="815"/>
      <c r="G520" s="815"/>
      <c r="H520" s="815"/>
      <c r="I520" s="815"/>
      <c r="J520" s="70"/>
      <c r="K520" s="70"/>
      <c r="L520" s="815"/>
      <c r="M520" s="815"/>
      <c r="N520" s="815"/>
      <c r="O520" s="815"/>
      <c r="P520" s="815"/>
      <c r="Q520" s="70"/>
      <c r="R520" s="815"/>
      <c r="S520" s="815"/>
      <c r="T520" s="815"/>
      <c r="U520" s="815"/>
      <c r="V520" s="1596"/>
      <c r="W520" s="1592"/>
      <c r="X520" s="1596"/>
      <c r="Y520" s="1596"/>
      <c r="Z520" s="1596"/>
      <c r="AA520" s="815"/>
      <c r="AB520" s="815"/>
      <c r="AC520" s="70"/>
      <c r="AD520" s="815"/>
      <c r="AE520" s="815"/>
      <c r="AF520" s="815"/>
      <c r="AG520" s="815"/>
      <c r="AH520" s="815"/>
      <c r="AI520" s="70"/>
      <c r="AJ520" s="815"/>
      <c r="AK520" s="815"/>
      <c r="AL520" s="815"/>
      <c r="AM520" s="815"/>
      <c r="AN520" s="815"/>
      <c r="AO520" s="70"/>
      <c r="AP520" s="815"/>
      <c r="AQ520" s="815"/>
      <c r="AR520" s="815"/>
      <c r="AS520" s="815"/>
      <c r="AT520" s="815"/>
      <c r="AU520" s="70"/>
      <c r="AV520" s="815"/>
      <c r="AW520" s="815"/>
      <c r="AX520" s="815"/>
      <c r="AY520" s="815"/>
      <c r="AZ520" s="815"/>
      <c r="BA520" s="70"/>
      <c r="BB520" s="815"/>
      <c r="BC520" s="815"/>
      <c r="BD520" s="815"/>
      <c r="BE520" s="815"/>
      <c r="BF520" s="815"/>
      <c r="BG520" s="70"/>
      <c r="BH520" s="815"/>
      <c r="BI520" s="815"/>
      <c r="BJ520" s="815"/>
      <c r="BK520" s="815"/>
      <c r="BL520" s="68"/>
    </row>
    <row r="521" spans="1:64">
      <c r="C521" s="816"/>
      <c r="D521" s="70"/>
      <c r="E521" s="68"/>
      <c r="F521" s="815"/>
      <c r="G521" s="815"/>
      <c r="H521" s="815"/>
      <c r="I521" s="815"/>
      <c r="J521" s="70"/>
      <c r="K521" s="70"/>
      <c r="L521" s="815"/>
      <c r="M521" s="815"/>
      <c r="N521" s="815"/>
      <c r="O521" s="815"/>
      <c r="P521" s="815"/>
      <c r="Q521" s="70"/>
      <c r="R521" s="815"/>
      <c r="S521" s="815"/>
      <c r="T521" s="815"/>
      <c r="U521" s="815"/>
      <c r="V521" s="1596"/>
      <c r="W521" s="1592"/>
      <c r="X521" s="1596"/>
      <c r="Y521" s="1596"/>
      <c r="Z521" s="1596"/>
      <c r="AA521" s="815"/>
      <c r="AB521" s="815"/>
      <c r="AC521" s="70"/>
      <c r="AD521" s="815"/>
      <c r="AE521" s="815"/>
      <c r="AF521" s="815"/>
      <c r="AG521" s="815"/>
      <c r="AH521" s="815"/>
      <c r="AI521" s="70"/>
      <c r="AJ521" s="815"/>
      <c r="AK521" s="815"/>
      <c r="AL521" s="815"/>
      <c r="AM521" s="815"/>
      <c r="AN521" s="815"/>
      <c r="AO521" s="70"/>
      <c r="AP521" s="815"/>
      <c r="AQ521" s="815"/>
      <c r="AR521" s="815"/>
      <c r="AS521" s="815"/>
      <c r="AT521" s="815"/>
      <c r="AU521" s="70"/>
      <c r="AV521" s="815"/>
      <c r="AW521" s="815"/>
      <c r="AX521" s="815"/>
      <c r="AY521" s="815"/>
      <c r="AZ521" s="815"/>
      <c r="BA521" s="70"/>
      <c r="BB521" s="815"/>
      <c r="BC521" s="815"/>
      <c r="BD521" s="815"/>
      <c r="BE521" s="815"/>
      <c r="BF521" s="815"/>
      <c r="BG521" s="70"/>
      <c r="BH521" s="815"/>
      <c r="BI521" s="815"/>
      <c r="BJ521" s="815"/>
      <c r="BK521" s="815"/>
      <c r="BL521" s="68"/>
    </row>
    <row r="522" spans="1:64">
      <c r="C522" s="816"/>
      <c r="D522" s="70"/>
      <c r="E522" s="68"/>
      <c r="F522" s="815"/>
      <c r="G522" s="815"/>
      <c r="H522" s="815"/>
      <c r="I522" s="815"/>
      <c r="J522" s="70"/>
      <c r="K522" s="70"/>
      <c r="L522" s="815"/>
      <c r="M522" s="815"/>
      <c r="N522" s="815"/>
      <c r="O522" s="815"/>
      <c r="P522" s="815"/>
      <c r="Q522" s="70"/>
      <c r="R522" s="815"/>
      <c r="S522" s="815"/>
      <c r="T522" s="815"/>
      <c r="U522" s="815"/>
      <c r="V522" s="1596"/>
      <c r="W522" s="1592"/>
      <c r="X522" s="1596"/>
      <c r="Y522" s="1596"/>
      <c r="Z522" s="1596"/>
      <c r="AA522" s="815"/>
      <c r="AB522" s="815"/>
      <c r="AC522" s="70"/>
      <c r="AD522" s="815"/>
      <c r="AE522" s="815"/>
      <c r="AF522" s="815"/>
      <c r="AG522" s="815"/>
      <c r="AH522" s="815"/>
      <c r="AI522" s="70"/>
      <c r="AJ522" s="815"/>
      <c r="AK522" s="815"/>
      <c r="AL522" s="815"/>
      <c r="AM522" s="815"/>
      <c r="AN522" s="815"/>
      <c r="AO522" s="70"/>
      <c r="AP522" s="815"/>
      <c r="AQ522" s="815"/>
      <c r="AR522" s="815"/>
      <c r="AS522" s="815"/>
      <c r="AT522" s="815"/>
      <c r="AU522" s="70"/>
      <c r="AV522" s="815"/>
      <c r="AW522" s="815"/>
      <c r="AX522" s="815"/>
      <c r="AY522" s="815"/>
      <c r="AZ522" s="815"/>
      <c r="BA522" s="70"/>
      <c r="BB522" s="815"/>
      <c r="BC522" s="815"/>
      <c r="BD522" s="815"/>
      <c r="BE522" s="815"/>
      <c r="BF522" s="815"/>
      <c r="BG522" s="70"/>
      <c r="BH522" s="815"/>
      <c r="BI522" s="815"/>
      <c r="BJ522" s="815"/>
      <c r="BK522" s="815"/>
      <c r="BL522" s="68"/>
    </row>
    <row r="523" spans="1:64">
      <c r="C523" s="816"/>
      <c r="D523" s="70"/>
      <c r="E523" s="68"/>
      <c r="F523" s="815"/>
      <c r="G523" s="815"/>
      <c r="H523" s="815"/>
      <c r="I523" s="815"/>
      <c r="J523" s="70"/>
      <c r="K523" s="70"/>
      <c r="L523" s="815"/>
      <c r="M523" s="815"/>
      <c r="N523" s="815"/>
      <c r="O523" s="815"/>
      <c r="P523" s="815"/>
      <c r="Q523" s="70"/>
      <c r="R523" s="815"/>
      <c r="S523" s="815"/>
      <c r="T523" s="815"/>
      <c r="U523" s="815"/>
      <c r="V523" s="1596"/>
      <c r="W523" s="1592"/>
      <c r="X523" s="1596"/>
      <c r="Y523" s="1596"/>
      <c r="Z523" s="1596"/>
      <c r="AA523" s="815"/>
      <c r="AB523" s="815"/>
      <c r="AC523" s="70"/>
      <c r="AD523" s="815"/>
      <c r="AE523" s="815"/>
      <c r="AF523" s="815"/>
      <c r="AG523" s="815"/>
      <c r="AH523" s="815"/>
      <c r="AI523" s="70"/>
      <c r="AJ523" s="815"/>
      <c r="AK523" s="815"/>
      <c r="AL523" s="815"/>
      <c r="AM523" s="815"/>
      <c r="AN523" s="815"/>
      <c r="AO523" s="70"/>
      <c r="AP523" s="815"/>
      <c r="AQ523" s="815"/>
      <c r="AR523" s="815"/>
      <c r="AS523" s="815"/>
      <c r="AT523" s="815"/>
      <c r="AU523" s="70"/>
      <c r="AV523" s="815"/>
      <c r="AW523" s="815"/>
      <c r="AX523" s="815"/>
      <c r="AY523" s="815"/>
      <c r="AZ523" s="815"/>
      <c r="BA523" s="70"/>
      <c r="BB523" s="815"/>
      <c r="BC523" s="815"/>
      <c r="BD523" s="815"/>
      <c r="BE523" s="815"/>
      <c r="BF523" s="815"/>
      <c r="BG523" s="70"/>
      <c r="BH523" s="815"/>
      <c r="BI523" s="815"/>
      <c r="BJ523" s="815"/>
      <c r="BK523" s="815"/>
      <c r="BL523" s="68"/>
    </row>
    <row r="524" spans="1:64">
      <c r="C524" s="816"/>
      <c r="D524" s="70"/>
      <c r="E524" s="68"/>
      <c r="F524" s="815"/>
      <c r="G524" s="815"/>
      <c r="H524" s="815"/>
      <c r="I524" s="815"/>
      <c r="J524" s="70"/>
      <c r="K524" s="70"/>
      <c r="L524" s="815"/>
      <c r="M524" s="815"/>
      <c r="N524" s="815"/>
      <c r="O524" s="815"/>
      <c r="P524" s="815"/>
      <c r="Q524" s="70"/>
      <c r="R524" s="815"/>
      <c r="S524" s="815"/>
      <c r="T524" s="815"/>
      <c r="U524" s="815"/>
      <c r="V524" s="1596"/>
      <c r="W524" s="1592"/>
      <c r="X524" s="1596"/>
      <c r="Y524" s="1596"/>
      <c r="Z524" s="1596"/>
      <c r="AA524" s="815"/>
      <c r="AB524" s="815"/>
      <c r="AC524" s="70"/>
      <c r="AD524" s="815"/>
      <c r="AE524" s="815"/>
      <c r="AF524" s="815"/>
      <c r="AG524" s="815"/>
      <c r="AH524" s="815"/>
      <c r="AI524" s="70"/>
      <c r="AJ524" s="815"/>
      <c r="AK524" s="815"/>
      <c r="AL524" s="815"/>
      <c r="AM524" s="815"/>
      <c r="AN524" s="815"/>
      <c r="AO524" s="70"/>
      <c r="AP524" s="815"/>
      <c r="AQ524" s="815"/>
      <c r="AR524" s="815"/>
      <c r="AS524" s="815"/>
      <c r="AT524" s="815"/>
      <c r="AU524" s="70"/>
      <c r="AV524" s="815"/>
      <c r="AW524" s="815"/>
      <c r="AX524" s="815"/>
      <c r="AY524" s="815"/>
      <c r="AZ524" s="815"/>
      <c r="BA524" s="70"/>
      <c r="BB524" s="815"/>
      <c r="BC524" s="815"/>
      <c r="BD524" s="815"/>
      <c r="BE524" s="815"/>
      <c r="BF524" s="815"/>
      <c r="BG524" s="70"/>
      <c r="BH524" s="815"/>
      <c r="BI524" s="815"/>
      <c r="BJ524" s="815"/>
      <c r="BK524" s="815"/>
      <c r="BL524" s="68"/>
    </row>
    <row r="525" spans="1:64">
      <c r="C525" s="816"/>
      <c r="D525" s="70"/>
      <c r="E525" s="68"/>
      <c r="F525" s="815"/>
      <c r="G525" s="815"/>
      <c r="H525" s="815"/>
      <c r="I525" s="815"/>
      <c r="J525" s="70"/>
      <c r="K525" s="70"/>
      <c r="L525" s="815"/>
      <c r="M525" s="815"/>
      <c r="N525" s="815"/>
      <c r="O525" s="815"/>
      <c r="P525" s="815"/>
      <c r="Q525" s="70"/>
      <c r="R525" s="815"/>
      <c r="S525" s="815"/>
      <c r="T525" s="815"/>
      <c r="U525" s="815"/>
      <c r="V525" s="1596"/>
      <c r="W525" s="1592"/>
      <c r="X525" s="1596"/>
      <c r="Y525" s="1596"/>
      <c r="Z525" s="1596"/>
      <c r="AA525" s="815"/>
      <c r="AB525" s="815"/>
      <c r="AC525" s="70"/>
      <c r="AD525" s="815"/>
      <c r="AE525" s="815"/>
      <c r="AF525" s="815"/>
      <c r="AG525" s="815"/>
      <c r="AH525" s="815"/>
      <c r="AI525" s="70"/>
      <c r="AJ525" s="815"/>
      <c r="AK525" s="815"/>
      <c r="AL525" s="815"/>
      <c r="AM525" s="815"/>
      <c r="AN525" s="815"/>
      <c r="AO525" s="70"/>
      <c r="AP525" s="815"/>
      <c r="AQ525" s="815"/>
      <c r="AR525" s="815"/>
      <c r="AS525" s="815"/>
      <c r="AT525" s="815"/>
      <c r="AU525" s="70"/>
      <c r="AV525" s="815"/>
      <c r="AW525" s="815"/>
      <c r="AX525" s="815"/>
      <c r="AY525" s="815"/>
      <c r="AZ525" s="815"/>
      <c r="BA525" s="70"/>
      <c r="BB525" s="815"/>
      <c r="BC525" s="815"/>
      <c r="BD525" s="815"/>
      <c r="BE525" s="815"/>
      <c r="BF525" s="815"/>
      <c r="BG525" s="70"/>
      <c r="BH525" s="815"/>
      <c r="BI525" s="815"/>
      <c r="BJ525" s="815"/>
      <c r="BK525" s="815"/>
      <c r="BL525" s="68"/>
    </row>
    <row r="526" spans="1:64">
      <c r="C526" s="816"/>
      <c r="D526" s="70"/>
      <c r="E526" s="68"/>
      <c r="F526" s="815"/>
      <c r="G526" s="815"/>
      <c r="H526" s="815"/>
      <c r="I526" s="815"/>
      <c r="J526" s="70"/>
      <c r="K526" s="70"/>
      <c r="L526" s="815"/>
      <c r="M526" s="815"/>
      <c r="N526" s="815"/>
      <c r="O526" s="815"/>
      <c r="P526" s="815"/>
      <c r="Q526" s="70"/>
      <c r="R526" s="815"/>
      <c r="S526" s="815"/>
      <c r="T526" s="815"/>
      <c r="U526" s="815"/>
      <c r="V526" s="1596"/>
      <c r="W526" s="1592"/>
      <c r="X526" s="1596"/>
      <c r="Y526" s="1596"/>
      <c r="Z526" s="1596"/>
      <c r="AA526" s="815"/>
      <c r="AB526" s="815"/>
      <c r="AC526" s="70"/>
      <c r="AD526" s="815"/>
      <c r="AE526" s="815"/>
      <c r="AF526" s="815"/>
      <c r="AG526" s="815"/>
      <c r="AH526" s="815"/>
      <c r="AI526" s="70"/>
      <c r="AJ526" s="815"/>
      <c r="AK526" s="815"/>
      <c r="AL526" s="815"/>
      <c r="AM526" s="815"/>
      <c r="AN526" s="815"/>
      <c r="AO526" s="70"/>
      <c r="AP526" s="815"/>
      <c r="AQ526" s="815"/>
      <c r="AR526" s="815"/>
      <c r="AS526" s="815"/>
      <c r="AT526" s="815"/>
      <c r="AU526" s="70"/>
      <c r="AV526" s="815"/>
      <c r="AW526" s="815"/>
      <c r="AX526" s="815"/>
      <c r="AY526" s="815"/>
      <c r="AZ526" s="815"/>
      <c r="BA526" s="70"/>
      <c r="BB526" s="815"/>
      <c r="BC526" s="815"/>
      <c r="BD526" s="815"/>
      <c r="BE526" s="815"/>
      <c r="BF526" s="815"/>
      <c r="BG526" s="70"/>
      <c r="BH526" s="815"/>
      <c r="BI526" s="815"/>
      <c r="BJ526" s="815"/>
      <c r="BK526" s="815"/>
      <c r="BL526" s="68"/>
    </row>
    <row r="527" spans="1:64">
      <c r="A527" s="71"/>
      <c r="B527" s="71"/>
      <c r="C527" s="822"/>
      <c r="D527" s="86"/>
      <c r="E527" s="71"/>
      <c r="F527" s="823"/>
      <c r="G527" s="823"/>
      <c r="H527" s="823"/>
      <c r="I527" s="823"/>
      <c r="J527" s="86"/>
      <c r="K527" s="86"/>
      <c r="L527" s="823"/>
      <c r="M527" s="823"/>
      <c r="N527" s="823"/>
      <c r="O527" s="823"/>
      <c r="P527" s="823"/>
      <c r="Q527" s="86"/>
      <c r="R527" s="823"/>
      <c r="S527" s="823"/>
      <c r="T527" s="823"/>
      <c r="U527" s="823"/>
      <c r="V527" s="1597"/>
      <c r="W527" s="1598"/>
      <c r="X527" s="1597"/>
      <c r="Y527" s="1597"/>
      <c r="Z527" s="1597"/>
      <c r="AA527" s="823"/>
      <c r="AB527" s="823"/>
      <c r="AC527" s="86"/>
      <c r="AD527" s="823"/>
      <c r="AE527" s="823"/>
      <c r="AF527" s="823"/>
      <c r="AG527" s="823"/>
      <c r="AH527" s="823"/>
      <c r="AI527" s="86"/>
      <c r="AJ527" s="823"/>
      <c r="AK527" s="823"/>
      <c r="AL527" s="823"/>
      <c r="AM527" s="823"/>
      <c r="AN527" s="823"/>
      <c r="AO527" s="86"/>
      <c r="AP527" s="823"/>
      <c r="AQ527" s="823"/>
      <c r="AR527" s="823"/>
      <c r="AS527" s="823"/>
      <c r="AT527" s="823"/>
      <c r="AU527" s="86"/>
      <c r="AV527" s="823"/>
      <c r="AW527" s="823"/>
      <c r="AX527" s="823"/>
      <c r="AY527" s="823"/>
      <c r="AZ527" s="823"/>
      <c r="BA527" s="86"/>
      <c r="BB527" s="823"/>
      <c r="BC527" s="823"/>
      <c r="BD527" s="823"/>
      <c r="BE527" s="823"/>
      <c r="BF527" s="823"/>
      <c r="BG527" s="86"/>
      <c r="BH527" s="823"/>
      <c r="BI527" s="823"/>
      <c r="BJ527" s="823"/>
      <c r="BK527" s="823"/>
    </row>
    <row r="528" spans="1:64">
      <c r="A528" s="71"/>
      <c r="B528" s="71"/>
      <c r="C528" s="822"/>
      <c r="D528" s="86"/>
      <c r="E528" s="71"/>
      <c r="F528" s="823"/>
      <c r="G528" s="823"/>
      <c r="H528" s="823"/>
      <c r="I528" s="823"/>
      <c r="J528" s="86"/>
      <c r="K528" s="86"/>
      <c r="L528" s="823"/>
      <c r="M528" s="823"/>
      <c r="N528" s="823"/>
      <c r="O528" s="823"/>
      <c r="P528" s="823"/>
      <c r="Q528" s="86"/>
      <c r="R528" s="823"/>
      <c r="S528" s="823"/>
      <c r="T528" s="823"/>
      <c r="U528" s="823"/>
      <c r="V528" s="1597"/>
      <c r="W528" s="1598"/>
      <c r="X528" s="1597"/>
      <c r="Y528" s="1597"/>
      <c r="Z528" s="1597"/>
      <c r="AA528" s="823"/>
      <c r="AB528" s="823"/>
      <c r="AC528" s="86"/>
      <c r="AD528" s="823"/>
      <c r="AE528" s="823"/>
      <c r="AF528" s="823"/>
      <c r="AG528" s="823"/>
      <c r="AH528" s="823"/>
      <c r="AI528" s="86"/>
      <c r="AJ528" s="823"/>
      <c r="AK528" s="823"/>
      <c r="AL528" s="823"/>
      <c r="AM528" s="823"/>
      <c r="AN528" s="823"/>
      <c r="AO528" s="86"/>
      <c r="AP528" s="823"/>
      <c r="AQ528" s="823"/>
      <c r="AR528" s="823"/>
      <c r="AS528" s="823"/>
      <c r="AT528" s="823"/>
      <c r="AU528" s="86"/>
      <c r="AV528" s="823"/>
      <c r="AW528" s="823"/>
      <c r="AX528" s="823"/>
      <c r="AY528" s="823"/>
      <c r="AZ528" s="823"/>
      <c r="BA528" s="86"/>
      <c r="BB528" s="823"/>
      <c r="BC528" s="823"/>
      <c r="BD528" s="823"/>
      <c r="BE528" s="823"/>
      <c r="BF528" s="823"/>
      <c r="BG528" s="86"/>
      <c r="BH528" s="823"/>
      <c r="BI528" s="823"/>
      <c r="BJ528" s="823"/>
      <c r="BK528" s="823"/>
    </row>
    <row r="529" spans="1:101">
      <c r="A529" s="71"/>
      <c r="B529" s="71"/>
      <c r="C529" s="822"/>
      <c r="D529" s="86"/>
      <c r="E529" s="71"/>
      <c r="F529" s="823"/>
      <c r="G529" s="823"/>
      <c r="H529" s="823"/>
      <c r="I529" s="823"/>
      <c r="J529" s="86"/>
      <c r="K529" s="86"/>
      <c r="L529" s="823"/>
      <c r="M529" s="823"/>
      <c r="N529" s="823"/>
      <c r="O529" s="823"/>
      <c r="P529" s="823"/>
      <c r="Q529" s="86"/>
      <c r="R529" s="823"/>
      <c r="S529" s="823"/>
      <c r="T529" s="823"/>
      <c r="U529" s="823"/>
      <c r="V529" s="1597"/>
      <c r="W529" s="1598"/>
      <c r="X529" s="1597"/>
      <c r="Y529" s="1597"/>
      <c r="Z529" s="1597"/>
      <c r="AA529" s="823"/>
      <c r="AB529" s="823"/>
      <c r="AC529" s="86"/>
      <c r="AD529" s="823"/>
      <c r="AE529" s="823"/>
      <c r="AF529" s="823"/>
      <c r="AG529" s="823"/>
      <c r="AH529" s="823"/>
      <c r="AI529" s="86"/>
      <c r="AJ529" s="823"/>
      <c r="AK529" s="823"/>
      <c r="AL529" s="823"/>
      <c r="AM529" s="823"/>
      <c r="AN529" s="823"/>
      <c r="AO529" s="86"/>
      <c r="AP529" s="823"/>
      <c r="AQ529" s="823"/>
      <c r="AR529" s="823"/>
      <c r="AS529" s="823"/>
      <c r="AT529" s="823"/>
      <c r="AU529" s="86"/>
      <c r="AV529" s="823"/>
      <c r="AW529" s="823"/>
      <c r="AX529" s="823"/>
      <c r="AY529" s="823"/>
      <c r="AZ529" s="823"/>
      <c r="BA529" s="86"/>
      <c r="BB529" s="823"/>
      <c r="BC529" s="823"/>
      <c r="BD529" s="823"/>
      <c r="BE529" s="823"/>
      <c r="BF529" s="823"/>
      <c r="BG529" s="86"/>
      <c r="BH529" s="823"/>
      <c r="BI529" s="823"/>
      <c r="BJ529" s="823"/>
      <c r="BK529" s="823"/>
    </row>
    <row r="530" spans="1:101">
      <c r="A530" s="71"/>
      <c r="B530" s="71"/>
      <c r="C530" s="822"/>
      <c r="D530" s="86"/>
      <c r="E530" s="71"/>
      <c r="F530" s="823"/>
      <c r="G530" s="823"/>
      <c r="H530" s="823"/>
      <c r="I530" s="823"/>
      <c r="J530" s="86"/>
      <c r="K530" s="86"/>
      <c r="L530" s="823"/>
      <c r="M530" s="823"/>
      <c r="N530" s="823"/>
      <c r="O530" s="823"/>
      <c r="P530" s="823"/>
      <c r="Q530" s="86"/>
      <c r="R530" s="823"/>
      <c r="S530" s="823"/>
      <c r="T530" s="823"/>
      <c r="U530" s="823"/>
      <c r="V530" s="1597"/>
      <c r="W530" s="1598"/>
      <c r="X530" s="1597"/>
      <c r="Y530" s="1597"/>
      <c r="Z530" s="1597"/>
      <c r="AA530" s="823"/>
      <c r="AB530" s="823"/>
      <c r="AC530" s="86"/>
      <c r="AD530" s="823"/>
      <c r="AE530" s="823"/>
      <c r="AF530" s="823"/>
      <c r="AG530" s="823"/>
      <c r="AH530" s="823"/>
      <c r="AI530" s="86"/>
      <c r="AJ530" s="823"/>
      <c r="AK530" s="823"/>
      <c r="AL530" s="823"/>
      <c r="AM530" s="823"/>
      <c r="AN530" s="823"/>
      <c r="AO530" s="86"/>
      <c r="AP530" s="823"/>
      <c r="AQ530" s="823"/>
      <c r="AR530" s="823"/>
      <c r="AS530" s="823"/>
      <c r="AT530" s="823"/>
      <c r="AU530" s="86"/>
      <c r="AV530" s="823"/>
      <c r="AW530" s="823"/>
      <c r="AX530" s="823"/>
      <c r="AY530" s="823"/>
      <c r="AZ530" s="823"/>
      <c r="BA530" s="86"/>
      <c r="BB530" s="823"/>
      <c r="BC530" s="823"/>
      <c r="BD530" s="823"/>
      <c r="BE530" s="823"/>
      <c r="BF530" s="823"/>
      <c r="BG530" s="86"/>
      <c r="BH530" s="823"/>
      <c r="BI530" s="823"/>
      <c r="BJ530" s="823"/>
      <c r="BK530" s="823"/>
    </row>
    <row r="531" spans="1:101" ht="13.65" customHeight="1">
      <c r="A531" s="71"/>
      <c r="B531" s="71"/>
      <c r="C531" s="822"/>
      <c r="D531" s="86"/>
      <c r="E531" s="71"/>
      <c r="F531" s="823"/>
      <c r="G531" s="823"/>
      <c r="H531" s="823"/>
      <c r="I531" s="823"/>
      <c r="J531" s="86"/>
      <c r="K531" s="86"/>
      <c r="L531" s="823"/>
      <c r="M531" s="823"/>
      <c r="N531" s="823"/>
      <c r="O531" s="823"/>
      <c r="P531" s="823"/>
      <c r="Q531" s="86"/>
      <c r="R531" s="823"/>
      <c r="S531" s="823"/>
      <c r="T531" s="823"/>
      <c r="U531" s="823"/>
      <c r="V531" s="1597"/>
      <c r="W531" s="1598"/>
      <c r="X531" s="1597"/>
      <c r="Y531" s="1597"/>
      <c r="Z531" s="1597"/>
      <c r="AA531" s="823"/>
      <c r="AB531" s="823"/>
      <c r="AC531" s="86"/>
      <c r="AD531" s="823"/>
      <c r="AE531" s="823"/>
      <c r="AF531" s="823"/>
      <c r="AG531" s="823"/>
      <c r="AH531" s="823"/>
      <c r="AI531" s="86"/>
      <c r="AJ531" s="823"/>
      <c r="AK531" s="823"/>
      <c r="AL531" s="823"/>
      <c r="AM531" s="823"/>
      <c r="AN531" s="823"/>
      <c r="AO531" s="86"/>
      <c r="AP531" s="823"/>
      <c r="AQ531" s="823"/>
      <c r="AR531" s="823"/>
      <c r="AS531" s="823"/>
      <c r="AT531" s="823"/>
      <c r="AU531" s="86"/>
      <c r="AV531" s="823"/>
      <c r="AW531" s="823"/>
      <c r="AX531" s="823"/>
      <c r="AY531" s="823"/>
      <c r="AZ531" s="823"/>
      <c r="BA531" s="86"/>
      <c r="BB531" s="823"/>
      <c r="BC531" s="823"/>
      <c r="BD531" s="823"/>
      <c r="BE531" s="823"/>
      <c r="BF531" s="823"/>
      <c r="BG531" s="86"/>
      <c r="BH531" s="823"/>
      <c r="BI531" s="823"/>
      <c r="BJ531" s="823"/>
      <c r="BK531" s="823"/>
    </row>
    <row r="532" spans="1:101">
      <c r="A532" s="71"/>
      <c r="B532" s="71"/>
      <c r="C532" s="822"/>
      <c r="D532" s="86"/>
      <c r="E532" s="71"/>
      <c r="F532" s="823"/>
      <c r="G532" s="823"/>
      <c r="H532" s="823"/>
      <c r="I532" s="823"/>
      <c r="J532" s="86"/>
      <c r="K532" s="86"/>
      <c r="L532" s="823"/>
      <c r="M532" s="823"/>
      <c r="N532" s="823"/>
      <c r="O532" s="823"/>
      <c r="P532" s="823"/>
      <c r="Q532" s="86"/>
      <c r="R532" s="823"/>
      <c r="S532" s="823"/>
      <c r="T532" s="823"/>
      <c r="U532" s="823"/>
      <c r="V532" s="1597"/>
      <c r="W532" s="1598"/>
      <c r="X532" s="1597"/>
      <c r="Y532" s="1597"/>
      <c r="Z532" s="1597"/>
      <c r="AA532" s="823"/>
      <c r="AB532" s="823"/>
      <c r="AC532" s="86"/>
      <c r="AD532" s="823"/>
      <c r="AE532" s="823"/>
      <c r="AF532" s="823"/>
      <c r="AG532" s="823"/>
      <c r="AH532" s="823"/>
      <c r="AI532" s="86"/>
      <c r="AJ532" s="823"/>
      <c r="AK532" s="823"/>
      <c r="AL532" s="823"/>
      <c r="AM532" s="823"/>
      <c r="AN532" s="823"/>
      <c r="AO532" s="86"/>
      <c r="AP532" s="823"/>
      <c r="AQ532" s="823"/>
      <c r="AR532" s="823"/>
      <c r="AS532" s="823"/>
      <c r="AT532" s="823"/>
      <c r="AU532" s="86"/>
      <c r="AV532" s="823"/>
      <c r="AW532" s="823"/>
      <c r="AX532" s="823"/>
      <c r="AY532" s="823"/>
      <c r="AZ532" s="823"/>
      <c r="BA532" s="86"/>
      <c r="BB532" s="823"/>
      <c r="BC532" s="823"/>
      <c r="BD532" s="823"/>
      <c r="BE532" s="823"/>
      <c r="BF532" s="823"/>
      <c r="BG532" s="86"/>
      <c r="BH532" s="823"/>
      <c r="BI532" s="823"/>
      <c r="BJ532" s="823"/>
      <c r="BK532" s="823"/>
    </row>
    <row r="533" spans="1:101">
      <c r="A533" s="71"/>
      <c r="B533" s="71"/>
      <c r="C533" s="822"/>
      <c r="D533" s="86"/>
      <c r="E533" s="71"/>
      <c r="F533" s="823"/>
      <c r="G533" s="823"/>
      <c r="H533" s="823"/>
      <c r="I533" s="823"/>
      <c r="J533" s="86"/>
      <c r="K533" s="86"/>
      <c r="L533" s="823"/>
      <c r="M533" s="823"/>
      <c r="N533" s="823"/>
      <c r="O533" s="823"/>
      <c r="P533" s="823"/>
      <c r="Q533" s="86"/>
      <c r="R533" s="823"/>
      <c r="S533" s="823"/>
      <c r="T533" s="823"/>
      <c r="U533" s="823"/>
      <c r="V533" s="1597"/>
      <c r="W533" s="1598"/>
      <c r="X533" s="1597"/>
      <c r="Y533" s="1597"/>
      <c r="Z533" s="1597"/>
      <c r="AA533" s="823"/>
      <c r="AB533" s="823"/>
      <c r="AC533" s="86"/>
      <c r="AD533" s="823"/>
      <c r="AE533" s="823"/>
      <c r="AF533" s="823"/>
      <c r="AG533" s="823"/>
      <c r="AH533" s="823"/>
      <c r="AI533" s="86"/>
      <c r="AJ533" s="823"/>
      <c r="AK533" s="823"/>
      <c r="AL533" s="823"/>
      <c r="AM533" s="823"/>
      <c r="AN533" s="823"/>
      <c r="AO533" s="86"/>
      <c r="AP533" s="823"/>
      <c r="AQ533" s="823"/>
      <c r="AR533" s="823"/>
      <c r="AS533" s="823"/>
      <c r="AT533" s="823"/>
      <c r="AU533" s="86"/>
      <c r="AV533" s="823"/>
      <c r="AW533" s="823"/>
      <c r="AX533" s="823"/>
      <c r="AY533" s="823"/>
      <c r="AZ533" s="823"/>
      <c r="BA533" s="86"/>
      <c r="BB533" s="823"/>
      <c r="BC533" s="823"/>
      <c r="BD533" s="823"/>
      <c r="BE533" s="823"/>
      <c r="BF533" s="823"/>
      <c r="BG533" s="86"/>
      <c r="BH533" s="823"/>
      <c r="BI533" s="823"/>
      <c r="BJ533" s="823"/>
      <c r="BK533" s="823"/>
    </row>
    <row r="534" spans="1:101">
      <c r="A534" s="71"/>
      <c r="B534" s="71"/>
      <c r="C534" s="822"/>
      <c r="D534" s="86"/>
      <c r="E534" s="71"/>
      <c r="F534" s="823"/>
      <c r="G534" s="823"/>
      <c r="H534" s="823"/>
      <c r="I534" s="823"/>
      <c r="J534" s="86"/>
      <c r="K534" s="86"/>
      <c r="L534" s="823"/>
      <c r="M534" s="823"/>
      <c r="N534" s="823"/>
      <c r="O534" s="823"/>
      <c r="P534" s="823"/>
      <c r="Q534" s="86"/>
      <c r="R534" s="823"/>
      <c r="S534" s="823"/>
      <c r="T534" s="823"/>
      <c r="U534" s="823"/>
      <c r="V534" s="1597"/>
      <c r="W534" s="1598"/>
      <c r="X534" s="1597"/>
      <c r="Y534" s="1597"/>
      <c r="Z534" s="1597"/>
      <c r="AA534" s="823"/>
      <c r="AB534" s="823"/>
      <c r="AC534" s="86"/>
      <c r="AD534" s="823"/>
      <c r="AE534" s="823"/>
      <c r="AF534" s="823"/>
      <c r="AG534" s="823"/>
      <c r="AH534" s="823"/>
      <c r="AI534" s="86"/>
      <c r="AJ534" s="823"/>
      <c r="AK534" s="823"/>
      <c r="AL534" s="823"/>
      <c r="AM534" s="823"/>
      <c r="AN534" s="823"/>
      <c r="AO534" s="86"/>
      <c r="AP534" s="823"/>
      <c r="AQ534" s="823"/>
      <c r="AR534" s="823"/>
      <c r="AS534" s="823"/>
      <c r="AT534" s="823"/>
      <c r="AU534" s="86"/>
      <c r="AV534" s="823"/>
      <c r="AW534" s="823"/>
      <c r="AX534" s="823"/>
      <c r="AY534" s="823"/>
      <c r="AZ534" s="823"/>
      <c r="BA534" s="86"/>
      <c r="BB534" s="823"/>
      <c r="BC534" s="823"/>
      <c r="BD534" s="823"/>
      <c r="BE534" s="823"/>
      <c r="BF534" s="823"/>
      <c r="BG534" s="86"/>
      <c r="BH534" s="823"/>
      <c r="BI534" s="823"/>
      <c r="BJ534" s="823"/>
      <c r="BK534" s="823"/>
    </row>
    <row r="535" spans="1:101">
      <c r="A535" s="71"/>
      <c r="B535" s="71"/>
      <c r="C535" s="822"/>
      <c r="D535" s="86"/>
      <c r="E535" s="71"/>
      <c r="F535" s="823"/>
      <c r="G535" s="823"/>
      <c r="H535" s="823"/>
      <c r="I535" s="823"/>
      <c r="J535" s="86"/>
      <c r="K535" s="86"/>
      <c r="L535" s="823"/>
      <c r="M535" s="823"/>
      <c r="N535" s="823"/>
      <c r="O535" s="823"/>
      <c r="P535" s="823"/>
      <c r="Q535" s="86"/>
      <c r="R535" s="823"/>
      <c r="S535" s="823"/>
      <c r="T535" s="823"/>
      <c r="U535" s="823"/>
      <c r="V535" s="1597"/>
      <c r="W535" s="1598"/>
      <c r="X535" s="1597"/>
      <c r="Y535" s="1597"/>
      <c r="Z535" s="1597"/>
      <c r="AA535" s="823"/>
      <c r="AB535" s="823"/>
      <c r="AC535" s="86"/>
      <c r="AD535" s="823"/>
      <c r="AE535" s="823"/>
      <c r="AF535" s="823"/>
      <c r="AG535" s="823"/>
      <c r="AH535" s="823"/>
      <c r="AI535" s="86"/>
      <c r="AJ535" s="823"/>
      <c r="AK535" s="823"/>
      <c r="AL535" s="823"/>
      <c r="AM535" s="823"/>
      <c r="AN535" s="823"/>
      <c r="AO535" s="86"/>
      <c r="AP535" s="823"/>
      <c r="AQ535" s="823"/>
      <c r="AR535" s="823"/>
      <c r="AS535" s="823"/>
      <c r="AT535" s="823"/>
      <c r="AU535" s="86"/>
      <c r="AV535" s="823"/>
      <c r="AW535" s="823"/>
      <c r="AX535" s="823"/>
      <c r="AY535" s="823"/>
      <c r="AZ535" s="823"/>
      <c r="BA535" s="86"/>
      <c r="BB535" s="823"/>
      <c r="BC535" s="823"/>
      <c r="BD535" s="823"/>
      <c r="BE535" s="823"/>
      <c r="BF535" s="823"/>
      <c r="BG535" s="86"/>
      <c r="BH535" s="823"/>
      <c r="BI535" s="823"/>
      <c r="BJ535" s="823"/>
      <c r="BK535" s="823"/>
    </row>
    <row r="536" spans="1:101">
      <c r="A536" s="71"/>
      <c r="B536" s="71"/>
      <c r="C536" s="822"/>
      <c r="D536" s="86"/>
      <c r="E536" s="71"/>
      <c r="F536" s="823"/>
      <c r="G536" s="823"/>
      <c r="H536" s="823"/>
      <c r="I536" s="823"/>
      <c r="J536" s="86"/>
      <c r="K536" s="86"/>
      <c r="L536" s="823"/>
      <c r="M536" s="823"/>
      <c r="N536" s="823"/>
      <c r="O536" s="823"/>
      <c r="P536" s="823"/>
      <c r="Q536" s="86"/>
      <c r="R536" s="823"/>
      <c r="S536" s="823"/>
      <c r="T536" s="823"/>
      <c r="U536" s="823"/>
      <c r="V536" s="1597"/>
      <c r="W536" s="1598"/>
      <c r="X536" s="1597"/>
      <c r="Y536" s="1597"/>
      <c r="Z536" s="1597"/>
      <c r="AA536" s="823"/>
      <c r="AB536" s="823"/>
      <c r="AC536" s="86"/>
      <c r="AD536" s="823"/>
      <c r="AE536" s="823"/>
      <c r="AF536" s="823"/>
      <c r="AG536" s="823"/>
      <c r="AH536" s="823"/>
      <c r="AI536" s="86"/>
      <c r="AJ536" s="823"/>
      <c r="AK536" s="823"/>
      <c r="AL536" s="823"/>
      <c r="AM536" s="823"/>
      <c r="AN536" s="823"/>
      <c r="AO536" s="86"/>
      <c r="AP536" s="823"/>
      <c r="AQ536" s="823"/>
      <c r="AR536" s="823"/>
      <c r="AS536" s="823"/>
      <c r="AT536" s="823"/>
      <c r="AU536" s="86"/>
      <c r="AV536" s="823"/>
      <c r="AW536" s="823"/>
      <c r="AX536" s="823"/>
      <c r="AY536" s="823"/>
      <c r="AZ536" s="823"/>
      <c r="BA536" s="86"/>
      <c r="BB536" s="823"/>
      <c r="BC536" s="823"/>
      <c r="BD536" s="823"/>
      <c r="BE536" s="823"/>
      <c r="BF536" s="823"/>
      <c r="BG536" s="86"/>
      <c r="BH536" s="823"/>
      <c r="BI536" s="823"/>
      <c r="BJ536" s="823"/>
      <c r="BK536" s="823"/>
    </row>
    <row r="537" spans="1:101">
      <c r="A537" s="71"/>
      <c r="B537" s="71"/>
      <c r="C537" s="822"/>
      <c r="D537" s="86"/>
      <c r="E537" s="71"/>
      <c r="F537" s="823"/>
      <c r="G537" s="823"/>
      <c r="H537" s="823"/>
      <c r="I537" s="823"/>
      <c r="J537" s="86"/>
      <c r="K537" s="86"/>
      <c r="L537" s="823"/>
      <c r="M537" s="823"/>
      <c r="N537" s="823"/>
      <c r="O537" s="823"/>
      <c r="P537" s="823"/>
      <c r="Q537" s="86"/>
      <c r="R537" s="823"/>
      <c r="S537" s="823"/>
      <c r="T537" s="823"/>
      <c r="U537" s="823"/>
      <c r="V537" s="1597"/>
      <c r="W537" s="1598"/>
      <c r="X537" s="1597"/>
      <c r="Y537" s="1597"/>
      <c r="Z537" s="1597"/>
      <c r="AA537" s="823"/>
      <c r="AB537" s="823"/>
      <c r="AC537" s="86"/>
      <c r="AD537" s="823"/>
      <c r="AE537" s="823"/>
      <c r="AF537" s="823"/>
      <c r="AG537" s="823"/>
      <c r="AH537" s="823"/>
      <c r="AI537" s="86"/>
      <c r="AJ537" s="823"/>
      <c r="AK537" s="823"/>
      <c r="AL537" s="823"/>
      <c r="AM537" s="823"/>
      <c r="AN537" s="823"/>
      <c r="AO537" s="86"/>
      <c r="AP537" s="823"/>
      <c r="AQ537" s="823"/>
      <c r="AR537" s="823"/>
      <c r="AS537" s="823"/>
      <c r="AT537" s="823"/>
      <c r="AU537" s="86"/>
      <c r="AV537" s="823"/>
      <c r="AW537" s="823"/>
      <c r="AX537" s="823"/>
      <c r="AY537" s="823"/>
      <c r="AZ537" s="823"/>
      <c r="BA537" s="86"/>
      <c r="BB537" s="823"/>
      <c r="BC537" s="823"/>
      <c r="BD537" s="823"/>
      <c r="BE537" s="823"/>
      <c r="BF537" s="823"/>
      <c r="BG537" s="86"/>
      <c r="BH537" s="823"/>
      <c r="BI537" s="823"/>
      <c r="BJ537" s="823"/>
      <c r="BK537" s="823"/>
    </row>
    <row r="538" spans="1:101">
      <c r="A538" s="71"/>
      <c r="B538" s="71"/>
      <c r="C538" s="822"/>
      <c r="D538" s="86"/>
      <c r="E538" s="71"/>
      <c r="F538" s="823"/>
      <c r="G538" s="823"/>
      <c r="H538" s="823"/>
      <c r="I538" s="823"/>
      <c r="J538" s="86"/>
      <c r="K538" s="86"/>
      <c r="L538" s="823"/>
      <c r="M538" s="823"/>
      <c r="N538" s="823"/>
      <c r="O538" s="823"/>
      <c r="P538" s="823"/>
      <c r="Q538" s="86"/>
      <c r="R538" s="823"/>
      <c r="S538" s="823"/>
      <c r="T538" s="823"/>
      <c r="U538" s="823"/>
      <c r="V538" s="1597"/>
      <c r="W538" s="1598"/>
      <c r="X538" s="1597"/>
      <c r="Y538" s="1597"/>
      <c r="Z538" s="1597"/>
      <c r="AA538" s="823"/>
      <c r="AB538" s="823"/>
      <c r="AC538" s="86"/>
      <c r="AD538" s="823"/>
      <c r="AE538" s="823"/>
      <c r="AF538" s="823"/>
      <c r="AG538" s="823"/>
      <c r="AH538" s="823"/>
      <c r="AI538" s="86"/>
      <c r="AJ538" s="823"/>
      <c r="AK538" s="823"/>
      <c r="AL538" s="823"/>
      <c r="AM538" s="823"/>
      <c r="AN538" s="823"/>
      <c r="AO538" s="86"/>
      <c r="AP538" s="823"/>
      <c r="AQ538" s="823"/>
      <c r="AR538" s="823"/>
      <c r="AS538" s="823"/>
      <c r="AT538" s="823"/>
      <c r="AU538" s="86"/>
      <c r="AV538" s="823"/>
      <c r="AW538" s="823"/>
      <c r="AX538" s="823"/>
      <c r="AY538" s="823"/>
      <c r="AZ538" s="823"/>
      <c r="BA538" s="86"/>
      <c r="BB538" s="823"/>
      <c r="BC538" s="823"/>
      <c r="BD538" s="823"/>
      <c r="BE538" s="823"/>
      <c r="BF538" s="823"/>
      <c r="BG538" s="86"/>
      <c r="BH538" s="823"/>
      <c r="BI538" s="823"/>
      <c r="BJ538" s="823"/>
      <c r="BK538" s="823"/>
    </row>
    <row r="539" spans="1:101">
      <c r="A539" s="71"/>
      <c r="B539" s="71"/>
      <c r="C539" s="822"/>
      <c r="D539" s="86"/>
      <c r="E539" s="71"/>
      <c r="F539" s="823"/>
      <c r="G539" s="823"/>
      <c r="H539" s="823"/>
      <c r="I539" s="823"/>
      <c r="J539" s="86"/>
      <c r="K539" s="86"/>
      <c r="L539" s="823"/>
      <c r="M539" s="823"/>
      <c r="N539" s="823"/>
      <c r="O539" s="823"/>
      <c r="P539" s="823"/>
      <c r="Q539" s="86"/>
      <c r="R539" s="823"/>
      <c r="S539" s="823"/>
      <c r="T539" s="823"/>
      <c r="U539" s="823"/>
      <c r="V539" s="1597"/>
      <c r="W539" s="1598"/>
      <c r="X539" s="1597"/>
      <c r="Y539" s="1597"/>
      <c r="Z539" s="1597"/>
      <c r="AA539" s="823"/>
      <c r="AB539" s="823"/>
      <c r="AC539" s="86"/>
      <c r="AD539" s="823"/>
      <c r="AE539" s="823"/>
      <c r="AF539" s="823"/>
      <c r="AG539" s="823"/>
      <c r="AH539" s="823"/>
      <c r="AI539" s="86"/>
      <c r="AJ539" s="823"/>
      <c r="AK539" s="823"/>
      <c r="AL539" s="823"/>
      <c r="AM539" s="823"/>
      <c r="AN539" s="823"/>
      <c r="AO539" s="86"/>
      <c r="AP539" s="823"/>
      <c r="AQ539" s="823"/>
      <c r="AR539" s="823"/>
      <c r="AS539" s="823"/>
      <c r="AT539" s="823"/>
      <c r="AU539" s="86"/>
      <c r="AV539" s="823"/>
      <c r="AW539" s="823"/>
      <c r="AX539" s="823"/>
      <c r="AY539" s="823"/>
      <c r="AZ539" s="823"/>
      <c r="BA539" s="86"/>
      <c r="BB539" s="823"/>
      <c r="BC539" s="823"/>
      <c r="BD539" s="823"/>
      <c r="BE539" s="823"/>
      <c r="BF539" s="823"/>
      <c r="BG539" s="86"/>
      <c r="BH539" s="823"/>
      <c r="BI539" s="823"/>
      <c r="BJ539" s="823"/>
      <c r="BK539" s="823"/>
    </row>
    <row r="540" spans="1:101">
      <c r="A540" s="71"/>
      <c r="B540" s="71"/>
      <c r="C540" s="822"/>
      <c r="D540" s="86"/>
      <c r="E540" s="71"/>
      <c r="F540" s="823"/>
      <c r="G540" s="823"/>
      <c r="H540" s="823"/>
      <c r="I540" s="823"/>
      <c r="J540" s="86"/>
      <c r="K540" s="86"/>
      <c r="L540" s="823"/>
      <c r="M540" s="823"/>
      <c r="N540" s="823"/>
      <c r="O540" s="823"/>
      <c r="P540" s="823"/>
      <c r="Q540" s="86"/>
      <c r="R540" s="823"/>
      <c r="S540" s="823"/>
      <c r="T540" s="823"/>
      <c r="U540" s="823"/>
      <c r="V540" s="1597"/>
      <c r="W540" s="1598"/>
      <c r="X540" s="1597"/>
      <c r="Y540" s="1597"/>
      <c r="Z540" s="1597"/>
      <c r="AA540" s="823"/>
      <c r="AB540" s="823"/>
      <c r="AC540" s="86"/>
      <c r="AD540" s="823"/>
      <c r="AE540" s="823"/>
      <c r="AF540" s="823"/>
      <c r="AG540" s="823"/>
      <c r="AH540" s="823"/>
      <c r="AI540" s="86"/>
      <c r="AJ540" s="823"/>
      <c r="AK540" s="823"/>
      <c r="AL540" s="823"/>
      <c r="AM540" s="823"/>
      <c r="AN540" s="823"/>
      <c r="AO540" s="86"/>
      <c r="AP540" s="823"/>
      <c r="AQ540" s="823"/>
      <c r="AR540" s="823"/>
      <c r="AS540" s="823"/>
      <c r="AT540" s="823"/>
      <c r="AU540" s="86"/>
      <c r="AV540" s="823"/>
      <c r="AW540" s="823"/>
      <c r="AX540" s="823"/>
      <c r="AY540" s="823"/>
      <c r="AZ540" s="823"/>
      <c r="BA540" s="86"/>
      <c r="BB540" s="823"/>
      <c r="BC540" s="823"/>
      <c r="BD540" s="823"/>
      <c r="BE540" s="823"/>
      <c r="BF540" s="823"/>
      <c r="BG540" s="86"/>
      <c r="BH540" s="823"/>
      <c r="BI540" s="823"/>
      <c r="BJ540" s="823"/>
      <c r="BK540" s="823"/>
    </row>
    <row r="541" spans="1:101">
      <c r="A541" s="71"/>
      <c r="B541" s="71"/>
      <c r="C541" s="822"/>
      <c r="D541" s="86"/>
      <c r="E541" s="71"/>
      <c r="F541" s="823"/>
      <c r="G541" s="823"/>
      <c r="H541" s="823"/>
      <c r="I541" s="823"/>
      <c r="J541" s="86"/>
      <c r="K541" s="86"/>
      <c r="L541" s="823"/>
      <c r="M541" s="823"/>
      <c r="N541" s="823"/>
      <c r="O541" s="823"/>
      <c r="P541" s="823"/>
      <c r="Q541" s="86"/>
      <c r="R541" s="823"/>
      <c r="S541" s="823"/>
      <c r="T541" s="823"/>
      <c r="U541" s="823"/>
      <c r="V541" s="1597"/>
      <c r="W541" s="1598"/>
      <c r="X541" s="1597"/>
      <c r="Y541" s="1597"/>
      <c r="Z541" s="1597"/>
      <c r="AA541" s="823"/>
      <c r="AB541" s="823"/>
      <c r="AC541" s="86"/>
      <c r="AD541" s="823"/>
      <c r="AE541" s="823"/>
      <c r="AF541" s="823"/>
      <c r="AG541" s="823"/>
      <c r="AH541" s="823"/>
      <c r="AI541" s="86"/>
      <c r="AJ541" s="823"/>
      <c r="AK541" s="823"/>
      <c r="AL541" s="823"/>
      <c r="AM541" s="823"/>
      <c r="AN541" s="823"/>
      <c r="AO541" s="86"/>
      <c r="AP541" s="823"/>
      <c r="AQ541" s="823"/>
      <c r="AR541" s="823"/>
      <c r="AS541" s="823"/>
      <c r="AT541" s="823"/>
      <c r="AU541" s="86"/>
      <c r="AV541" s="823"/>
      <c r="AW541" s="823"/>
      <c r="AX541" s="823"/>
      <c r="AY541" s="823"/>
      <c r="AZ541" s="823"/>
      <c r="BA541" s="86"/>
      <c r="BB541" s="823"/>
      <c r="BC541" s="823"/>
      <c r="BD541" s="823"/>
      <c r="BE541" s="823"/>
      <c r="BF541" s="823"/>
      <c r="BG541" s="86"/>
      <c r="BH541" s="823"/>
      <c r="BI541" s="823"/>
      <c r="BJ541" s="823"/>
      <c r="BK541" s="823"/>
    </row>
    <row r="542" spans="1:101">
      <c r="A542" s="71"/>
      <c r="B542" s="71"/>
      <c r="C542" s="822"/>
      <c r="D542" s="86"/>
      <c r="E542" s="71"/>
      <c r="F542" s="823"/>
      <c r="G542" s="823"/>
      <c r="H542" s="823"/>
      <c r="I542" s="823"/>
      <c r="J542" s="86"/>
      <c r="K542" s="86"/>
      <c r="L542" s="823"/>
      <c r="M542" s="823"/>
      <c r="N542" s="823"/>
      <c r="O542" s="823"/>
      <c r="P542" s="823"/>
      <c r="Q542" s="86"/>
      <c r="R542" s="823"/>
      <c r="S542" s="823"/>
      <c r="T542" s="823"/>
      <c r="U542" s="823"/>
      <c r="V542" s="1597"/>
      <c r="W542" s="1598"/>
      <c r="X542" s="1597"/>
      <c r="Y542" s="1597"/>
      <c r="Z542" s="1597"/>
      <c r="AA542" s="823"/>
      <c r="AB542" s="823"/>
      <c r="AC542" s="86"/>
      <c r="AD542" s="823"/>
      <c r="AE542" s="823"/>
      <c r="AF542" s="823"/>
      <c r="AG542" s="823"/>
      <c r="AH542" s="823"/>
      <c r="AI542" s="86"/>
      <c r="AJ542" s="823"/>
      <c r="AK542" s="823"/>
      <c r="AL542" s="823"/>
      <c r="AM542" s="823"/>
      <c r="AN542" s="823"/>
      <c r="AO542" s="86"/>
      <c r="AP542" s="823"/>
      <c r="AQ542" s="823"/>
      <c r="AR542" s="823"/>
      <c r="AS542" s="823"/>
      <c r="AT542" s="823"/>
      <c r="AU542" s="86"/>
      <c r="AV542" s="823"/>
      <c r="AW542" s="823"/>
      <c r="AX542" s="823"/>
      <c r="AY542" s="823"/>
      <c r="AZ542" s="823"/>
      <c r="BA542" s="86"/>
      <c r="BB542" s="823"/>
      <c r="BC542" s="823"/>
      <c r="BD542" s="823"/>
      <c r="BE542" s="823"/>
      <c r="BF542" s="823"/>
      <c r="BG542" s="86"/>
      <c r="BH542" s="823"/>
      <c r="BI542" s="823"/>
      <c r="BJ542" s="823"/>
      <c r="BK542" s="823"/>
      <c r="CW542" s="326"/>
    </row>
    <row r="543" spans="1:101">
      <c r="A543" s="71"/>
      <c r="B543" s="71"/>
      <c r="C543" s="822"/>
      <c r="D543" s="86"/>
      <c r="E543" s="71"/>
      <c r="F543" s="823"/>
      <c r="G543" s="823"/>
      <c r="H543" s="823"/>
      <c r="I543" s="823"/>
      <c r="J543" s="86"/>
      <c r="K543" s="86"/>
      <c r="L543" s="823"/>
      <c r="M543" s="823"/>
      <c r="N543" s="823"/>
      <c r="O543" s="823"/>
      <c r="P543" s="823"/>
      <c r="Q543" s="86"/>
      <c r="R543" s="823"/>
      <c r="S543" s="823"/>
      <c r="T543" s="823"/>
      <c r="U543" s="823"/>
      <c r="V543" s="1597"/>
      <c r="W543" s="1598"/>
      <c r="X543" s="1597"/>
      <c r="Y543" s="1597"/>
      <c r="Z543" s="1597"/>
      <c r="AA543" s="823"/>
      <c r="AB543" s="823"/>
      <c r="AC543" s="86"/>
      <c r="AD543" s="823"/>
      <c r="AE543" s="823"/>
      <c r="AF543" s="823"/>
      <c r="AG543" s="823"/>
      <c r="AH543" s="823"/>
      <c r="AI543" s="86"/>
      <c r="AJ543" s="823"/>
      <c r="AK543" s="823"/>
      <c r="AL543" s="823"/>
      <c r="AM543" s="823"/>
      <c r="AN543" s="823"/>
      <c r="AO543" s="86"/>
      <c r="AP543" s="823"/>
      <c r="AQ543" s="823"/>
      <c r="AR543" s="823"/>
      <c r="AS543" s="823"/>
      <c r="AT543" s="823"/>
      <c r="AU543" s="86"/>
      <c r="AV543" s="823"/>
      <c r="AW543" s="823"/>
      <c r="AX543" s="823"/>
      <c r="AY543" s="823"/>
      <c r="AZ543" s="823"/>
      <c r="BA543" s="86"/>
      <c r="BB543" s="823"/>
      <c r="BC543" s="823"/>
      <c r="BD543" s="823"/>
      <c r="BE543" s="823"/>
      <c r="BF543" s="823"/>
      <c r="BG543" s="86"/>
      <c r="BH543" s="823"/>
      <c r="BI543" s="823"/>
      <c r="BJ543" s="823"/>
      <c r="BK543" s="823"/>
      <c r="CW543" s="813"/>
    </row>
    <row r="544" spans="1:101">
      <c r="A544" s="71"/>
      <c r="B544" s="71"/>
      <c r="C544" s="822"/>
      <c r="D544" s="86"/>
      <c r="E544" s="71"/>
      <c r="F544" s="823"/>
      <c r="G544" s="823"/>
      <c r="H544" s="823"/>
      <c r="I544" s="823"/>
      <c r="J544" s="86"/>
      <c r="K544" s="86"/>
      <c r="L544" s="823"/>
      <c r="M544" s="823"/>
      <c r="N544" s="823"/>
      <c r="O544" s="823"/>
      <c r="P544" s="823"/>
      <c r="Q544" s="86"/>
      <c r="R544" s="823"/>
      <c r="S544" s="823"/>
      <c r="T544" s="823"/>
      <c r="U544" s="823"/>
      <c r="V544" s="1597"/>
      <c r="W544" s="1598"/>
      <c r="X544" s="1597"/>
      <c r="Y544" s="1597"/>
      <c r="Z544" s="1597"/>
      <c r="AA544" s="823"/>
      <c r="AB544" s="823"/>
      <c r="AC544" s="86"/>
      <c r="AD544" s="823"/>
      <c r="AE544" s="823"/>
      <c r="AF544" s="823"/>
      <c r="AG544" s="823"/>
      <c r="AH544" s="823"/>
      <c r="AI544" s="86"/>
      <c r="AJ544" s="823"/>
      <c r="AK544" s="823"/>
      <c r="AL544" s="823"/>
      <c r="AM544" s="823"/>
      <c r="AN544" s="823"/>
      <c r="AO544" s="86"/>
      <c r="AP544" s="823"/>
      <c r="AQ544" s="823"/>
      <c r="AR544" s="823"/>
      <c r="AS544" s="823"/>
      <c r="AT544" s="823"/>
      <c r="AU544" s="86"/>
      <c r="AV544" s="823"/>
      <c r="AW544" s="823"/>
      <c r="AX544" s="823"/>
      <c r="AY544" s="823"/>
      <c r="AZ544" s="823"/>
      <c r="BA544" s="86"/>
      <c r="BB544" s="823"/>
      <c r="BC544" s="823"/>
      <c r="BD544" s="823"/>
      <c r="BE544" s="823"/>
      <c r="BF544" s="823"/>
      <c r="BG544" s="86"/>
      <c r="BH544" s="823"/>
      <c r="BI544" s="823"/>
      <c r="BJ544" s="823"/>
      <c r="BK544" s="823"/>
      <c r="CW544" s="813"/>
    </row>
    <row r="545" spans="1:101">
      <c r="A545" s="71"/>
      <c r="B545" s="71"/>
      <c r="C545" s="822"/>
      <c r="D545" s="86"/>
      <c r="E545" s="71"/>
      <c r="F545" s="823"/>
      <c r="G545" s="823"/>
      <c r="H545" s="823"/>
      <c r="I545" s="823"/>
      <c r="J545" s="86"/>
      <c r="K545" s="86"/>
      <c r="L545" s="823"/>
      <c r="M545" s="823"/>
      <c r="N545" s="823"/>
      <c r="O545" s="823"/>
      <c r="P545" s="823"/>
      <c r="Q545" s="86"/>
      <c r="R545" s="823"/>
      <c r="S545" s="823"/>
      <c r="T545" s="823"/>
      <c r="U545" s="823"/>
      <c r="V545" s="1597"/>
      <c r="W545" s="1598"/>
      <c r="X545" s="1597"/>
      <c r="Y545" s="1597"/>
      <c r="Z545" s="1597"/>
      <c r="AA545" s="823"/>
      <c r="AB545" s="823"/>
      <c r="AC545" s="86"/>
      <c r="AD545" s="823"/>
      <c r="AE545" s="823"/>
      <c r="AF545" s="823"/>
      <c r="AG545" s="823"/>
      <c r="AH545" s="823"/>
      <c r="AI545" s="86"/>
      <c r="AJ545" s="823"/>
      <c r="AK545" s="823"/>
      <c r="AL545" s="823"/>
      <c r="AM545" s="823"/>
      <c r="AN545" s="823"/>
      <c r="AO545" s="86"/>
      <c r="AP545" s="823"/>
      <c r="AQ545" s="823"/>
      <c r="AR545" s="823"/>
      <c r="AS545" s="823"/>
      <c r="AT545" s="823"/>
      <c r="AU545" s="86"/>
      <c r="AV545" s="823"/>
      <c r="AW545" s="823"/>
      <c r="AX545" s="823"/>
      <c r="AY545" s="823"/>
      <c r="AZ545" s="823"/>
      <c r="BA545" s="86"/>
      <c r="BB545" s="823"/>
      <c r="BC545" s="823"/>
      <c r="BD545" s="823"/>
      <c r="BE545" s="823"/>
      <c r="BF545" s="823"/>
      <c r="BG545" s="86"/>
      <c r="BH545" s="823"/>
      <c r="BI545" s="823"/>
      <c r="BJ545" s="823"/>
      <c r="BK545" s="823"/>
      <c r="CW545" s="813"/>
    </row>
    <row r="546" spans="1:101">
      <c r="A546" s="71"/>
      <c r="B546" s="71"/>
      <c r="C546" s="822"/>
      <c r="D546" s="86"/>
      <c r="E546" s="71"/>
      <c r="F546" s="823"/>
      <c r="G546" s="823"/>
      <c r="H546" s="823"/>
      <c r="I546" s="823"/>
      <c r="J546" s="86"/>
      <c r="K546" s="86"/>
      <c r="L546" s="823"/>
      <c r="M546" s="823"/>
      <c r="N546" s="823"/>
      <c r="O546" s="823"/>
      <c r="P546" s="823"/>
      <c r="Q546" s="86"/>
      <c r="R546" s="823"/>
      <c r="S546" s="823"/>
      <c r="T546" s="823"/>
      <c r="U546" s="823"/>
      <c r="V546" s="1597"/>
      <c r="W546" s="1598"/>
      <c r="X546" s="1597"/>
      <c r="Y546" s="1597"/>
      <c r="Z546" s="1597"/>
      <c r="AA546" s="823"/>
      <c r="AB546" s="823"/>
      <c r="AC546" s="86"/>
      <c r="AD546" s="823"/>
      <c r="AE546" s="823"/>
      <c r="AF546" s="823"/>
      <c r="AG546" s="823"/>
      <c r="AH546" s="823"/>
      <c r="AI546" s="86"/>
      <c r="AJ546" s="823"/>
      <c r="AK546" s="823"/>
      <c r="AL546" s="823"/>
      <c r="AM546" s="823"/>
      <c r="AN546" s="823"/>
      <c r="AO546" s="86"/>
      <c r="AP546" s="823"/>
      <c r="AQ546" s="823"/>
      <c r="AR546" s="823"/>
      <c r="AS546" s="823"/>
      <c r="AT546" s="823"/>
      <c r="AU546" s="86"/>
      <c r="AV546" s="823"/>
      <c r="AW546" s="823"/>
      <c r="AX546" s="823"/>
      <c r="AY546" s="823"/>
      <c r="AZ546" s="823"/>
      <c r="BA546" s="86"/>
      <c r="BB546" s="823"/>
      <c r="BC546" s="823"/>
      <c r="BD546" s="823"/>
      <c r="BE546" s="823"/>
      <c r="BF546" s="823"/>
      <c r="BG546" s="86"/>
      <c r="BH546" s="823"/>
      <c r="BI546" s="823"/>
      <c r="BJ546" s="823"/>
      <c r="BK546" s="823"/>
      <c r="CW546" s="813"/>
    </row>
    <row r="547" spans="1:101">
      <c r="A547" s="71"/>
      <c r="B547" s="71"/>
      <c r="C547" s="822"/>
      <c r="D547" s="86"/>
      <c r="E547" s="71"/>
      <c r="F547" s="823"/>
      <c r="G547" s="823"/>
      <c r="H547" s="823"/>
      <c r="I547" s="823"/>
      <c r="J547" s="86"/>
      <c r="K547" s="86"/>
      <c r="L547" s="823"/>
      <c r="M547" s="823"/>
      <c r="N547" s="823"/>
      <c r="O547" s="823"/>
      <c r="P547" s="823"/>
      <c r="Q547" s="86"/>
      <c r="R547" s="823"/>
      <c r="S547" s="823"/>
      <c r="T547" s="823"/>
      <c r="U547" s="823"/>
      <c r="V547" s="1597"/>
      <c r="W547" s="1598"/>
      <c r="X547" s="1597"/>
      <c r="Y547" s="1597"/>
      <c r="Z547" s="1597"/>
      <c r="AA547" s="823"/>
      <c r="AB547" s="823"/>
      <c r="AC547" s="86"/>
      <c r="AD547" s="823"/>
      <c r="AE547" s="823"/>
      <c r="AF547" s="823"/>
      <c r="AG547" s="823"/>
      <c r="AH547" s="823"/>
      <c r="AI547" s="86"/>
      <c r="AJ547" s="823"/>
      <c r="AK547" s="823"/>
      <c r="AL547" s="823"/>
      <c r="AM547" s="823"/>
      <c r="AN547" s="823"/>
      <c r="AO547" s="86"/>
      <c r="AP547" s="823"/>
      <c r="AQ547" s="823"/>
      <c r="AR547" s="823"/>
      <c r="AS547" s="823"/>
      <c r="AT547" s="823"/>
      <c r="AU547" s="86"/>
      <c r="AV547" s="823"/>
      <c r="AW547" s="823"/>
      <c r="AX547" s="823"/>
      <c r="AY547" s="823"/>
      <c r="AZ547" s="823"/>
      <c r="BA547" s="86"/>
      <c r="BB547" s="823"/>
      <c r="BC547" s="823"/>
      <c r="BD547" s="823"/>
      <c r="BE547" s="823"/>
      <c r="BF547" s="823"/>
      <c r="BG547" s="86"/>
      <c r="BH547" s="823"/>
      <c r="BI547" s="823"/>
      <c r="BJ547" s="823"/>
      <c r="BK547" s="823"/>
      <c r="CW547" s="813"/>
    </row>
    <row r="548" spans="1:101">
      <c r="A548" s="71"/>
      <c r="B548" s="71"/>
      <c r="C548" s="822"/>
      <c r="D548" s="86"/>
      <c r="E548" s="71"/>
      <c r="F548" s="823"/>
      <c r="G548" s="823"/>
      <c r="H548" s="823"/>
      <c r="I548" s="823"/>
      <c r="J548" s="86"/>
      <c r="K548" s="86"/>
      <c r="L548" s="823"/>
      <c r="M548" s="823"/>
      <c r="N548" s="823"/>
      <c r="O548" s="823"/>
      <c r="P548" s="823"/>
      <c r="Q548" s="86"/>
      <c r="R548" s="823"/>
      <c r="S548" s="823"/>
      <c r="T548" s="823"/>
      <c r="U548" s="823"/>
      <c r="V548" s="1597"/>
      <c r="W548" s="1598"/>
      <c r="X548" s="1597"/>
      <c r="Y548" s="1597"/>
      <c r="Z548" s="1597"/>
      <c r="AA548" s="823"/>
      <c r="AB548" s="823"/>
      <c r="AC548" s="86"/>
      <c r="AD548" s="823"/>
      <c r="AE548" s="823"/>
      <c r="AF548" s="823"/>
      <c r="AG548" s="823"/>
      <c r="AH548" s="823"/>
      <c r="AI548" s="86"/>
      <c r="AJ548" s="823"/>
      <c r="AK548" s="823"/>
      <c r="AL548" s="823"/>
      <c r="AM548" s="823"/>
      <c r="AN548" s="823"/>
      <c r="AO548" s="86"/>
      <c r="AP548" s="823"/>
      <c r="AQ548" s="823"/>
      <c r="AR548" s="823"/>
      <c r="AS548" s="823"/>
      <c r="AT548" s="823"/>
      <c r="AU548" s="86"/>
      <c r="AV548" s="823"/>
      <c r="AW548" s="823"/>
      <c r="AX548" s="823"/>
      <c r="AY548" s="823"/>
      <c r="AZ548" s="823"/>
      <c r="BA548" s="86"/>
      <c r="BB548" s="823"/>
      <c r="BC548" s="823"/>
      <c r="BD548" s="823"/>
      <c r="BE548" s="823"/>
      <c r="BF548" s="823"/>
      <c r="BG548" s="86"/>
      <c r="BH548" s="823"/>
      <c r="BI548" s="823"/>
      <c r="BJ548" s="823"/>
      <c r="BK548" s="823"/>
      <c r="CW548" s="813"/>
    </row>
    <row r="549" spans="1:101">
      <c r="A549" s="71"/>
      <c r="B549" s="71"/>
      <c r="C549" s="822"/>
      <c r="D549" s="86"/>
      <c r="E549" s="71"/>
      <c r="F549" s="823"/>
      <c r="G549" s="823"/>
      <c r="H549" s="823"/>
      <c r="I549" s="823"/>
      <c r="J549" s="86"/>
      <c r="K549" s="86"/>
      <c r="L549" s="823"/>
      <c r="M549" s="823"/>
      <c r="N549" s="823"/>
      <c r="O549" s="823"/>
      <c r="P549" s="823"/>
      <c r="Q549" s="86"/>
      <c r="R549" s="823"/>
      <c r="S549" s="823"/>
      <c r="T549" s="823"/>
      <c r="U549" s="823"/>
      <c r="V549" s="1597"/>
      <c r="W549" s="1598"/>
      <c r="X549" s="1597"/>
      <c r="Y549" s="1597"/>
      <c r="Z549" s="1597"/>
      <c r="AA549" s="823"/>
      <c r="AB549" s="823"/>
      <c r="AC549" s="86"/>
      <c r="AD549" s="823"/>
      <c r="AE549" s="823"/>
      <c r="AF549" s="823"/>
      <c r="AG549" s="823"/>
      <c r="AH549" s="823"/>
      <c r="AI549" s="86"/>
      <c r="AJ549" s="823"/>
      <c r="AK549" s="823"/>
      <c r="AL549" s="823"/>
      <c r="AM549" s="823"/>
      <c r="AN549" s="823"/>
      <c r="AO549" s="86"/>
      <c r="AP549" s="823"/>
      <c r="AQ549" s="823"/>
      <c r="AR549" s="823"/>
      <c r="AS549" s="823"/>
      <c r="AT549" s="823"/>
      <c r="AU549" s="86"/>
      <c r="AV549" s="823"/>
      <c r="AW549" s="823"/>
      <c r="AX549" s="823"/>
      <c r="AY549" s="823"/>
      <c r="AZ549" s="823"/>
      <c r="BA549" s="86"/>
      <c r="BB549" s="823"/>
      <c r="BC549" s="823"/>
      <c r="BD549" s="823"/>
      <c r="BE549" s="823"/>
      <c r="BF549" s="823"/>
      <c r="BG549" s="86"/>
      <c r="BH549" s="823"/>
      <c r="BI549" s="823"/>
      <c r="BJ549" s="823"/>
      <c r="BK549" s="823"/>
      <c r="CW549" s="813"/>
    </row>
    <row r="550" spans="1:101">
      <c r="A550" s="71"/>
      <c r="B550" s="71"/>
      <c r="C550" s="822"/>
      <c r="D550" s="86"/>
      <c r="E550" s="71"/>
      <c r="F550" s="823"/>
      <c r="G550" s="823"/>
      <c r="H550" s="823"/>
      <c r="I550" s="823"/>
      <c r="J550" s="86"/>
      <c r="K550" s="86"/>
      <c r="L550" s="823"/>
      <c r="M550" s="823"/>
      <c r="N550" s="823"/>
      <c r="O550" s="823"/>
      <c r="P550" s="823"/>
      <c r="Q550" s="86"/>
      <c r="R550" s="823"/>
      <c r="S550" s="823"/>
      <c r="T550" s="823"/>
      <c r="U550" s="823"/>
      <c r="V550" s="1597"/>
      <c r="W550" s="1598"/>
      <c r="X550" s="1597"/>
      <c r="Y550" s="1597"/>
      <c r="Z550" s="1597"/>
      <c r="AA550" s="823"/>
      <c r="AB550" s="823"/>
      <c r="AC550" s="86"/>
      <c r="AD550" s="823"/>
      <c r="AE550" s="823"/>
      <c r="AF550" s="823"/>
      <c r="AG550" s="823"/>
      <c r="AH550" s="823"/>
      <c r="AI550" s="86"/>
      <c r="AJ550" s="823"/>
      <c r="AK550" s="823"/>
      <c r="AL550" s="823"/>
      <c r="AM550" s="823"/>
      <c r="AN550" s="823"/>
      <c r="AO550" s="86"/>
      <c r="AP550" s="823"/>
      <c r="AQ550" s="823"/>
      <c r="AR550" s="823"/>
      <c r="AS550" s="823"/>
      <c r="AT550" s="823"/>
      <c r="AU550" s="86"/>
      <c r="AV550" s="823"/>
      <c r="AW550" s="823"/>
      <c r="AX550" s="823"/>
      <c r="AY550" s="823"/>
      <c r="AZ550" s="823"/>
      <c r="BA550" s="86"/>
      <c r="BB550" s="823"/>
      <c r="BC550" s="823"/>
      <c r="BD550" s="823"/>
      <c r="BE550" s="823"/>
      <c r="BF550" s="823"/>
      <c r="BG550" s="86"/>
      <c r="BH550" s="823"/>
      <c r="BI550" s="823"/>
      <c r="BJ550" s="823"/>
      <c r="BK550" s="823"/>
      <c r="CW550" s="813"/>
    </row>
    <row r="551" spans="1:101">
      <c r="A551" s="71"/>
      <c r="B551" s="71"/>
      <c r="C551" s="822"/>
      <c r="D551" s="86"/>
      <c r="E551" s="71"/>
      <c r="F551" s="823"/>
      <c r="G551" s="823"/>
      <c r="H551" s="823"/>
      <c r="I551" s="823"/>
      <c r="J551" s="86"/>
      <c r="K551" s="86"/>
      <c r="L551" s="823"/>
      <c r="M551" s="823"/>
      <c r="N551" s="823"/>
      <c r="O551" s="823"/>
      <c r="P551" s="823"/>
      <c r="Q551" s="86"/>
      <c r="R551" s="823"/>
      <c r="S551" s="823"/>
      <c r="T551" s="823"/>
      <c r="U551" s="823"/>
      <c r="V551" s="1597"/>
      <c r="W551" s="1598"/>
      <c r="X551" s="1597"/>
      <c r="Y551" s="1597"/>
      <c r="Z551" s="1597"/>
      <c r="AA551" s="823"/>
      <c r="AB551" s="823"/>
      <c r="AC551" s="86"/>
      <c r="AD551" s="823"/>
      <c r="AE551" s="823"/>
      <c r="AF551" s="823"/>
      <c r="AG551" s="823"/>
      <c r="AH551" s="823"/>
      <c r="AI551" s="86"/>
      <c r="AJ551" s="823"/>
      <c r="AK551" s="823"/>
      <c r="AL551" s="823"/>
      <c r="AM551" s="823"/>
      <c r="AN551" s="823"/>
      <c r="AO551" s="86"/>
      <c r="AP551" s="823"/>
      <c r="AQ551" s="823"/>
      <c r="AR551" s="823"/>
      <c r="AS551" s="823"/>
      <c r="AT551" s="823"/>
      <c r="AU551" s="86"/>
      <c r="AV551" s="823"/>
      <c r="AW551" s="823"/>
      <c r="AX551" s="823"/>
      <c r="AY551" s="823"/>
      <c r="AZ551" s="823"/>
      <c r="BA551" s="86"/>
      <c r="BB551" s="823"/>
      <c r="BC551" s="823"/>
      <c r="BD551" s="823"/>
      <c r="BE551" s="823"/>
      <c r="BF551" s="823"/>
      <c r="BG551" s="86"/>
      <c r="BH551" s="823"/>
      <c r="BI551" s="823"/>
      <c r="BJ551" s="823"/>
      <c r="BK551" s="823"/>
      <c r="CW551" s="813"/>
    </row>
    <row r="552" spans="1:101">
      <c r="A552" s="71"/>
      <c r="B552" s="71"/>
      <c r="C552" s="822"/>
      <c r="D552" s="86"/>
      <c r="E552" s="71"/>
      <c r="F552" s="823"/>
      <c r="G552" s="823"/>
      <c r="H552" s="823"/>
      <c r="I552" s="823"/>
      <c r="J552" s="86"/>
      <c r="K552" s="86"/>
      <c r="L552" s="823"/>
      <c r="M552" s="823"/>
      <c r="N552" s="823"/>
      <c r="O552" s="823"/>
      <c r="P552" s="823"/>
      <c r="Q552" s="86"/>
      <c r="R552" s="823"/>
      <c r="S552" s="823"/>
      <c r="T552" s="823"/>
      <c r="U552" s="823"/>
      <c r="V552" s="1597"/>
      <c r="W552" s="1598"/>
      <c r="X552" s="1597"/>
      <c r="Y552" s="1597"/>
      <c r="Z552" s="1597"/>
      <c r="AA552" s="823"/>
      <c r="AB552" s="823"/>
      <c r="AC552" s="86"/>
      <c r="AD552" s="823"/>
      <c r="AE552" s="823"/>
      <c r="AF552" s="823"/>
      <c r="AG552" s="823"/>
      <c r="AH552" s="823"/>
      <c r="AI552" s="86"/>
      <c r="AJ552" s="823"/>
      <c r="AK552" s="823"/>
      <c r="AL552" s="823"/>
      <c r="AM552" s="823"/>
      <c r="AN552" s="823"/>
      <c r="AO552" s="86"/>
      <c r="AP552" s="823"/>
      <c r="AQ552" s="823"/>
      <c r="AR552" s="823"/>
      <c r="AS552" s="823"/>
      <c r="AT552" s="823"/>
      <c r="AU552" s="86"/>
      <c r="AV552" s="823"/>
      <c r="AW552" s="823"/>
      <c r="AX552" s="823"/>
      <c r="AY552" s="823"/>
      <c r="AZ552" s="823"/>
      <c r="BA552" s="86"/>
      <c r="BB552" s="823"/>
      <c r="BC552" s="823"/>
      <c r="BD552" s="823"/>
      <c r="BE552" s="823"/>
      <c r="BF552" s="823"/>
      <c r="BG552" s="86"/>
      <c r="BH552" s="823"/>
      <c r="BI552" s="823"/>
      <c r="BJ552" s="823"/>
      <c r="BK552" s="823"/>
      <c r="CW552" s="813"/>
    </row>
    <row r="553" spans="1:101">
      <c r="A553" s="71"/>
      <c r="B553" s="71"/>
      <c r="C553" s="822"/>
      <c r="D553" s="822"/>
      <c r="E553" s="824"/>
      <c r="F553" s="86"/>
      <c r="G553" s="86"/>
      <c r="H553" s="823"/>
      <c r="I553" s="823"/>
      <c r="J553" s="823"/>
      <c r="K553" s="823"/>
      <c r="L553" s="823"/>
      <c r="M553" s="823"/>
      <c r="N553" s="823"/>
      <c r="O553" s="823"/>
      <c r="P553" s="823"/>
      <c r="Q553" s="823"/>
      <c r="R553" s="823"/>
      <c r="S553" s="823"/>
      <c r="T553" s="823"/>
      <c r="U553" s="823"/>
      <c r="V553" s="1597"/>
      <c r="W553" s="1597"/>
      <c r="X553" s="1597"/>
      <c r="Y553" s="1597"/>
      <c r="Z553" s="1597"/>
      <c r="AA553" s="823"/>
      <c r="AB553" s="823"/>
      <c r="AC553" s="823"/>
      <c r="AD553" s="823"/>
      <c r="AE553" s="823"/>
      <c r="AF553" s="823"/>
      <c r="AG553" s="823"/>
      <c r="AH553" s="823"/>
      <c r="AI553" s="123"/>
      <c r="AJ553" s="123"/>
      <c r="AK553" s="123"/>
      <c r="AL553" s="123"/>
      <c r="AM553" s="123"/>
      <c r="AN553" s="123"/>
      <c r="AO553" s="123"/>
      <c r="AP553" s="123"/>
      <c r="AQ553" s="123"/>
      <c r="AR553" s="123"/>
      <c r="AS553" s="123"/>
      <c r="AT553" s="123"/>
      <c r="AU553" s="123"/>
      <c r="AV553" s="123"/>
      <c r="AW553" s="123"/>
      <c r="AX553" s="123"/>
      <c r="AY553" s="123"/>
      <c r="AZ553" s="123"/>
      <c r="BA553" s="123"/>
      <c r="BB553" s="123"/>
      <c r="BC553" s="123"/>
      <c r="BD553" s="123"/>
      <c r="BE553" s="123"/>
      <c r="BF553" s="123"/>
      <c r="BG553" s="123"/>
      <c r="BH553" s="123"/>
      <c r="BI553" s="123"/>
      <c r="BJ553" s="123"/>
      <c r="BK553" s="123"/>
      <c r="BL553" s="123"/>
      <c r="CW553" s="813"/>
    </row>
    <row r="554" spans="1:101">
      <c r="A554" s="71"/>
      <c r="B554" s="71"/>
      <c r="C554" s="822"/>
      <c r="D554" s="822"/>
      <c r="E554" s="824"/>
      <c r="F554" s="86"/>
      <c r="G554" s="86"/>
      <c r="H554" s="823"/>
      <c r="I554" s="823"/>
      <c r="J554" s="823"/>
      <c r="K554" s="823"/>
      <c r="L554" s="823"/>
      <c r="M554" s="823"/>
      <c r="N554" s="823"/>
      <c r="O554" s="823"/>
      <c r="P554" s="823"/>
      <c r="Q554" s="823"/>
      <c r="R554" s="823"/>
      <c r="S554" s="823"/>
      <c r="T554" s="823"/>
      <c r="U554" s="823"/>
      <c r="V554" s="1597"/>
      <c r="W554" s="1597"/>
      <c r="X554" s="1597"/>
      <c r="Y554" s="1597"/>
      <c r="Z554" s="1597"/>
      <c r="AA554" s="823"/>
      <c r="AB554" s="823"/>
      <c r="AC554" s="823"/>
      <c r="AD554" s="823"/>
      <c r="AE554" s="823"/>
      <c r="AF554" s="823"/>
      <c r="AG554" s="823"/>
      <c r="AH554" s="823"/>
      <c r="AI554" s="123"/>
      <c r="AJ554" s="123"/>
      <c r="AK554" s="123"/>
      <c r="AL554" s="123"/>
      <c r="AM554" s="123"/>
      <c r="AN554" s="123"/>
      <c r="AO554" s="123"/>
      <c r="AP554" s="123"/>
      <c r="AQ554" s="123"/>
      <c r="AR554" s="123"/>
      <c r="AS554" s="123"/>
      <c r="AT554" s="123"/>
      <c r="AU554" s="123"/>
      <c r="AV554" s="123"/>
      <c r="AW554" s="123"/>
      <c r="AX554" s="123"/>
      <c r="AY554" s="123"/>
      <c r="AZ554" s="123"/>
      <c r="BA554" s="123"/>
      <c r="BB554" s="123"/>
      <c r="BC554" s="123"/>
      <c r="BD554" s="123"/>
      <c r="BE554" s="123"/>
      <c r="BF554" s="123"/>
      <c r="BG554" s="123"/>
      <c r="BH554" s="123"/>
      <c r="BI554" s="123"/>
      <c r="BJ554" s="123"/>
      <c r="BK554" s="123"/>
      <c r="BL554" s="123"/>
      <c r="CW554" s="813"/>
    </row>
    <row r="555" spans="1:101">
      <c r="A555" s="71"/>
      <c r="B555" s="71"/>
      <c r="C555" s="822"/>
      <c r="D555" s="822"/>
      <c r="E555" s="824"/>
      <c r="F555" s="86"/>
      <c r="G555" s="86"/>
      <c r="H555" s="823"/>
      <c r="I555" s="823"/>
      <c r="J555" s="823"/>
      <c r="K555" s="823"/>
      <c r="L555" s="823"/>
      <c r="M555" s="823"/>
      <c r="N555" s="823"/>
      <c r="O555" s="823"/>
      <c r="P555" s="823"/>
      <c r="Q555" s="823"/>
      <c r="R555" s="823"/>
      <c r="S555" s="823"/>
      <c r="T555" s="823"/>
      <c r="U555" s="823"/>
      <c r="V555" s="1597"/>
      <c r="W555" s="1597"/>
      <c r="X555" s="1597"/>
      <c r="Y555" s="1597"/>
      <c r="Z555" s="1597"/>
      <c r="AA555" s="823"/>
      <c r="AB555" s="823"/>
      <c r="AC555" s="823"/>
      <c r="AD555" s="823"/>
      <c r="AE555" s="823"/>
      <c r="AF555" s="823"/>
      <c r="AG555" s="823"/>
      <c r="AH555" s="823"/>
      <c r="AI555" s="123"/>
      <c r="AJ555" s="123"/>
      <c r="AK555" s="123"/>
      <c r="AL555" s="123"/>
      <c r="AM555" s="123"/>
      <c r="AN555" s="123"/>
      <c r="AO555" s="123"/>
      <c r="AP555" s="123"/>
      <c r="AQ555" s="123"/>
      <c r="AR555" s="123"/>
      <c r="AS555" s="123"/>
      <c r="AT555" s="123"/>
      <c r="AU555" s="123"/>
      <c r="AV555" s="123"/>
      <c r="AW555" s="123"/>
      <c r="AX555" s="123"/>
      <c r="AY555" s="123"/>
      <c r="AZ555" s="123"/>
      <c r="BA555" s="123"/>
      <c r="BB555" s="123"/>
      <c r="BC555" s="123"/>
      <c r="BD555" s="123"/>
      <c r="BE555" s="123"/>
      <c r="BF555" s="123"/>
      <c r="BG555" s="123"/>
      <c r="BH555" s="123"/>
      <c r="BI555" s="123"/>
      <c r="BJ555" s="123"/>
      <c r="BK555" s="123"/>
      <c r="BL555" s="123"/>
      <c r="CW555" s="813"/>
    </row>
    <row r="556" spans="1:101">
      <c r="A556" s="71"/>
      <c r="B556" s="71"/>
      <c r="C556" s="822"/>
      <c r="D556" s="822"/>
      <c r="E556" s="824"/>
      <c r="F556" s="86"/>
      <c r="G556" s="86"/>
      <c r="H556" s="823"/>
      <c r="I556" s="823"/>
      <c r="J556" s="823"/>
      <c r="K556" s="823"/>
      <c r="L556" s="823"/>
      <c r="M556" s="823"/>
      <c r="N556" s="823"/>
      <c r="O556" s="823"/>
      <c r="P556" s="823"/>
      <c r="Q556" s="823"/>
      <c r="R556" s="823"/>
      <c r="S556" s="823"/>
      <c r="T556" s="823"/>
      <c r="U556" s="823"/>
      <c r="V556" s="1597"/>
      <c r="W556" s="1597"/>
      <c r="X556" s="1597"/>
      <c r="Y556" s="1597"/>
      <c r="Z556" s="1597"/>
      <c r="AA556" s="823"/>
      <c r="AB556" s="823"/>
      <c r="AC556" s="823"/>
      <c r="AD556" s="823"/>
      <c r="AE556" s="823"/>
      <c r="AF556" s="823"/>
      <c r="AG556" s="823"/>
      <c r="AH556" s="823"/>
      <c r="AI556" s="123"/>
      <c r="AJ556" s="123"/>
      <c r="AK556" s="123"/>
      <c r="AL556" s="123"/>
      <c r="AM556" s="123"/>
      <c r="AN556" s="123"/>
      <c r="AO556" s="123"/>
      <c r="AP556" s="123"/>
      <c r="AQ556" s="123"/>
      <c r="AR556" s="123"/>
      <c r="AS556" s="123"/>
      <c r="AT556" s="123"/>
      <c r="AU556" s="123"/>
      <c r="AV556" s="123"/>
      <c r="AW556" s="123"/>
      <c r="AX556" s="123"/>
      <c r="AY556" s="123"/>
      <c r="AZ556" s="123"/>
      <c r="BA556" s="123"/>
      <c r="BB556" s="123"/>
      <c r="BC556" s="123"/>
      <c r="BD556" s="123"/>
      <c r="BE556" s="123"/>
      <c r="BF556" s="123"/>
      <c r="BG556" s="123"/>
      <c r="BH556" s="123"/>
      <c r="BI556" s="123"/>
      <c r="BJ556" s="123"/>
      <c r="BK556" s="123"/>
      <c r="BL556" s="123"/>
      <c r="CW556" s="813"/>
    </row>
    <row r="557" spans="1:101">
      <c r="A557" s="71"/>
      <c r="B557" s="71"/>
      <c r="C557" s="822"/>
      <c r="D557" s="822"/>
      <c r="E557" s="824"/>
      <c r="F557" s="86"/>
      <c r="G557" s="86"/>
      <c r="H557" s="823"/>
      <c r="I557" s="823"/>
      <c r="J557" s="823"/>
      <c r="K557" s="823"/>
      <c r="L557" s="823"/>
      <c r="M557" s="823"/>
      <c r="N557" s="823"/>
      <c r="O557" s="823"/>
      <c r="P557" s="823"/>
      <c r="Q557" s="823"/>
      <c r="R557" s="823"/>
      <c r="S557" s="823"/>
      <c r="T557" s="823"/>
      <c r="U557" s="823"/>
      <c r="V557" s="1597"/>
      <c r="W557" s="1597"/>
      <c r="X557" s="1597"/>
      <c r="Y557" s="1597"/>
      <c r="Z557" s="1597"/>
      <c r="AA557" s="823"/>
      <c r="AB557" s="823"/>
      <c r="AC557" s="823"/>
      <c r="AD557" s="823"/>
      <c r="AE557" s="823"/>
      <c r="AF557" s="823"/>
      <c r="AG557" s="823"/>
      <c r="AH557" s="823"/>
      <c r="AI557" s="123"/>
      <c r="AJ557" s="123"/>
      <c r="AK557" s="123"/>
      <c r="AL557" s="123"/>
      <c r="AM557" s="123"/>
      <c r="AN557" s="123"/>
      <c r="AO557" s="123"/>
      <c r="AP557" s="123"/>
      <c r="AQ557" s="123"/>
      <c r="AR557" s="123"/>
      <c r="AS557" s="123"/>
      <c r="AT557" s="123"/>
      <c r="AU557" s="123"/>
      <c r="AV557" s="123"/>
      <c r="AW557" s="123"/>
      <c r="AX557" s="123"/>
      <c r="AY557" s="123"/>
      <c r="AZ557" s="123"/>
      <c r="BA557" s="123"/>
      <c r="BB557" s="123"/>
      <c r="BC557" s="123"/>
      <c r="BD557" s="123"/>
      <c r="BE557" s="123"/>
      <c r="BF557" s="123"/>
      <c r="BG557" s="123"/>
      <c r="BH557" s="123"/>
      <c r="BI557" s="123"/>
      <c r="BJ557" s="123"/>
      <c r="BK557" s="123"/>
      <c r="BL557" s="123"/>
      <c r="CW557" s="813"/>
    </row>
    <row r="558" spans="1:101">
      <c r="A558" s="71"/>
      <c r="B558" s="71"/>
      <c r="C558" s="822"/>
      <c r="D558" s="822"/>
      <c r="E558" s="824"/>
      <c r="F558" s="86"/>
      <c r="G558" s="86"/>
      <c r="H558" s="823"/>
      <c r="I558" s="823"/>
      <c r="J558" s="823"/>
      <c r="K558" s="823"/>
      <c r="L558" s="823"/>
      <c r="M558" s="823"/>
      <c r="N558" s="823"/>
      <c r="O558" s="823"/>
      <c r="P558" s="823"/>
      <c r="Q558" s="823"/>
      <c r="R558" s="823"/>
      <c r="S558" s="823"/>
      <c r="T558" s="823"/>
      <c r="U558" s="823"/>
      <c r="V558" s="1597"/>
      <c r="W558" s="1597"/>
      <c r="X558" s="1597"/>
      <c r="Y558" s="1597"/>
      <c r="Z558" s="1597"/>
      <c r="AA558" s="823"/>
      <c r="AB558" s="823"/>
      <c r="AC558" s="823"/>
      <c r="AD558" s="823"/>
      <c r="AE558" s="823"/>
      <c r="AF558" s="823"/>
      <c r="AG558" s="823"/>
      <c r="AH558" s="823"/>
      <c r="AI558" s="123"/>
      <c r="AJ558" s="123"/>
      <c r="AK558" s="123"/>
      <c r="AL558" s="123"/>
      <c r="AM558" s="123"/>
      <c r="AN558" s="123"/>
      <c r="AO558" s="123"/>
      <c r="AP558" s="123"/>
      <c r="AQ558" s="123"/>
      <c r="AR558" s="123"/>
      <c r="AS558" s="123"/>
      <c r="AT558" s="123"/>
      <c r="AU558" s="123"/>
      <c r="AV558" s="123"/>
      <c r="AW558" s="123"/>
      <c r="AX558" s="123"/>
      <c r="AY558" s="123"/>
      <c r="AZ558" s="123"/>
      <c r="BA558" s="123"/>
      <c r="BB558" s="123"/>
      <c r="BC558" s="123"/>
      <c r="BD558" s="123"/>
      <c r="BE558" s="123"/>
      <c r="BF558" s="123"/>
      <c r="BG558" s="123"/>
      <c r="BH558" s="123"/>
      <c r="BI558" s="123"/>
      <c r="BJ558" s="123"/>
      <c r="BK558" s="123"/>
      <c r="BL558" s="123"/>
      <c r="CW558" s="813"/>
    </row>
    <row r="559" spans="1:101">
      <c r="A559" s="71"/>
      <c r="B559" s="71"/>
      <c r="C559" s="822"/>
      <c r="D559" s="822"/>
      <c r="E559" s="824"/>
      <c r="F559" s="86"/>
      <c r="G559" s="86"/>
      <c r="H559" s="823"/>
      <c r="I559" s="823"/>
      <c r="J559" s="823"/>
      <c r="K559" s="823"/>
      <c r="L559" s="823"/>
      <c r="M559" s="823"/>
      <c r="N559" s="823"/>
      <c r="O559" s="823"/>
      <c r="P559" s="823"/>
      <c r="Q559" s="823"/>
      <c r="R559" s="823"/>
      <c r="S559" s="823"/>
      <c r="T559" s="823"/>
      <c r="U559" s="823"/>
      <c r="V559" s="1597"/>
      <c r="W559" s="1597"/>
      <c r="X559" s="1597"/>
      <c r="Y559" s="1597"/>
      <c r="Z559" s="1597"/>
      <c r="AA559" s="823"/>
      <c r="AB559" s="823"/>
      <c r="AC559" s="823"/>
      <c r="AD559" s="823"/>
      <c r="AE559" s="823"/>
      <c r="AF559" s="823"/>
      <c r="AG559" s="823"/>
      <c r="AH559" s="823"/>
      <c r="AI559" s="123"/>
      <c r="AJ559" s="123"/>
      <c r="AK559" s="123"/>
      <c r="AL559" s="123"/>
      <c r="AM559" s="123"/>
      <c r="AN559" s="123"/>
      <c r="AO559" s="123"/>
      <c r="AP559" s="123"/>
      <c r="AQ559" s="123"/>
      <c r="AR559" s="123"/>
      <c r="AS559" s="123"/>
      <c r="AT559" s="123"/>
      <c r="AU559" s="123"/>
      <c r="AV559" s="123"/>
      <c r="AW559" s="123"/>
      <c r="AX559" s="123"/>
      <c r="AY559" s="123"/>
      <c r="AZ559" s="123"/>
      <c r="BA559" s="123"/>
      <c r="BB559" s="123"/>
      <c r="BC559" s="123"/>
      <c r="BD559" s="123"/>
      <c r="BE559" s="123"/>
      <c r="BF559" s="123"/>
      <c r="BG559" s="123"/>
      <c r="BH559" s="123"/>
      <c r="BI559" s="123"/>
      <c r="BJ559" s="123"/>
      <c r="BK559" s="123"/>
      <c r="BL559" s="123"/>
      <c r="CW559" s="813"/>
    </row>
    <row r="560" spans="1:101">
      <c r="A560" s="71"/>
      <c r="B560" s="71"/>
      <c r="C560" s="822"/>
      <c r="D560" s="822"/>
      <c r="E560" s="824"/>
      <c r="F560" s="86"/>
      <c r="G560" s="86"/>
      <c r="H560" s="823"/>
      <c r="I560" s="823"/>
      <c r="J560" s="823"/>
      <c r="K560" s="823"/>
      <c r="L560" s="823"/>
      <c r="M560" s="823"/>
      <c r="N560" s="823"/>
      <c r="O560" s="823"/>
      <c r="P560" s="823"/>
      <c r="Q560" s="823"/>
      <c r="R560" s="823"/>
      <c r="S560" s="823"/>
      <c r="T560" s="823"/>
      <c r="U560" s="823"/>
      <c r="V560" s="1597"/>
      <c r="W560" s="1597"/>
      <c r="X560" s="1597"/>
      <c r="Y560" s="1597"/>
      <c r="Z560" s="1597"/>
      <c r="AA560" s="823"/>
      <c r="AB560" s="823"/>
      <c r="AC560" s="823"/>
      <c r="AD560" s="823"/>
      <c r="AE560" s="823"/>
      <c r="AF560" s="823"/>
      <c r="AG560" s="823"/>
      <c r="AH560" s="823"/>
      <c r="AI560" s="123"/>
      <c r="AJ560" s="123"/>
      <c r="AK560" s="123"/>
      <c r="AL560" s="123"/>
      <c r="AM560" s="123"/>
      <c r="AN560" s="123"/>
      <c r="AO560" s="123"/>
      <c r="AP560" s="123"/>
      <c r="AQ560" s="123"/>
      <c r="AR560" s="123"/>
      <c r="AS560" s="123"/>
      <c r="AT560" s="123"/>
      <c r="AU560" s="123"/>
      <c r="AV560" s="123"/>
      <c r="AW560" s="123"/>
      <c r="AX560" s="123"/>
      <c r="AY560" s="123"/>
      <c r="AZ560" s="123"/>
      <c r="BA560" s="123"/>
      <c r="BB560" s="123"/>
      <c r="BC560" s="123"/>
      <c r="BD560" s="123"/>
      <c r="BE560" s="123"/>
      <c r="BF560" s="123"/>
      <c r="BG560" s="123"/>
      <c r="BH560" s="123"/>
      <c r="BI560" s="123"/>
      <c r="BJ560" s="123"/>
      <c r="BK560" s="123"/>
      <c r="BL560" s="123"/>
      <c r="CW560" s="813"/>
    </row>
    <row r="561" spans="1:101">
      <c r="A561" s="71"/>
      <c r="B561" s="71"/>
      <c r="C561" s="822"/>
      <c r="D561" s="822"/>
      <c r="E561" s="824"/>
      <c r="F561" s="86"/>
      <c r="G561" s="86"/>
      <c r="H561" s="823"/>
      <c r="I561" s="823"/>
      <c r="J561" s="823"/>
      <c r="K561" s="823"/>
      <c r="L561" s="823"/>
      <c r="M561" s="823"/>
      <c r="N561" s="823"/>
      <c r="O561" s="823"/>
      <c r="P561" s="823"/>
      <c r="Q561" s="823"/>
      <c r="R561" s="823"/>
      <c r="S561" s="823"/>
      <c r="T561" s="823"/>
      <c r="U561" s="823"/>
      <c r="V561" s="1597"/>
      <c r="W561" s="1597"/>
      <c r="X561" s="1597"/>
      <c r="Y561" s="1597"/>
      <c r="Z561" s="1597"/>
      <c r="AA561" s="823"/>
      <c r="AB561" s="823"/>
      <c r="AC561" s="823"/>
      <c r="AD561" s="823"/>
      <c r="AE561" s="823"/>
      <c r="AF561" s="823"/>
      <c r="AG561" s="823"/>
      <c r="AH561" s="823"/>
      <c r="AI561" s="123"/>
      <c r="AJ561" s="123"/>
      <c r="AK561" s="123"/>
      <c r="AL561" s="123"/>
      <c r="AM561" s="123"/>
      <c r="AN561" s="123"/>
      <c r="AO561" s="123"/>
      <c r="AP561" s="123"/>
      <c r="AQ561" s="123"/>
      <c r="AR561" s="123"/>
      <c r="AS561" s="123"/>
      <c r="AT561" s="123"/>
      <c r="AU561" s="123"/>
      <c r="AV561" s="123"/>
      <c r="AW561" s="123"/>
      <c r="AX561" s="123"/>
      <c r="AY561" s="123"/>
      <c r="AZ561" s="123"/>
      <c r="BA561" s="123"/>
      <c r="BB561" s="123"/>
      <c r="BC561" s="123"/>
      <c r="BD561" s="123"/>
      <c r="BE561" s="123"/>
      <c r="BF561" s="123"/>
      <c r="BG561" s="123"/>
      <c r="BH561" s="123"/>
      <c r="BI561" s="123"/>
      <c r="BJ561" s="123"/>
      <c r="BK561" s="123"/>
      <c r="BL561" s="123"/>
      <c r="CW561" s="813"/>
    </row>
    <row r="562" spans="1:101">
      <c r="A562" s="71"/>
      <c r="B562" s="71"/>
      <c r="C562" s="822"/>
      <c r="D562" s="822"/>
      <c r="E562" s="824"/>
      <c r="F562" s="86"/>
      <c r="G562" s="86"/>
      <c r="H562" s="823"/>
      <c r="I562" s="823"/>
      <c r="J562" s="823"/>
      <c r="K562" s="823"/>
      <c r="L562" s="823"/>
      <c r="M562" s="823"/>
      <c r="N562" s="823"/>
      <c r="O562" s="823"/>
      <c r="P562" s="823"/>
      <c r="Q562" s="823"/>
      <c r="R562" s="823"/>
      <c r="S562" s="823"/>
      <c r="T562" s="823"/>
      <c r="U562" s="823"/>
      <c r="V562" s="1597"/>
      <c r="W562" s="1597"/>
      <c r="X562" s="1597"/>
      <c r="Y562" s="1597"/>
      <c r="Z562" s="1597"/>
      <c r="AA562" s="823"/>
      <c r="AB562" s="823"/>
      <c r="AC562" s="823"/>
      <c r="AD562" s="823"/>
      <c r="AE562" s="823"/>
      <c r="AF562" s="823"/>
      <c r="AG562" s="823"/>
      <c r="AH562" s="823"/>
      <c r="AI562" s="123"/>
      <c r="AJ562" s="123"/>
      <c r="AK562" s="123"/>
      <c r="AL562" s="123"/>
      <c r="AM562" s="123"/>
      <c r="AN562" s="123"/>
      <c r="AO562" s="123"/>
      <c r="AP562" s="123"/>
      <c r="AQ562" s="123"/>
      <c r="AR562" s="123"/>
      <c r="AS562" s="123"/>
      <c r="AT562" s="123"/>
      <c r="AU562" s="123"/>
      <c r="AV562" s="123"/>
      <c r="AW562" s="123"/>
      <c r="AX562" s="123"/>
      <c r="AY562" s="123"/>
      <c r="AZ562" s="123"/>
      <c r="BA562" s="123"/>
      <c r="BB562" s="123"/>
      <c r="BC562" s="123"/>
      <c r="BD562" s="123"/>
      <c r="BE562" s="123"/>
      <c r="BF562" s="123"/>
      <c r="BG562" s="123"/>
      <c r="BH562" s="123"/>
      <c r="BI562" s="123"/>
      <c r="BJ562" s="123"/>
      <c r="BK562" s="123"/>
      <c r="BL562" s="123"/>
      <c r="CW562" s="813"/>
    </row>
    <row r="563" spans="1:101">
      <c r="A563" s="71"/>
      <c r="B563" s="71"/>
      <c r="C563" s="822"/>
      <c r="D563" s="822"/>
      <c r="E563" s="824"/>
      <c r="F563" s="86"/>
      <c r="G563" s="86"/>
      <c r="H563" s="823"/>
      <c r="I563" s="823"/>
      <c r="J563" s="823"/>
      <c r="K563" s="823"/>
      <c r="L563" s="823"/>
      <c r="M563" s="823"/>
      <c r="N563" s="823"/>
      <c r="O563" s="823"/>
      <c r="P563" s="823"/>
      <c r="Q563" s="823"/>
      <c r="R563" s="823"/>
      <c r="S563" s="823"/>
      <c r="T563" s="823"/>
      <c r="U563" s="823"/>
      <c r="V563" s="1597"/>
      <c r="W563" s="1597"/>
      <c r="X563" s="1597"/>
      <c r="Y563" s="1597"/>
      <c r="Z563" s="1597"/>
      <c r="AA563" s="823"/>
      <c r="AB563" s="823"/>
      <c r="AC563" s="823"/>
      <c r="AD563" s="823"/>
      <c r="AE563" s="823"/>
      <c r="AF563" s="823"/>
      <c r="AG563" s="823"/>
      <c r="AH563" s="823"/>
      <c r="AI563" s="123"/>
      <c r="AJ563" s="123"/>
      <c r="AK563" s="123"/>
      <c r="AL563" s="123"/>
      <c r="AM563" s="123"/>
      <c r="AN563" s="123"/>
      <c r="AO563" s="123"/>
      <c r="AP563" s="123"/>
      <c r="AQ563" s="123"/>
      <c r="AR563" s="123"/>
      <c r="AS563" s="123"/>
      <c r="AT563" s="123"/>
      <c r="AU563" s="123"/>
      <c r="AV563" s="123"/>
      <c r="AW563" s="123"/>
      <c r="AX563" s="123"/>
      <c r="AY563" s="123"/>
      <c r="AZ563" s="123"/>
      <c r="BA563" s="123"/>
      <c r="BB563" s="123"/>
      <c r="BC563" s="123"/>
      <c r="BD563" s="123"/>
      <c r="BE563" s="123"/>
      <c r="BF563" s="123"/>
      <c r="BG563" s="123"/>
      <c r="BH563" s="123"/>
      <c r="BI563" s="123"/>
      <c r="BJ563" s="123"/>
      <c r="BK563" s="123"/>
      <c r="BL563" s="123"/>
      <c r="CW563" s="813"/>
    </row>
    <row r="564" spans="1:101">
      <c r="A564" s="71"/>
      <c r="B564" s="71"/>
      <c r="C564" s="822"/>
      <c r="D564" s="822"/>
      <c r="E564" s="824"/>
      <c r="F564" s="86"/>
      <c r="G564" s="86"/>
      <c r="H564" s="823"/>
      <c r="I564" s="823"/>
      <c r="J564" s="823"/>
      <c r="K564" s="823"/>
      <c r="L564" s="823"/>
      <c r="M564" s="823"/>
      <c r="N564" s="823"/>
      <c r="O564" s="823"/>
      <c r="P564" s="823"/>
      <c r="Q564" s="823"/>
      <c r="R564" s="823"/>
      <c r="S564" s="823"/>
      <c r="T564" s="823"/>
      <c r="U564" s="823"/>
      <c r="V564" s="1597"/>
      <c r="W564" s="1597"/>
      <c r="X564" s="1597"/>
      <c r="Y564" s="1597"/>
      <c r="Z564" s="1597"/>
      <c r="AA564" s="823"/>
      <c r="AB564" s="823"/>
      <c r="AC564" s="823"/>
      <c r="AD564" s="823"/>
      <c r="AE564" s="823"/>
      <c r="AF564" s="823"/>
      <c r="AG564" s="823"/>
      <c r="AH564" s="823"/>
      <c r="AI564" s="123"/>
      <c r="AJ564" s="123"/>
      <c r="AK564" s="123"/>
      <c r="AL564" s="123"/>
      <c r="AM564" s="123"/>
      <c r="AN564" s="123"/>
      <c r="AO564" s="123"/>
      <c r="AP564" s="123"/>
      <c r="AQ564" s="123"/>
      <c r="AR564" s="123"/>
      <c r="AS564" s="123"/>
      <c r="AT564" s="123"/>
      <c r="AU564" s="123"/>
      <c r="AV564" s="123"/>
      <c r="AW564" s="123"/>
      <c r="AX564" s="123"/>
      <c r="AY564" s="123"/>
      <c r="AZ564" s="123"/>
      <c r="BA564" s="123"/>
      <c r="BB564" s="123"/>
      <c r="BC564" s="123"/>
      <c r="BD564" s="123"/>
      <c r="BE564" s="123"/>
      <c r="BF564" s="123"/>
      <c r="BG564" s="123"/>
      <c r="BH564" s="123"/>
      <c r="BI564" s="123"/>
      <c r="BJ564" s="123"/>
      <c r="BK564" s="123"/>
      <c r="BL564" s="123"/>
      <c r="CW564" s="813"/>
    </row>
    <row r="565" spans="1:101">
      <c r="A565" s="71"/>
      <c r="B565" s="71"/>
      <c r="C565" s="822"/>
      <c r="D565" s="822"/>
      <c r="E565" s="824"/>
      <c r="F565" s="86"/>
      <c r="G565" s="86"/>
      <c r="H565" s="823"/>
      <c r="I565" s="823"/>
      <c r="J565" s="823"/>
      <c r="K565" s="823"/>
      <c r="L565" s="823"/>
      <c r="M565" s="823"/>
      <c r="N565" s="823"/>
      <c r="O565" s="823"/>
      <c r="P565" s="823"/>
      <c r="Q565" s="823"/>
      <c r="R565" s="823"/>
      <c r="S565" s="823"/>
      <c r="T565" s="823"/>
      <c r="U565" s="823"/>
      <c r="V565" s="1597"/>
      <c r="W565" s="1597"/>
      <c r="X565" s="1597"/>
      <c r="Y565" s="1597"/>
      <c r="Z565" s="1597"/>
      <c r="AA565" s="823"/>
      <c r="AB565" s="823"/>
      <c r="AC565" s="823"/>
      <c r="AD565" s="823"/>
      <c r="AE565" s="823"/>
      <c r="AF565" s="823"/>
      <c r="AG565" s="823"/>
      <c r="AH565" s="823"/>
      <c r="AI565" s="123"/>
      <c r="AJ565" s="123"/>
      <c r="AK565" s="123"/>
      <c r="AL565" s="123"/>
      <c r="AM565" s="123"/>
      <c r="AN565" s="123"/>
      <c r="AO565" s="123"/>
      <c r="AP565" s="123"/>
      <c r="AQ565" s="123"/>
      <c r="AR565" s="123"/>
      <c r="AS565" s="123"/>
      <c r="AT565" s="123"/>
      <c r="AU565" s="123"/>
      <c r="AV565" s="123"/>
      <c r="AW565" s="123"/>
      <c r="AX565" s="123"/>
      <c r="AY565" s="123"/>
      <c r="AZ565" s="123"/>
      <c r="BA565" s="123"/>
      <c r="BB565" s="123"/>
      <c r="BC565" s="123"/>
      <c r="BD565" s="123"/>
      <c r="BE565" s="123"/>
      <c r="BF565" s="123"/>
      <c r="BG565" s="123"/>
      <c r="BH565" s="123"/>
      <c r="BI565" s="123"/>
      <c r="BJ565" s="123"/>
      <c r="BK565" s="123"/>
      <c r="BL565" s="123"/>
      <c r="CW565" s="813"/>
    </row>
    <row r="566" spans="1:101">
      <c r="A566" s="71"/>
      <c r="B566" s="71"/>
      <c r="C566" s="822"/>
      <c r="D566" s="822"/>
      <c r="E566" s="824"/>
      <c r="F566" s="86"/>
      <c r="G566" s="86"/>
      <c r="H566" s="823"/>
      <c r="I566" s="823"/>
      <c r="J566" s="823"/>
      <c r="K566" s="823"/>
      <c r="L566" s="823"/>
      <c r="M566" s="823"/>
      <c r="N566" s="823"/>
      <c r="O566" s="823"/>
      <c r="P566" s="823"/>
      <c r="Q566" s="823"/>
      <c r="R566" s="823"/>
      <c r="S566" s="823"/>
      <c r="T566" s="823"/>
      <c r="U566" s="823"/>
      <c r="V566" s="1597"/>
      <c r="W566" s="1597"/>
      <c r="X566" s="1597"/>
      <c r="Y566" s="1597"/>
      <c r="Z566" s="1597"/>
      <c r="AA566" s="823"/>
      <c r="AB566" s="823"/>
      <c r="AC566" s="823"/>
      <c r="AD566" s="823"/>
      <c r="AE566" s="823"/>
      <c r="AF566" s="823"/>
      <c r="AG566" s="823"/>
      <c r="AH566" s="823"/>
      <c r="AI566" s="123"/>
      <c r="AJ566" s="123"/>
      <c r="AK566" s="123"/>
      <c r="AL566" s="123"/>
      <c r="AM566" s="123"/>
      <c r="AN566" s="123"/>
      <c r="AO566" s="123"/>
      <c r="AP566" s="123"/>
      <c r="AQ566" s="123"/>
      <c r="AR566" s="123"/>
      <c r="AS566" s="123"/>
      <c r="AT566" s="123"/>
      <c r="AU566" s="123"/>
      <c r="AV566" s="123"/>
      <c r="AW566" s="123"/>
      <c r="AX566" s="123"/>
      <c r="AY566" s="123"/>
      <c r="AZ566" s="123"/>
      <c r="BA566" s="123"/>
      <c r="BB566" s="123"/>
      <c r="BC566" s="123"/>
      <c r="BD566" s="123"/>
      <c r="BE566" s="123"/>
      <c r="BF566" s="123"/>
      <c r="BG566" s="123"/>
      <c r="BH566" s="123"/>
      <c r="BI566" s="123"/>
      <c r="BJ566" s="123"/>
      <c r="BK566" s="123"/>
      <c r="BL566" s="123"/>
      <c r="CW566" s="813"/>
    </row>
    <row r="567" spans="1:101">
      <c r="A567" s="71"/>
      <c r="B567" s="71"/>
      <c r="C567" s="822"/>
      <c r="D567" s="822"/>
      <c r="E567" s="824"/>
      <c r="F567" s="86"/>
      <c r="G567" s="86"/>
      <c r="H567" s="823"/>
      <c r="I567" s="823"/>
      <c r="J567" s="823"/>
      <c r="K567" s="823"/>
      <c r="L567" s="823"/>
      <c r="M567" s="823"/>
      <c r="N567" s="823"/>
      <c r="O567" s="823"/>
      <c r="P567" s="823"/>
      <c r="Q567" s="823"/>
      <c r="R567" s="823"/>
      <c r="S567" s="823"/>
      <c r="T567" s="823"/>
      <c r="U567" s="823"/>
      <c r="V567" s="1597"/>
      <c r="W567" s="1597"/>
      <c r="X567" s="1597"/>
      <c r="Y567" s="1597"/>
      <c r="Z567" s="1597"/>
      <c r="AA567" s="823"/>
      <c r="AB567" s="823"/>
      <c r="AC567" s="823"/>
      <c r="AD567" s="823"/>
      <c r="AE567" s="823"/>
      <c r="AF567" s="823"/>
      <c r="AG567" s="823"/>
      <c r="AH567" s="823"/>
      <c r="AI567" s="123"/>
      <c r="AJ567" s="123"/>
      <c r="AK567" s="123"/>
      <c r="AL567" s="123"/>
      <c r="AM567" s="123"/>
      <c r="AN567" s="123"/>
      <c r="AO567" s="123"/>
      <c r="AP567" s="123"/>
      <c r="AQ567" s="123"/>
      <c r="AR567" s="123"/>
      <c r="AS567" s="123"/>
      <c r="AT567" s="123"/>
      <c r="AU567" s="123"/>
      <c r="AV567" s="123"/>
      <c r="AW567" s="123"/>
      <c r="AX567" s="123"/>
      <c r="AY567" s="123"/>
      <c r="AZ567" s="123"/>
      <c r="BA567" s="123"/>
      <c r="BB567" s="123"/>
      <c r="BC567" s="123"/>
      <c r="BD567" s="123"/>
      <c r="BE567" s="123"/>
      <c r="BF567" s="123"/>
      <c r="BG567" s="123"/>
      <c r="BH567" s="123"/>
      <c r="BI567" s="123"/>
      <c r="BJ567" s="123"/>
      <c r="BK567" s="123"/>
      <c r="BL567" s="123"/>
      <c r="CW567" s="813"/>
    </row>
    <row r="568" spans="1:101">
      <c r="A568" s="71"/>
      <c r="B568" s="71"/>
      <c r="C568" s="822"/>
      <c r="D568" s="822"/>
      <c r="E568" s="824"/>
      <c r="F568" s="86"/>
      <c r="G568" s="86"/>
      <c r="H568" s="823"/>
      <c r="I568" s="823"/>
      <c r="J568" s="823"/>
      <c r="K568" s="823"/>
      <c r="L568" s="823"/>
      <c r="M568" s="823"/>
      <c r="N568" s="823"/>
      <c r="O568" s="823"/>
      <c r="P568" s="823"/>
      <c r="Q568" s="823"/>
      <c r="R568" s="823"/>
      <c r="S568" s="823"/>
      <c r="T568" s="823"/>
      <c r="U568" s="823"/>
      <c r="V568" s="1597"/>
      <c r="W568" s="1597"/>
      <c r="X568" s="1597"/>
      <c r="Y568" s="1597"/>
      <c r="Z568" s="1597"/>
      <c r="AA568" s="823"/>
      <c r="AB568" s="823"/>
      <c r="AC568" s="823"/>
      <c r="AD568" s="823"/>
      <c r="AE568" s="823"/>
      <c r="AF568" s="823"/>
      <c r="AG568" s="823"/>
      <c r="AH568" s="823"/>
      <c r="AI568" s="123"/>
      <c r="AJ568" s="123"/>
      <c r="AK568" s="123"/>
      <c r="AL568" s="123"/>
      <c r="AM568" s="123"/>
      <c r="AN568" s="123"/>
      <c r="AO568" s="123"/>
      <c r="AP568" s="123"/>
      <c r="AQ568" s="123"/>
      <c r="AR568" s="123"/>
      <c r="AS568" s="123"/>
      <c r="AT568" s="123"/>
      <c r="AU568" s="123"/>
      <c r="AV568" s="123"/>
      <c r="AW568" s="123"/>
      <c r="AX568" s="123"/>
      <c r="AY568" s="123"/>
      <c r="AZ568" s="123"/>
      <c r="BA568" s="123"/>
      <c r="BB568" s="123"/>
      <c r="BC568" s="123"/>
      <c r="BD568" s="123"/>
      <c r="BE568" s="123"/>
      <c r="BF568" s="123"/>
      <c r="BG568" s="123"/>
      <c r="BH568" s="123"/>
      <c r="BI568" s="123"/>
      <c r="BJ568" s="123"/>
      <c r="BK568" s="123"/>
      <c r="BL568" s="123"/>
      <c r="CW568" s="813"/>
    </row>
    <row r="569" spans="1:101">
      <c r="A569" s="71"/>
      <c r="B569" s="71"/>
      <c r="C569" s="822"/>
      <c r="D569" s="822"/>
      <c r="E569" s="824"/>
      <c r="F569" s="86"/>
      <c r="G569" s="86"/>
      <c r="H569" s="823"/>
      <c r="I569" s="823"/>
      <c r="J569" s="823"/>
      <c r="K569" s="823"/>
      <c r="L569" s="823"/>
      <c r="M569" s="823"/>
      <c r="N569" s="823"/>
      <c r="O569" s="823"/>
      <c r="P569" s="823"/>
      <c r="Q569" s="823"/>
      <c r="R569" s="823"/>
      <c r="S569" s="823"/>
      <c r="T569" s="823"/>
      <c r="U569" s="823"/>
      <c r="V569" s="1597"/>
      <c r="W569" s="1597"/>
      <c r="X569" s="1597"/>
      <c r="Y569" s="1597"/>
      <c r="Z569" s="1597"/>
      <c r="AA569" s="823"/>
      <c r="AB569" s="823"/>
      <c r="AC569" s="823"/>
      <c r="AD569" s="823"/>
      <c r="AE569" s="823"/>
      <c r="AF569" s="823"/>
      <c r="AG569" s="823"/>
      <c r="AH569" s="823"/>
      <c r="AI569" s="123"/>
      <c r="AJ569" s="123"/>
      <c r="AK569" s="123"/>
      <c r="AL569" s="123"/>
      <c r="AM569" s="123"/>
      <c r="AN569" s="123"/>
      <c r="AO569" s="123"/>
      <c r="AP569" s="123"/>
      <c r="AQ569" s="123"/>
      <c r="AR569" s="123"/>
      <c r="AS569" s="123"/>
      <c r="AT569" s="123"/>
      <c r="AU569" s="123"/>
      <c r="AV569" s="123"/>
      <c r="AW569" s="123"/>
      <c r="AX569" s="123"/>
      <c r="AY569" s="123"/>
      <c r="AZ569" s="123"/>
      <c r="BA569" s="123"/>
      <c r="BB569" s="123"/>
      <c r="BC569" s="123"/>
      <c r="BD569" s="123"/>
      <c r="BE569" s="123"/>
      <c r="BF569" s="123"/>
      <c r="BG569" s="123"/>
      <c r="BH569" s="123"/>
      <c r="BI569" s="123"/>
      <c r="BJ569" s="123"/>
      <c r="BK569" s="123"/>
      <c r="BL569" s="123"/>
      <c r="CW569" s="813"/>
    </row>
    <row r="570" spans="1:101">
      <c r="A570" s="71"/>
      <c r="B570" s="71"/>
      <c r="C570" s="822"/>
      <c r="D570" s="822"/>
      <c r="E570" s="824"/>
      <c r="F570" s="86"/>
      <c r="G570" s="86"/>
      <c r="H570" s="823"/>
      <c r="I570" s="823"/>
      <c r="J570" s="823"/>
      <c r="K570" s="823"/>
      <c r="L570" s="823"/>
      <c r="M570" s="823"/>
      <c r="N570" s="823"/>
      <c r="O570" s="823"/>
      <c r="P570" s="823"/>
      <c r="Q570" s="823"/>
      <c r="R570" s="823"/>
      <c r="S570" s="823"/>
      <c r="T570" s="823"/>
      <c r="U570" s="823"/>
      <c r="V570" s="1597"/>
      <c r="W570" s="1597"/>
      <c r="X570" s="1597"/>
      <c r="Y570" s="1597"/>
      <c r="Z570" s="1597"/>
      <c r="AA570" s="823"/>
      <c r="AB570" s="823"/>
      <c r="AC570" s="823"/>
      <c r="AD570" s="823"/>
      <c r="AE570" s="823"/>
      <c r="AF570" s="823"/>
      <c r="AG570" s="823"/>
      <c r="AH570" s="823"/>
      <c r="AI570" s="123"/>
      <c r="AJ570" s="123"/>
      <c r="AK570" s="123"/>
      <c r="AL570" s="123"/>
      <c r="AM570" s="123"/>
      <c r="AN570" s="123"/>
      <c r="AO570" s="123"/>
      <c r="AP570" s="123"/>
      <c r="AQ570" s="123"/>
      <c r="AR570" s="123"/>
      <c r="AS570" s="123"/>
      <c r="AT570" s="123"/>
      <c r="AU570" s="123"/>
      <c r="AV570" s="123"/>
      <c r="AW570" s="123"/>
      <c r="AX570" s="123"/>
      <c r="AY570" s="123"/>
      <c r="AZ570" s="123"/>
      <c r="BA570" s="123"/>
      <c r="BB570" s="123"/>
      <c r="BC570" s="123"/>
      <c r="BD570" s="123"/>
      <c r="BE570" s="123"/>
      <c r="BF570" s="123"/>
      <c r="BG570" s="123"/>
      <c r="BH570" s="123"/>
      <c r="BI570" s="123"/>
      <c r="BJ570" s="123"/>
      <c r="BK570" s="123"/>
      <c r="BL570" s="123"/>
      <c r="CW570" s="813"/>
    </row>
    <row r="571" spans="1:101">
      <c r="A571" s="71"/>
      <c r="B571" s="71"/>
      <c r="C571" s="822"/>
      <c r="D571" s="822"/>
      <c r="E571" s="824"/>
      <c r="F571" s="86"/>
      <c r="G571" s="86"/>
      <c r="H571" s="823"/>
      <c r="I571" s="823"/>
      <c r="J571" s="823"/>
      <c r="K571" s="823"/>
      <c r="L571" s="823"/>
      <c r="M571" s="823"/>
      <c r="N571" s="823"/>
      <c r="O571" s="823"/>
      <c r="P571" s="823"/>
      <c r="Q571" s="823"/>
      <c r="R571" s="823"/>
      <c r="S571" s="823"/>
      <c r="T571" s="823"/>
      <c r="U571" s="823"/>
      <c r="V571" s="1597"/>
      <c r="W571" s="1597"/>
      <c r="X571" s="1597"/>
      <c r="Y571" s="1597"/>
      <c r="Z571" s="1597"/>
      <c r="AA571" s="823"/>
      <c r="AB571" s="823"/>
      <c r="AC571" s="823"/>
      <c r="AD571" s="823"/>
      <c r="AE571" s="823"/>
      <c r="AF571" s="823"/>
      <c r="AG571" s="823"/>
      <c r="AH571" s="823"/>
      <c r="AI571" s="123"/>
      <c r="AJ571" s="123"/>
      <c r="AK571" s="123"/>
      <c r="AL571" s="123"/>
      <c r="AM571" s="123"/>
      <c r="AN571" s="123"/>
      <c r="AO571" s="123"/>
      <c r="AP571" s="123"/>
      <c r="AQ571" s="123"/>
      <c r="AR571" s="123"/>
      <c r="AS571" s="123"/>
      <c r="AT571" s="123"/>
      <c r="AU571" s="123"/>
      <c r="AV571" s="123"/>
      <c r="AW571" s="123"/>
      <c r="AX571" s="123"/>
      <c r="AY571" s="123"/>
      <c r="AZ571" s="123"/>
      <c r="BA571" s="123"/>
      <c r="BB571" s="123"/>
      <c r="BC571" s="123"/>
      <c r="BD571" s="123"/>
      <c r="BE571" s="123"/>
      <c r="BF571" s="123"/>
      <c r="BG571" s="123"/>
      <c r="BH571" s="123"/>
      <c r="BI571" s="123"/>
      <c r="BJ571" s="123"/>
      <c r="BK571" s="123"/>
      <c r="BL571" s="123"/>
      <c r="CW571" s="813"/>
    </row>
    <row r="572" spans="1:101">
      <c r="A572" s="71"/>
      <c r="B572" s="71"/>
      <c r="C572" s="822"/>
      <c r="D572" s="822"/>
      <c r="E572" s="824"/>
      <c r="F572" s="86"/>
      <c r="G572" s="86"/>
      <c r="H572" s="823"/>
      <c r="I572" s="823"/>
      <c r="J572" s="823"/>
      <c r="K572" s="823"/>
      <c r="L572" s="823"/>
      <c r="M572" s="823"/>
      <c r="N572" s="823"/>
      <c r="O572" s="823"/>
      <c r="P572" s="823"/>
      <c r="Q572" s="823"/>
      <c r="R572" s="823"/>
      <c r="S572" s="823"/>
      <c r="T572" s="823"/>
      <c r="U572" s="823"/>
      <c r="V572" s="1597"/>
      <c r="W572" s="1597"/>
      <c r="X572" s="1597"/>
      <c r="Y572" s="1597"/>
      <c r="Z572" s="1597"/>
      <c r="AA572" s="823"/>
      <c r="AB572" s="823"/>
      <c r="AC572" s="823"/>
      <c r="AD572" s="823"/>
      <c r="AE572" s="823"/>
      <c r="AF572" s="823"/>
      <c r="AG572" s="823"/>
      <c r="AH572" s="823"/>
      <c r="AI572" s="123"/>
      <c r="AJ572" s="123"/>
      <c r="AK572" s="123"/>
      <c r="AL572" s="123"/>
      <c r="AM572" s="123"/>
      <c r="AN572" s="123"/>
      <c r="AO572" s="123"/>
      <c r="AP572" s="123"/>
      <c r="AQ572" s="123"/>
      <c r="AR572" s="123"/>
      <c r="AS572" s="123"/>
      <c r="AT572" s="123"/>
      <c r="AU572" s="123"/>
      <c r="AV572" s="123"/>
      <c r="AW572" s="123"/>
      <c r="AX572" s="123"/>
      <c r="AY572" s="123"/>
      <c r="AZ572" s="123"/>
      <c r="BA572" s="123"/>
      <c r="BB572" s="123"/>
      <c r="BC572" s="123"/>
      <c r="BD572" s="123"/>
      <c r="BE572" s="123"/>
      <c r="BF572" s="123"/>
      <c r="BG572" s="123"/>
      <c r="BH572" s="123"/>
      <c r="BI572" s="123"/>
      <c r="BJ572" s="123"/>
      <c r="BK572" s="123"/>
      <c r="BL572" s="123"/>
      <c r="CW572" s="813"/>
    </row>
    <row r="573" spans="1:101">
      <c r="A573" s="71"/>
      <c r="B573" s="71"/>
      <c r="C573" s="822"/>
      <c r="D573" s="822"/>
      <c r="E573" s="824"/>
      <c r="F573" s="86"/>
      <c r="G573" s="86"/>
      <c r="H573" s="823"/>
      <c r="I573" s="823"/>
      <c r="J573" s="823"/>
      <c r="K573" s="823"/>
      <c r="L573" s="823"/>
      <c r="M573" s="823"/>
      <c r="N573" s="823"/>
      <c r="O573" s="823"/>
      <c r="P573" s="823"/>
      <c r="Q573" s="823"/>
      <c r="R573" s="823"/>
      <c r="S573" s="823"/>
      <c r="T573" s="823"/>
      <c r="U573" s="823"/>
      <c r="V573" s="1597"/>
      <c r="W573" s="1597"/>
      <c r="X573" s="1597"/>
      <c r="Y573" s="1597"/>
      <c r="Z573" s="1597"/>
      <c r="AA573" s="823"/>
      <c r="AB573" s="823"/>
      <c r="AC573" s="823"/>
      <c r="AD573" s="823"/>
      <c r="AE573" s="823"/>
      <c r="AF573" s="823"/>
      <c r="AG573" s="823"/>
      <c r="AH573" s="823"/>
      <c r="AI573" s="123"/>
      <c r="AJ573" s="123"/>
      <c r="AK573" s="123"/>
      <c r="AL573" s="123"/>
      <c r="AM573" s="123"/>
      <c r="AN573" s="123"/>
      <c r="AO573" s="123"/>
      <c r="AP573" s="123"/>
      <c r="AQ573" s="123"/>
      <c r="AR573" s="123"/>
      <c r="AS573" s="123"/>
      <c r="AT573" s="123"/>
      <c r="AU573" s="123"/>
      <c r="AV573" s="123"/>
      <c r="AW573" s="123"/>
      <c r="AX573" s="123"/>
      <c r="AY573" s="123"/>
      <c r="AZ573" s="123"/>
      <c r="BA573" s="123"/>
      <c r="BB573" s="123"/>
      <c r="BC573" s="123"/>
      <c r="BD573" s="123"/>
      <c r="BE573" s="123"/>
      <c r="BF573" s="123"/>
      <c r="BG573" s="123"/>
      <c r="BH573" s="123"/>
      <c r="BI573" s="123"/>
      <c r="BJ573" s="123"/>
      <c r="BK573" s="123"/>
      <c r="BL573" s="123"/>
      <c r="CW573" s="813"/>
    </row>
    <row r="574" spans="1:101">
      <c r="A574" s="71"/>
      <c r="B574" s="71"/>
      <c r="C574" s="822"/>
      <c r="D574" s="822"/>
      <c r="E574" s="824"/>
      <c r="F574" s="86"/>
      <c r="G574" s="86"/>
      <c r="H574" s="823"/>
      <c r="I574" s="823"/>
      <c r="J574" s="823"/>
      <c r="K574" s="823"/>
      <c r="L574" s="823"/>
      <c r="M574" s="823"/>
      <c r="N574" s="823"/>
      <c r="O574" s="823"/>
      <c r="P574" s="823"/>
      <c r="Q574" s="823"/>
      <c r="R574" s="823"/>
      <c r="S574" s="823"/>
      <c r="T574" s="823"/>
      <c r="U574" s="823"/>
      <c r="V574" s="1597"/>
      <c r="W574" s="1597"/>
      <c r="X574" s="1597"/>
      <c r="Y574" s="1597"/>
      <c r="Z574" s="1597"/>
      <c r="AA574" s="823"/>
      <c r="AB574" s="823"/>
      <c r="AC574" s="823"/>
      <c r="AD574" s="823"/>
      <c r="AE574" s="823"/>
      <c r="AF574" s="823"/>
      <c r="AG574" s="823"/>
      <c r="AH574" s="823"/>
      <c r="AI574" s="123"/>
      <c r="AJ574" s="123"/>
      <c r="AK574" s="123"/>
      <c r="AL574" s="123"/>
      <c r="AM574" s="123"/>
      <c r="AN574" s="123"/>
      <c r="AO574" s="123"/>
      <c r="AP574" s="123"/>
      <c r="AQ574" s="123"/>
      <c r="AR574" s="123"/>
      <c r="AS574" s="123"/>
      <c r="AT574" s="123"/>
      <c r="AU574" s="123"/>
      <c r="AV574" s="123"/>
      <c r="AW574" s="123"/>
      <c r="AX574" s="123"/>
      <c r="AY574" s="123"/>
      <c r="AZ574" s="123"/>
      <c r="BA574" s="123"/>
      <c r="BB574" s="123"/>
      <c r="BC574" s="123"/>
      <c r="BD574" s="123"/>
      <c r="BE574" s="123"/>
      <c r="BF574" s="123"/>
      <c r="BG574" s="123"/>
      <c r="BH574" s="123"/>
      <c r="BI574" s="123"/>
      <c r="BJ574" s="123"/>
      <c r="BK574" s="123"/>
      <c r="BL574" s="123"/>
      <c r="CW574" s="813"/>
    </row>
    <row r="575" spans="1:101">
      <c r="A575" s="71"/>
      <c r="B575" s="71"/>
      <c r="C575" s="822"/>
      <c r="D575" s="822"/>
      <c r="E575" s="824"/>
      <c r="F575" s="86"/>
      <c r="G575" s="86"/>
      <c r="H575" s="823"/>
      <c r="I575" s="823"/>
      <c r="J575" s="823"/>
      <c r="K575" s="823"/>
      <c r="L575" s="823"/>
      <c r="M575" s="823"/>
      <c r="N575" s="823"/>
      <c r="O575" s="823"/>
      <c r="P575" s="823"/>
      <c r="Q575" s="823"/>
      <c r="R575" s="823"/>
      <c r="S575" s="823"/>
      <c r="T575" s="823"/>
      <c r="U575" s="823"/>
      <c r="V575" s="1597"/>
      <c r="W575" s="1597"/>
      <c r="X575" s="1597"/>
      <c r="Y575" s="1597"/>
      <c r="Z575" s="1597"/>
      <c r="AA575" s="823"/>
      <c r="AB575" s="823"/>
      <c r="AC575" s="823"/>
      <c r="AD575" s="823"/>
      <c r="AE575" s="823"/>
      <c r="AF575" s="823"/>
      <c r="AG575" s="823"/>
      <c r="AH575" s="823"/>
      <c r="AI575" s="123"/>
      <c r="AJ575" s="123"/>
      <c r="AK575" s="123"/>
      <c r="AL575" s="123"/>
      <c r="AM575" s="123"/>
      <c r="AN575" s="123"/>
      <c r="AO575" s="123"/>
      <c r="AP575" s="123"/>
      <c r="AQ575" s="123"/>
      <c r="AR575" s="123"/>
      <c r="AS575" s="123"/>
      <c r="AT575" s="123"/>
      <c r="AU575" s="123"/>
      <c r="AV575" s="123"/>
      <c r="AW575" s="123"/>
      <c r="AX575" s="123"/>
      <c r="AY575" s="123"/>
      <c r="AZ575" s="123"/>
      <c r="BA575" s="123"/>
      <c r="BB575" s="123"/>
      <c r="BC575" s="123"/>
      <c r="BD575" s="123"/>
      <c r="BE575" s="123"/>
      <c r="BF575" s="123"/>
      <c r="BG575" s="123"/>
      <c r="BH575" s="123"/>
      <c r="BI575" s="123"/>
      <c r="BJ575" s="123"/>
      <c r="BK575" s="123"/>
      <c r="BL575" s="123"/>
      <c r="CW575" s="813"/>
    </row>
    <row r="576" spans="1:101">
      <c r="A576" s="71"/>
      <c r="B576" s="71"/>
      <c r="C576" s="822"/>
      <c r="D576" s="822"/>
      <c r="E576" s="824"/>
      <c r="F576" s="86"/>
      <c r="G576" s="86"/>
      <c r="H576" s="823"/>
      <c r="I576" s="823"/>
      <c r="J576" s="823"/>
      <c r="K576" s="823"/>
      <c r="L576" s="823"/>
      <c r="M576" s="823"/>
      <c r="N576" s="823"/>
      <c r="O576" s="823"/>
      <c r="P576" s="823"/>
      <c r="Q576" s="823"/>
      <c r="R576" s="823"/>
      <c r="S576" s="823"/>
      <c r="T576" s="823"/>
      <c r="U576" s="823"/>
      <c r="V576" s="1597"/>
      <c r="W576" s="1597"/>
      <c r="X576" s="1597"/>
      <c r="Y576" s="1597"/>
      <c r="Z576" s="1597"/>
      <c r="AA576" s="823"/>
      <c r="AB576" s="823"/>
      <c r="AC576" s="823"/>
      <c r="AD576" s="823"/>
      <c r="AE576" s="823"/>
      <c r="AF576" s="823"/>
      <c r="AG576" s="823"/>
      <c r="AH576" s="823"/>
      <c r="AI576" s="123"/>
      <c r="AJ576" s="123"/>
      <c r="AK576" s="123"/>
      <c r="AL576" s="123"/>
      <c r="AM576" s="123"/>
      <c r="AN576" s="123"/>
      <c r="AO576" s="123"/>
      <c r="AP576" s="123"/>
      <c r="AQ576" s="123"/>
      <c r="AR576" s="123"/>
      <c r="AS576" s="123"/>
      <c r="AT576" s="123"/>
      <c r="AU576" s="123"/>
      <c r="AV576" s="123"/>
      <c r="AW576" s="123"/>
      <c r="AX576" s="123"/>
      <c r="AY576" s="123"/>
      <c r="AZ576" s="123"/>
      <c r="BA576" s="123"/>
      <c r="BB576" s="123"/>
      <c r="BC576" s="123"/>
      <c r="BD576" s="123"/>
      <c r="BE576" s="123"/>
      <c r="BF576" s="123"/>
      <c r="BG576" s="123"/>
      <c r="BH576" s="123"/>
      <c r="BI576" s="123"/>
      <c r="BJ576" s="123"/>
      <c r="BK576" s="123"/>
      <c r="BL576" s="123"/>
      <c r="CW576" s="813"/>
    </row>
    <row r="577" spans="1:101">
      <c r="A577" s="71"/>
      <c r="B577" s="71"/>
      <c r="C577" s="822"/>
      <c r="D577" s="822"/>
      <c r="E577" s="824"/>
      <c r="F577" s="86"/>
      <c r="G577" s="86"/>
      <c r="H577" s="823"/>
      <c r="I577" s="823"/>
      <c r="J577" s="823"/>
      <c r="K577" s="823"/>
      <c r="L577" s="823"/>
      <c r="M577" s="823"/>
      <c r="N577" s="823"/>
      <c r="O577" s="823"/>
      <c r="P577" s="823"/>
      <c r="Q577" s="823"/>
      <c r="R577" s="823"/>
      <c r="S577" s="823"/>
      <c r="T577" s="823"/>
      <c r="U577" s="823"/>
      <c r="V577" s="1597"/>
      <c r="W577" s="1597"/>
      <c r="X577" s="1597"/>
      <c r="Y577" s="1597"/>
      <c r="Z577" s="1597"/>
      <c r="AA577" s="823"/>
      <c r="AB577" s="823"/>
      <c r="AC577" s="823"/>
      <c r="AD577" s="823"/>
      <c r="AE577" s="823"/>
      <c r="AF577" s="823"/>
      <c r="AG577" s="823"/>
      <c r="AH577" s="823"/>
      <c r="AI577" s="123"/>
      <c r="AJ577" s="123"/>
      <c r="AK577" s="123"/>
      <c r="AL577" s="123"/>
      <c r="AM577" s="123"/>
      <c r="AN577" s="123"/>
      <c r="AO577" s="123"/>
      <c r="AP577" s="123"/>
      <c r="AQ577" s="123"/>
      <c r="AR577" s="123"/>
      <c r="AS577" s="123"/>
      <c r="AT577" s="123"/>
      <c r="AU577" s="123"/>
      <c r="AV577" s="123"/>
      <c r="AW577" s="123"/>
      <c r="AX577" s="123"/>
      <c r="AY577" s="123"/>
      <c r="AZ577" s="123"/>
      <c r="BA577" s="123"/>
      <c r="BB577" s="123"/>
      <c r="BC577" s="123"/>
      <c r="BD577" s="123"/>
      <c r="BE577" s="123"/>
      <c r="BF577" s="123"/>
      <c r="BG577" s="123"/>
      <c r="BH577" s="123"/>
      <c r="BI577" s="123"/>
      <c r="BJ577" s="123"/>
      <c r="BK577" s="123"/>
      <c r="BL577" s="123"/>
      <c r="CW577" s="813"/>
    </row>
    <row r="578" spans="1:101">
      <c r="A578" s="71"/>
      <c r="B578" s="71"/>
      <c r="C578" s="822"/>
      <c r="D578" s="822"/>
      <c r="E578" s="824"/>
      <c r="F578" s="86"/>
      <c r="G578" s="86"/>
      <c r="H578" s="823"/>
      <c r="I578" s="823"/>
      <c r="J578" s="823"/>
      <c r="K578" s="823"/>
      <c r="L578" s="823"/>
      <c r="M578" s="823"/>
      <c r="N578" s="823"/>
      <c r="O578" s="823"/>
      <c r="P578" s="823"/>
      <c r="Q578" s="823"/>
      <c r="R578" s="823"/>
      <c r="S578" s="823"/>
      <c r="T578" s="823"/>
      <c r="U578" s="823"/>
      <c r="V578" s="1597"/>
      <c r="W578" s="1597"/>
      <c r="X578" s="1597"/>
      <c r="Y578" s="1597"/>
      <c r="Z578" s="1597"/>
      <c r="AA578" s="823"/>
      <c r="AB578" s="823"/>
      <c r="AC578" s="823"/>
      <c r="AD578" s="823"/>
      <c r="AE578" s="823"/>
      <c r="AF578" s="823"/>
      <c r="AG578" s="823"/>
      <c r="AH578" s="823"/>
      <c r="AI578" s="123"/>
      <c r="AJ578" s="123"/>
      <c r="AK578" s="123"/>
      <c r="AL578" s="123"/>
      <c r="AM578" s="123"/>
      <c r="AN578" s="123"/>
      <c r="AO578" s="123"/>
      <c r="AP578" s="123"/>
      <c r="AQ578" s="123"/>
      <c r="AR578" s="123"/>
      <c r="AS578" s="123"/>
      <c r="AT578" s="123"/>
      <c r="AU578" s="123"/>
      <c r="AV578" s="123"/>
      <c r="AW578" s="123"/>
      <c r="AX578" s="123"/>
      <c r="AY578" s="123"/>
      <c r="AZ578" s="123"/>
      <c r="BA578" s="123"/>
      <c r="BB578" s="123"/>
      <c r="BC578" s="123"/>
      <c r="BD578" s="123"/>
      <c r="BE578" s="123"/>
      <c r="BF578" s="123"/>
      <c r="BG578" s="123"/>
      <c r="BH578" s="123"/>
      <c r="BI578" s="123"/>
      <c r="BJ578" s="123"/>
      <c r="BK578" s="123"/>
      <c r="BL578" s="123"/>
      <c r="CW578" s="813"/>
    </row>
    <row r="579" spans="1:101">
      <c r="A579" s="71"/>
      <c r="B579" s="71"/>
      <c r="C579" s="822"/>
      <c r="D579" s="822"/>
      <c r="E579" s="824"/>
      <c r="F579" s="86"/>
      <c r="G579" s="86"/>
      <c r="H579" s="823"/>
      <c r="I579" s="823"/>
      <c r="J579" s="823"/>
      <c r="K579" s="823"/>
      <c r="L579" s="823"/>
      <c r="M579" s="823"/>
      <c r="N579" s="823"/>
      <c r="O579" s="823"/>
      <c r="P579" s="823"/>
      <c r="Q579" s="823"/>
      <c r="R579" s="823"/>
      <c r="S579" s="823"/>
      <c r="T579" s="823"/>
      <c r="U579" s="823"/>
      <c r="V579" s="1597"/>
      <c r="W579" s="1597"/>
      <c r="X579" s="1597"/>
      <c r="Y579" s="1597"/>
      <c r="Z579" s="1597"/>
      <c r="AA579" s="823"/>
      <c r="AB579" s="823"/>
      <c r="AC579" s="823"/>
      <c r="AD579" s="823"/>
      <c r="AE579" s="823"/>
      <c r="AF579" s="823"/>
      <c r="AG579" s="823"/>
      <c r="AH579" s="823"/>
      <c r="AI579" s="123"/>
      <c r="AJ579" s="123"/>
      <c r="AK579" s="123"/>
      <c r="AL579" s="123"/>
      <c r="AM579" s="123"/>
      <c r="AN579" s="123"/>
      <c r="AO579" s="123"/>
      <c r="AP579" s="123"/>
      <c r="AQ579" s="123"/>
      <c r="AR579" s="123"/>
      <c r="AS579" s="123"/>
      <c r="AT579" s="123"/>
      <c r="AU579" s="123"/>
      <c r="AV579" s="123"/>
      <c r="AW579" s="123"/>
      <c r="AX579" s="123"/>
      <c r="AY579" s="123"/>
      <c r="AZ579" s="123"/>
      <c r="BA579" s="123"/>
      <c r="BB579" s="123"/>
      <c r="BC579" s="123"/>
      <c r="BD579" s="123"/>
      <c r="BE579" s="123"/>
      <c r="BF579" s="123"/>
      <c r="BG579" s="123"/>
      <c r="BH579" s="123"/>
      <c r="BI579" s="123"/>
      <c r="BJ579" s="123"/>
      <c r="BK579" s="123"/>
      <c r="BL579" s="123"/>
      <c r="CW579" s="813"/>
    </row>
    <row r="580" spans="1:101">
      <c r="A580" s="71"/>
      <c r="B580" s="71"/>
      <c r="C580" s="822"/>
      <c r="D580" s="822"/>
      <c r="E580" s="824"/>
      <c r="F580" s="86"/>
      <c r="G580" s="86"/>
      <c r="H580" s="823"/>
      <c r="I580" s="823"/>
      <c r="J580" s="823"/>
      <c r="K580" s="823"/>
      <c r="L580" s="823"/>
      <c r="M580" s="823"/>
      <c r="N580" s="823"/>
      <c r="O580" s="823"/>
      <c r="P580" s="823"/>
      <c r="Q580" s="823"/>
      <c r="R580" s="823"/>
      <c r="S580" s="823"/>
      <c r="T580" s="823"/>
      <c r="U580" s="823"/>
      <c r="V580" s="1597"/>
      <c r="W580" s="1597"/>
      <c r="X580" s="1597"/>
      <c r="Y580" s="1597"/>
      <c r="Z580" s="1597"/>
      <c r="AA580" s="823"/>
      <c r="AB580" s="823"/>
      <c r="AC580" s="823"/>
      <c r="AD580" s="823"/>
      <c r="AE580" s="823"/>
      <c r="AF580" s="823"/>
      <c r="AG580" s="823"/>
      <c r="AH580" s="823"/>
      <c r="AI580" s="123"/>
      <c r="AJ580" s="123"/>
      <c r="AK580" s="123"/>
      <c r="AL580" s="123"/>
      <c r="AM580" s="123"/>
      <c r="AN580" s="123"/>
      <c r="AO580" s="123"/>
      <c r="AP580" s="123"/>
      <c r="AQ580" s="123"/>
      <c r="AR580" s="123"/>
      <c r="AS580" s="123"/>
      <c r="AT580" s="123"/>
      <c r="AU580" s="123"/>
      <c r="AV580" s="123"/>
      <c r="AW580" s="123"/>
      <c r="AX580" s="123"/>
      <c r="AY580" s="123"/>
      <c r="AZ580" s="123"/>
      <c r="BA580" s="123"/>
      <c r="BB580" s="123"/>
      <c r="BC580" s="123"/>
      <c r="BD580" s="123"/>
      <c r="BE580" s="123"/>
      <c r="BF580" s="123"/>
      <c r="BG580" s="123"/>
      <c r="BH580" s="123"/>
      <c r="BI580" s="123"/>
      <c r="BJ580" s="123"/>
      <c r="BK580" s="123"/>
      <c r="BL580" s="123"/>
      <c r="CW580" s="813"/>
    </row>
    <row r="581" spans="1:101">
      <c r="A581" s="71"/>
      <c r="B581" s="71"/>
      <c r="C581" s="822"/>
      <c r="D581" s="822"/>
      <c r="E581" s="824"/>
      <c r="F581" s="86"/>
      <c r="G581" s="86"/>
      <c r="H581" s="823"/>
      <c r="I581" s="823"/>
      <c r="J581" s="823"/>
      <c r="K581" s="823"/>
      <c r="L581" s="823"/>
      <c r="M581" s="823"/>
      <c r="N581" s="823"/>
      <c r="O581" s="823"/>
      <c r="P581" s="823"/>
      <c r="Q581" s="823"/>
      <c r="R581" s="823"/>
      <c r="S581" s="823"/>
      <c r="T581" s="823"/>
      <c r="U581" s="823"/>
      <c r="V581" s="1597"/>
      <c r="W581" s="1597"/>
      <c r="X581" s="1597"/>
      <c r="Y581" s="1597"/>
      <c r="Z581" s="1597"/>
      <c r="AA581" s="823"/>
      <c r="AB581" s="823"/>
      <c r="AC581" s="823"/>
      <c r="AD581" s="823"/>
      <c r="AE581" s="823"/>
      <c r="AF581" s="823"/>
      <c r="AG581" s="823"/>
      <c r="AH581" s="823"/>
      <c r="AI581" s="123"/>
      <c r="AJ581" s="123"/>
      <c r="AK581" s="123"/>
      <c r="AL581" s="123"/>
      <c r="AM581" s="123"/>
      <c r="AN581" s="123"/>
      <c r="AO581" s="123"/>
      <c r="AP581" s="123"/>
      <c r="AQ581" s="123"/>
      <c r="AR581" s="123"/>
      <c r="AS581" s="123"/>
      <c r="AT581" s="123"/>
      <c r="AU581" s="123"/>
      <c r="AV581" s="123"/>
      <c r="AW581" s="123"/>
      <c r="AX581" s="123"/>
      <c r="AY581" s="123"/>
      <c r="AZ581" s="123"/>
      <c r="BA581" s="123"/>
      <c r="BB581" s="123"/>
      <c r="BC581" s="123"/>
      <c r="BD581" s="123"/>
      <c r="BE581" s="123"/>
      <c r="BF581" s="123"/>
      <c r="BG581" s="123"/>
      <c r="BH581" s="123"/>
      <c r="BI581" s="123"/>
      <c r="BJ581" s="123"/>
      <c r="BK581" s="123"/>
      <c r="BL581" s="123"/>
      <c r="CW581" s="813"/>
    </row>
    <row r="582" spans="1:101">
      <c r="A582" s="71"/>
      <c r="B582" s="71"/>
      <c r="C582" s="822"/>
      <c r="D582" s="822"/>
      <c r="E582" s="824"/>
      <c r="F582" s="86"/>
      <c r="G582" s="86"/>
      <c r="H582" s="823"/>
      <c r="I582" s="823"/>
      <c r="J582" s="823"/>
      <c r="K582" s="823"/>
      <c r="L582" s="823"/>
      <c r="M582" s="823"/>
      <c r="N582" s="823"/>
      <c r="O582" s="823"/>
      <c r="P582" s="823"/>
      <c r="Q582" s="823"/>
      <c r="R582" s="823"/>
      <c r="S582" s="823"/>
      <c r="T582" s="823"/>
      <c r="U582" s="823"/>
      <c r="V582" s="1597"/>
      <c r="W582" s="1597"/>
      <c r="X582" s="1597"/>
      <c r="Y582" s="1597"/>
      <c r="Z582" s="1597"/>
      <c r="AA582" s="823"/>
      <c r="AB582" s="823"/>
      <c r="AC582" s="823"/>
      <c r="AD582" s="823"/>
      <c r="AE582" s="823"/>
      <c r="AF582" s="823"/>
      <c r="AG582" s="823"/>
      <c r="AH582" s="823"/>
      <c r="AI582" s="123"/>
      <c r="AJ582" s="123"/>
      <c r="AK582" s="123"/>
      <c r="AL582" s="123"/>
      <c r="AM582" s="123"/>
      <c r="AN582" s="123"/>
      <c r="AO582" s="123"/>
      <c r="AP582" s="123"/>
      <c r="AQ582" s="123"/>
      <c r="AR582" s="123"/>
      <c r="AS582" s="123"/>
      <c r="AT582" s="123"/>
      <c r="AU582" s="123"/>
      <c r="AV582" s="123"/>
      <c r="AW582" s="123"/>
      <c r="AX582" s="123"/>
      <c r="AY582" s="123"/>
      <c r="AZ582" s="123"/>
      <c r="BA582" s="123"/>
      <c r="BB582" s="123"/>
      <c r="BC582" s="123"/>
      <c r="BD582" s="123"/>
      <c r="BE582" s="123"/>
      <c r="BF582" s="123"/>
      <c r="BG582" s="123"/>
      <c r="BH582" s="123"/>
      <c r="BI582" s="123"/>
      <c r="BJ582" s="123"/>
      <c r="BK582" s="123"/>
      <c r="BL582" s="123"/>
      <c r="CW582" s="813"/>
    </row>
    <row r="583" spans="1:101">
      <c r="A583" s="71"/>
      <c r="B583" s="71"/>
      <c r="C583" s="822"/>
      <c r="D583" s="822"/>
      <c r="E583" s="824"/>
      <c r="F583" s="86"/>
      <c r="G583" s="86"/>
      <c r="H583" s="823"/>
      <c r="I583" s="823"/>
      <c r="J583" s="823"/>
      <c r="K583" s="823"/>
      <c r="L583" s="823"/>
      <c r="M583" s="823"/>
      <c r="N583" s="823"/>
      <c r="O583" s="823"/>
      <c r="P583" s="823"/>
      <c r="Q583" s="823"/>
      <c r="R583" s="823"/>
      <c r="S583" s="823"/>
      <c r="T583" s="823"/>
      <c r="U583" s="823"/>
      <c r="V583" s="1597"/>
      <c r="W583" s="1597"/>
      <c r="X583" s="1597"/>
      <c r="Y583" s="1597"/>
      <c r="Z583" s="1597"/>
      <c r="AA583" s="823"/>
      <c r="AB583" s="823"/>
      <c r="AC583" s="823"/>
      <c r="AD583" s="823"/>
      <c r="AE583" s="823"/>
      <c r="AF583" s="823"/>
      <c r="AG583" s="823"/>
      <c r="AH583" s="823"/>
      <c r="AI583" s="123"/>
      <c r="AJ583" s="123"/>
      <c r="AK583" s="123"/>
      <c r="AL583" s="123"/>
      <c r="AM583" s="123"/>
      <c r="AN583" s="123"/>
      <c r="AO583" s="123"/>
      <c r="AP583" s="123"/>
      <c r="AQ583" s="123"/>
      <c r="AR583" s="123"/>
      <c r="AS583" s="123"/>
      <c r="AT583" s="123"/>
      <c r="AU583" s="123"/>
      <c r="AV583" s="123"/>
      <c r="AW583" s="123"/>
      <c r="AX583" s="123"/>
      <c r="AY583" s="123"/>
      <c r="AZ583" s="123"/>
      <c r="BA583" s="123"/>
      <c r="BB583" s="123"/>
      <c r="BC583" s="123"/>
      <c r="BD583" s="123"/>
      <c r="BE583" s="123"/>
      <c r="BF583" s="123"/>
      <c r="BG583" s="123"/>
      <c r="BH583" s="123"/>
      <c r="BI583" s="123"/>
      <c r="BJ583" s="123"/>
      <c r="BK583" s="123"/>
      <c r="BL583" s="123"/>
      <c r="CW583" s="813"/>
    </row>
    <row r="584" spans="1:101">
      <c r="A584" s="71"/>
      <c r="B584" s="71"/>
      <c r="C584" s="822"/>
      <c r="D584" s="822"/>
      <c r="E584" s="824"/>
      <c r="F584" s="86"/>
      <c r="G584" s="86"/>
      <c r="H584" s="823"/>
      <c r="I584" s="823"/>
      <c r="J584" s="823"/>
      <c r="K584" s="823"/>
      <c r="L584" s="823"/>
      <c r="M584" s="823"/>
      <c r="N584" s="823"/>
      <c r="O584" s="823"/>
      <c r="P584" s="823"/>
      <c r="Q584" s="823"/>
      <c r="R584" s="823"/>
      <c r="S584" s="823"/>
      <c r="T584" s="823"/>
      <c r="U584" s="823"/>
      <c r="V584" s="1597"/>
      <c r="W584" s="1597"/>
      <c r="X584" s="1597"/>
      <c r="Y584" s="1597"/>
      <c r="Z584" s="1597"/>
      <c r="AA584" s="823"/>
      <c r="AB584" s="823"/>
      <c r="AC584" s="823"/>
      <c r="AD584" s="823"/>
      <c r="AE584" s="823"/>
      <c r="AF584" s="823"/>
      <c r="AG584" s="823"/>
      <c r="AH584" s="823"/>
      <c r="AI584" s="123"/>
      <c r="AJ584" s="123"/>
      <c r="AK584" s="123"/>
      <c r="AL584" s="123"/>
      <c r="AM584" s="123"/>
      <c r="AN584" s="123"/>
      <c r="AO584" s="123"/>
      <c r="AP584" s="123"/>
      <c r="AQ584" s="123"/>
      <c r="AR584" s="123"/>
      <c r="AS584" s="123"/>
      <c r="AT584" s="123"/>
      <c r="AU584" s="123"/>
      <c r="AV584" s="123"/>
      <c r="AW584" s="123"/>
      <c r="AX584" s="123"/>
      <c r="AY584" s="123"/>
      <c r="AZ584" s="123"/>
      <c r="BA584" s="123"/>
      <c r="BB584" s="123"/>
      <c r="BC584" s="123"/>
      <c r="BD584" s="123"/>
      <c r="BE584" s="123"/>
      <c r="BF584" s="123"/>
      <c r="BG584" s="123"/>
      <c r="BH584" s="123"/>
      <c r="BI584" s="123"/>
      <c r="BJ584" s="123"/>
      <c r="BK584" s="123"/>
      <c r="BL584" s="123"/>
      <c r="CW584" s="813"/>
    </row>
    <row r="585" spans="1:101">
      <c r="A585" s="71"/>
      <c r="B585" s="71"/>
      <c r="C585" s="822"/>
      <c r="D585" s="822"/>
      <c r="E585" s="824"/>
      <c r="F585" s="86"/>
      <c r="G585" s="86"/>
      <c r="H585" s="823"/>
      <c r="I585" s="823"/>
      <c r="J585" s="823"/>
      <c r="K585" s="823"/>
      <c r="L585" s="823"/>
      <c r="M585" s="823"/>
      <c r="N585" s="823"/>
      <c r="O585" s="823"/>
      <c r="P585" s="823"/>
      <c r="Q585" s="823"/>
      <c r="R585" s="823"/>
      <c r="S585" s="823"/>
      <c r="T585" s="823"/>
      <c r="U585" s="823"/>
      <c r="V585" s="1597"/>
      <c r="W585" s="1597"/>
      <c r="X585" s="1597"/>
      <c r="Y585" s="1597"/>
      <c r="Z585" s="1597"/>
      <c r="AA585" s="823"/>
      <c r="AB585" s="823"/>
      <c r="AC585" s="823"/>
      <c r="AD585" s="823"/>
      <c r="AE585" s="823"/>
      <c r="AF585" s="823"/>
      <c r="AG585" s="823"/>
      <c r="AH585" s="823"/>
      <c r="AI585" s="123"/>
      <c r="AJ585" s="123"/>
      <c r="AK585" s="123"/>
      <c r="AL585" s="123"/>
      <c r="AM585" s="123"/>
      <c r="AN585" s="123"/>
      <c r="AO585" s="123"/>
      <c r="AP585" s="123"/>
      <c r="AQ585" s="123"/>
      <c r="AR585" s="123"/>
      <c r="AS585" s="123"/>
      <c r="AT585" s="123"/>
      <c r="AU585" s="123"/>
      <c r="AV585" s="123"/>
      <c r="AW585" s="123"/>
      <c r="AX585" s="123"/>
      <c r="AY585" s="123"/>
      <c r="AZ585" s="123"/>
      <c r="BA585" s="123"/>
      <c r="BB585" s="123"/>
      <c r="BC585" s="123"/>
      <c r="BD585" s="123"/>
      <c r="BE585" s="123"/>
      <c r="BF585" s="123"/>
      <c r="BG585" s="123"/>
      <c r="BH585" s="123"/>
      <c r="BI585" s="123"/>
      <c r="BJ585" s="123"/>
      <c r="BK585" s="123"/>
      <c r="BL585" s="123"/>
      <c r="CW585" s="813"/>
    </row>
    <row r="586" spans="1:101">
      <c r="A586" s="71"/>
      <c r="B586" s="71"/>
      <c r="C586" s="822"/>
      <c r="D586" s="822"/>
      <c r="E586" s="824"/>
      <c r="F586" s="86"/>
      <c r="G586" s="86"/>
      <c r="H586" s="823"/>
      <c r="I586" s="823"/>
      <c r="J586" s="823"/>
      <c r="K586" s="823"/>
      <c r="L586" s="823"/>
      <c r="M586" s="823"/>
      <c r="N586" s="823"/>
      <c r="O586" s="823"/>
      <c r="P586" s="823"/>
      <c r="Q586" s="823"/>
      <c r="R586" s="823"/>
      <c r="S586" s="823"/>
      <c r="T586" s="823"/>
      <c r="U586" s="823"/>
      <c r="V586" s="1597"/>
      <c r="W586" s="1597"/>
      <c r="X586" s="1597"/>
      <c r="Y586" s="1597"/>
      <c r="Z586" s="1597"/>
      <c r="AA586" s="823"/>
      <c r="AB586" s="823"/>
      <c r="AC586" s="823"/>
      <c r="AD586" s="823"/>
      <c r="AE586" s="823"/>
      <c r="AF586" s="823"/>
      <c r="AG586" s="823"/>
      <c r="AH586" s="823"/>
      <c r="AI586" s="123"/>
      <c r="AJ586" s="123"/>
      <c r="AK586" s="123"/>
      <c r="AL586" s="123"/>
      <c r="AM586" s="123"/>
      <c r="AN586" s="123"/>
      <c r="AO586" s="123"/>
      <c r="AP586" s="123"/>
      <c r="AQ586" s="123"/>
      <c r="AR586" s="123"/>
      <c r="AS586" s="123"/>
      <c r="AT586" s="123"/>
      <c r="AU586" s="123"/>
      <c r="AV586" s="123"/>
      <c r="AW586" s="123"/>
      <c r="AX586" s="123"/>
      <c r="AY586" s="123"/>
      <c r="AZ586" s="123"/>
      <c r="BA586" s="123"/>
      <c r="BB586" s="123"/>
      <c r="BC586" s="123"/>
      <c r="BD586" s="123"/>
      <c r="BE586" s="123"/>
      <c r="BF586" s="123"/>
      <c r="BG586" s="123"/>
      <c r="BH586" s="123"/>
      <c r="BI586" s="123"/>
      <c r="BJ586" s="123"/>
      <c r="BK586" s="123"/>
      <c r="BL586" s="123"/>
      <c r="CW586" s="813"/>
    </row>
    <row r="587" spans="1:101">
      <c r="A587" s="71"/>
      <c r="B587" s="71"/>
      <c r="C587" s="822"/>
      <c r="D587" s="822"/>
      <c r="E587" s="824"/>
      <c r="F587" s="86"/>
      <c r="G587" s="86"/>
      <c r="H587" s="823"/>
      <c r="I587" s="823"/>
      <c r="J587" s="823"/>
      <c r="K587" s="823"/>
      <c r="L587" s="823"/>
      <c r="M587" s="823"/>
      <c r="N587" s="823"/>
      <c r="O587" s="823"/>
      <c r="P587" s="823"/>
      <c r="Q587" s="823"/>
      <c r="R587" s="823"/>
      <c r="S587" s="823"/>
      <c r="T587" s="823"/>
      <c r="U587" s="823"/>
      <c r="V587" s="1597"/>
      <c r="W587" s="1597"/>
      <c r="X587" s="1597"/>
      <c r="Y587" s="1597"/>
      <c r="Z587" s="1597"/>
      <c r="AA587" s="823"/>
      <c r="AB587" s="823"/>
      <c r="AC587" s="823"/>
      <c r="AD587" s="823"/>
      <c r="AE587" s="823"/>
      <c r="AF587" s="823"/>
      <c r="AG587" s="823"/>
      <c r="AH587" s="823"/>
      <c r="AI587" s="123"/>
      <c r="AJ587" s="123"/>
      <c r="AK587" s="123"/>
      <c r="AL587" s="123"/>
      <c r="AM587" s="123"/>
      <c r="AN587" s="123"/>
      <c r="AO587" s="123"/>
      <c r="AP587" s="123"/>
      <c r="AQ587" s="123"/>
      <c r="AR587" s="123"/>
      <c r="AS587" s="123"/>
      <c r="AT587" s="123"/>
      <c r="AU587" s="123"/>
      <c r="AV587" s="123"/>
      <c r="AW587" s="123"/>
      <c r="AX587" s="123"/>
      <c r="AY587" s="123"/>
      <c r="AZ587" s="123"/>
      <c r="BA587" s="123"/>
      <c r="BB587" s="123"/>
      <c r="BC587" s="123"/>
      <c r="BD587" s="123"/>
      <c r="BE587" s="123"/>
      <c r="BF587" s="123"/>
      <c r="BG587" s="123"/>
      <c r="BH587" s="123"/>
      <c r="BI587" s="123"/>
      <c r="BJ587" s="123"/>
      <c r="BK587" s="123"/>
      <c r="BL587" s="123"/>
      <c r="CW587" s="813"/>
    </row>
    <row r="588" spans="1:101">
      <c r="A588" s="71"/>
      <c r="B588" s="71"/>
      <c r="C588" s="822"/>
      <c r="D588" s="822"/>
      <c r="E588" s="824"/>
      <c r="F588" s="86"/>
      <c r="G588" s="86"/>
      <c r="H588" s="823"/>
      <c r="I588" s="823"/>
      <c r="J588" s="823"/>
      <c r="K588" s="823"/>
      <c r="L588" s="823"/>
      <c r="M588" s="823"/>
      <c r="N588" s="823"/>
      <c r="O588" s="823"/>
      <c r="P588" s="823"/>
      <c r="Q588" s="823"/>
      <c r="R588" s="823"/>
      <c r="S588" s="823"/>
      <c r="T588" s="823"/>
      <c r="U588" s="823"/>
      <c r="V588" s="1597"/>
      <c r="W588" s="1597"/>
      <c r="X588" s="1597"/>
      <c r="Y588" s="1597"/>
      <c r="Z588" s="1597"/>
      <c r="AA588" s="823"/>
      <c r="AB588" s="823"/>
      <c r="AC588" s="823"/>
      <c r="AD588" s="823"/>
      <c r="AE588" s="823"/>
      <c r="AF588" s="823"/>
      <c r="AG588" s="823"/>
      <c r="AH588" s="823"/>
      <c r="AI588" s="123"/>
      <c r="AJ588" s="123"/>
      <c r="AK588" s="123"/>
      <c r="AL588" s="123"/>
      <c r="AM588" s="123"/>
      <c r="AN588" s="123"/>
      <c r="AO588" s="123"/>
      <c r="AP588" s="123"/>
      <c r="AQ588" s="123"/>
      <c r="AR588" s="123"/>
      <c r="AS588" s="123"/>
      <c r="AT588" s="123"/>
      <c r="AU588" s="123"/>
      <c r="AV588" s="123"/>
      <c r="AW588" s="123"/>
      <c r="AX588" s="123"/>
      <c r="AY588" s="123"/>
      <c r="AZ588" s="123"/>
      <c r="BA588" s="123"/>
      <c r="BB588" s="123"/>
      <c r="BC588" s="123"/>
      <c r="BD588" s="123"/>
      <c r="BE588" s="123"/>
      <c r="BF588" s="123"/>
      <c r="BG588" s="123"/>
      <c r="BH588" s="123"/>
      <c r="BI588" s="123"/>
      <c r="BJ588" s="123"/>
      <c r="BK588" s="123"/>
      <c r="BL588" s="123"/>
      <c r="CW588" s="813"/>
    </row>
    <row r="589" spans="1:101">
      <c r="A589" s="71"/>
      <c r="B589" s="71"/>
      <c r="C589" s="822"/>
      <c r="D589" s="822"/>
      <c r="E589" s="824"/>
      <c r="F589" s="86"/>
      <c r="G589" s="86"/>
      <c r="H589" s="823"/>
      <c r="I589" s="823"/>
      <c r="J589" s="823"/>
      <c r="K589" s="823"/>
      <c r="L589" s="823"/>
      <c r="M589" s="823"/>
      <c r="N589" s="823"/>
      <c r="O589" s="823"/>
      <c r="P589" s="823"/>
      <c r="Q589" s="823"/>
      <c r="R589" s="823"/>
      <c r="S589" s="823"/>
      <c r="T589" s="823"/>
      <c r="U589" s="823"/>
      <c r="V589" s="1597"/>
      <c r="W589" s="1597"/>
      <c r="X589" s="1597"/>
      <c r="Y589" s="1597"/>
      <c r="Z589" s="1597"/>
      <c r="AA589" s="823"/>
      <c r="AB589" s="823"/>
      <c r="AC589" s="823"/>
      <c r="AD589" s="823"/>
      <c r="AE589" s="823"/>
      <c r="AF589" s="823"/>
      <c r="AG589" s="823"/>
      <c r="AH589" s="823"/>
      <c r="AI589" s="123"/>
      <c r="AJ589" s="123"/>
      <c r="AK589" s="123"/>
      <c r="AL589" s="123"/>
      <c r="AM589" s="123"/>
      <c r="AN589" s="123"/>
      <c r="AO589" s="123"/>
      <c r="AP589" s="123"/>
      <c r="AQ589" s="123"/>
      <c r="AR589" s="123"/>
      <c r="AS589" s="123"/>
      <c r="AT589" s="123"/>
      <c r="AU589" s="123"/>
      <c r="AV589" s="123"/>
      <c r="AW589" s="123"/>
      <c r="AX589" s="123"/>
      <c r="AY589" s="123"/>
      <c r="AZ589" s="123"/>
      <c r="BA589" s="123"/>
      <c r="BB589" s="123"/>
      <c r="BC589" s="123"/>
      <c r="BD589" s="123"/>
      <c r="BE589" s="123"/>
      <c r="BF589" s="123"/>
      <c r="BG589" s="123"/>
      <c r="BH589" s="123"/>
      <c r="BI589" s="123"/>
      <c r="BJ589" s="123"/>
      <c r="BK589" s="123"/>
      <c r="BL589" s="123"/>
      <c r="CW589" s="813"/>
    </row>
    <row r="590" spans="1:101">
      <c r="A590" s="71"/>
      <c r="B590" s="71"/>
      <c r="C590" s="822"/>
      <c r="D590" s="822"/>
      <c r="E590" s="824"/>
      <c r="F590" s="86"/>
      <c r="G590" s="86"/>
      <c r="H590" s="823"/>
      <c r="I590" s="823"/>
      <c r="J590" s="823"/>
      <c r="K590" s="823"/>
      <c r="L590" s="823"/>
      <c r="M590" s="823"/>
      <c r="N590" s="823"/>
      <c r="O590" s="823"/>
      <c r="P590" s="823"/>
      <c r="Q590" s="823"/>
      <c r="R590" s="823"/>
      <c r="S590" s="823"/>
      <c r="T590" s="823"/>
      <c r="U590" s="823"/>
      <c r="V590" s="1597"/>
      <c r="W590" s="1597"/>
      <c r="X590" s="1597"/>
      <c r="Y590" s="1597"/>
      <c r="Z590" s="1597"/>
      <c r="AA590" s="823"/>
      <c r="AB590" s="823"/>
      <c r="AC590" s="823"/>
      <c r="AD590" s="823"/>
      <c r="AE590" s="823"/>
      <c r="AF590" s="823"/>
      <c r="AG590" s="823"/>
      <c r="AH590" s="823"/>
      <c r="AI590" s="123"/>
      <c r="AJ590" s="123"/>
      <c r="AK590" s="123"/>
      <c r="AL590" s="123"/>
      <c r="AM590" s="123"/>
      <c r="AN590" s="123"/>
      <c r="AO590" s="123"/>
      <c r="AP590" s="123"/>
      <c r="AQ590" s="123"/>
      <c r="AR590" s="123"/>
      <c r="AS590" s="123"/>
      <c r="AT590" s="123"/>
      <c r="AU590" s="123"/>
      <c r="AV590" s="123"/>
      <c r="AW590" s="123"/>
      <c r="AX590" s="123"/>
      <c r="AY590" s="123"/>
      <c r="AZ590" s="123"/>
      <c r="BA590" s="123"/>
      <c r="BB590" s="123"/>
      <c r="BC590" s="123"/>
      <c r="BD590" s="123"/>
      <c r="BE590" s="123"/>
      <c r="BF590" s="123"/>
      <c r="BG590" s="123"/>
      <c r="BH590" s="123"/>
      <c r="BI590" s="123"/>
      <c r="BJ590" s="123"/>
      <c r="BK590" s="123"/>
      <c r="BL590" s="123"/>
      <c r="CW590" s="813"/>
    </row>
    <row r="591" spans="1:101">
      <c r="A591" s="71"/>
      <c r="B591" s="71"/>
      <c r="C591" s="822"/>
      <c r="D591" s="822"/>
      <c r="E591" s="824"/>
      <c r="F591" s="86"/>
      <c r="G591" s="86"/>
      <c r="H591" s="823"/>
      <c r="I591" s="823"/>
      <c r="J591" s="823"/>
      <c r="K591" s="823"/>
      <c r="L591" s="823"/>
      <c r="M591" s="823"/>
      <c r="N591" s="823"/>
      <c r="O591" s="823"/>
      <c r="P591" s="823"/>
      <c r="Q591" s="823"/>
      <c r="R591" s="823"/>
      <c r="S591" s="823"/>
      <c r="T591" s="823"/>
      <c r="U591" s="823"/>
      <c r="V591" s="1597"/>
      <c r="W591" s="1597"/>
      <c r="X591" s="1597"/>
      <c r="Y591" s="1597"/>
      <c r="Z591" s="1597"/>
      <c r="AA591" s="823"/>
      <c r="AB591" s="823"/>
      <c r="AC591" s="823"/>
      <c r="AD591" s="823"/>
      <c r="AE591" s="823"/>
      <c r="AF591" s="823"/>
      <c r="AG591" s="823"/>
      <c r="AH591" s="823"/>
      <c r="AI591" s="123"/>
      <c r="AJ591" s="123"/>
      <c r="AK591" s="123"/>
      <c r="AL591" s="123"/>
      <c r="AM591" s="123"/>
      <c r="AN591" s="123"/>
      <c r="AO591" s="123"/>
      <c r="AP591" s="123"/>
      <c r="AQ591" s="123"/>
      <c r="AR591" s="123"/>
      <c r="AS591" s="123"/>
      <c r="AT591" s="123"/>
      <c r="AU591" s="123"/>
      <c r="AV591" s="123"/>
      <c r="AW591" s="123"/>
      <c r="AX591" s="123"/>
      <c r="AY591" s="123"/>
      <c r="AZ591" s="123"/>
      <c r="BA591" s="123"/>
      <c r="BB591" s="123"/>
      <c r="BC591" s="123"/>
      <c r="BD591" s="123"/>
      <c r="BE591" s="123"/>
      <c r="BF591" s="123"/>
      <c r="BG591" s="123"/>
      <c r="BH591" s="123"/>
      <c r="BI591" s="123"/>
      <c r="BJ591" s="123"/>
      <c r="BK591" s="123"/>
      <c r="BL591" s="123"/>
      <c r="CW591" s="813"/>
    </row>
    <row r="592" spans="1:101">
      <c r="A592" s="71"/>
      <c r="B592" s="71"/>
      <c r="C592" s="822"/>
      <c r="D592" s="822"/>
      <c r="E592" s="824"/>
      <c r="F592" s="86"/>
      <c r="G592" s="86"/>
      <c r="H592" s="823"/>
      <c r="I592" s="823"/>
      <c r="J592" s="823"/>
      <c r="K592" s="823"/>
      <c r="L592" s="823"/>
      <c r="M592" s="823"/>
      <c r="N592" s="823"/>
      <c r="O592" s="823"/>
      <c r="P592" s="823"/>
      <c r="Q592" s="823"/>
      <c r="R592" s="823"/>
      <c r="S592" s="823"/>
      <c r="T592" s="823"/>
      <c r="U592" s="823"/>
      <c r="V592" s="1597"/>
      <c r="W592" s="1597"/>
      <c r="X592" s="1597"/>
      <c r="Y592" s="1597"/>
      <c r="Z592" s="1597"/>
      <c r="AA592" s="823"/>
      <c r="AB592" s="823"/>
      <c r="AC592" s="823"/>
      <c r="AD592" s="823"/>
      <c r="AE592" s="823"/>
      <c r="AF592" s="823"/>
      <c r="AG592" s="823"/>
      <c r="AH592" s="823"/>
      <c r="AI592" s="123"/>
      <c r="AJ592" s="123"/>
      <c r="AK592" s="123"/>
      <c r="AL592" s="123"/>
      <c r="AM592" s="123"/>
      <c r="AN592" s="123"/>
      <c r="AO592" s="123"/>
      <c r="AP592" s="123"/>
      <c r="AQ592" s="123"/>
      <c r="AR592" s="123"/>
      <c r="AS592" s="123"/>
      <c r="AT592" s="123"/>
      <c r="AU592" s="123"/>
      <c r="AV592" s="123"/>
      <c r="AW592" s="123"/>
      <c r="AX592" s="123"/>
      <c r="AY592" s="123"/>
      <c r="AZ592" s="123"/>
      <c r="BA592" s="123"/>
      <c r="BB592" s="123"/>
      <c r="BC592" s="123"/>
      <c r="BD592" s="123"/>
      <c r="BE592" s="123"/>
      <c r="BF592" s="123"/>
      <c r="BG592" s="123"/>
      <c r="BH592" s="123"/>
      <c r="BI592" s="123"/>
      <c r="BJ592" s="123"/>
      <c r="BK592" s="123"/>
      <c r="BL592" s="123"/>
      <c r="CW592" s="813"/>
    </row>
    <row r="593" spans="1:101">
      <c r="A593" s="71"/>
      <c r="B593" s="71"/>
      <c r="C593" s="822"/>
      <c r="D593" s="822"/>
      <c r="E593" s="824"/>
      <c r="F593" s="86"/>
      <c r="G593" s="86"/>
      <c r="H593" s="823"/>
      <c r="I593" s="823"/>
      <c r="J593" s="823"/>
      <c r="K593" s="823"/>
      <c r="L593" s="823"/>
      <c r="M593" s="823"/>
      <c r="N593" s="823"/>
      <c r="O593" s="823"/>
      <c r="P593" s="823"/>
      <c r="Q593" s="823"/>
      <c r="R593" s="823"/>
      <c r="S593" s="823"/>
      <c r="T593" s="823"/>
      <c r="U593" s="823"/>
      <c r="V593" s="1597"/>
      <c r="W593" s="1597"/>
      <c r="X593" s="1597"/>
      <c r="Y593" s="1597"/>
      <c r="Z593" s="1597"/>
      <c r="AA593" s="823"/>
      <c r="AB593" s="823"/>
      <c r="AC593" s="823"/>
      <c r="AD593" s="823"/>
      <c r="AE593" s="823"/>
      <c r="AF593" s="823"/>
      <c r="AG593" s="823"/>
      <c r="AH593" s="823"/>
      <c r="AI593" s="123"/>
      <c r="AJ593" s="123"/>
      <c r="AK593" s="123"/>
      <c r="AL593" s="123"/>
      <c r="AM593" s="123"/>
      <c r="AN593" s="123"/>
      <c r="AO593" s="123"/>
      <c r="AP593" s="123"/>
      <c r="AQ593" s="123"/>
      <c r="AR593" s="123"/>
      <c r="AS593" s="123"/>
      <c r="AT593" s="123"/>
      <c r="AU593" s="123"/>
      <c r="AV593" s="123"/>
      <c r="AW593" s="123"/>
      <c r="AX593" s="123"/>
      <c r="AY593" s="123"/>
      <c r="AZ593" s="123"/>
      <c r="BA593" s="123"/>
      <c r="BB593" s="123"/>
      <c r="BC593" s="123"/>
      <c r="BD593" s="123"/>
      <c r="BE593" s="123"/>
      <c r="BF593" s="123"/>
      <c r="BG593" s="123"/>
      <c r="BH593" s="123"/>
      <c r="BI593" s="123"/>
      <c r="BJ593" s="123"/>
      <c r="BK593" s="123"/>
      <c r="BL593" s="123"/>
      <c r="CW593" s="813"/>
    </row>
    <row r="594" spans="1:101">
      <c r="A594" s="71"/>
      <c r="B594" s="71"/>
      <c r="C594" s="822"/>
      <c r="D594" s="822"/>
      <c r="E594" s="824"/>
      <c r="F594" s="86"/>
      <c r="G594" s="86"/>
      <c r="H594" s="823"/>
      <c r="I594" s="823"/>
      <c r="J594" s="823"/>
      <c r="K594" s="823"/>
      <c r="L594" s="823"/>
      <c r="M594" s="823"/>
      <c r="N594" s="823"/>
      <c r="O594" s="823"/>
      <c r="P594" s="823"/>
      <c r="Q594" s="823"/>
      <c r="R594" s="823"/>
      <c r="S594" s="823"/>
      <c r="T594" s="823"/>
      <c r="U594" s="823"/>
      <c r="V594" s="1597"/>
      <c r="W594" s="1597"/>
      <c r="X594" s="1597"/>
      <c r="Y594" s="1597"/>
      <c r="Z594" s="1597"/>
      <c r="AA594" s="823"/>
      <c r="AB594" s="823"/>
      <c r="AC594" s="823"/>
      <c r="AD594" s="823"/>
      <c r="AE594" s="823"/>
      <c r="AF594" s="823"/>
      <c r="AG594" s="823"/>
      <c r="AH594" s="823"/>
      <c r="AI594" s="123"/>
      <c r="AJ594" s="123"/>
      <c r="AK594" s="123"/>
      <c r="AL594" s="123"/>
      <c r="AM594" s="123"/>
      <c r="AN594" s="123"/>
      <c r="AO594" s="123"/>
      <c r="AP594" s="123"/>
      <c r="AQ594" s="123"/>
      <c r="AR594" s="123"/>
      <c r="AS594" s="123"/>
      <c r="AT594" s="123"/>
      <c r="AU594" s="123"/>
      <c r="AV594" s="123"/>
      <c r="AW594" s="123"/>
      <c r="AX594" s="123"/>
      <c r="AY594" s="123"/>
      <c r="AZ594" s="123"/>
      <c r="BA594" s="123"/>
      <c r="BB594" s="123"/>
      <c r="BC594" s="123"/>
      <c r="BD594" s="123"/>
      <c r="BE594" s="123"/>
      <c r="BF594" s="123"/>
      <c r="BG594" s="123"/>
      <c r="BH594" s="123"/>
      <c r="BI594" s="123"/>
      <c r="BJ594" s="123"/>
      <c r="BK594" s="123"/>
      <c r="BL594" s="123"/>
      <c r="CW594" s="813"/>
    </row>
    <row r="595" spans="1:101">
      <c r="A595" s="71"/>
      <c r="B595" s="71"/>
      <c r="C595" s="822"/>
      <c r="D595" s="822"/>
      <c r="E595" s="824"/>
      <c r="F595" s="86"/>
      <c r="G595" s="86"/>
      <c r="H595" s="823"/>
      <c r="I595" s="823"/>
      <c r="J595" s="823"/>
      <c r="K595" s="823"/>
      <c r="L595" s="823"/>
      <c r="M595" s="823"/>
      <c r="N595" s="823"/>
      <c r="O595" s="823"/>
      <c r="P595" s="823"/>
      <c r="Q595" s="823"/>
      <c r="R595" s="823"/>
      <c r="S595" s="823"/>
      <c r="T595" s="823"/>
      <c r="U595" s="823"/>
      <c r="V595" s="1597"/>
      <c r="W595" s="1597"/>
      <c r="X595" s="1597"/>
      <c r="Y595" s="1597"/>
      <c r="Z595" s="1597"/>
      <c r="AA595" s="823"/>
      <c r="AB595" s="823"/>
      <c r="AC595" s="823"/>
      <c r="AD595" s="823"/>
      <c r="AE595" s="823"/>
      <c r="AF595" s="823"/>
      <c r="AG595" s="823"/>
      <c r="AH595" s="823"/>
      <c r="AI595" s="123"/>
      <c r="AJ595" s="123"/>
      <c r="AK595" s="123"/>
      <c r="AL595" s="123"/>
      <c r="AM595" s="123"/>
      <c r="AN595" s="123"/>
      <c r="AO595" s="123"/>
      <c r="AP595" s="123"/>
      <c r="AQ595" s="123"/>
      <c r="AR595" s="123"/>
      <c r="AS595" s="123"/>
      <c r="AT595" s="123"/>
      <c r="AU595" s="123"/>
      <c r="AV595" s="123"/>
      <c r="AW595" s="123"/>
      <c r="AX595" s="123"/>
      <c r="AY595" s="123"/>
      <c r="AZ595" s="123"/>
      <c r="BA595" s="123"/>
      <c r="BB595" s="123"/>
      <c r="BC595" s="123"/>
      <c r="BD595" s="123"/>
      <c r="BE595" s="123"/>
      <c r="BF595" s="123"/>
      <c r="BG595" s="123"/>
      <c r="BH595" s="123"/>
      <c r="BI595" s="123"/>
      <c r="BJ595" s="123"/>
      <c r="BK595" s="123"/>
      <c r="BL595" s="123"/>
      <c r="CW595" s="813"/>
    </row>
    <row r="596" spans="1:101">
      <c r="A596" s="71"/>
      <c r="B596" s="71"/>
      <c r="C596" s="822"/>
      <c r="D596" s="822"/>
      <c r="E596" s="824"/>
      <c r="F596" s="86"/>
      <c r="G596" s="86"/>
      <c r="H596" s="823"/>
      <c r="I596" s="823"/>
      <c r="J596" s="823"/>
      <c r="K596" s="823"/>
      <c r="L596" s="823"/>
      <c r="M596" s="823"/>
      <c r="N596" s="823"/>
      <c r="O596" s="823"/>
      <c r="P596" s="823"/>
      <c r="Q596" s="823"/>
      <c r="R596" s="823"/>
      <c r="S596" s="823"/>
      <c r="T596" s="823"/>
      <c r="U596" s="823"/>
      <c r="V596" s="1597"/>
      <c r="W596" s="1597"/>
      <c r="X596" s="1597"/>
      <c r="Y596" s="1597"/>
      <c r="Z596" s="1597"/>
      <c r="AA596" s="823"/>
      <c r="AB596" s="823"/>
      <c r="AC596" s="823"/>
      <c r="AD596" s="823"/>
      <c r="AE596" s="823"/>
      <c r="AF596" s="823"/>
      <c r="AG596" s="823"/>
      <c r="AH596" s="823"/>
      <c r="AI596" s="123"/>
      <c r="AJ596" s="123"/>
      <c r="AK596" s="123"/>
      <c r="AL596" s="123"/>
      <c r="AM596" s="123"/>
      <c r="AN596" s="123"/>
      <c r="AO596" s="123"/>
      <c r="AP596" s="123"/>
      <c r="AQ596" s="123"/>
      <c r="AR596" s="123"/>
      <c r="AS596" s="123"/>
      <c r="AT596" s="123"/>
      <c r="AU596" s="123"/>
      <c r="AV596" s="123"/>
      <c r="AW596" s="123"/>
      <c r="AX596" s="123"/>
      <c r="AY596" s="123"/>
      <c r="AZ596" s="123"/>
      <c r="BA596" s="123"/>
      <c r="BB596" s="123"/>
      <c r="BC596" s="123"/>
      <c r="BD596" s="123"/>
      <c r="BE596" s="123"/>
      <c r="BF596" s="123"/>
      <c r="BG596" s="123"/>
      <c r="BH596" s="123"/>
      <c r="BI596" s="123"/>
      <c r="BJ596" s="123"/>
      <c r="BK596" s="123"/>
      <c r="BL596" s="123"/>
      <c r="CW596" s="813"/>
    </row>
    <row r="597" spans="1:101">
      <c r="A597" s="71"/>
      <c r="B597" s="71"/>
      <c r="C597" s="822"/>
      <c r="D597" s="822"/>
      <c r="E597" s="824"/>
      <c r="F597" s="86"/>
      <c r="G597" s="86"/>
      <c r="H597" s="823"/>
      <c r="I597" s="823"/>
      <c r="J597" s="823"/>
      <c r="K597" s="823"/>
      <c r="L597" s="823"/>
      <c r="M597" s="823"/>
      <c r="N597" s="823"/>
      <c r="O597" s="823"/>
      <c r="P597" s="823"/>
      <c r="Q597" s="823"/>
      <c r="R597" s="823"/>
      <c r="S597" s="823"/>
      <c r="T597" s="823"/>
      <c r="U597" s="823"/>
      <c r="V597" s="1597"/>
      <c r="W597" s="1597"/>
      <c r="X597" s="1597"/>
      <c r="Y597" s="1597"/>
      <c r="Z597" s="1597"/>
      <c r="AA597" s="823"/>
      <c r="AB597" s="823"/>
      <c r="AC597" s="823"/>
      <c r="AD597" s="823"/>
      <c r="AE597" s="823"/>
      <c r="AF597" s="823"/>
      <c r="AG597" s="823"/>
      <c r="AH597" s="823"/>
      <c r="AI597" s="123"/>
      <c r="AJ597" s="123"/>
      <c r="AK597" s="123"/>
      <c r="AL597" s="123"/>
      <c r="AM597" s="123"/>
      <c r="AN597" s="123"/>
      <c r="AO597" s="123"/>
      <c r="AP597" s="123"/>
      <c r="AQ597" s="123"/>
      <c r="AR597" s="123"/>
      <c r="AS597" s="123"/>
      <c r="AT597" s="123"/>
      <c r="AU597" s="123"/>
      <c r="AV597" s="123"/>
      <c r="AW597" s="123"/>
      <c r="AX597" s="123"/>
      <c r="AY597" s="123"/>
      <c r="AZ597" s="123"/>
      <c r="BA597" s="123"/>
      <c r="BB597" s="123"/>
      <c r="BC597" s="123"/>
      <c r="BD597" s="123"/>
      <c r="BE597" s="123"/>
      <c r="BF597" s="123"/>
      <c r="BG597" s="123"/>
      <c r="BH597" s="123"/>
      <c r="BI597" s="123"/>
      <c r="BJ597" s="123"/>
      <c r="BK597" s="123"/>
      <c r="BL597" s="123"/>
      <c r="CW597" s="813"/>
    </row>
    <row r="598" spans="1:101">
      <c r="A598" s="71"/>
      <c r="B598" s="71"/>
      <c r="C598" s="822"/>
      <c r="D598" s="822"/>
      <c r="E598" s="824"/>
      <c r="F598" s="86"/>
      <c r="G598" s="86"/>
      <c r="H598" s="823"/>
      <c r="I598" s="823"/>
      <c r="J598" s="823"/>
      <c r="K598" s="823"/>
      <c r="L598" s="823"/>
      <c r="M598" s="823"/>
      <c r="N598" s="823"/>
      <c r="O598" s="823"/>
      <c r="P598" s="823"/>
      <c r="Q598" s="823"/>
      <c r="R598" s="823"/>
      <c r="S598" s="823"/>
      <c r="T598" s="823"/>
      <c r="U598" s="823"/>
      <c r="V598" s="1597"/>
      <c r="W598" s="1597"/>
      <c r="X598" s="1597"/>
      <c r="Y598" s="1597"/>
      <c r="Z598" s="1597"/>
      <c r="AA598" s="823"/>
      <c r="AB598" s="823"/>
      <c r="AC598" s="823"/>
      <c r="AD598" s="823"/>
      <c r="AE598" s="823"/>
      <c r="AF598" s="823"/>
      <c r="AG598" s="823"/>
      <c r="AH598" s="823"/>
      <c r="AI598" s="123"/>
      <c r="AJ598" s="123"/>
      <c r="AK598" s="123"/>
      <c r="AL598" s="123"/>
      <c r="AM598" s="123"/>
      <c r="AN598" s="123"/>
      <c r="AO598" s="123"/>
      <c r="AP598" s="123"/>
      <c r="AQ598" s="123"/>
      <c r="AR598" s="123"/>
      <c r="AS598" s="123"/>
      <c r="AT598" s="123"/>
      <c r="AU598" s="123"/>
      <c r="AV598" s="123"/>
      <c r="AW598" s="123"/>
      <c r="AX598" s="123"/>
      <c r="AY598" s="123"/>
      <c r="AZ598" s="123"/>
      <c r="BA598" s="123"/>
      <c r="BB598" s="123"/>
      <c r="BC598" s="123"/>
      <c r="BD598" s="123"/>
      <c r="BE598" s="123"/>
      <c r="BF598" s="123"/>
      <c r="BG598" s="123"/>
      <c r="BH598" s="123"/>
      <c r="BI598" s="123"/>
      <c r="BJ598" s="123"/>
      <c r="BK598" s="123"/>
      <c r="BL598" s="123"/>
      <c r="CW598" s="813"/>
    </row>
    <row r="599" spans="1:101">
      <c r="A599" s="71"/>
      <c r="B599" s="71"/>
      <c r="C599" s="822"/>
      <c r="D599" s="822"/>
      <c r="E599" s="824"/>
      <c r="F599" s="86"/>
      <c r="G599" s="86"/>
      <c r="H599" s="823"/>
      <c r="I599" s="823"/>
      <c r="J599" s="823"/>
      <c r="K599" s="823"/>
      <c r="L599" s="823"/>
      <c r="M599" s="823"/>
      <c r="N599" s="823"/>
      <c r="O599" s="823"/>
      <c r="P599" s="823"/>
      <c r="Q599" s="823"/>
      <c r="R599" s="823"/>
      <c r="S599" s="823"/>
      <c r="T599" s="823"/>
      <c r="U599" s="823"/>
      <c r="V599" s="1597"/>
      <c r="W599" s="1597"/>
      <c r="X599" s="1597"/>
      <c r="Y599" s="1597"/>
      <c r="Z599" s="1597"/>
      <c r="AA599" s="823"/>
      <c r="AB599" s="823"/>
      <c r="AC599" s="823"/>
      <c r="AD599" s="823"/>
      <c r="AE599" s="823"/>
      <c r="AF599" s="823"/>
      <c r="AG599" s="823"/>
      <c r="AH599" s="823"/>
      <c r="AI599" s="123"/>
      <c r="AJ599" s="123"/>
      <c r="AK599" s="123"/>
      <c r="AL599" s="123"/>
      <c r="AM599" s="123"/>
      <c r="AN599" s="123"/>
      <c r="AO599" s="123"/>
      <c r="AP599" s="123"/>
      <c r="AQ599" s="123"/>
      <c r="AR599" s="123"/>
      <c r="AS599" s="123"/>
      <c r="AT599" s="123"/>
      <c r="AU599" s="123"/>
      <c r="AV599" s="123"/>
      <c r="AW599" s="123"/>
      <c r="AX599" s="123"/>
      <c r="AY599" s="123"/>
      <c r="AZ599" s="123"/>
      <c r="BA599" s="123"/>
      <c r="BB599" s="123"/>
      <c r="BC599" s="123"/>
      <c r="BD599" s="123"/>
      <c r="BE599" s="123"/>
      <c r="BF599" s="123"/>
      <c r="BG599" s="123"/>
      <c r="BH599" s="123"/>
      <c r="BI599" s="123"/>
      <c r="BJ599" s="123"/>
      <c r="BK599" s="123"/>
      <c r="BL599" s="123"/>
      <c r="CW599" s="813"/>
    </row>
    <row r="600" spans="1:101">
      <c r="A600" s="71"/>
      <c r="B600" s="71"/>
      <c r="C600" s="822"/>
      <c r="D600" s="822"/>
      <c r="E600" s="824"/>
      <c r="F600" s="86"/>
      <c r="G600" s="86"/>
      <c r="H600" s="823"/>
      <c r="I600" s="823"/>
      <c r="J600" s="823"/>
      <c r="K600" s="823"/>
      <c r="L600" s="823"/>
      <c r="M600" s="823"/>
      <c r="N600" s="823"/>
      <c r="O600" s="823"/>
      <c r="P600" s="823"/>
      <c r="Q600" s="823"/>
      <c r="R600" s="823"/>
      <c r="S600" s="823"/>
      <c r="T600" s="823"/>
      <c r="U600" s="823"/>
      <c r="V600" s="1597"/>
      <c r="W600" s="1597"/>
      <c r="X600" s="1597"/>
      <c r="Y600" s="1597"/>
      <c r="Z600" s="1597"/>
      <c r="AA600" s="823"/>
      <c r="AB600" s="823"/>
      <c r="AC600" s="823"/>
      <c r="AD600" s="823"/>
      <c r="AE600" s="823"/>
      <c r="AF600" s="823"/>
      <c r="AG600" s="823"/>
      <c r="AH600" s="823"/>
      <c r="AI600" s="123"/>
      <c r="AJ600" s="123"/>
      <c r="AK600" s="123"/>
      <c r="AL600" s="123"/>
      <c r="AM600" s="123"/>
      <c r="AN600" s="123"/>
      <c r="AO600" s="123"/>
      <c r="AP600" s="123"/>
      <c r="AQ600" s="123"/>
      <c r="AR600" s="123"/>
      <c r="AS600" s="123"/>
      <c r="AT600" s="123"/>
      <c r="AU600" s="123"/>
      <c r="AV600" s="123"/>
      <c r="AW600" s="123"/>
      <c r="AX600" s="123"/>
      <c r="AY600" s="123"/>
      <c r="AZ600" s="123"/>
      <c r="BA600" s="123"/>
      <c r="BB600" s="123"/>
      <c r="BC600" s="123"/>
      <c r="BD600" s="123"/>
      <c r="BE600" s="123"/>
      <c r="BF600" s="123"/>
      <c r="BG600" s="123"/>
      <c r="BH600" s="123"/>
      <c r="BI600" s="123"/>
      <c r="BJ600" s="123"/>
      <c r="BK600" s="123"/>
      <c r="BL600" s="123"/>
      <c r="CW600" s="813"/>
    </row>
    <row r="601" spans="1:101">
      <c r="A601" s="71"/>
      <c r="B601" s="71"/>
      <c r="C601" s="822"/>
      <c r="D601" s="822"/>
      <c r="E601" s="824"/>
      <c r="F601" s="86"/>
      <c r="G601" s="86"/>
      <c r="H601" s="823"/>
      <c r="I601" s="823"/>
      <c r="J601" s="823"/>
      <c r="K601" s="823"/>
      <c r="L601" s="823"/>
      <c r="M601" s="823"/>
      <c r="N601" s="823"/>
      <c r="O601" s="823"/>
      <c r="P601" s="823"/>
      <c r="Q601" s="823"/>
      <c r="R601" s="823"/>
      <c r="S601" s="823"/>
      <c r="T601" s="823"/>
      <c r="U601" s="823"/>
      <c r="V601" s="1597"/>
      <c r="W601" s="1597"/>
      <c r="X601" s="1597"/>
      <c r="Y601" s="1597"/>
      <c r="Z601" s="1597"/>
      <c r="AA601" s="823"/>
      <c r="AB601" s="823"/>
      <c r="AC601" s="823"/>
      <c r="AD601" s="823"/>
      <c r="AE601" s="823"/>
      <c r="AF601" s="823"/>
      <c r="AG601" s="823"/>
      <c r="AH601" s="823"/>
      <c r="AI601" s="123"/>
      <c r="AJ601" s="123"/>
      <c r="AK601" s="123"/>
      <c r="AL601" s="123"/>
      <c r="AM601" s="123"/>
      <c r="AN601" s="123"/>
      <c r="AO601" s="123"/>
      <c r="AP601" s="123"/>
      <c r="AQ601" s="123"/>
      <c r="AR601" s="123"/>
      <c r="AS601" s="123"/>
      <c r="AT601" s="123"/>
      <c r="AU601" s="123"/>
      <c r="AV601" s="123"/>
      <c r="AW601" s="123"/>
      <c r="AX601" s="123"/>
      <c r="AY601" s="123"/>
      <c r="AZ601" s="123"/>
      <c r="BA601" s="123"/>
      <c r="BB601" s="123"/>
      <c r="BC601" s="123"/>
      <c r="BD601" s="123"/>
      <c r="BE601" s="123"/>
      <c r="BF601" s="123"/>
      <c r="BG601" s="123"/>
      <c r="BH601" s="123"/>
      <c r="BI601" s="123"/>
      <c r="BJ601" s="123"/>
      <c r="BK601" s="123"/>
      <c r="BL601" s="123"/>
      <c r="CW601" s="813"/>
    </row>
    <row r="602" spans="1:101">
      <c r="A602" s="71"/>
      <c r="B602" s="71"/>
      <c r="C602" s="822"/>
      <c r="D602" s="822"/>
      <c r="E602" s="824"/>
      <c r="F602" s="86"/>
      <c r="G602" s="86"/>
      <c r="H602" s="823"/>
      <c r="I602" s="823"/>
      <c r="J602" s="823"/>
      <c r="K602" s="823"/>
      <c r="L602" s="823"/>
      <c r="M602" s="823"/>
      <c r="N602" s="823"/>
      <c r="O602" s="823"/>
      <c r="P602" s="823"/>
      <c r="Q602" s="823"/>
      <c r="R602" s="823"/>
      <c r="S602" s="823"/>
      <c r="T602" s="823"/>
      <c r="U602" s="823"/>
      <c r="V602" s="1597"/>
      <c r="W602" s="1597"/>
      <c r="X602" s="1597"/>
      <c r="Y602" s="1597"/>
      <c r="Z602" s="1597"/>
      <c r="AA602" s="823"/>
      <c r="AB602" s="823"/>
      <c r="AC602" s="823"/>
      <c r="AD602" s="823"/>
      <c r="AE602" s="823"/>
      <c r="AF602" s="823"/>
      <c r="AG602" s="823"/>
      <c r="AH602" s="823"/>
      <c r="AI602" s="123"/>
      <c r="AJ602" s="123"/>
      <c r="AK602" s="123"/>
      <c r="AL602" s="123"/>
      <c r="AM602" s="123"/>
      <c r="AN602" s="123"/>
      <c r="AO602" s="123"/>
      <c r="AP602" s="123"/>
      <c r="AQ602" s="123"/>
      <c r="AR602" s="123"/>
      <c r="AS602" s="123"/>
      <c r="AT602" s="123"/>
      <c r="AU602" s="123"/>
      <c r="AV602" s="123"/>
      <c r="AW602" s="123"/>
      <c r="AX602" s="123"/>
      <c r="AY602" s="123"/>
      <c r="AZ602" s="123"/>
      <c r="BA602" s="123"/>
      <c r="BB602" s="123"/>
      <c r="BC602" s="123"/>
      <c r="BD602" s="123"/>
      <c r="BE602" s="123"/>
      <c r="BF602" s="123"/>
      <c r="BG602" s="123"/>
      <c r="BH602" s="123"/>
      <c r="BI602" s="123"/>
      <c r="BJ602" s="123"/>
      <c r="BK602" s="123"/>
      <c r="BL602" s="123"/>
      <c r="CW602" s="813"/>
    </row>
    <row r="603" spans="1:101">
      <c r="A603" s="71"/>
      <c r="B603" s="71"/>
      <c r="C603" s="822"/>
      <c r="D603" s="822"/>
      <c r="E603" s="824"/>
      <c r="F603" s="86"/>
      <c r="G603" s="86"/>
      <c r="H603" s="823"/>
      <c r="I603" s="823"/>
      <c r="J603" s="823"/>
      <c r="K603" s="823"/>
      <c r="L603" s="823"/>
      <c r="M603" s="823"/>
      <c r="N603" s="823"/>
      <c r="O603" s="823"/>
      <c r="P603" s="823"/>
      <c r="Q603" s="823"/>
      <c r="R603" s="823"/>
      <c r="S603" s="823"/>
      <c r="T603" s="823"/>
      <c r="U603" s="823"/>
      <c r="V603" s="1597"/>
      <c r="W603" s="1597"/>
      <c r="X603" s="1597"/>
      <c r="Y603" s="1597"/>
      <c r="Z603" s="1597"/>
      <c r="AA603" s="823"/>
      <c r="AB603" s="823"/>
      <c r="AC603" s="823"/>
      <c r="AD603" s="823"/>
      <c r="AE603" s="823"/>
      <c r="AF603" s="823"/>
      <c r="AG603" s="823"/>
      <c r="AH603" s="823"/>
      <c r="AI603" s="123"/>
      <c r="AJ603" s="123"/>
      <c r="AK603" s="123"/>
      <c r="AL603" s="123"/>
      <c r="AM603" s="123"/>
      <c r="AN603" s="123"/>
      <c r="AO603" s="123"/>
      <c r="AP603" s="123"/>
      <c r="AQ603" s="123"/>
      <c r="AR603" s="123"/>
      <c r="AS603" s="123"/>
      <c r="AT603" s="123"/>
      <c r="AU603" s="123"/>
      <c r="AV603" s="123"/>
      <c r="AW603" s="123"/>
      <c r="AX603" s="123"/>
      <c r="AY603" s="123"/>
      <c r="AZ603" s="123"/>
      <c r="BA603" s="123"/>
      <c r="BB603" s="123"/>
      <c r="BC603" s="123"/>
      <c r="BD603" s="123"/>
      <c r="BE603" s="123"/>
      <c r="BF603" s="123"/>
      <c r="BG603" s="123"/>
      <c r="BH603" s="123"/>
      <c r="BI603" s="123"/>
      <c r="BJ603" s="123"/>
      <c r="BK603" s="123"/>
      <c r="BL603" s="123"/>
      <c r="CW603" s="813"/>
    </row>
    <row r="604" spans="1:101">
      <c r="A604" s="71"/>
      <c r="B604" s="71"/>
      <c r="C604" s="822"/>
      <c r="D604" s="822"/>
      <c r="E604" s="824"/>
      <c r="F604" s="86"/>
      <c r="G604" s="86"/>
      <c r="H604" s="823"/>
      <c r="I604" s="823"/>
      <c r="J604" s="823"/>
      <c r="K604" s="823"/>
      <c r="L604" s="823"/>
      <c r="M604" s="823"/>
      <c r="N604" s="823"/>
      <c r="O604" s="823"/>
      <c r="P604" s="823"/>
      <c r="Q604" s="823"/>
      <c r="R604" s="823"/>
      <c r="S604" s="823"/>
      <c r="T604" s="823"/>
      <c r="U604" s="823"/>
      <c r="V604" s="1597"/>
      <c r="W604" s="1597"/>
      <c r="X604" s="1597"/>
      <c r="Y604" s="1597"/>
      <c r="Z604" s="1597"/>
      <c r="AA604" s="823"/>
      <c r="AB604" s="823"/>
      <c r="AC604" s="823"/>
      <c r="AD604" s="823"/>
      <c r="AE604" s="823"/>
      <c r="AF604" s="823"/>
      <c r="AG604" s="823"/>
      <c r="AH604" s="823"/>
      <c r="AI604" s="123"/>
      <c r="AJ604" s="123"/>
      <c r="AK604" s="123"/>
      <c r="AL604" s="123"/>
      <c r="AM604" s="123"/>
      <c r="AN604" s="123"/>
      <c r="AO604" s="123"/>
      <c r="AP604" s="123"/>
      <c r="AQ604" s="123"/>
      <c r="AR604" s="123"/>
      <c r="AS604" s="123"/>
      <c r="AT604" s="123"/>
      <c r="AU604" s="123"/>
      <c r="AV604" s="123"/>
      <c r="AW604" s="123"/>
      <c r="AX604" s="123"/>
      <c r="AY604" s="123"/>
      <c r="AZ604" s="123"/>
      <c r="BA604" s="123"/>
      <c r="BB604" s="123"/>
      <c r="BC604" s="123"/>
      <c r="BD604" s="123"/>
      <c r="BE604" s="123"/>
      <c r="BF604" s="123"/>
      <c r="BG604" s="123"/>
      <c r="BH604" s="123"/>
      <c r="BI604" s="123"/>
      <c r="BJ604" s="123"/>
      <c r="BK604" s="123"/>
      <c r="BL604" s="123"/>
      <c r="CW604" s="813"/>
    </row>
    <row r="605" spans="1:101">
      <c r="A605" s="71"/>
      <c r="B605" s="71"/>
      <c r="O605" s="206"/>
      <c r="R605" s="207"/>
      <c r="S605" s="207"/>
      <c r="T605" s="208"/>
      <c r="U605" s="205"/>
      <c r="V605" s="1599"/>
      <c r="W605" s="1599"/>
      <c r="X605" s="1599"/>
      <c r="Y605" s="1599"/>
      <c r="Z605" s="1448"/>
      <c r="AA605" s="71"/>
      <c r="AB605" s="71"/>
      <c r="AC605" s="123"/>
      <c r="AD605" s="123"/>
      <c r="AE605" s="144"/>
      <c r="AF605" s="123"/>
      <c r="AG605" s="123"/>
      <c r="AH605" s="123"/>
      <c r="AI605" s="123"/>
      <c r="AJ605" s="123"/>
      <c r="AK605" s="123"/>
      <c r="AL605" s="123"/>
      <c r="AM605" s="123"/>
      <c r="AN605" s="123"/>
      <c r="AO605" s="123"/>
      <c r="AP605" s="123"/>
      <c r="AQ605" s="123"/>
      <c r="AR605" s="123"/>
      <c r="AS605" s="123"/>
      <c r="AT605" s="123"/>
      <c r="AU605" s="123"/>
      <c r="AV605" s="123"/>
      <c r="AW605" s="123"/>
      <c r="AX605" s="123"/>
      <c r="AY605" s="123"/>
      <c r="AZ605" s="123"/>
      <c r="BA605" s="123"/>
      <c r="BB605" s="123"/>
      <c r="BC605" s="123"/>
      <c r="BD605" s="123"/>
      <c r="BE605" s="123"/>
      <c r="BF605" s="123"/>
      <c r="BG605" s="123"/>
      <c r="BH605" s="123"/>
      <c r="BI605" s="123"/>
      <c r="BJ605" s="123"/>
      <c r="BK605" s="123"/>
      <c r="BL605" s="123"/>
    </row>
    <row r="606" spans="1:101">
      <c r="A606" s="71"/>
      <c r="B606" s="71"/>
      <c r="O606" s="206"/>
      <c r="R606" s="207"/>
      <c r="S606" s="207"/>
      <c r="T606" s="208"/>
      <c r="U606" s="205"/>
      <c r="V606" s="1599"/>
      <c r="W606" s="1599"/>
      <c r="X606" s="1599"/>
      <c r="Y606" s="1599"/>
      <c r="Z606" s="1448"/>
      <c r="AA606" s="71"/>
      <c r="AB606" s="71"/>
      <c r="AC606" s="123"/>
      <c r="AD606" s="123"/>
      <c r="AE606" s="144"/>
      <c r="AF606" s="123"/>
      <c r="AG606" s="123"/>
      <c r="AH606" s="123"/>
      <c r="AI606" s="123"/>
      <c r="AJ606" s="123"/>
      <c r="AK606" s="123"/>
      <c r="AL606" s="123"/>
      <c r="AM606" s="123"/>
      <c r="AN606" s="123"/>
      <c r="AO606" s="123"/>
      <c r="AP606" s="123"/>
      <c r="AQ606" s="123"/>
      <c r="AR606" s="123"/>
      <c r="AS606" s="123"/>
      <c r="AT606" s="123"/>
      <c r="AU606" s="123"/>
      <c r="AV606" s="123"/>
      <c r="AW606" s="123"/>
      <c r="AX606" s="123"/>
      <c r="AY606" s="123"/>
      <c r="AZ606" s="123"/>
      <c r="BA606" s="123"/>
      <c r="BB606" s="123"/>
      <c r="BC606" s="123"/>
      <c r="BD606" s="123"/>
      <c r="BE606" s="123"/>
      <c r="BF606" s="123"/>
      <c r="BG606" s="123"/>
      <c r="BH606" s="123"/>
      <c r="BI606" s="123"/>
      <c r="BJ606" s="123"/>
      <c r="BK606" s="123"/>
      <c r="BL606" s="123"/>
    </row>
    <row r="607" spans="1:101">
      <c r="A607" s="71"/>
      <c r="B607" s="71"/>
      <c r="O607" s="206"/>
      <c r="R607" s="207"/>
      <c r="S607" s="207"/>
      <c r="T607" s="208"/>
      <c r="U607" s="205"/>
      <c r="V607" s="1599"/>
      <c r="W607" s="1599"/>
      <c r="X607" s="1599"/>
      <c r="Y607" s="1599"/>
      <c r="Z607" s="1448"/>
      <c r="AA607" s="71"/>
      <c r="AB607" s="71"/>
      <c r="AC607" s="123"/>
      <c r="AD607" s="123"/>
      <c r="AE607" s="144"/>
      <c r="AF607" s="123"/>
      <c r="AG607" s="123"/>
      <c r="AH607" s="123"/>
      <c r="AI607" s="123"/>
      <c r="AJ607" s="123"/>
      <c r="AK607" s="123"/>
      <c r="AL607" s="123"/>
      <c r="AM607" s="123"/>
      <c r="AN607" s="123"/>
      <c r="AO607" s="123"/>
      <c r="AP607" s="123"/>
      <c r="AQ607" s="123"/>
      <c r="AR607" s="123"/>
      <c r="AS607" s="123"/>
      <c r="AT607" s="123"/>
      <c r="AU607" s="123"/>
      <c r="AV607" s="123"/>
      <c r="AW607" s="123"/>
      <c r="AX607" s="123"/>
      <c r="AY607" s="123"/>
      <c r="AZ607" s="123"/>
      <c r="BA607" s="123"/>
      <c r="BB607" s="123"/>
      <c r="BC607" s="123"/>
      <c r="BD607" s="123"/>
      <c r="BE607" s="123"/>
      <c r="BF607" s="123"/>
      <c r="BG607" s="123"/>
      <c r="BH607" s="123"/>
      <c r="BI607" s="123"/>
      <c r="BJ607" s="123"/>
      <c r="BK607" s="123"/>
      <c r="BL607" s="123"/>
    </row>
    <row r="608" spans="1:101">
      <c r="A608" s="71"/>
      <c r="B608" s="71"/>
      <c r="O608" s="206"/>
      <c r="R608" s="207"/>
      <c r="S608" s="207"/>
      <c r="T608" s="208"/>
      <c r="U608" s="205"/>
      <c r="V608" s="1599"/>
      <c r="W608" s="1599"/>
      <c r="X608" s="1599"/>
      <c r="Y608" s="1599"/>
      <c r="Z608" s="1448"/>
      <c r="AA608" s="71"/>
      <c r="AB608" s="71"/>
      <c r="AC608" s="123"/>
      <c r="AD608" s="123"/>
      <c r="AE608" s="144"/>
      <c r="AF608" s="123"/>
      <c r="AG608" s="123"/>
      <c r="AH608" s="123"/>
      <c r="AI608" s="123"/>
      <c r="AJ608" s="123"/>
      <c r="AK608" s="123"/>
      <c r="AL608" s="123"/>
      <c r="AM608" s="123"/>
      <c r="AN608" s="123"/>
      <c r="AO608" s="123"/>
      <c r="AP608" s="123"/>
      <c r="AQ608" s="123"/>
      <c r="AR608" s="123"/>
      <c r="AS608" s="123"/>
      <c r="AT608" s="123"/>
      <c r="AU608" s="123"/>
      <c r="AV608" s="123"/>
      <c r="AW608" s="123"/>
      <c r="AX608" s="123"/>
      <c r="AY608" s="123"/>
      <c r="AZ608" s="123"/>
      <c r="BA608" s="123"/>
      <c r="BB608" s="123"/>
      <c r="BC608" s="123"/>
      <c r="BD608" s="123"/>
      <c r="BE608" s="123"/>
      <c r="BF608" s="123"/>
      <c r="BG608" s="123"/>
      <c r="BH608" s="123"/>
      <c r="BI608" s="123"/>
      <c r="BJ608" s="123"/>
      <c r="BK608" s="123"/>
      <c r="BL608" s="123"/>
    </row>
    <row r="609" spans="1:64">
      <c r="A609" s="71"/>
      <c r="B609" s="71"/>
      <c r="O609" s="206"/>
      <c r="R609" s="207"/>
      <c r="S609" s="207"/>
      <c r="T609" s="208"/>
      <c r="U609" s="205"/>
      <c r="V609" s="1599"/>
      <c r="W609" s="1599"/>
      <c r="X609" s="1599"/>
      <c r="Y609" s="1599"/>
      <c r="Z609" s="1448"/>
      <c r="AA609" s="71"/>
      <c r="AB609" s="71"/>
      <c r="AC609" s="123"/>
      <c r="AD609" s="123"/>
      <c r="AE609" s="144"/>
      <c r="AF609" s="123"/>
      <c r="AG609" s="123"/>
      <c r="AH609" s="123"/>
      <c r="AI609" s="123"/>
      <c r="AJ609" s="123"/>
      <c r="AK609" s="123"/>
      <c r="AL609" s="123"/>
      <c r="AM609" s="123"/>
      <c r="AN609" s="123"/>
      <c r="AO609" s="123"/>
      <c r="AP609" s="123"/>
      <c r="AQ609" s="123"/>
      <c r="AR609" s="123"/>
      <c r="AS609" s="123"/>
      <c r="AT609" s="123"/>
      <c r="AU609" s="123"/>
      <c r="AV609" s="123"/>
      <c r="AW609" s="123"/>
      <c r="AX609" s="123"/>
      <c r="AY609" s="123"/>
      <c r="AZ609" s="123"/>
      <c r="BA609" s="123"/>
      <c r="BB609" s="123"/>
      <c r="BC609" s="123"/>
      <c r="BD609" s="123"/>
      <c r="BE609" s="123"/>
      <c r="BF609" s="123"/>
      <c r="BG609" s="123"/>
      <c r="BH609" s="123"/>
      <c r="BI609" s="123"/>
      <c r="BJ609" s="123"/>
      <c r="BK609" s="123"/>
      <c r="BL609" s="123"/>
    </row>
    <row r="610" spans="1:64">
      <c r="A610" s="71"/>
      <c r="B610" s="71"/>
      <c r="O610" s="206"/>
      <c r="R610" s="207"/>
      <c r="S610" s="207"/>
      <c r="T610" s="208"/>
      <c r="U610" s="205"/>
      <c r="V610" s="1599"/>
      <c r="W610" s="1599"/>
      <c r="X610" s="1599"/>
      <c r="Y610" s="1599"/>
      <c r="Z610" s="1448"/>
      <c r="AA610" s="71"/>
      <c r="AB610" s="71"/>
      <c r="AC610" s="123"/>
      <c r="AD610" s="123"/>
      <c r="AE610" s="144"/>
      <c r="AF610" s="123"/>
      <c r="AG610" s="123"/>
      <c r="AH610" s="123"/>
      <c r="AI610" s="123"/>
      <c r="AJ610" s="123"/>
      <c r="AK610" s="123"/>
      <c r="AL610" s="123"/>
      <c r="AM610" s="123"/>
      <c r="AN610" s="123"/>
      <c r="AO610" s="123"/>
      <c r="AP610" s="123"/>
      <c r="AQ610" s="123"/>
      <c r="AR610" s="123"/>
      <c r="AS610" s="123"/>
      <c r="AT610" s="123"/>
      <c r="AU610" s="123"/>
      <c r="AV610" s="123"/>
      <c r="AW610" s="123"/>
      <c r="AX610" s="123"/>
      <c r="AY610" s="123"/>
      <c r="AZ610" s="123"/>
      <c r="BA610" s="123"/>
      <c r="BB610" s="123"/>
      <c r="BC610" s="123"/>
      <c r="BD610" s="123"/>
      <c r="BE610" s="123"/>
      <c r="BF610" s="123"/>
      <c r="BG610" s="123"/>
      <c r="BH610" s="123"/>
      <c r="BI610" s="123"/>
      <c r="BJ610" s="123"/>
      <c r="BK610" s="123"/>
      <c r="BL610" s="123"/>
    </row>
    <row r="611" spans="1:64">
      <c r="A611" s="71"/>
      <c r="B611" s="71"/>
      <c r="O611" s="206"/>
      <c r="R611" s="207"/>
      <c r="S611" s="207"/>
      <c r="T611" s="208"/>
      <c r="U611" s="205"/>
      <c r="V611" s="1599"/>
      <c r="W611" s="1599"/>
      <c r="X611" s="1599"/>
      <c r="Y611" s="1599"/>
      <c r="Z611" s="1448"/>
      <c r="AA611" s="71"/>
      <c r="AB611" s="71"/>
      <c r="AC611" s="123"/>
      <c r="AD611" s="123"/>
      <c r="AE611" s="144"/>
      <c r="AF611" s="123"/>
      <c r="AG611" s="123"/>
      <c r="AH611" s="123"/>
      <c r="AI611" s="123"/>
      <c r="AJ611" s="123"/>
      <c r="AK611" s="123"/>
      <c r="AL611" s="123"/>
      <c r="AM611" s="123"/>
      <c r="AN611" s="123"/>
      <c r="AO611" s="123"/>
      <c r="AP611" s="123"/>
      <c r="AQ611" s="123"/>
      <c r="AR611" s="123"/>
      <c r="AS611" s="123"/>
      <c r="AT611" s="123"/>
      <c r="AU611" s="123"/>
      <c r="AV611" s="123"/>
      <c r="AW611" s="123"/>
      <c r="AX611" s="123"/>
      <c r="AY611" s="123"/>
      <c r="AZ611" s="123"/>
      <c r="BA611" s="123"/>
      <c r="BB611" s="123"/>
      <c r="BC611" s="123"/>
      <c r="BD611" s="123"/>
      <c r="BE611" s="123"/>
      <c r="BF611" s="123"/>
      <c r="BG611" s="123"/>
      <c r="BH611" s="123"/>
      <c r="BI611" s="123"/>
      <c r="BJ611" s="123"/>
      <c r="BK611" s="123"/>
      <c r="BL611" s="123"/>
    </row>
    <row r="612" spans="1:64">
      <c r="A612" s="71"/>
      <c r="B612" s="71"/>
      <c r="O612" s="206"/>
      <c r="R612" s="207"/>
      <c r="S612" s="207"/>
      <c r="T612" s="208"/>
      <c r="U612" s="205"/>
      <c r="V612" s="1599"/>
      <c r="W612" s="1599"/>
      <c r="X612" s="1599"/>
      <c r="Y612" s="1599"/>
      <c r="Z612" s="1448"/>
      <c r="AA612" s="71"/>
      <c r="AB612" s="71"/>
      <c r="AC612" s="123"/>
      <c r="AD612" s="123"/>
      <c r="AE612" s="144"/>
      <c r="AF612" s="123"/>
      <c r="AG612" s="123"/>
      <c r="AH612" s="123"/>
      <c r="AI612" s="123"/>
      <c r="AJ612" s="123"/>
      <c r="AK612" s="123"/>
      <c r="AL612" s="123"/>
      <c r="AM612" s="123"/>
      <c r="AN612" s="123"/>
      <c r="AO612" s="123"/>
      <c r="AP612" s="123"/>
      <c r="AQ612" s="123"/>
      <c r="AR612" s="123"/>
      <c r="AS612" s="123"/>
      <c r="AT612" s="123"/>
      <c r="AU612" s="123"/>
      <c r="AV612" s="123"/>
      <c r="AW612" s="123"/>
      <c r="AX612" s="123"/>
      <c r="AY612" s="123"/>
      <c r="AZ612" s="123"/>
      <c r="BA612" s="123"/>
      <c r="BB612" s="123"/>
      <c r="BC612" s="123"/>
      <c r="BD612" s="123"/>
      <c r="BE612" s="123"/>
      <c r="BF612" s="123"/>
      <c r="BG612" s="123"/>
      <c r="BH612" s="123"/>
      <c r="BI612" s="123"/>
      <c r="BJ612" s="123"/>
      <c r="BK612" s="123"/>
      <c r="BL612" s="123"/>
    </row>
    <row r="613" spans="1:64">
      <c r="A613" s="71"/>
      <c r="B613" s="71"/>
      <c r="O613" s="206"/>
      <c r="R613" s="207"/>
      <c r="S613" s="207"/>
      <c r="T613" s="208"/>
      <c r="U613" s="205"/>
      <c r="V613" s="1599"/>
      <c r="W613" s="1599"/>
      <c r="X613" s="1599"/>
      <c r="Y613" s="1599"/>
      <c r="Z613" s="1448"/>
      <c r="AA613" s="71"/>
      <c r="AB613" s="71"/>
      <c r="AC613" s="123"/>
      <c r="AD613" s="123"/>
      <c r="AE613" s="144"/>
      <c r="AF613" s="123"/>
      <c r="AG613" s="123"/>
      <c r="AH613" s="123"/>
      <c r="AI613" s="123"/>
      <c r="AJ613" s="123"/>
      <c r="AK613" s="123"/>
      <c r="AL613" s="123"/>
      <c r="AM613" s="123"/>
      <c r="AN613" s="123"/>
      <c r="AO613" s="123"/>
      <c r="AP613" s="123"/>
      <c r="AQ613" s="123"/>
      <c r="AR613" s="123"/>
      <c r="AS613" s="123"/>
      <c r="AT613" s="123"/>
      <c r="AU613" s="123"/>
      <c r="AV613" s="123"/>
      <c r="AW613" s="123"/>
      <c r="AX613" s="123"/>
      <c r="AY613" s="123"/>
      <c r="AZ613" s="123"/>
      <c r="BA613" s="123"/>
      <c r="BB613" s="123"/>
      <c r="BC613" s="123"/>
      <c r="BD613" s="123"/>
      <c r="BE613" s="123"/>
      <c r="BF613" s="123"/>
      <c r="BG613" s="123"/>
      <c r="BH613" s="123"/>
      <c r="BI613" s="123"/>
      <c r="BJ613" s="123"/>
      <c r="BK613" s="123"/>
      <c r="BL613" s="123"/>
    </row>
    <row r="614" spans="1:64">
      <c r="A614" s="71"/>
      <c r="B614" s="71"/>
      <c r="O614" s="206"/>
      <c r="R614" s="207"/>
      <c r="S614" s="207"/>
      <c r="T614" s="208"/>
      <c r="U614" s="205"/>
      <c r="V614" s="1599"/>
      <c r="W614" s="1599"/>
      <c r="X614" s="1599"/>
      <c r="Y614" s="1599"/>
      <c r="Z614" s="1448"/>
      <c r="AA614" s="71"/>
      <c r="AB614" s="71"/>
      <c r="AC614" s="123"/>
      <c r="AD614" s="123"/>
      <c r="AE614" s="144"/>
      <c r="AF614" s="123"/>
      <c r="AG614" s="123"/>
      <c r="AH614" s="123"/>
      <c r="AI614" s="123"/>
      <c r="AJ614" s="123"/>
      <c r="AK614" s="123"/>
      <c r="AL614" s="123"/>
      <c r="AM614" s="123"/>
      <c r="AN614" s="123"/>
      <c r="AO614" s="123"/>
      <c r="AP614" s="123"/>
      <c r="AQ614" s="123"/>
      <c r="AR614" s="123"/>
      <c r="AS614" s="123"/>
      <c r="AT614" s="123"/>
      <c r="AU614" s="123"/>
      <c r="AV614" s="123"/>
      <c r="AW614" s="123"/>
      <c r="AX614" s="123"/>
      <c r="AY614" s="123"/>
      <c r="AZ614" s="123"/>
      <c r="BA614" s="123"/>
      <c r="BB614" s="123"/>
      <c r="BC614" s="123"/>
      <c r="BD614" s="123"/>
      <c r="BE614" s="123"/>
      <c r="BF614" s="123"/>
      <c r="BG614" s="123"/>
      <c r="BH614" s="123"/>
      <c r="BI614" s="123"/>
      <c r="BJ614" s="123"/>
      <c r="BK614" s="123"/>
      <c r="BL614" s="123"/>
    </row>
    <row r="615" spans="1:64">
      <c r="A615" s="71"/>
      <c r="B615" s="71"/>
      <c r="O615" s="206"/>
      <c r="R615" s="207"/>
      <c r="S615" s="207"/>
      <c r="T615" s="208"/>
      <c r="U615" s="205"/>
      <c r="V615" s="1599"/>
      <c r="W615" s="1599"/>
      <c r="X615" s="1599"/>
      <c r="Y615" s="1599"/>
      <c r="Z615" s="1448"/>
      <c r="AA615" s="71"/>
      <c r="AB615" s="71"/>
      <c r="AC615" s="123"/>
      <c r="AD615" s="123"/>
      <c r="AE615" s="144"/>
      <c r="AF615" s="123"/>
      <c r="AG615" s="123"/>
      <c r="AH615" s="123"/>
      <c r="AI615" s="123"/>
      <c r="AJ615" s="123"/>
      <c r="AK615" s="123"/>
      <c r="AL615" s="123"/>
      <c r="AM615" s="123"/>
      <c r="AN615" s="123"/>
      <c r="AO615" s="123"/>
      <c r="AP615" s="123"/>
      <c r="AQ615" s="123"/>
      <c r="AR615" s="123"/>
      <c r="AS615" s="123"/>
      <c r="AT615" s="123"/>
      <c r="AU615" s="123"/>
      <c r="AV615" s="123"/>
      <c r="AW615" s="123"/>
      <c r="AX615" s="123"/>
      <c r="AY615" s="123"/>
      <c r="AZ615" s="123"/>
      <c r="BA615" s="123"/>
      <c r="BB615" s="123"/>
      <c r="BC615" s="123"/>
      <c r="BD615" s="123"/>
      <c r="BE615" s="123"/>
      <c r="BF615" s="123"/>
      <c r="BG615" s="123"/>
      <c r="BH615" s="123"/>
      <c r="BI615" s="123"/>
      <c r="BJ615" s="123"/>
      <c r="BK615" s="123"/>
      <c r="BL615" s="123"/>
    </row>
    <row r="616" spans="1:64">
      <c r="A616" s="71"/>
      <c r="B616" s="71"/>
      <c r="O616" s="206"/>
      <c r="R616" s="207"/>
      <c r="S616" s="207"/>
      <c r="T616" s="208"/>
      <c r="U616" s="205"/>
      <c r="V616" s="1599"/>
      <c r="W616" s="1599"/>
      <c r="X616" s="1599"/>
      <c r="Y616" s="1599"/>
      <c r="Z616" s="1448"/>
      <c r="AA616" s="71"/>
      <c r="AB616" s="71"/>
      <c r="AC616" s="123"/>
      <c r="AD616" s="123"/>
      <c r="AE616" s="144"/>
      <c r="AF616" s="123"/>
      <c r="AG616" s="123"/>
      <c r="AH616" s="123"/>
      <c r="AI616" s="123"/>
      <c r="AJ616" s="123"/>
      <c r="AK616" s="123"/>
      <c r="AL616" s="123"/>
      <c r="AM616" s="123"/>
      <c r="AN616" s="123"/>
      <c r="AO616" s="123"/>
      <c r="AP616" s="123"/>
      <c r="AQ616" s="123"/>
      <c r="AR616" s="123"/>
      <c r="AS616" s="123"/>
      <c r="AT616" s="123"/>
      <c r="AU616" s="123"/>
      <c r="AV616" s="123"/>
      <c r="AW616" s="123"/>
      <c r="AX616" s="123"/>
      <c r="AY616" s="123"/>
      <c r="AZ616" s="123"/>
      <c r="BA616" s="123"/>
      <c r="BB616" s="123"/>
      <c r="BC616" s="123"/>
      <c r="BD616" s="123"/>
      <c r="BE616" s="123"/>
      <c r="BF616" s="123"/>
      <c r="BG616" s="123"/>
      <c r="BH616" s="123"/>
      <c r="BI616" s="123"/>
      <c r="BJ616" s="123"/>
      <c r="BK616" s="123"/>
      <c r="BL616" s="123"/>
    </row>
    <row r="617" spans="1:64">
      <c r="A617" s="71"/>
      <c r="B617" s="71"/>
      <c r="O617" s="206"/>
      <c r="R617" s="207"/>
      <c r="S617" s="207"/>
      <c r="T617" s="208"/>
      <c r="U617" s="205"/>
      <c r="V617" s="1599"/>
      <c r="W617" s="1599"/>
      <c r="X617" s="1599"/>
      <c r="Y617" s="1599"/>
      <c r="Z617" s="1448"/>
      <c r="AA617" s="71"/>
      <c r="AB617" s="71"/>
      <c r="AC617" s="123"/>
      <c r="AD617" s="123"/>
      <c r="AE617" s="144"/>
      <c r="AF617" s="123"/>
      <c r="AG617" s="123"/>
      <c r="AH617" s="123"/>
      <c r="AI617" s="123"/>
      <c r="AJ617" s="123"/>
      <c r="AK617" s="123"/>
      <c r="AL617" s="123"/>
      <c r="AM617" s="123"/>
      <c r="AN617" s="123"/>
      <c r="AO617" s="123"/>
      <c r="AP617" s="123"/>
      <c r="AQ617" s="123"/>
      <c r="AR617" s="123"/>
      <c r="AS617" s="123"/>
      <c r="AT617" s="123"/>
      <c r="AU617" s="123"/>
      <c r="AV617" s="123"/>
      <c r="AW617" s="123"/>
      <c r="AX617" s="123"/>
      <c r="AY617" s="123"/>
      <c r="AZ617" s="123"/>
      <c r="BA617" s="123"/>
      <c r="BB617" s="123"/>
      <c r="BC617" s="123"/>
      <c r="BD617" s="123"/>
      <c r="BE617" s="123"/>
      <c r="BF617" s="123"/>
      <c r="BG617" s="123"/>
      <c r="BH617" s="123"/>
      <c r="BI617" s="123"/>
      <c r="BJ617" s="123"/>
      <c r="BK617" s="123"/>
      <c r="BL617" s="123"/>
    </row>
    <row r="618" spans="1:64">
      <c r="A618" s="71"/>
      <c r="B618" s="71"/>
      <c r="O618" s="206"/>
      <c r="R618" s="207"/>
      <c r="S618" s="207"/>
      <c r="T618" s="208"/>
      <c r="U618" s="205"/>
      <c r="V618" s="1599"/>
      <c r="W618" s="1599"/>
      <c r="X618" s="1599"/>
      <c r="Y618" s="1599"/>
      <c r="Z618" s="1448"/>
      <c r="AA618" s="71"/>
      <c r="AB618" s="71"/>
      <c r="AC618" s="123"/>
      <c r="AD618" s="123"/>
      <c r="AE618" s="144"/>
      <c r="AF618" s="123"/>
      <c r="AG618" s="123"/>
      <c r="AH618" s="123"/>
      <c r="AI618" s="123"/>
      <c r="AJ618" s="123"/>
      <c r="AK618" s="123"/>
      <c r="AL618" s="123"/>
      <c r="AM618" s="123"/>
      <c r="AN618" s="123"/>
      <c r="AO618" s="123"/>
      <c r="AP618" s="123"/>
      <c r="AQ618" s="123"/>
      <c r="AR618" s="123"/>
      <c r="AS618" s="123"/>
      <c r="AT618" s="123"/>
      <c r="AU618" s="123"/>
      <c r="AV618" s="123"/>
      <c r="AW618" s="123"/>
      <c r="AX618" s="123"/>
      <c r="AY618" s="123"/>
      <c r="AZ618" s="123"/>
      <c r="BA618" s="123"/>
      <c r="BB618" s="123"/>
      <c r="BC618" s="123"/>
      <c r="BD618" s="123"/>
      <c r="BE618" s="123"/>
      <c r="BF618" s="123"/>
      <c r="BG618" s="123"/>
      <c r="BH618" s="123"/>
      <c r="BI618" s="123"/>
      <c r="BJ618" s="123"/>
      <c r="BK618" s="123"/>
      <c r="BL618" s="123"/>
    </row>
    <row r="619" spans="1:64">
      <c r="A619" s="71"/>
      <c r="B619" s="71"/>
      <c r="O619" s="206"/>
      <c r="R619" s="207"/>
      <c r="S619" s="207"/>
      <c r="T619" s="208"/>
      <c r="U619" s="205"/>
      <c r="V619" s="1599"/>
      <c r="W619" s="1599"/>
      <c r="X619" s="1599"/>
      <c r="Y619" s="1599"/>
      <c r="Z619" s="1448"/>
      <c r="AA619" s="71"/>
      <c r="AB619" s="71"/>
      <c r="AC619" s="123"/>
      <c r="AD619" s="123"/>
      <c r="AE619" s="144"/>
      <c r="AF619" s="123"/>
      <c r="AG619" s="123"/>
      <c r="AH619" s="123"/>
      <c r="AI619" s="123"/>
      <c r="AJ619" s="123"/>
      <c r="AK619" s="123"/>
      <c r="AL619" s="123"/>
      <c r="AM619" s="123"/>
      <c r="AN619" s="123"/>
      <c r="AO619" s="123"/>
      <c r="AP619" s="123"/>
      <c r="AQ619" s="123"/>
      <c r="AR619" s="123"/>
      <c r="AS619" s="123"/>
      <c r="AT619" s="123"/>
      <c r="AU619" s="123"/>
      <c r="AV619" s="123"/>
      <c r="AW619" s="123"/>
      <c r="AX619" s="123"/>
      <c r="AY619" s="123"/>
      <c r="AZ619" s="123"/>
      <c r="BA619" s="123"/>
      <c r="BB619" s="123"/>
      <c r="BC619" s="123"/>
      <c r="BD619" s="123"/>
      <c r="BE619" s="123"/>
      <c r="BF619" s="123"/>
      <c r="BG619" s="123"/>
      <c r="BH619" s="123"/>
      <c r="BI619" s="123"/>
      <c r="BJ619" s="123"/>
      <c r="BK619" s="123"/>
      <c r="BL619" s="123"/>
    </row>
    <row r="620" spans="1:64">
      <c r="A620" s="71"/>
      <c r="B620" s="71"/>
      <c r="O620" s="206"/>
      <c r="R620" s="207"/>
      <c r="S620" s="207"/>
      <c r="T620" s="208"/>
      <c r="U620" s="205"/>
      <c r="V620" s="1599"/>
      <c r="W620" s="1599"/>
      <c r="X620" s="1599"/>
      <c r="Y620" s="1599"/>
      <c r="Z620" s="1448"/>
      <c r="AA620" s="71"/>
      <c r="AB620" s="71"/>
      <c r="AC620" s="123"/>
      <c r="AD620" s="123"/>
      <c r="AE620" s="144"/>
      <c r="AF620" s="123"/>
      <c r="AG620" s="123"/>
      <c r="AH620" s="123"/>
      <c r="AI620" s="123"/>
      <c r="AJ620" s="123"/>
      <c r="AK620" s="123"/>
      <c r="AL620" s="123"/>
      <c r="AM620" s="123"/>
      <c r="AN620" s="123"/>
      <c r="AO620" s="123"/>
      <c r="AP620" s="123"/>
      <c r="AQ620" s="123"/>
      <c r="AR620" s="123"/>
      <c r="AS620" s="123"/>
      <c r="AT620" s="123"/>
      <c r="AU620" s="123"/>
      <c r="AV620" s="123"/>
      <c r="AW620" s="123"/>
      <c r="AX620" s="123"/>
      <c r="AY620" s="123"/>
      <c r="AZ620" s="123"/>
      <c r="BA620" s="123"/>
      <c r="BB620" s="123"/>
      <c r="BC620" s="123"/>
      <c r="BD620" s="123"/>
      <c r="BE620" s="123"/>
      <c r="BF620" s="123"/>
      <c r="BG620" s="123"/>
      <c r="BH620" s="123"/>
      <c r="BI620" s="123"/>
      <c r="BJ620" s="123"/>
      <c r="BK620" s="123"/>
      <c r="BL620" s="123"/>
    </row>
    <row r="621" spans="1:64">
      <c r="A621" s="71"/>
      <c r="B621" s="71"/>
      <c r="O621" s="206"/>
      <c r="R621" s="207"/>
      <c r="S621" s="207"/>
      <c r="T621" s="208"/>
      <c r="U621" s="205"/>
      <c r="V621" s="1599"/>
      <c r="W621" s="1599"/>
      <c r="X621" s="1599"/>
      <c r="Y621" s="1599"/>
      <c r="Z621" s="1448"/>
      <c r="AA621" s="71"/>
      <c r="AB621" s="71"/>
      <c r="AC621" s="123"/>
      <c r="AD621" s="123"/>
      <c r="AE621" s="144"/>
      <c r="AF621" s="123"/>
      <c r="AG621" s="123"/>
      <c r="AH621" s="123"/>
      <c r="AI621" s="123"/>
      <c r="AJ621" s="123"/>
      <c r="AK621" s="123"/>
      <c r="AL621" s="123"/>
      <c r="AM621" s="123"/>
      <c r="AN621" s="123"/>
      <c r="AO621" s="123"/>
      <c r="AP621" s="123"/>
      <c r="AQ621" s="123"/>
      <c r="AR621" s="123"/>
      <c r="AS621" s="123"/>
      <c r="AT621" s="123"/>
      <c r="AU621" s="123"/>
      <c r="AV621" s="123"/>
      <c r="AW621" s="123"/>
      <c r="AX621" s="123"/>
      <c r="AY621" s="123"/>
      <c r="AZ621" s="123"/>
      <c r="BA621" s="123"/>
      <c r="BB621" s="123"/>
      <c r="BC621" s="123"/>
      <c r="BD621" s="123"/>
      <c r="BE621" s="123"/>
      <c r="BF621" s="123"/>
      <c r="BG621" s="123"/>
      <c r="BH621" s="123"/>
      <c r="BI621" s="123"/>
      <c r="BJ621" s="123"/>
      <c r="BK621" s="123"/>
      <c r="BL621" s="123"/>
    </row>
    <row r="622" spans="1:64">
      <c r="A622" s="71"/>
      <c r="B622" s="71"/>
      <c r="O622" s="206"/>
      <c r="R622" s="207"/>
      <c r="S622" s="207"/>
      <c r="T622" s="208"/>
      <c r="U622" s="205"/>
      <c r="V622" s="1599"/>
      <c r="W622" s="1599"/>
      <c r="X622" s="1599"/>
      <c r="Y622" s="1599"/>
      <c r="Z622" s="1448"/>
      <c r="AA622" s="71"/>
      <c r="AB622" s="71"/>
      <c r="AC622" s="123"/>
      <c r="AD622" s="123"/>
      <c r="AE622" s="144"/>
      <c r="AF622" s="123"/>
      <c r="AG622" s="123"/>
      <c r="AH622" s="123"/>
      <c r="AI622" s="123"/>
      <c r="AJ622" s="123"/>
      <c r="AK622" s="123"/>
      <c r="AL622" s="123"/>
      <c r="AM622" s="123"/>
      <c r="AN622" s="123"/>
      <c r="AO622" s="123"/>
      <c r="AP622" s="123"/>
      <c r="AQ622" s="123"/>
      <c r="AR622" s="123"/>
      <c r="AS622" s="123"/>
      <c r="AT622" s="123"/>
      <c r="AU622" s="123"/>
      <c r="AV622" s="123"/>
      <c r="AW622" s="123"/>
      <c r="AX622" s="123"/>
      <c r="AY622" s="123"/>
      <c r="AZ622" s="123"/>
      <c r="BA622" s="123"/>
      <c r="BB622" s="123"/>
      <c r="BC622" s="123"/>
      <c r="BD622" s="123"/>
      <c r="BE622" s="123"/>
      <c r="BF622" s="123"/>
      <c r="BG622" s="123"/>
      <c r="BH622" s="123"/>
      <c r="BI622" s="123"/>
      <c r="BJ622" s="123"/>
      <c r="BK622" s="123"/>
      <c r="BL622" s="123"/>
    </row>
    <row r="623" spans="1:64">
      <c r="A623" s="71"/>
      <c r="B623" s="71"/>
      <c r="O623" s="206"/>
      <c r="R623" s="207"/>
      <c r="S623" s="207"/>
      <c r="T623" s="208"/>
      <c r="U623" s="205"/>
      <c r="V623" s="1599"/>
      <c r="W623" s="1599"/>
      <c r="X623" s="1599"/>
      <c r="Y623" s="1599"/>
      <c r="Z623" s="1448"/>
      <c r="AA623" s="71"/>
      <c r="AB623" s="71"/>
      <c r="AC623" s="123"/>
      <c r="AD623" s="123"/>
      <c r="AE623" s="144"/>
      <c r="AF623" s="123"/>
      <c r="AG623" s="123"/>
      <c r="AH623" s="123"/>
      <c r="AI623" s="123"/>
      <c r="AJ623" s="123"/>
      <c r="AK623" s="123"/>
      <c r="AL623" s="123"/>
      <c r="AM623" s="123"/>
      <c r="AN623" s="123"/>
      <c r="AO623" s="123"/>
      <c r="AP623" s="123"/>
      <c r="AQ623" s="123"/>
      <c r="AR623" s="123"/>
      <c r="AS623" s="123"/>
      <c r="AT623" s="123"/>
      <c r="AU623" s="123"/>
      <c r="AV623" s="123"/>
      <c r="AW623" s="123"/>
      <c r="AX623" s="123"/>
      <c r="AY623" s="123"/>
      <c r="AZ623" s="123"/>
      <c r="BA623" s="123"/>
      <c r="BB623" s="123"/>
      <c r="BC623" s="123"/>
      <c r="BD623" s="123"/>
      <c r="BE623" s="123"/>
      <c r="BF623" s="123"/>
      <c r="BG623" s="123"/>
      <c r="BH623" s="123"/>
      <c r="BI623" s="123"/>
      <c r="BJ623" s="123"/>
      <c r="BK623" s="123"/>
      <c r="BL623" s="123"/>
    </row>
    <row r="624" spans="1:64">
      <c r="A624" s="71"/>
      <c r="B624" s="71"/>
      <c r="O624" s="206"/>
      <c r="R624" s="207"/>
      <c r="S624" s="207"/>
      <c r="T624" s="208"/>
      <c r="U624" s="205"/>
      <c r="V624" s="1599"/>
      <c r="W624" s="1599"/>
      <c r="X624" s="1599"/>
      <c r="Y624" s="1599"/>
      <c r="Z624" s="1448"/>
      <c r="AA624" s="71"/>
      <c r="AB624" s="71"/>
      <c r="AC624" s="123"/>
      <c r="AD624" s="123"/>
      <c r="AE624" s="144"/>
      <c r="AF624" s="123"/>
      <c r="AG624" s="123"/>
      <c r="AH624" s="123"/>
      <c r="AI624" s="123"/>
      <c r="AJ624" s="123"/>
      <c r="AK624" s="123"/>
      <c r="AL624" s="123"/>
      <c r="AM624" s="123"/>
      <c r="AN624" s="123"/>
      <c r="AO624" s="123"/>
      <c r="AP624" s="123"/>
      <c r="AQ624" s="123"/>
      <c r="AR624" s="123"/>
      <c r="AS624" s="123"/>
      <c r="AT624" s="123"/>
      <c r="AU624" s="123"/>
      <c r="AV624" s="123"/>
      <c r="AW624" s="123"/>
      <c r="AX624" s="123"/>
      <c r="AY624" s="123"/>
      <c r="AZ624" s="123"/>
      <c r="BA624" s="123"/>
      <c r="BB624" s="123"/>
      <c r="BC624" s="123"/>
      <c r="BD624" s="123"/>
      <c r="BE624" s="123"/>
      <c r="BF624" s="123"/>
      <c r="BG624" s="123"/>
      <c r="BH624" s="123"/>
      <c r="BI624" s="123"/>
      <c r="BJ624" s="123"/>
      <c r="BK624" s="123"/>
      <c r="BL624" s="123"/>
    </row>
    <row r="625" spans="1:64">
      <c r="A625" s="71"/>
      <c r="B625" s="71"/>
      <c r="O625" s="206"/>
      <c r="R625" s="207"/>
      <c r="S625" s="207"/>
      <c r="T625" s="208"/>
      <c r="U625" s="205"/>
      <c r="V625" s="1599"/>
      <c r="W625" s="1599"/>
      <c r="X625" s="1599"/>
      <c r="Y625" s="1599"/>
      <c r="Z625" s="1448"/>
      <c r="AA625" s="71"/>
      <c r="AB625" s="71"/>
      <c r="AC625" s="123"/>
      <c r="AD625" s="123"/>
      <c r="AE625" s="144"/>
      <c r="AF625" s="123"/>
      <c r="AG625" s="123"/>
      <c r="AH625" s="123"/>
      <c r="AI625" s="123"/>
      <c r="AJ625" s="123"/>
      <c r="AK625" s="123"/>
      <c r="AL625" s="123"/>
      <c r="AM625" s="123"/>
      <c r="AN625" s="123"/>
      <c r="AO625" s="123"/>
      <c r="AP625" s="123"/>
      <c r="AQ625" s="123"/>
      <c r="AR625" s="123"/>
      <c r="AS625" s="123"/>
      <c r="AT625" s="123"/>
      <c r="AU625" s="123"/>
      <c r="AV625" s="123"/>
      <c r="AW625" s="123"/>
      <c r="AX625" s="123"/>
      <c r="AY625" s="123"/>
      <c r="AZ625" s="123"/>
      <c r="BA625" s="123"/>
      <c r="BB625" s="123"/>
      <c r="BC625" s="123"/>
      <c r="BD625" s="123"/>
      <c r="BE625" s="123"/>
      <c r="BF625" s="123"/>
      <c r="BG625" s="123"/>
      <c r="BH625" s="123"/>
      <c r="BI625" s="123"/>
      <c r="BJ625" s="123"/>
      <c r="BK625" s="123"/>
      <c r="BL625" s="123"/>
    </row>
    <row r="626" spans="1:64">
      <c r="A626" s="71"/>
      <c r="B626" s="71"/>
      <c r="O626" s="206"/>
      <c r="R626" s="207"/>
      <c r="S626" s="207"/>
      <c r="T626" s="208"/>
      <c r="U626" s="205"/>
      <c r="V626" s="1599"/>
      <c r="W626" s="1599"/>
      <c r="X626" s="1599"/>
      <c r="Y626" s="1599"/>
      <c r="Z626" s="1448"/>
      <c r="AA626" s="71"/>
      <c r="AB626" s="71"/>
      <c r="AC626" s="123"/>
      <c r="AD626" s="123"/>
      <c r="AE626" s="144"/>
      <c r="AF626" s="123"/>
      <c r="AG626" s="123"/>
      <c r="AH626" s="123"/>
      <c r="AI626" s="123"/>
      <c r="AJ626" s="123"/>
      <c r="AK626" s="123"/>
      <c r="AL626" s="123"/>
      <c r="AM626" s="123"/>
      <c r="AN626" s="123"/>
      <c r="AO626" s="123"/>
      <c r="AP626" s="123"/>
      <c r="AQ626" s="123"/>
      <c r="AR626" s="123"/>
      <c r="AS626" s="123"/>
      <c r="AT626" s="123"/>
      <c r="AU626" s="123"/>
      <c r="AV626" s="123"/>
      <c r="AW626" s="123"/>
      <c r="AX626" s="123"/>
      <c r="AY626" s="123"/>
      <c r="AZ626" s="123"/>
      <c r="BA626" s="123"/>
      <c r="BB626" s="123"/>
      <c r="BC626" s="123"/>
      <c r="BD626" s="123"/>
      <c r="BE626" s="123"/>
      <c r="BF626" s="123"/>
      <c r="BG626" s="123"/>
      <c r="BH626" s="123"/>
      <c r="BI626" s="123"/>
      <c r="BJ626" s="123"/>
      <c r="BK626" s="123"/>
      <c r="BL626" s="123"/>
    </row>
    <row r="627" spans="1:64">
      <c r="A627" s="71"/>
      <c r="B627" s="71"/>
      <c r="O627" s="206"/>
      <c r="R627" s="207"/>
      <c r="S627" s="207"/>
      <c r="T627" s="208"/>
      <c r="U627" s="205"/>
      <c r="V627" s="1599"/>
      <c r="W627" s="1599"/>
      <c r="X627" s="1599"/>
      <c r="Y627" s="1599"/>
      <c r="Z627" s="1448"/>
      <c r="AA627" s="71"/>
      <c r="AB627" s="71"/>
      <c r="AC627" s="123"/>
      <c r="AD627" s="123"/>
      <c r="AE627" s="144"/>
      <c r="AF627" s="123"/>
      <c r="AG627" s="123"/>
      <c r="AH627" s="123"/>
      <c r="AI627" s="123"/>
      <c r="AJ627" s="123"/>
      <c r="AK627" s="123"/>
      <c r="AL627" s="123"/>
      <c r="AM627" s="123"/>
      <c r="AN627" s="123"/>
      <c r="AO627" s="123"/>
      <c r="AP627" s="123"/>
      <c r="AQ627" s="123"/>
      <c r="AR627" s="123"/>
      <c r="AS627" s="123"/>
      <c r="AT627" s="123"/>
      <c r="AU627" s="123"/>
      <c r="AV627" s="123"/>
      <c r="AW627" s="123"/>
      <c r="AX627" s="123"/>
      <c r="AY627" s="123"/>
      <c r="AZ627" s="123"/>
      <c r="BA627" s="123"/>
      <c r="BB627" s="123"/>
      <c r="BC627" s="123"/>
      <c r="BD627" s="123"/>
      <c r="BE627" s="123"/>
      <c r="BF627" s="123"/>
      <c r="BG627" s="123"/>
      <c r="BH627" s="123"/>
      <c r="BI627" s="123"/>
      <c r="BJ627" s="123"/>
      <c r="BK627" s="123"/>
      <c r="BL627" s="123"/>
    </row>
    <row r="628" spans="1:64">
      <c r="A628" s="71"/>
      <c r="B628" s="71"/>
      <c r="O628" s="206"/>
      <c r="R628" s="207"/>
      <c r="S628" s="207"/>
      <c r="T628" s="208"/>
      <c r="U628" s="205"/>
      <c r="V628" s="1599"/>
      <c r="W628" s="1599"/>
      <c r="X628" s="1599"/>
      <c r="Y628" s="1599"/>
      <c r="Z628" s="1448"/>
      <c r="AA628" s="71"/>
      <c r="AB628" s="71"/>
      <c r="AC628" s="123"/>
      <c r="AD628" s="123"/>
      <c r="AE628" s="144"/>
      <c r="AF628" s="123"/>
      <c r="AG628" s="123"/>
      <c r="AH628" s="123"/>
      <c r="AI628" s="123"/>
      <c r="AJ628" s="123"/>
      <c r="AK628" s="123"/>
      <c r="AL628" s="123"/>
      <c r="AM628" s="123"/>
      <c r="AN628" s="123"/>
      <c r="AO628" s="123"/>
      <c r="AP628" s="123"/>
      <c r="AQ628" s="123"/>
      <c r="AR628" s="123"/>
      <c r="AS628" s="123"/>
      <c r="AT628" s="123"/>
      <c r="AU628" s="123"/>
      <c r="AV628" s="123"/>
      <c r="AW628" s="123"/>
      <c r="AX628" s="123"/>
      <c r="AY628" s="123"/>
      <c r="AZ628" s="123"/>
      <c r="BA628" s="123"/>
      <c r="BB628" s="123"/>
      <c r="BC628" s="123"/>
      <c r="BD628" s="123"/>
      <c r="BE628" s="123"/>
      <c r="BF628" s="123"/>
      <c r="BG628" s="123"/>
      <c r="BH628" s="123"/>
      <c r="BI628" s="123"/>
      <c r="BJ628" s="123"/>
      <c r="BK628" s="123"/>
      <c r="BL628" s="123"/>
    </row>
    <row r="629" spans="1:64">
      <c r="A629" s="71"/>
      <c r="B629" s="71"/>
      <c r="O629" s="206"/>
      <c r="R629" s="207"/>
      <c r="S629" s="207"/>
      <c r="T629" s="208"/>
      <c r="U629" s="205"/>
      <c r="V629" s="1599"/>
      <c r="W629" s="1599"/>
      <c r="X629" s="1599"/>
      <c r="Y629" s="1599"/>
      <c r="Z629" s="1448"/>
      <c r="AA629" s="71"/>
      <c r="AB629" s="71"/>
      <c r="AC629" s="123"/>
      <c r="AD629" s="123"/>
      <c r="AE629" s="144"/>
      <c r="AF629" s="123"/>
      <c r="AG629" s="123"/>
      <c r="AH629" s="123"/>
      <c r="AI629" s="123"/>
      <c r="AJ629" s="123"/>
      <c r="AK629" s="123"/>
      <c r="AL629" s="123"/>
      <c r="AM629" s="123"/>
      <c r="AN629" s="123"/>
      <c r="AO629" s="123"/>
      <c r="AP629" s="123"/>
      <c r="AQ629" s="123"/>
      <c r="AR629" s="123"/>
      <c r="AS629" s="123"/>
      <c r="AT629" s="123"/>
      <c r="AU629" s="123"/>
      <c r="AV629" s="123"/>
      <c r="AW629" s="123"/>
      <c r="AX629" s="123"/>
      <c r="AY629" s="123"/>
      <c r="AZ629" s="123"/>
      <c r="BA629" s="123"/>
      <c r="BB629" s="123"/>
      <c r="BC629" s="123"/>
      <c r="BD629" s="123"/>
      <c r="BE629" s="123"/>
      <c r="BF629" s="123"/>
      <c r="BG629" s="123"/>
      <c r="BH629" s="123"/>
      <c r="BI629" s="123"/>
      <c r="BJ629" s="123"/>
      <c r="BK629" s="123"/>
      <c r="BL629" s="123"/>
    </row>
    <row r="630" spans="1:64">
      <c r="A630" s="71"/>
      <c r="B630" s="71"/>
      <c r="O630" s="206"/>
      <c r="R630" s="207"/>
      <c r="S630" s="207"/>
      <c r="T630" s="208"/>
      <c r="U630" s="205"/>
      <c r="V630" s="1599"/>
      <c r="W630" s="1599"/>
      <c r="X630" s="1599"/>
      <c r="Y630" s="1599"/>
      <c r="Z630" s="1448"/>
      <c r="AA630" s="71"/>
      <c r="AB630" s="71"/>
      <c r="AC630" s="123"/>
      <c r="AD630" s="123"/>
      <c r="AE630" s="144"/>
      <c r="AF630" s="123"/>
      <c r="AG630" s="123"/>
      <c r="AH630" s="123"/>
      <c r="AI630" s="123"/>
      <c r="AJ630" s="123"/>
      <c r="AK630" s="123"/>
      <c r="AL630" s="123"/>
      <c r="AM630" s="123"/>
      <c r="AN630" s="123"/>
      <c r="AO630" s="123"/>
      <c r="AP630" s="123"/>
      <c r="AQ630" s="123"/>
      <c r="AR630" s="123"/>
      <c r="AS630" s="123"/>
      <c r="AT630" s="123"/>
      <c r="AU630" s="123"/>
      <c r="AV630" s="123"/>
      <c r="AW630" s="123"/>
      <c r="AX630" s="123"/>
      <c r="AY630" s="123"/>
      <c r="AZ630" s="123"/>
      <c r="BA630" s="123"/>
      <c r="BB630" s="123"/>
      <c r="BC630" s="123"/>
      <c r="BD630" s="123"/>
      <c r="BE630" s="123"/>
      <c r="BF630" s="123"/>
      <c r="BG630" s="123"/>
      <c r="BH630" s="123"/>
      <c r="BI630" s="123"/>
      <c r="BJ630" s="123"/>
      <c r="BK630" s="123"/>
      <c r="BL630" s="123"/>
    </row>
    <row r="631" spans="1:64">
      <c r="A631" s="71"/>
      <c r="B631" s="71"/>
      <c r="O631" s="206"/>
      <c r="R631" s="207"/>
      <c r="S631" s="207"/>
      <c r="T631" s="208"/>
      <c r="U631" s="205"/>
      <c r="V631" s="1599"/>
      <c r="W631" s="1599"/>
      <c r="X631" s="1599"/>
      <c r="Y631" s="1599"/>
      <c r="Z631" s="1448"/>
      <c r="AA631" s="71"/>
      <c r="AB631" s="71"/>
      <c r="AC631" s="123"/>
      <c r="AD631" s="123"/>
      <c r="AE631" s="144"/>
      <c r="AF631" s="123"/>
      <c r="AG631" s="123"/>
      <c r="AH631" s="123"/>
      <c r="AI631" s="123"/>
      <c r="AJ631" s="123"/>
      <c r="AK631" s="123"/>
      <c r="AL631" s="123"/>
      <c r="AM631" s="123"/>
      <c r="AN631" s="123"/>
      <c r="AO631" s="123"/>
      <c r="AP631" s="123"/>
      <c r="AQ631" s="123"/>
      <c r="AR631" s="123"/>
      <c r="AS631" s="123"/>
      <c r="AT631" s="123"/>
      <c r="AU631" s="123"/>
      <c r="AV631" s="123"/>
      <c r="AW631" s="123"/>
      <c r="AX631" s="123"/>
      <c r="AY631" s="123"/>
      <c r="AZ631" s="123"/>
      <c r="BA631" s="123"/>
      <c r="BB631" s="123"/>
      <c r="BC631" s="123"/>
      <c r="BD631" s="123"/>
      <c r="BE631" s="123"/>
      <c r="BF631" s="123"/>
      <c r="BG631" s="123"/>
      <c r="BH631" s="123"/>
      <c r="BI631" s="123"/>
      <c r="BJ631" s="123"/>
      <c r="BK631" s="123"/>
      <c r="BL631" s="123"/>
    </row>
    <row r="632" spans="1:64">
      <c r="A632" s="71"/>
      <c r="B632" s="71"/>
      <c r="O632" s="206"/>
      <c r="R632" s="207"/>
      <c r="S632" s="207"/>
      <c r="T632" s="208"/>
      <c r="U632" s="205"/>
      <c r="V632" s="1599"/>
      <c r="W632" s="1599"/>
      <c r="X632" s="1599"/>
      <c r="Y632" s="1599"/>
      <c r="Z632" s="1448"/>
      <c r="AA632" s="71"/>
      <c r="AB632" s="71"/>
      <c r="AC632" s="123"/>
      <c r="AD632" s="123"/>
      <c r="AE632" s="144"/>
      <c r="AF632" s="123"/>
      <c r="AG632" s="123"/>
      <c r="AH632" s="123"/>
      <c r="AI632" s="123"/>
      <c r="AJ632" s="123"/>
      <c r="AK632" s="123"/>
      <c r="AL632" s="123"/>
      <c r="AM632" s="123"/>
      <c r="AN632" s="123"/>
      <c r="AO632" s="123"/>
      <c r="AP632" s="123"/>
      <c r="AQ632" s="123"/>
      <c r="AR632" s="123"/>
      <c r="AS632" s="123"/>
      <c r="AT632" s="123"/>
      <c r="AU632" s="123"/>
      <c r="AV632" s="123"/>
      <c r="AW632" s="123"/>
      <c r="AX632" s="123"/>
      <c r="AY632" s="123"/>
      <c r="AZ632" s="123"/>
      <c r="BA632" s="123"/>
      <c r="BB632" s="123"/>
      <c r="BC632" s="123"/>
      <c r="BD632" s="123"/>
      <c r="BE632" s="123"/>
      <c r="BF632" s="123"/>
      <c r="BG632" s="123"/>
      <c r="BH632" s="123"/>
      <c r="BI632" s="123"/>
      <c r="BJ632" s="123"/>
      <c r="BK632" s="123"/>
      <c r="BL632" s="123"/>
    </row>
    <row r="633" spans="1:64">
      <c r="A633" s="71"/>
      <c r="B633" s="71"/>
      <c r="O633" s="206"/>
      <c r="R633" s="207"/>
      <c r="S633" s="207"/>
      <c r="T633" s="208"/>
      <c r="U633" s="205"/>
      <c r="V633" s="1599"/>
      <c r="W633" s="1599"/>
      <c r="X633" s="1599"/>
      <c r="Y633" s="1599"/>
      <c r="Z633" s="1448"/>
      <c r="AA633" s="71"/>
      <c r="AB633" s="71"/>
      <c r="AC633" s="123"/>
      <c r="AD633" s="123"/>
      <c r="AE633" s="144"/>
      <c r="AF633" s="123"/>
      <c r="AG633" s="123"/>
      <c r="AH633" s="123"/>
      <c r="AI633" s="123"/>
      <c r="AJ633" s="123"/>
      <c r="AK633" s="123"/>
      <c r="AL633" s="123"/>
      <c r="AM633" s="123"/>
      <c r="AN633" s="123"/>
      <c r="AO633" s="123"/>
      <c r="AP633" s="123"/>
      <c r="AQ633" s="123"/>
      <c r="AR633" s="123"/>
      <c r="AS633" s="123"/>
      <c r="AT633" s="123"/>
      <c r="AU633" s="123"/>
      <c r="AV633" s="123"/>
      <c r="AW633" s="123"/>
      <c r="AX633" s="123"/>
      <c r="AY633" s="123"/>
      <c r="AZ633" s="123"/>
      <c r="BA633" s="123"/>
      <c r="BB633" s="123"/>
      <c r="BC633" s="123"/>
      <c r="BD633" s="123"/>
      <c r="BE633" s="123"/>
      <c r="BF633" s="123"/>
      <c r="BG633" s="123"/>
      <c r="BH633" s="123"/>
      <c r="BI633" s="123"/>
      <c r="BJ633" s="123"/>
      <c r="BK633" s="123"/>
      <c r="BL633" s="123"/>
    </row>
    <row r="634" spans="1:64">
      <c r="A634" s="71"/>
      <c r="B634" s="71"/>
      <c r="O634" s="206"/>
      <c r="R634" s="207"/>
      <c r="S634" s="207"/>
      <c r="T634" s="208"/>
      <c r="U634" s="205"/>
      <c r="V634" s="1599"/>
      <c r="W634" s="1599"/>
      <c r="X634" s="1599"/>
      <c r="Y634" s="1599"/>
      <c r="Z634" s="1448"/>
      <c r="AA634" s="71"/>
      <c r="AB634" s="71"/>
      <c r="AC634" s="123"/>
      <c r="AD634" s="123"/>
      <c r="AE634" s="144"/>
      <c r="AF634" s="123"/>
      <c r="AG634" s="123"/>
      <c r="AH634" s="123"/>
      <c r="AI634" s="123"/>
      <c r="AJ634" s="123"/>
      <c r="AK634" s="123"/>
      <c r="AL634" s="123"/>
      <c r="AM634" s="123"/>
      <c r="AN634" s="123"/>
      <c r="AO634" s="123"/>
      <c r="AP634" s="123"/>
      <c r="AQ634" s="123"/>
      <c r="AR634" s="123"/>
      <c r="AS634" s="123"/>
      <c r="AT634" s="123"/>
      <c r="AU634" s="123"/>
      <c r="AV634" s="123"/>
      <c r="AW634" s="123"/>
      <c r="AX634" s="123"/>
      <c r="AY634" s="123"/>
      <c r="AZ634" s="123"/>
      <c r="BA634" s="123"/>
      <c r="BB634" s="123"/>
      <c r="BC634" s="123"/>
      <c r="BD634" s="123"/>
      <c r="BE634" s="123"/>
      <c r="BF634" s="123"/>
      <c r="BG634" s="123"/>
      <c r="BH634" s="123"/>
      <c r="BI634" s="123"/>
      <c r="BJ634" s="123"/>
      <c r="BK634" s="123"/>
      <c r="BL634" s="123"/>
    </row>
    <row r="635" spans="1:64">
      <c r="A635" s="71"/>
      <c r="B635" s="71"/>
      <c r="O635" s="206"/>
      <c r="R635" s="207"/>
      <c r="S635" s="207"/>
      <c r="T635" s="208"/>
      <c r="U635" s="205"/>
      <c r="V635" s="1599"/>
      <c r="W635" s="1599"/>
      <c r="X635" s="1599"/>
      <c r="Y635" s="1599"/>
      <c r="Z635" s="1448"/>
      <c r="AA635" s="71"/>
      <c r="AB635" s="71"/>
      <c r="AC635" s="123"/>
      <c r="AD635" s="123"/>
      <c r="AE635" s="144"/>
      <c r="AF635" s="123"/>
      <c r="AG635" s="123"/>
      <c r="AH635" s="123"/>
      <c r="AI635" s="123"/>
      <c r="AJ635" s="123"/>
      <c r="AK635" s="123"/>
      <c r="AL635" s="123"/>
      <c r="AM635" s="123"/>
      <c r="AN635" s="123"/>
      <c r="AO635" s="123"/>
      <c r="AP635" s="123"/>
      <c r="AQ635" s="123"/>
      <c r="AR635" s="123"/>
      <c r="AS635" s="123"/>
      <c r="AT635" s="123"/>
      <c r="AU635" s="123"/>
      <c r="AV635" s="123"/>
      <c r="AW635" s="123"/>
      <c r="AX635" s="123"/>
      <c r="AY635" s="123"/>
      <c r="AZ635" s="123"/>
      <c r="BA635" s="123"/>
      <c r="BB635" s="123"/>
      <c r="BC635" s="123"/>
      <c r="BD635" s="123"/>
      <c r="BE635" s="123"/>
      <c r="BF635" s="123"/>
      <c r="BG635" s="123"/>
      <c r="BH635" s="123"/>
      <c r="BI635" s="123"/>
      <c r="BJ635" s="123"/>
      <c r="BK635" s="123"/>
      <c r="BL635" s="123"/>
    </row>
    <row r="636" spans="1:64">
      <c r="A636" s="71"/>
      <c r="B636" s="71"/>
      <c r="O636" s="206"/>
      <c r="R636" s="207"/>
      <c r="S636" s="207"/>
      <c r="T636" s="208"/>
      <c r="U636" s="205"/>
      <c r="V636" s="1599"/>
      <c r="W636" s="1599"/>
      <c r="X636" s="1599"/>
      <c r="Y636" s="1599"/>
      <c r="Z636" s="1448"/>
      <c r="AA636" s="71"/>
      <c r="AB636" s="71"/>
      <c r="AC636" s="123"/>
      <c r="AD636" s="123"/>
      <c r="AE636" s="144"/>
      <c r="AF636" s="123"/>
      <c r="AG636" s="123"/>
      <c r="AH636" s="123"/>
      <c r="AI636" s="123"/>
      <c r="AJ636" s="123"/>
      <c r="AK636" s="123"/>
      <c r="AL636" s="123"/>
      <c r="AM636" s="123"/>
      <c r="AN636" s="123"/>
      <c r="AO636" s="123"/>
      <c r="AP636" s="123"/>
      <c r="AQ636" s="123"/>
      <c r="AR636" s="123"/>
      <c r="AS636" s="123"/>
      <c r="AT636" s="123"/>
      <c r="AU636" s="123"/>
      <c r="AV636" s="123"/>
      <c r="AW636" s="123"/>
      <c r="AX636" s="123"/>
      <c r="AY636" s="123"/>
      <c r="AZ636" s="123"/>
      <c r="BA636" s="123"/>
      <c r="BB636" s="123"/>
      <c r="BC636" s="123"/>
      <c r="BD636" s="123"/>
      <c r="BE636" s="123"/>
      <c r="BF636" s="123"/>
      <c r="BG636" s="123"/>
      <c r="BH636" s="123"/>
      <c r="BI636" s="123"/>
      <c r="BJ636" s="123"/>
      <c r="BK636" s="123"/>
      <c r="BL636" s="123"/>
    </row>
    <row r="637" spans="1:64">
      <c r="A637" s="71"/>
      <c r="B637" s="71"/>
      <c r="O637" s="206"/>
      <c r="R637" s="207"/>
      <c r="S637" s="207"/>
      <c r="T637" s="208"/>
      <c r="U637" s="205"/>
      <c r="V637" s="1599"/>
      <c r="W637" s="1599"/>
      <c r="X637" s="1599"/>
      <c r="Y637" s="1599"/>
      <c r="Z637" s="1448"/>
      <c r="AA637" s="71"/>
      <c r="AB637" s="71"/>
      <c r="AC637" s="123"/>
      <c r="AD637" s="123"/>
      <c r="AE637" s="144"/>
      <c r="AF637" s="123"/>
      <c r="AG637" s="123"/>
      <c r="AH637" s="123"/>
      <c r="AI637" s="123"/>
      <c r="AJ637" s="123"/>
      <c r="AK637" s="123"/>
      <c r="AL637" s="123"/>
      <c r="AM637" s="123"/>
      <c r="AN637" s="123"/>
      <c r="AO637" s="123"/>
      <c r="AP637" s="123"/>
      <c r="AQ637" s="123"/>
      <c r="AR637" s="123"/>
      <c r="AS637" s="123"/>
      <c r="AT637" s="123"/>
      <c r="AU637" s="123"/>
      <c r="AV637" s="123"/>
      <c r="AW637" s="123"/>
      <c r="AX637" s="123"/>
      <c r="AY637" s="123"/>
      <c r="AZ637" s="123"/>
      <c r="BA637" s="123"/>
      <c r="BB637" s="123"/>
      <c r="BC637" s="123"/>
      <c r="BD637" s="123"/>
      <c r="BE637" s="123"/>
      <c r="BF637" s="123"/>
      <c r="BG637" s="123"/>
      <c r="BH637" s="123"/>
      <c r="BI637" s="123"/>
      <c r="BJ637" s="123"/>
      <c r="BK637" s="123"/>
      <c r="BL637" s="123"/>
    </row>
    <row r="638" spans="1:64">
      <c r="A638" s="71"/>
      <c r="B638" s="71"/>
      <c r="O638" s="206"/>
      <c r="R638" s="207"/>
      <c r="S638" s="207"/>
      <c r="T638" s="208"/>
      <c r="U638" s="205"/>
      <c r="V638" s="1599"/>
      <c r="W638" s="1599"/>
      <c r="X638" s="1599"/>
      <c r="Y638" s="1599"/>
      <c r="Z638" s="1448"/>
      <c r="AA638" s="71"/>
      <c r="AB638" s="71"/>
      <c r="AC638" s="123"/>
      <c r="AD638" s="123"/>
      <c r="AE638" s="144"/>
      <c r="AF638" s="123"/>
      <c r="AG638" s="123"/>
      <c r="AH638" s="123"/>
      <c r="AI638" s="123"/>
      <c r="AJ638" s="123"/>
      <c r="AK638" s="123"/>
      <c r="AL638" s="123"/>
      <c r="AM638" s="123"/>
      <c r="AN638" s="123"/>
      <c r="AO638" s="123"/>
      <c r="AP638" s="123"/>
      <c r="AQ638" s="123"/>
      <c r="AR638" s="123"/>
      <c r="AS638" s="123"/>
      <c r="AT638" s="123"/>
      <c r="AU638" s="123"/>
      <c r="AV638" s="123"/>
      <c r="AW638" s="123"/>
      <c r="AX638" s="123"/>
      <c r="AY638" s="123"/>
      <c r="AZ638" s="123"/>
      <c r="BA638" s="123"/>
      <c r="BB638" s="123"/>
      <c r="BC638" s="123"/>
      <c r="BD638" s="123"/>
      <c r="BE638" s="123"/>
      <c r="BF638" s="123"/>
      <c r="BG638" s="123"/>
      <c r="BH638" s="123"/>
      <c r="BI638" s="123"/>
      <c r="BJ638" s="123"/>
      <c r="BK638" s="123"/>
      <c r="BL638" s="123"/>
    </row>
    <row r="639" spans="1:64">
      <c r="A639" s="71"/>
      <c r="B639" s="71"/>
      <c r="O639" s="206"/>
      <c r="R639" s="207"/>
      <c r="S639" s="207"/>
      <c r="T639" s="208"/>
      <c r="U639" s="205"/>
      <c r="V639" s="1599"/>
      <c r="W639" s="1599"/>
      <c r="X639" s="1599"/>
      <c r="Y639" s="1599"/>
      <c r="Z639" s="1448"/>
      <c r="AA639" s="71"/>
      <c r="AB639" s="71"/>
      <c r="AC639" s="123"/>
      <c r="AD639" s="123"/>
      <c r="AE639" s="144"/>
      <c r="AF639" s="123"/>
      <c r="AG639" s="123"/>
      <c r="AH639" s="123"/>
      <c r="AI639" s="123"/>
      <c r="AJ639" s="123"/>
      <c r="AK639" s="123"/>
      <c r="AL639" s="123"/>
      <c r="AM639" s="123"/>
      <c r="AN639" s="123"/>
      <c r="AO639" s="123"/>
      <c r="AP639" s="123"/>
      <c r="AQ639" s="123"/>
      <c r="AR639" s="123"/>
      <c r="AS639" s="123"/>
      <c r="AT639" s="123"/>
      <c r="AU639" s="123"/>
      <c r="AV639" s="123"/>
      <c r="AW639" s="123"/>
      <c r="AX639" s="123"/>
      <c r="AY639" s="123"/>
      <c r="AZ639" s="123"/>
      <c r="BA639" s="123"/>
      <c r="BB639" s="123"/>
      <c r="BC639" s="123"/>
      <c r="BD639" s="123"/>
      <c r="BE639" s="123"/>
      <c r="BF639" s="123"/>
      <c r="BG639" s="123"/>
      <c r="BH639" s="123"/>
      <c r="BI639" s="123"/>
      <c r="BJ639" s="123"/>
      <c r="BK639" s="123"/>
      <c r="BL639" s="123"/>
    </row>
    <row r="640" spans="1:64">
      <c r="A640" s="71"/>
      <c r="B640" s="71"/>
      <c r="O640" s="206"/>
      <c r="R640" s="207"/>
      <c r="S640" s="207"/>
      <c r="T640" s="208"/>
      <c r="U640" s="205"/>
      <c r="V640" s="1599"/>
      <c r="W640" s="1599"/>
      <c r="X640" s="1599"/>
      <c r="Y640" s="1599"/>
      <c r="Z640" s="1448"/>
      <c r="AA640" s="71"/>
      <c r="AB640" s="71"/>
      <c r="AC640" s="123"/>
      <c r="AD640" s="123"/>
      <c r="AE640" s="144"/>
      <c r="AF640" s="123"/>
      <c r="AG640" s="123"/>
      <c r="AH640" s="123"/>
      <c r="AI640" s="123"/>
      <c r="AJ640" s="123"/>
      <c r="AK640" s="123"/>
      <c r="AL640" s="123"/>
      <c r="AM640" s="123"/>
      <c r="AN640" s="123"/>
      <c r="AO640" s="123"/>
      <c r="AP640" s="123"/>
      <c r="AQ640" s="123"/>
      <c r="AR640" s="123"/>
      <c r="AS640" s="123"/>
      <c r="AT640" s="123"/>
      <c r="AU640" s="123"/>
      <c r="AV640" s="123"/>
      <c r="AW640" s="123"/>
      <c r="AX640" s="123"/>
      <c r="AY640" s="123"/>
      <c r="AZ640" s="123"/>
      <c r="BA640" s="123"/>
      <c r="BB640" s="123"/>
      <c r="BC640" s="123"/>
      <c r="BD640" s="123"/>
      <c r="BE640" s="123"/>
      <c r="BF640" s="123"/>
      <c r="BG640" s="123"/>
      <c r="BH640" s="123"/>
      <c r="BI640" s="123"/>
      <c r="BJ640" s="123"/>
      <c r="BK640" s="123"/>
      <c r="BL640" s="123"/>
    </row>
    <row r="641" spans="1:129">
      <c r="A641" s="71"/>
      <c r="B641" s="71"/>
      <c r="O641" s="206"/>
      <c r="R641" s="207"/>
      <c r="S641" s="207"/>
      <c r="T641" s="208"/>
      <c r="U641" s="205"/>
      <c r="V641" s="1599"/>
      <c r="W641" s="1599"/>
      <c r="X641" s="1599"/>
      <c r="Y641" s="1599"/>
      <c r="Z641" s="1448"/>
      <c r="AA641" s="71"/>
      <c r="AB641" s="71"/>
      <c r="AC641" s="123"/>
      <c r="AD641" s="123"/>
      <c r="AE641" s="144"/>
      <c r="AF641" s="123"/>
      <c r="AG641" s="123"/>
      <c r="AH641" s="123"/>
      <c r="AI641" s="123"/>
      <c r="AJ641" s="123"/>
      <c r="AK641" s="123"/>
      <c r="AL641" s="123"/>
      <c r="AM641" s="123"/>
      <c r="AN641" s="123"/>
      <c r="AO641" s="123"/>
      <c r="AP641" s="123"/>
      <c r="AQ641" s="123"/>
      <c r="AR641" s="123"/>
      <c r="AS641" s="123"/>
      <c r="AT641" s="123"/>
      <c r="AU641" s="123"/>
      <c r="AV641" s="123"/>
      <c r="AW641" s="123"/>
      <c r="AX641" s="123"/>
      <c r="AY641" s="123"/>
      <c r="AZ641" s="123"/>
      <c r="BA641" s="123"/>
      <c r="BB641" s="123"/>
      <c r="BC641" s="123"/>
      <c r="BD641" s="123"/>
      <c r="BE641" s="123"/>
      <c r="BF641" s="123"/>
      <c r="BG641" s="123"/>
      <c r="BH641" s="123"/>
      <c r="BI641" s="123"/>
      <c r="BJ641" s="123"/>
      <c r="BK641" s="123"/>
      <c r="BL641" s="123"/>
    </row>
    <row r="642" spans="1:129">
      <c r="A642" s="71"/>
      <c r="B642" s="71"/>
      <c r="O642" s="206"/>
      <c r="R642" s="207"/>
      <c r="S642" s="207"/>
      <c r="T642" s="208"/>
      <c r="U642" s="205"/>
      <c r="V642" s="1599"/>
      <c r="W642" s="1599"/>
      <c r="X642" s="1599"/>
      <c r="Y642" s="1599"/>
      <c r="Z642" s="1448"/>
      <c r="AA642" s="71"/>
      <c r="AB642" s="71"/>
      <c r="AC642" s="123"/>
      <c r="AD642" s="123"/>
      <c r="AE642" s="144"/>
      <c r="AF642" s="123"/>
      <c r="AG642" s="123"/>
      <c r="AH642" s="123"/>
      <c r="AI642" s="123"/>
      <c r="AJ642" s="123"/>
      <c r="AK642" s="123"/>
      <c r="AL642" s="123"/>
      <c r="AM642" s="123"/>
      <c r="AN642" s="123"/>
      <c r="AO642" s="123"/>
      <c r="AP642" s="123"/>
      <c r="AQ642" s="123"/>
      <c r="AR642" s="123"/>
      <c r="AS642" s="123"/>
      <c r="AT642" s="123"/>
      <c r="AU642" s="123"/>
      <c r="AV642" s="123"/>
      <c r="AW642" s="123"/>
      <c r="AX642" s="123"/>
      <c r="AY642" s="123"/>
      <c r="AZ642" s="123"/>
      <c r="BA642" s="123"/>
      <c r="BB642" s="123"/>
      <c r="BC642" s="123"/>
      <c r="BD642" s="123"/>
      <c r="BE642" s="123"/>
      <c r="BF642" s="123"/>
      <c r="BG642" s="123"/>
      <c r="BH642" s="123"/>
      <c r="BI642" s="123"/>
      <c r="BJ642" s="123"/>
      <c r="BK642" s="123"/>
      <c r="BL642" s="123"/>
    </row>
    <row r="643" spans="1:129">
      <c r="A643" s="71"/>
      <c r="B643" s="71"/>
      <c r="O643" s="206"/>
      <c r="R643" s="207"/>
      <c r="S643" s="207"/>
      <c r="T643" s="208"/>
      <c r="U643" s="205"/>
      <c r="V643" s="1599"/>
      <c r="W643" s="1599"/>
      <c r="X643" s="1599"/>
      <c r="Y643" s="1599"/>
      <c r="Z643" s="1448"/>
      <c r="AA643" s="71"/>
      <c r="AB643" s="71"/>
      <c r="AC643" s="123"/>
      <c r="AD643" s="123"/>
      <c r="AE643" s="144"/>
      <c r="AF643" s="123"/>
      <c r="AG643" s="123"/>
      <c r="AH643" s="123"/>
      <c r="AI643" s="123"/>
      <c r="AJ643" s="123"/>
      <c r="AK643" s="123"/>
      <c r="AL643" s="123"/>
      <c r="AM643" s="123"/>
      <c r="AN643" s="123"/>
      <c r="AO643" s="123"/>
      <c r="AP643" s="123"/>
      <c r="AQ643" s="123"/>
      <c r="AR643" s="123"/>
      <c r="AS643" s="123"/>
      <c r="AT643" s="123"/>
      <c r="AU643" s="123"/>
      <c r="AV643" s="123"/>
      <c r="AW643" s="123"/>
      <c r="AX643" s="123"/>
      <c r="AY643" s="123"/>
      <c r="AZ643" s="123"/>
      <c r="BA643" s="123"/>
      <c r="BB643" s="123"/>
      <c r="BC643" s="123"/>
      <c r="BD643" s="123"/>
      <c r="BE643" s="123"/>
      <c r="BF643" s="123"/>
      <c r="BG643" s="123"/>
      <c r="BH643" s="123"/>
      <c r="BI643" s="123"/>
      <c r="BJ643" s="123"/>
      <c r="BK643" s="123"/>
      <c r="BL643" s="123"/>
    </row>
    <row r="644" spans="1:129">
      <c r="A644" s="71"/>
      <c r="B644" s="71"/>
      <c r="O644" s="206"/>
      <c r="R644" s="207"/>
      <c r="S644" s="207"/>
      <c r="T644" s="208"/>
      <c r="U644" s="205"/>
      <c r="V644" s="1599"/>
      <c r="W644" s="1599"/>
      <c r="X644" s="1599"/>
      <c r="Y644" s="1599"/>
      <c r="Z644" s="1448"/>
      <c r="AA644" s="71"/>
      <c r="AB644" s="71"/>
      <c r="AC644" s="123"/>
      <c r="AD644" s="123"/>
      <c r="AE644" s="144"/>
      <c r="AF644" s="123"/>
      <c r="AG644" s="123"/>
      <c r="AH644" s="123"/>
      <c r="AI644" s="123"/>
      <c r="AJ644" s="123"/>
      <c r="AK644" s="123"/>
      <c r="AL644" s="123"/>
      <c r="AM644" s="123"/>
      <c r="AN644" s="123"/>
      <c r="AO644" s="123"/>
      <c r="AP644" s="123"/>
      <c r="AQ644" s="123"/>
      <c r="AR644" s="123"/>
      <c r="AS644" s="123"/>
      <c r="AT644" s="123"/>
      <c r="AU644" s="123"/>
      <c r="AV644" s="123"/>
      <c r="AW644" s="123"/>
      <c r="AX644" s="123"/>
      <c r="AY644" s="123"/>
      <c r="AZ644" s="123"/>
      <c r="BA644" s="123"/>
      <c r="BB644" s="123"/>
      <c r="BC644" s="123"/>
      <c r="BD644" s="123"/>
      <c r="BE644" s="123"/>
      <c r="BF644" s="123"/>
      <c r="BG644" s="123"/>
      <c r="BH644" s="123"/>
      <c r="BI644" s="123"/>
      <c r="BJ644" s="123"/>
      <c r="BK644" s="123"/>
      <c r="BL644" s="123"/>
    </row>
    <row r="645" spans="1:129">
      <c r="A645" s="71"/>
      <c r="B645" s="71"/>
      <c r="O645" s="206"/>
      <c r="R645" s="207"/>
      <c r="S645" s="207"/>
      <c r="T645" s="208"/>
      <c r="U645" s="205"/>
      <c r="V645" s="1599"/>
      <c r="W645" s="1599"/>
      <c r="X645" s="1599"/>
      <c r="Y645" s="1599"/>
      <c r="Z645" s="1448"/>
      <c r="AA645" s="71"/>
      <c r="AB645" s="71"/>
      <c r="AC645" s="123"/>
      <c r="AD645" s="123"/>
      <c r="AE645" s="144"/>
      <c r="AF645" s="123"/>
      <c r="AG645" s="123"/>
      <c r="AH645" s="123"/>
      <c r="AI645" s="123"/>
      <c r="AJ645" s="123"/>
      <c r="AK645" s="123"/>
      <c r="AL645" s="123"/>
      <c r="AM645" s="123"/>
      <c r="AN645" s="123"/>
      <c r="AO645" s="123"/>
      <c r="AP645" s="123"/>
      <c r="AQ645" s="123"/>
      <c r="AR645" s="123"/>
      <c r="AS645" s="123"/>
      <c r="AT645" s="123"/>
      <c r="AU645" s="123"/>
      <c r="AV645" s="123"/>
      <c r="AW645" s="123"/>
      <c r="AX645" s="123"/>
      <c r="AY645" s="123"/>
      <c r="AZ645" s="123"/>
      <c r="BA645" s="123"/>
      <c r="BB645" s="123"/>
      <c r="BC645" s="123"/>
      <c r="BD645" s="123"/>
      <c r="BE645" s="123"/>
      <c r="BF645" s="123"/>
      <c r="BG645" s="123"/>
      <c r="BH645" s="123"/>
      <c r="BI645" s="123"/>
      <c r="BJ645" s="123"/>
      <c r="BK645" s="123"/>
      <c r="BL645" s="123"/>
    </row>
    <row r="646" spans="1:129">
      <c r="A646" s="71"/>
      <c r="B646" s="71"/>
      <c r="O646" s="206"/>
      <c r="R646" s="207"/>
      <c r="S646" s="207"/>
      <c r="T646" s="208"/>
      <c r="U646" s="205"/>
      <c r="V646" s="1599"/>
      <c r="W646" s="1599"/>
      <c r="X646" s="1599"/>
      <c r="Y646" s="1599"/>
      <c r="Z646" s="1448"/>
      <c r="AA646" s="71"/>
      <c r="AB646" s="71"/>
      <c r="AC646" s="123"/>
      <c r="AD646" s="123"/>
      <c r="AE646" s="144"/>
      <c r="AF646" s="123"/>
      <c r="AG646" s="123"/>
      <c r="AH646" s="123"/>
      <c r="AI646" s="123"/>
      <c r="AJ646" s="123"/>
      <c r="AK646" s="123"/>
      <c r="AL646" s="123"/>
      <c r="AM646" s="123"/>
      <c r="AN646" s="123"/>
      <c r="AO646" s="123"/>
      <c r="AP646" s="123"/>
      <c r="AQ646" s="123"/>
      <c r="AR646" s="123"/>
      <c r="AS646" s="123"/>
      <c r="AT646" s="123"/>
      <c r="AU646" s="123"/>
      <c r="AV646" s="123"/>
      <c r="AW646" s="123"/>
      <c r="AX646" s="123"/>
      <c r="AY646" s="123"/>
      <c r="AZ646" s="123"/>
      <c r="BA646" s="123"/>
      <c r="BB646" s="123"/>
      <c r="BC646" s="123"/>
      <c r="BD646" s="123"/>
      <c r="BE646" s="123"/>
      <c r="BF646" s="123"/>
      <c r="BG646" s="123"/>
      <c r="BH646" s="123"/>
      <c r="BI646" s="123"/>
      <c r="BJ646" s="123"/>
      <c r="BK646" s="123"/>
      <c r="BL646" s="123"/>
    </row>
    <row r="647" spans="1:129">
      <c r="A647" s="71"/>
      <c r="B647" s="71"/>
      <c r="O647" s="206"/>
      <c r="R647" s="207"/>
      <c r="S647" s="207"/>
      <c r="T647" s="208"/>
      <c r="U647" s="205"/>
      <c r="V647" s="1599"/>
      <c r="W647" s="1599"/>
      <c r="X647" s="1599"/>
      <c r="Y647" s="1599"/>
      <c r="Z647" s="1448"/>
      <c r="AA647" s="71"/>
      <c r="AB647" s="71"/>
      <c r="AC647" s="123"/>
      <c r="AD647" s="123"/>
      <c r="AE647" s="144"/>
      <c r="AF647" s="123"/>
      <c r="AG647" s="123"/>
      <c r="AH647" s="123"/>
      <c r="AI647" s="123"/>
      <c r="AJ647" s="123"/>
      <c r="AK647" s="123"/>
      <c r="AL647" s="123"/>
      <c r="AM647" s="123"/>
      <c r="AN647" s="123"/>
      <c r="AO647" s="123"/>
      <c r="AP647" s="123"/>
      <c r="AQ647" s="123"/>
      <c r="AR647" s="123"/>
      <c r="AS647" s="123"/>
      <c r="AT647" s="123"/>
      <c r="AU647" s="123"/>
      <c r="AV647" s="123"/>
      <c r="AW647" s="123"/>
      <c r="AX647" s="123"/>
      <c r="AY647" s="123"/>
      <c r="AZ647" s="123"/>
      <c r="BA647" s="123"/>
      <c r="BB647" s="123"/>
      <c r="BC647" s="123"/>
      <c r="BD647" s="123"/>
      <c r="BE647" s="123"/>
      <c r="BF647" s="123"/>
      <c r="BG647" s="123"/>
      <c r="BH647" s="123"/>
      <c r="BI647" s="123"/>
      <c r="BJ647" s="123"/>
      <c r="BK647" s="123"/>
      <c r="BL647" s="123"/>
    </row>
    <row r="648" spans="1:129">
      <c r="A648" s="71"/>
      <c r="B648" s="71"/>
      <c r="O648" s="206"/>
      <c r="R648" s="207"/>
      <c r="S648" s="207"/>
      <c r="T648" s="208"/>
      <c r="U648" s="205"/>
      <c r="V648" s="1599"/>
      <c r="W648" s="1599"/>
      <c r="X648" s="1599"/>
      <c r="Y648" s="1599"/>
      <c r="Z648" s="1448"/>
      <c r="AA648" s="71"/>
      <c r="AB648" s="71"/>
      <c r="AC648" s="123"/>
      <c r="AD648" s="123"/>
      <c r="AE648" s="144"/>
      <c r="AF648" s="123"/>
      <c r="AG648" s="123"/>
      <c r="AH648" s="123"/>
      <c r="AI648" s="123"/>
      <c r="AJ648" s="123"/>
      <c r="AK648" s="123"/>
      <c r="AL648" s="123"/>
      <c r="AM648" s="123"/>
      <c r="AN648" s="123"/>
      <c r="AO648" s="123"/>
      <c r="AP648" s="123"/>
      <c r="AQ648" s="123"/>
      <c r="AR648" s="123"/>
      <c r="AS648" s="123"/>
      <c r="AT648" s="123"/>
      <c r="AU648" s="123"/>
      <c r="AV648" s="123"/>
      <c r="AW648" s="123"/>
      <c r="AX648" s="123"/>
      <c r="AY648" s="123"/>
      <c r="AZ648" s="123"/>
      <c r="BA648" s="123"/>
      <c r="BB648" s="123"/>
      <c r="BC648" s="123"/>
      <c r="BD648" s="123"/>
      <c r="BE648" s="123"/>
      <c r="BF648" s="123"/>
      <c r="BG648" s="123"/>
      <c r="BH648" s="123"/>
      <c r="BI648" s="123"/>
      <c r="BJ648" s="123"/>
      <c r="BK648" s="123"/>
      <c r="BL648" s="123"/>
    </row>
    <row r="649" spans="1:129">
      <c r="A649" s="71"/>
      <c r="B649" s="71"/>
      <c r="O649" s="206"/>
      <c r="R649" s="207"/>
      <c r="S649" s="207"/>
      <c r="T649" s="208"/>
      <c r="U649" s="205"/>
      <c r="V649" s="1599"/>
      <c r="W649" s="1599"/>
      <c r="X649" s="1599"/>
      <c r="Y649" s="1599"/>
      <c r="Z649" s="1448"/>
      <c r="AA649" s="71"/>
      <c r="AB649" s="71"/>
      <c r="AC649" s="123"/>
      <c r="AD649" s="123"/>
      <c r="AE649" s="144"/>
      <c r="AF649" s="123"/>
      <c r="AG649" s="123"/>
      <c r="AH649" s="123"/>
      <c r="AI649" s="123"/>
      <c r="AJ649" s="123"/>
      <c r="AK649" s="123"/>
      <c r="AL649" s="123"/>
      <c r="AM649" s="123"/>
      <c r="AN649" s="123"/>
      <c r="AO649" s="123"/>
      <c r="AP649" s="123"/>
      <c r="AQ649" s="123"/>
      <c r="AR649" s="123"/>
      <c r="AS649" s="123"/>
      <c r="AT649" s="123"/>
      <c r="AU649" s="123"/>
      <c r="AV649" s="123"/>
      <c r="AW649" s="123"/>
      <c r="AX649" s="123"/>
      <c r="AY649" s="123"/>
      <c r="AZ649" s="123"/>
      <c r="BA649" s="123"/>
      <c r="BB649" s="123"/>
      <c r="BC649" s="123"/>
      <c r="BD649" s="123"/>
      <c r="BE649" s="123"/>
      <c r="BF649" s="123"/>
      <c r="BG649" s="123"/>
      <c r="BH649" s="123"/>
      <c r="BI649" s="123"/>
      <c r="BJ649" s="123"/>
      <c r="BK649" s="123"/>
      <c r="BL649" s="123"/>
    </row>
    <row r="650" spans="1:129">
      <c r="A650" s="71"/>
      <c r="B650" s="71"/>
      <c r="O650" s="206"/>
      <c r="R650" s="207"/>
      <c r="S650" s="207"/>
      <c r="T650" s="208"/>
      <c r="U650" s="205"/>
      <c r="V650" s="1599"/>
      <c r="W650" s="1599"/>
      <c r="X650" s="1599"/>
      <c r="Y650" s="1599"/>
      <c r="Z650" s="1448"/>
      <c r="AA650" s="71"/>
      <c r="AB650" s="71"/>
      <c r="AC650" s="123"/>
      <c r="AD650" s="123"/>
      <c r="AE650" s="144"/>
      <c r="AF650" s="123"/>
      <c r="AG650" s="123"/>
      <c r="AH650" s="123"/>
      <c r="AI650" s="123"/>
      <c r="AJ650" s="123"/>
      <c r="AK650" s="123"/>
      <c r="AL650" s="123"/>
      <c r="AM650" s="123"/>
      <c r="AN650" s="123"/>
      <c r="AO650" s="123"/>
      <c r="AP650" s="123"/>
      <c r="AQ650" s="123"/>
      <c r="AR650" s="123"/>
      <c r="AS650" s="123"/>
      <c r="AT650" s="123"/>
      <c r="AU650" s="123"/>
      <c r="AV650" s="123"/>
      <c r="AW650" s="123"/>
      <c r="AX650" s="123"/>
      <c r="AY650" s="123"/>
      <c r="AZ650" s="123"/>
      <c r="BA650" s="123"/>
      <c r="BB650" s="123"/>
      <c r="BC650" s="123"/>
      <c r="BD650" s="123"/>
      <c r="BE650" s="123"/>
      <c r="BF650" s="123"/>
      <c r="BG650" s="123"/>
      <c r="BH650" s="123"/>
      <c r="BI650" s="123"/>
      <c r="BJ650" s="123"/>
      <c r="BK650" s="123"/>
      <c r="BL650" s="123"/>
    </row>
    <row r="651" spans="1:129">
      <c r="A651" s="71"/>
      <c r="B651" s="71"/>
      <c r="O651" s="206"/>
      <c r="R651" s="207"/>
      <c r="S651" s="207"/>
      <c r="T651" s="208"/>
      <c r="U651" s="205"/>
      <c r="V651" s="1599"/>
      <c r="W651" s="1599"/>
      <c r="X651" s="1599"/>
      <c r="Y651" s="1599"/>
      <c r="Z651" s="1448"/>
      <c r="AA651" s="71"/>
      <c r="AB651" s="71"/>
      <c r="AC651" s="123"/>
      <c r="AD651" s="123"/>
      <c r="AE651" s="144"/>
      <c r="AF651" s="123"/>
      <c r="AG651" s="123"/>
      <c r="AH651" s="123"/>
      <c r="AI651" s="123"/>
      <c r="AJ651" s="123"/>
      <c r="AK651" s="123"/>
      <c r="AL651" s="123"/>
      <c r="AM651" s="123"/>
      <c r="AN651" s="123"/>
      <c r="AO651" s="123"/>
      <c r="AP651" s="123"/>
      <c r="AQ651" s="123"/>
      <c r="AR651" s="123"/>
      <c r="AS651" s="123"/>
      <c r="AT651" s="123"/>
      <c r="AU651" s="123"/>
      <c r="AV651" s="123"/>
      <c r="AW651" s="123"/>
      <c r="AX651" s="123"/>
      <c r="AY651" s="123"/>
      <c r="AZ651" s="123"/>
      <c r="BA651" s="123"/>
      <c r="BB651" s="123"/>
      <c r="BC651" s="123"/>
      <c r="BD651" s="123"/>
      <c r="BE651" s="123"/>
      <c r="BF651" s="123"/>
      <c r="BG651" s="123"/>
      <c r="BH651" s="123"/>
      <c r="BI651" s="123"/>
      <c r="BJ651" s="123"/>
      <c r="BK651" s="123"/>
      <c r="BL651" s="123"/>
    </row>
    <row r="652" spans="1:129" s="68" customFormat="1">
      <c r="E652" s="712"/>
      <c r="F652" s="76"/>
      <c r="G652" s="76"/>
      <c r="H652" s="76"/>
      <c r="I652" s="76"/>
      <c r="J652" s="76"/>
      <c r="K652" s="76"/>
      <c r="L652" s="76"/>
      <c r="M652" s="76"/>
      <c r="N652" s="76"/>
      <c r="O652" s="78"/>
      <c r="P652" s="76"/>
      <c r="Q652" s="76"/>
      <c r="R652" s="182"/>
      <c r="S652" s="182"/>
      <c r="T652" s="183"/>
      <c r="U652" s="76"/>
      <c r="V652" s="1445"/>
      <c r="W652" s="1445"/>
      <c r="X652" s="1445"/>
      <c r="Y652" s="1445"/>
      <c r="Z652" s="74"/>
      <c r="AC652" s="80"/>
      <c r="AD652" s="80"/>
      <c r="AE652" s="81"/>
      <c r="AF652" s="80"/>
      <c r="AG652" s="80"/>
      <c r="AH652" s="80"/>
      <c r="AI652" s="80"/>
      <c r="AJ652" s="80"/>
      <c r="AK652" s="80"/>
      <c r="AL652" s="80"/>
      <c r="AM652" s="80"/>
      <c r="AN652" s="80"/>
      <c r="AO652" s="80"/>
      <c r="AP652" s="80"/>
      <c r="AQ652" s="80"/>
      <c r="AR652" s="80"/>
      <c r="AS652" s="80"/>
      <c r="AT652" s="80"/>
      <c r="AU652" s="80"/>
      <c r="AV652" s="80"/>
      <c r="AW652" s="80"/>
      <c r="AX652" s="80"/>
      <c r="AY652" s="80"/>
      <c r="AZ652" s="80"/>
      <c r="BA652" s="80"/>
      <c r="BB652" s="80"/>
      <c r="BC652" s="80"/>
      <c r="BD652" s="80"/>
      <c r="BE652" s="80"/>
      <c r="BF652" s="80"/>
      <c r="BG652" s="80"/>
      <c r="BH652" s="80"/>
      <c r="BI652" s="80"/>
      <c r="BJ652" s="80"/>
      <c r="BK652" s="80"/>
      <c r="BL652" s="80"/>
      <c r="BM652" s="80"/>
      <c r="BN652" s="80"/>
      <c r="BO652" s="80"/>
      <c r="BP652" s="80"/>
      <c r="BQ652" s="80"/>
      <c r="BR652" s="80"/>
      <c r="BS652" s="80"/>
      <c r="BT652" s="80"/>
      <c r="BU652" s="80"/>
      <c r="BV652" s="81"/>
      <c r="BW652" s="80"/>
      <c r="BX652" s="80"/>
      <c r="BY652" s="80"/>
      <c r="BZ652" s="80"/>
      <c r="CA652" s="123"/>
      <c r="CB652" s="123"/>
      <c r="CC652" s="123"/>
      <c r="CD652" s="123"/>
      <c r="CE652" s="123"/>
      <c r="CF652" s="123"/>
      <c r="CG652" s="123"/>
      <c r="CH652" s="123"/>
      <c r="CI652" s="446"/>
      <c r="CJ652" s="446"/>
      <c r="CK652" s="446"/>
      <c r="CL652" s="446"/>
      <c r="CM652" s="446"/>
      <c r="CN652" s="446"/>
      <c r="CO652" s="446"/>
      <c r="CP652" s="446"/>
      <c r="CQ652" s="446"/>
      <c r="CR652" s="446"/>
      <c r="CS652" s="446"/>
      <c r="CT652" s="446"/>
      <c r="CU652" s="446"/>
      <c r="CV652" s="445"/>
      <c r="CW652" s="117"/>
      <c r="CX652" s="445"/>
      <c r="CY652" s="123"/>
      <c r="CZ652" s="123"/>
      <c r="DA652" s="123"/>
      <c r="DB652" s="123"/>
      <c r="DC652" s="123"/>
      <c r="DD652" s="123"/>
      <c r="DE652" s="123"/>
      <c r="DF652" s="123"/>
      <c r="DG652" s="123"/>
      <c r="DH652" s="123"/>
      <c r="DI652" s="123"/>
      <c r="DJ652" s="123"/>
      <c r="DK652" s="123"/>
      <c r="DL652" s="123"/>
      <c r="DM652" s="123"/>
      <c r="DN652" s="123"/>
      <c r="DO652" s="123"/>
      <c r="DP652" s="80"/>
      <c r="DQ652" s="80"/>
      <c r="DR652" s="80"/>
      <c r="DS652" s="80"/>
      <c r="DT652" s="80"/>
      <c r="DU652" s="80"/>
      <c r="DV652" s="80"/>
      <c r="DW652" s="80"/>
      <c r="DX652" s="80"/>
      <c r="DY652" s="80"/>
    </row>
    <row r="653" spans="1:129" s="68" customFormat="1">
      <c r="E653" s="712"/>
      <c r="F653" s="76"/>
      <c r="G653" s="76"/>
      <c r="H653" s="76"/>
      <c r="I653" s="76"/>
      <c r="J653" s="76"/>
      <c r="K653" s="76"/>
      <c r="L653" s="76"/>
      <c r="M653" s="76"/>
      <c r="N653" s="76"/>
      <c r="O653" s="78"/>
      <c r="P653" s="76"/>
      <c r="Q653" s="76"/>
      <c r="R653" s="182"/>
      <c r="S653" s="182"/>
      <c r="T653" s="183"/>
      <c r="U653" s="76"/>
      <c r="V653" s="1445"/>
      <c r="W653" s="1445"/>
      <c r="X653" s="1445"/>
      <c r="Y653" s="1445"/>
      <c r="Z653" s="74"/>
      <c r="AC653" s="80"/>
      <c r="AD653" s="80"/>
      <c r="AE653" s="81"/>
      <c r="AF653" s="80"/>
      <c r="AG653" s="80"/>
      <c r="AH653" s="80"/>
      <c r="AI653" s="80"/>
      <c r="AJ653" s="80"/>
      <c r="AK653" s="80"/>
      <c r="AL653" s="80"/>
      <c r="AM653" s="80"/>
      <c r="AN653" s="80"/>
      <c r="AO653" s="80"/>
      <c r="AP653" s="80"/>
      <c r="AQ653" s="80"/>
      <c r="AR653" s="80"/>
      <c r="AS653" s="80"/>
      <c r="AT653" s="80"/>
      <c r="AU653" s="80"/>
      <c r="AV653" s="80"/>
      <c r="AW653" s="80"/>
      <c r="AX653" s="80"/>
      <c r="AY653" s="80"/>
      <c r="AZ653" s="80"/>
      <c r="BA653" s="80"/>
      <c r="BB653" s="80"/>
      <c r="BC653" s="80"/>
      <c r="BD653" s="80"/>
      <c r="BE653" s="80"/>
      <c r="BF653" s="80"/>
      <c r="BG653" s="80"/>
      <c r="BH653" s="80"/>
      <c r="BI653" s="80"/>
      <c r="BJ653" s="80"/>
      <c r="BK653" s="80"/>
      <c r="BL653" s="80"/>
      <c r="BM653" s="80"/>
      <c r="BN653" s="80"/>
      <c r="BO653" s="80"/>
      <c r="BP653" s="80"/>
      <c r="BQ653" s="80"/>
      <c r="BR653" s="80"/>
      <c r="BS653" s="80"/>
      <c r="BT653" s="80"/>
      <c r="BU653" s="80"/>
      <c r="BV653" s="81"/>
      <c r="BW653" s="80"/>
      <c r="BX653" s="80"/>
      <c r="BY653" s="80"/>
      <c r="BZ653" s="80"/>
      <c r="CA653" s="123"/>
      <c r="CB653" s="123"/>
      <c r="CC653" s="123"/>
      <c r="CD653" s="123"/>
      <c r="CE653" s="123"/>
      <c r="CF653" s="123"/>
      <c r="CG653" s="123"/>
      <c r="CH653" s="123"/>
      <c r="CI653" s="446"/>
      <c r="CJ653" s="446"/>
      <c r="CK653" s="446"/>
      <c r="CL653" s="446"/>
      <c r="CM653" s="446"/>
      <c r="CN653" s="446"/>
      <c r="CO653" s="446"/>
      <c r="CP653" s="446"/>
      <c r="CQ653" s="446"/>
      <c r="CR653" s="446"/>
      <c r="CS653" s="446"/>
      <c r="CT653" s="446"/>
      <c r="CU653" s="446"/>
      <c r="CV653" s="445"/>
      <c r="CW653" s="117"/>
      <c r="CX653" s="445"/>
      <c r="CY653" s="123"/>
      <c r="CZ653" s="123"/>
      <c r="DA653" s="123"/>
      <c r="DB653" s="123"/>
      <c r="DC653" s="123"/>
      <c r="DD653" s="123"/>
      <c r="DE653" s="123"/>
      <c r="DF653" s="123"/>
      <c r="DG653" s="123"/>
      <c r="DH653" s="123"/>
      <c r="DI653" s="123"/>
      <c r="DJ653" s="123"/>
      <c r="DK653" s="123"/>
      <c r="DL653" s="123"/>
      <c r="DM653" s="123"/>
      <c r="DN653" s="123"/>
      <c r="DO653" s="123"/>
      <c r="DP653" s="80"/>
      <c r="DQ653" s="80"/>
      <c r="DR653" s="80"/>
      <c r="DS653" s="80"/>
      <c r="DT653" s="80"/>
      <c r="DU653" s="80"/>
      <c r="DV653" s="80"/>
      <c r="DW653" s="80"/>
      <c r="DX653" s="80"/>
      <c r="DY653" s="80"/>
    </row>
    <row r="654" spans="1:129" s="68" customFormat="1">
      <c r="E654" s="712"/>
      <c r="F654" s="76"/>
      <c r="G654" s="76"/>
      <c r="H654" s="76"/>
      <c r="I654" s="76"/>
      <c r="J654" s="76"/>
      <c r="K654" s="76"/>
      <c r="L654" s="76"/>
      <c r="M654" s="76"/>
      <c r="N654" s="76"/>
      <c r="O654" s="78"/>
      <c r="P654" s="76"/>
      <c r="Q654" s="76"/>
      <c r="R654" s="182"/>
      <c r="S654" s="182"/>
      <c r="T654" s="183"/>
      <c r="U654" s="76"/>
      <c r="V654" s="1445"/>
      <c r="W654" s="1445"/>
      <c r="X654" s="1445"/>
      <c r="Y654" s="1445"/>
      <c r="Z654" s="74"/>
      <c r="AC654" s="80"/>
      <c r="AD654" s="80"/>
      <c r="AE654" s="81"/>
      <c r="AF654" s="80"/>
      <c r="AG654" s="80"/>
      <c r="AH654" s="80"/>
      <c r="AI654" s="80"/>
      <c r="AJ654" s="80"/>
      <c r="AK654" s="80"/>
      <c r="AL654" s="80"/>
      <c r="AM654" s="80"/>
      <c r="AN654" s="80"/>
      <c r="AO654" s="80"/>
      <c r="AP654" s="80"/>
      <c r="AQ654" s="80"/>
      <c r="AR654" s="80"/>
      <c r="AS654" s="80"/>
      <c r="AT654" s="80"/>
      <c r="AU654" s="80"/>
      <c r="AV654" s="80"/>
      <c r="AW654" s="80"/>
      <c r="AX654" s="80"/>
      <c r="AY654" s="80"/>
      <c r="AZ654" s="80"/>
      <c r="BA654" s="80"/>
      <c r="BB654" s="80"/>
      <c r="BC654" s="80"/>
      <c r="BD654" s="80"/>
      <c r="BE654" s="80"/>
      <c r="BF654" s="80"/>
      <c r="BG654" s="80"/>
      <c r="BH654" s="80"/>
      <c r="BI654" s="80"/>
      <c r="BJ654" s="80"/>
      <c r="BK654" s="80"/>
      <c r="BL654" s="80"/>
      <c r="BM654" s="80"/>
      <c r="BN654" s="80"/>
      <c r="BO654" s="80"/>
      <c r="BP654" s="80"/>
      <c r="BQ654" s="80"/>
      <c r="BR654" s="80"/>
      <c r="BS654" s="80"/>
      <c r="BT654" s="80"/>
      <c r="BU654" s="80"/>
      <c r="BV654" s="81"/>
      <c r="BW654" s="80"/>
      <c r="BX654" s="80"/>
      <c r="BY654" s="80"/>
      <c r="BZ654" s="80"/>
      <c r="CA654" s="123"/>
      <c r="CB654" s="123"/>
      <c r="CC654" s="123"/>
      <c r="CD654" s="123"/>
      <c r="CE654" s="123"/>
      <c r="CF654" s="123"/>
      <c r="CG654" s="123"/>
      <c r="CH654" s="123"/>
      <c r="CI654" s="446"/>
      <c r="CJ654" s="446"/>
      <c r="CK654" s="446"/>
      <c r="CL654" s="446"/>
      <c r="CM654" s="446"/>
      <c r="CN654" s="446"/>
      <c r="CO654" s="446"/>
      <c r="CP654" s="446"/>
      <c r="CQ654" s="446"/>
      <c r="CR654" s="446"/>
      <c r="CS654" s="446"/>
      <c r="CT654" s="446"/>
      <c r="CU654" s="446"/>
      <c r="CV654" s="445"/>
      <c r="CW654" s="117"/>
      <c r="CX654" s="445"/>
      <c r="CY654" s="123"/>
      <c r="CZ654" s="123"/>
      <c r="DA654" s="123"/>
      <c r="DB654" s="123"/>
      <c r="DC654" s="123"/>
      <c r="DD654" s="123"/>
      <c r="DE654" s="123"/>
      <c r="DF654" s="123"/>
      <c r="DG654" s="123"/>
      <c r="DH654" s="123"/>
      <c r="DI654" s="123"/>
      <c r="DJ654" s="123"/>
      <c r="DK654" s="123"/>
      <c r="DL654" s="123"/>
      <c r="DM654" s="123"/>
      <c r="DN654" s="123"/>
      <c r="DO654" s="123"/>
      <c r="DP654" s="80"/>
      <c r="DQ654" s="80"/>
      <c r="DR654" s="80"/>
      <c r="DS654" s="80"/>
      <c r="DT654" s="80"/>
      <c r="DU654" s="80"/>
      <c r="DV654" s="80"/>
      <c r="DW654" s="80"/>
      <c r="DX654" s="80"/>
      <c r="DY654" s="80"/>
    </row>
    <row r="655" spans="1:129" s="68" customFormat="1">
      <c r="E655" s="712"/>
      <c r="F655" s="76"/>
      <c r="G655" s="76"/>
      <c r="H655" s="76"/>
      <c r="I655" s="76"/>
      <c r="J655" s="76"/>
      <c r="K655" s="76"/>
      <c r="L655" s="76"/>
      <c r="M655" s="76"/>
      <c r="N655" s="76"/>
      <c r="O655" s="78"/>
      <c r="P655" s="76"/>
      <c r="Q655" s="76"/>
      <c r="R655" s="182"/>
      <c r="S655" s="182"/>
      <c r="T655" s="183"/>
      <c r="U655" s="76"/>
      <c r="V655" s="1445"/>
      <c r="W655" s="1445"/>
      <c r="X655" s="1445"/>
      <c r="Y655" s="1445"/>
      <c r="Z655" s="74"/>
      <c r="AC655" s="80"/>
      <c r="AD655" s="80"/>
      <c r="AE655" s="81"/>
      <c r="AF655" s="80"/>
      <c r="AG655" s="80"/>
      <c r="AH655" s="80"/>
      <c r="AI655" s="80"/>
      <c r="AJ655" s="80"/>
      <c r="AK655" s="80"/>
      <c r="AL655" s="80"/>
      <c r="AM655" s="80"/>
      <c r="AN655" s="80"/>
      <c r="AO655" s="80"/>
      <c r="AP655" s="80"/>
      <c r="AQ655" s="80"/>
      <c r="AR655" s="80"/>
      <c r="AS655" s="80"/>
      <c r="AT655" s="80"/>
      <c r="AU655" s="80"/>
      <c r="AV655" s="80"/>
      <c r="AW655" s="80"/>
      <c r="AX655" s="80"/>
      <c r="AY655" s="80"/>
      <c r="AZ655" s="80"/>
      <c r="BA655" s="80"/>
      <c r="BB655" s="80"/>
      <c r="BC655" s="80"/>
      <c r="BD655" s="80"/>
      <c r="BE655" s="80"/>
      <c r="BF655" s="80"/>
      <c r="BG655" s="80"/>
      <c r="BH655" s="80"/>
      <c r="BI655" s="80"/>
      <c r="BJ655" s="80"/>
      <c r="BK655" s="80"/>
      <c r="BL655" s="80"/>
      <c r="BM655" s="80"/>
      <c r="BN655" s="80"/>
      <c r="BO655" s="80"/>
      <c r="BP655" s="80"/>
      <c r="BQ655" s="80"/>
      <c r="BR655" s="80"/>
      <c r="BS655" s="80"/>
      <c r="BT655" s="80"/>
      <c r="BU655" s="80"/>
      <c r="BV655" s="81"/>
      <c r="BW655" s="80"/>
      <c r="BX655" s="80"/>
      <c r="BY655" s="80"/>
      <c r="BZ655" s="80"/>
      <c r="CA655" s="123"/>
      <c r="CB655" s="123"/>
      <c r="CC655" s="123"/>
      <c r="CD655" s="123"/>
      <c r="CE655" s="123"/>
      <c r="CF655" s="123"/>
      <c r="CG655" s="123"/>
      <c r="CH655" s="123"/>
      <c r="CI655" s="446"/>
      <c r="CJ655" s="446"/>
      <c r="CK655" s="446"/>
      <c r="CL655" s="446"/>
      <c r="CM655" s="446"/>
      <c r="CN655" s="446"/>
      <c r="CO655" s="446"/>
      <c r="CP655" s="446"/>
      <c r="CQ655" s="446"/>
      <c r="CR655" s="446"/>
      <c r="CS655" s="446"/>
      <c r="CT655" s="446"/>
      <c r="CU655" s="446"/>
      <c r="CV655" s="445"/>
      <c r="CW655" s="117"/>
      <c r="CX655" s="445"/>
      <c r="CY655" s="123"/>
      <c r="CZ655" s="123"/>
      <c r="DA655" s="123"/>
      <c r="DB655" s="123"/>
      <c r="DC655" s="123"/>
      <c r="DD655" s="123"/>
      <c r="DE655" s="123"/>
      <c r="DF655" s="123"/>
      <c r="DG655" s="123"/>
      <c r="DH655" s="123"/>
      <c r="DI655" s="123"/>
      <c r="DJ655" s="123"/>
      <c r="DK655" s="123"/>
      <c r="DL655" s="123"/>
      <c r="DM655" s="123"/>
      <c r="DN655" s="123"/>
      <c r="DO655" s="123"/>
      <c r="DP655" s="80"/>
      <c r="DQ655" s="80"/>
      <c r="DR655" s="80"/>
      <c r="DS655" s="80"/>
      <c r="DT655" s="80"/>
      <c r="DU655" s="80"/>
      <c r="DV655" s="80"/>
      <c r="DW655" s="80"/>
      <c r="DX655" s="80"/>
      <c r="DY655" s="80"/>
    </row>
    <row r="656" spans="1:129" s="68" customFormat="1">
      <c r="E656" s="712"/>
      <c r="F656" s="76"/>
      <c r="G656" s="76"/>
      <c r="H656" s="76"/>
      <c r="I656" s="76"/>
      <c r="J656" s="76"/>
      <c r="K656" s="76"/>
      <c r="L656" s="76"/>
      <c r="M656" s="76"/>
      <c r="N656" s="76"/>
      <c r="O656" s="78"/>
      <c r="P656" s="76"/>
      <c r="Q656" s="76"/>
      <c r="R656" s="182"/>
      <c r="S656" s="182"/>
      <c r="T656" s="183"/>
      <c r="U656" s="76"/>
      <c r="V656" s="1445"/>
      <c r="W656" s="1445"/>
      <c r="X656" s="1445"/>
      <c r="Y656" s="1445"/>
      <c r="Z656" s="74"/>
      <c r="AC656" s="80"/>
      <c r="AD656" s="80"/>
      <c r="AE656" s="81"/>
      <c r="AF656" s="80"/>
      <c r="AG656" s="80"/>
      <c r="AH656" s="80"/>
      <c r="AI656" s="80"/>
      <c r="AJ656" s="80"/>
      <c r="AK656" s="80"/>
      <c r="AL656" s="80"/>
      <c r="AM656" s="80"/>
      <c r="AN656" s="80"/>
      <c r="AO656" s="80"/>
      <c r="AP656" s="80"/>
      <c r="AQ656" s="80"/>
      <c r="AR656" s="80"/>
      <c r="AS656" s="80"/>
      <c r="AT656" s="80"/>
      <c r="AU656" s="80"/>
      <c r="AV656" s="80"/>
      <c r="AW656" s="80"/>
      <c r="AX656" s="80"/>
      <c r="AY656" s="80"/>
      <c r="AZ656" s="80"/>
      <c r="BA656" s="80"/>
      <c r="BB656" s="80"/>
      <c r="BC656" s="80"/>
      <c r="BD656" s="80"/>
      <c r="BE656" s="80"/>
      <c r="BF656" s="80"/>
      <c r="BG656" s="80"/>
      <c r="BH656" s="80"/>
      <c r="BI656" s="80"/>
      <c r="BJ656" s="80"/>
      <c r="BK656" s="80"/>
      <c r="BL656" s="80"/>
      <c r="BM656" s="80"/>
      <c r="BN656" s="80"/>
      <c r="BO656" s="80"/>
      <c r="BP656" s="80"/>
      <c r="BQ656" s="80"/>
      <c r="BR656" s="80"/>
      <c r="BS656" s="80"/>
      <c r="BT656" s="80"/>
      <c r="BU656" s="80"/>
      <c r="BV656" s="81"/>
      <c r="BW656" s="80"/>
      <c r="BX656" s="80"/>
      <c r="BY656" s="80"/>
      <c r="BZ656" s="80"/>
      <c r="CA656" s="123"/>
      <c r="CB656" s="123"/>
      <c r="CC656" s="123"/>
      <c r="CD656" s="123"/>
      <c r="CE656" s="123"/>
      <c r="CF656" s="123"/>
      <c r="CG656" s="123"/>
      <c r="CH656" s="123"/>
      <c r="CI656" s="446"/>
      <c r="CJ656" s="446"/>
      <c r="CK656" s="446"/>
      <c r="CL656" s="446"/>
      <c r="CM656" s="446"/>
      <c r="CN656" s="446"/>
      <c r="CO656" s="446"/>
      <c r="CP656" s="446"/>
      <c r="CQ656" s="446"/>
      <c r="CR656" s="446"/>
      <c r="CS656" s="446"/>
      <c r="CT656" s="446"/>
      <c r="CU656" s="446"/>
      <c r="CV656" s="445"/>
      <c r="CW656" s="117"/>
      <c r="CX656" s="445"/>
      <c r="CY656" s="123"/>
      <c r="CZ656" s="123"/>
      <c r="DA656" s="123"/>
      <c r="DB656" s="123"/>
      <c r="DC656" s="123"/>
      <c r="DD656" s="123"/>
      <c r="DE656" s="123"/>
      <c r="DF656" s="123"/>
      <c r="DG656" s="123"/>
      <c r="DH656" s="123"/>
      <c r="DI656" s="123"/>
      <c r="DJ656" s="123"/>
      <c r="DK656" s="123"/>
      <c r="DL656" s="123"/>
      <c r="DM656" s="123"/>
      <c r="DN656" s="123"/>
      <c r="DO656" s="123"/>
      <c r="DP656" s="80"/>
      <c r="DQ656" s="80"/>
      <c r="DR656" s="80"/>
      <c r="DS656" s="80"/>
      <c r="DT656" s="80"/>
      <c r="DU656" s="80"/>
      <c r="DV656" s="80"/>
      <c r="DW656" s="80"/>
      <c r="DX656" s="80"/>
      <c r="DY656" s="80"/>
    </row>
    <row r="657" spans="5:129" s="68" customFormat="1">
      <c r="E657" s="712"/>
      <c r="F657" s="76"/>
      <c r="G657" s="76"/>
      <c r="H657" s="76"/>
      <c r="I657" s="76"/>
      <c r="J657" s="76"/>
      <c r="K657" s="76"/>
      <c r="L657" s="76"/>
      <c r="M657" s="76"/>
      <c r="N657" s="76"/>
      <c r="O657" s="78"/>
      <c r="P657" s="76"/>
      <c r="Q657" s="76"/>
      <c r="R657" s="182"/>
      <c r="S657" s="182"/>
      <c r="T657" s="183"/>
      <c r="U657" s="76"/>
      <c r="V657" s="1445"/>
      <c r="W657" s="1445"/>
      <c r="X657" s="1445"/>
      <c r="Y657" s="1445"/>
      <c r="Z657" s="74"/>
      <c r="AC657" s="80"/>
      <c r="AD657" s="80"/>
      <c r="AE657" s="81"/>
      <c r="AF657" s="80"/>
      <c r="AG657" s="80"/>
      <c r="AH657" s="80"/>
      <c r="AI657" s="80"/>
      <c r="AJ657" s="80"/>
      <c r="AK657" s="80"/>
      <c r="AL657" s="80"/>
      <c r="AM657" s="80"/>
      <c r="AN657" s="80"/>
      <c r="AO657" s="80"/>
      <c r="AP657" s="80"/>
      <c r="AQ657" s="80"/>
      <c r="AR657" s="80"/>
      <c r="AS657" s="80"/>
      <c r="AT657" s="80"/>
      <c r="AU657" s="80"/>
      <c r="AV657" s="80"/>
      <c r="AW657" s="80"/>
      <c r="AX657" s="80"/>
      <c r="AY657" s="80"/>
      <c r="AZ657" s="80"/>
      <c r="BA657" s="80"/>
      <c r="BB657" s="80"/>
      <c r="BC657" s="80"/>
      <c r="BD657" s="80"/>
      <c r="BE657" s="80"/>
      <c r="BF657" s="80"/>
      <c r="BG657" s="80"/>
      <c r="BH657" s="80"/>
      <c r="BI657" s="80"/>
      <c r="BJ657" s="80"/>
      <c r="BK657" s="80"/>
      <c r="BL657" s="80"/>
      <c r="BM657" s="80"/>
      <c r="BN657" s="80"/>
      <c r="BO657" s="80"/>
      <c r="BP657" s="80"/>
      <c r="BQ657" s="80"/>
      <c r="BR657" s="80"/>
      <c r="BS657" s="80"/>
      <c r="BT657" s="80"/>
      <c r="BU657" s="80"/>
      <c r="BV657" s="81"/>
      <c r="BW657" s="80"/>
      <c r="BX657" s="80"/>
      <c r="BY657" s="80"/>
      <c r="BZ657" s="80"/>
      <c r="CA657" s="123"/>
      <c r="CB657" s="123"/>
      <c r="CC657" s="123"/>
      <c r="CD657" s="123"/>
      <c r="CE657" s="123"/>
      <c r="CF657" s="123"/>
      <c r="CG657" s="123"/>
      <c r="CH657" s="123"/>
      <c r="CI657" s="446"/>
      <c r="CJ657" s="446"/>
      <c r="CK657" s="446"/>
      <c r="CL657" s="446"/>
      <c r="CM657" s="446"/>
      <c r="CN657" s="446"/>
      <c r="CO657" s="446"/>
      <c r="CP657" s="446"/>
      <c r="CQ657" s="446"/>
      <c r="CR657" s="446"/>
      <c r="CS657" s="446"/>
      <c r="CT657" s="446"/>
      <c r="CU657" s="446"/>
      <c r="CV657" s="445"/>
      <c r="CW657" s="117"/>
      <c r="CX657" s="445"/>
      <c r="CY657" s="123"/>
      <c r="CZ657" s="123"/>
      <c r="DA657" s="123"/>
      <c r="DB657" s="123"/>
      <c r="DC657" s="123"/>
      <c r="DD657" s="123"/>
      <c r="DE657" s="123"/>
      <c r="DF657" s="123"/>
      <c r="DG657" s="123"/>
      <c r="DH657" s="123"/>
      <c r="DI657" s="123"/>
      <c r="DJ657" s="123"/>
      <c r="DK657" s="123"/>
      <c r="DL657" s="123"/>
      <c r="DM657" s="123"/>
      <c r="DN657" s="123"/>
      <c r="DO657" s="123"/>
      <c r="DP657" s="80"/>
      <c r="DQ657" s="80"/>
      <c r="DR657" s="80"/>
      <c r="DS657" s="80"/>
      <c r="DT657" s="80"/>
      <c r="DU657" s="80"/>
      <c r="DV657" s="80"/>
      <c r="DW657" s="80"/>
      <c r="DX657" s="80"/>
      <c r="DY657" s="80"/>
    </row>
    <row r="658" spans="5:129">
      <c r="Z658" s="74"/>
    </row>
    <row r="659" spans="5:129">
      <c r="Z659" s="74"/>
    </row>
    <row r="660" spans="5:129">
      <c r="Z660" s="74"/>
    </row>
    <row r="661" spans="5:129">
      <c r="Z661" s="74"/>
    </row>
    <row r="662" spans="5:129">
      <c r="Z662" s="74"/>
    </row>
    <row r="663" spans="5:129">
      <c r="Z663" s="74"/>
    </row>
    <row r="664" spans="5:129">
      <c r="Z664" s="74"/>
    </row>
    <row r="665" spans="5:129">
      <c r="Z665" s="74"/>
    </row>
    <row r="666" spans="5:129">
      <c r="Z666" s="74"/>
    </row>
    <row r="667" spans="5:129">
      <c r="Z667" s="74"/>
    </row>
    <row r="668" spans="5:129">
      <c r="Z668" s="74"/>
    </row>
    <row r="997" spans="1:1">
      <c r="A997" s="68">
        <v>90</v>
      </c>
    </row>
    <row r="998" spans="1:1">
      <c r="A998" s="68">
        <v>90</v>
      </c>
    </row>
    <row r="999" spans="1:1">
      <c r="A999" s="68">
        <v>90</v>
      </c>
    </row>
    <row r="1000" spans="1:1">
      <c r="A1000" s="68">
        <v>90</v>
      </c>
    </row>
    <row r="1001" spans="1:1">
      <c r="A1001" s="68">
        <v>90</v>
      </c>
    </row>
    <row r="1002" spans="1:1">
      <c r="A1002" s="68">
        <v>90</v>
      </c>
    </row>
  </sheetData>
  <sheetProtection algorithmName="SHA-512" hashValue="EBkbDC+AkCa/Hs6kt94WCQf/bSS/hQTK1DRd27Gq0QpJbltSI76tCuOVq/KL/uJf9A399VUSZReg9PESPPknNw==" saltValue="qFAszR7wiyq7CRCTuMwxSA==" spinCount="100000" sheet="1" objects="1" scenarios="1"/>
  <mergeCells count="55">
    <mergeCell ref="A21:A27"/>
    <mergeCell ref="A28:A33"/>
    <mergeCell ref="J8:J11"/>
    <mergeCell ref="L12:N12"/>
    <mergeCell ref="L13:N13"/>
    <mergeCell ref="A7:A12"/>
    <mergeCell ref="A13:A20"/>
    <mergeCell ref="J15:J18"/>
    <mergeCell ref="C6:C7"/>
    <mergeCell ref="D6:D7"/>
    <mergeCell ref="E6:F6"/>
    <mergeCell ref="G6:I6"/>
    <mergeCell ref="K6:K7"/>
    <mergeCell ref="L6:N7"/>
    <mergeCell ref="L8:N8"/>
    <mergeCell ref="L9:N9"/>
    <mergeCell ref="C253:C257"/>
    <mergeCell ref="C258:C262"/>
    <mergeCell ref="C263:C267"/>
    <mergeCell ref="C268:C272"/>
    <mergeCell ref="C219:C223"/>
    <mergeCell ref="C224:C228"/>
    <mergeCell ref="C229:C233"/>
    <mergeCell ref="C234:C238"/>
    <mergeCell ref="C239:C243"/>
    <mergeCell ref="C248:C252"/>
    <mergeCell ref="C210:C214"/>
    <mergeCell ref="C147:C151"/>
    <mergeCell ref="C152:C156"/>
    <mergeCell ref="C161:C165"/>
    <mergeCell ref="C166:C170"/>
    <mergeCell ref="C171:C175"/>
    <mergeCell ref="C176:C180"/>
    <mergeCell ref="C181:C185"/>
    <mergeCell ref="C190:C194"/>
    <mergeCell ref="C195:C199"/>
    <mergeCell ref="C200:C204"/>
    <mergeCell ref="C205:C209"/>
    <mergeCell ref="O20:P20"/>
    <mergeCell ref="Q20:S20"/>
    <mergeCell ref="C81:D81"/>
    <mergeCell ref="C132:C136"/>
    <mergeCell ref="C137:C141"/>
    <mergeCell ref="L10:N10"/>
    <mergeCell ref="L11:N11"/>
    <mergeCell ref="C142:C146"/>
    <mergeCell ref="L14:N14"/>
    <mergeCell ref="L15:N15"/>
    <mergeCell ref="L16:N16"/>
    <mergeCell ref="C20:C21"/>
    <mergeCell ref="D20:D21"/>
    <mergeCell ref="E20:F20"/>
    <mergeCell ref="G20:I20"/>
    <mergeCell ref="J20:K20"/>
    <mergeCell ref="L20:N20"/>
  </mergeCells>
  <phoneticPr fontId="74" type="noConversion"/>
  <conditionalFormatting sqref="A7:A12">
    <cfRule type="expression" dxfId="57" priority="65">
      <formula>IF(CU19=1,1,0)</formula>
    </cfRule>
  </conditionalFormatting>
  <conditionalFormatting sqref="A13:A20">
    <cfRule type="expression" dxfId="56" priority="66">
      <formula>IF(CT19=1,1,0)</formula>
    </cfRule>
  </conditionalFormatting>
  <conditionalFormatting sqref="A21:A27">
    <cfRule type="expression" dxfId="55" priority="62">
      <formula>IF(CU21=1,1,0)</formula>
    </cfRule>
  </conditionalFormatting>
  <conditionalFormatting sqref="A28:A33">
    <cfRule type="expression" dxfId="54" priority="61">
      <formula>IF(CT21=1,1,0)</formula>
    </cfRule>
  </conditionalFormatting>
  <conditionalFormatting sqref="B29">
    <cfRule type="containsText" dxfId="53" priority="134" operator="containsText" text="K">
      <formula>NOT(ISERROR(SEARCH("K",B29)))</formula>
    </cfRule>
    <cfRule type="containsText" dxfId="52" priority="133" operator="containsText" text="&quot;J&quot;">
      <formula>NOT(ISERROR(SEARCH("""J""",B29)))</formula>
    </cfRule>
  </conditionalFormatting>
  <conditionalFormatting sqref="E5">
    <cfRule type="containsText" dxfId="51" priority="136" operator="containsText" text="K">
      <formula>NOT(ISERROR(SEARCH("K",E5)))</formula>
    </cfRule>
    <cfRule type="containsText" dxfId="50" priority="135" operator="containsText" text="&quot;J&quot;">
      <formula>NOT(ISERROR(SEARCH("""J""",E5)))</formula>
    </cfRule>
  </conditionalFormatting>
  <conditionalFormatting sqref="E8:E14 E25:E29 J25:J29 O25:O29">
    <cfRule type="cellIs" dxfId="49" priority="142" operator="greaterThan">
      <formula>0</formula>
    </cfRule>
    <cfRule type="expression" dxfId="48" priority="141">
      <formula>IF(AND(F8&gt;0,E8=0),1,0)</formula>
    </cfRule>
  </conditionalFormatting>
  <conditionalFormatting sqref="E19">
    <cfRule type="containsText" dxfId="47" priority="132" operator="containsText" text="K">
      <formula>NOT(ISERROR(SEARCH("K",E19)))</formula>
    </cfRule>
    <cfRule type="containsText" dxfId="46" priority="131" operator="containsText" text="&quot;J&quot;">
      <formula>NOT(ISERROR(SEARCH("""J""",E19)))</formula>
    </cfRule>
  </conditionalFormatting>
  <conditionalFormatting sqref="F8:F14 F25:F29 K25:K29 P25:P29">
    <cfRule type="cellIs" dxfId="45" priority="144" stopIfTrue="1" operator="greaterThan">
      <formula>0</formula>
    </cfRule>
    <cfRule type="expression" dxfId="44" priority="143" stopIfTrue="1">
      <formula>IF(AND(E8&gt;0,F8=0),1,0)</formula>
    </cfRule>
  </conditionalFormatting>
  <conditionalFormatting sqref="G10:G14 L25:L29">
    <cfRule type="expression" dxfId="43" priority="145" stopIfTrue="1">
      <formula>IF(AND(SUM(E10:F10)&gt;13,G10=""),1,0)=1</formula>
    </cfRule>
    <cfRule type="expression" dxfId="42" priority="140">
      <formula>IF(AND(SUM(E10:F10)&gt;13,G10&lt;&gt;""),1,0)</formula>
    </cfRule>
  </conditionalFormatting>
  <conditionalFormatting sqref="G25:G29 Q25:Q29">
    <cfRule type="expression" dxfId="41" priority="5">
      <formula>IF(AND(SUM(E25:F25)&gt;13,G25&lt;&gt;""),1,0)</formula>
    </cfRule>
    <cfRule type="expression" dxfId="40" priority="6" stopIfTrue="1">
      <formula>IF(AND(SUM(E25:F25)&gt;13,G25=""),1,0)=1</formula>
    </cfRule>
  </conditionalFormatting>
  <conditionalFormatting sqref="H10:H14">
    <cfRule type="expression" dxfId="39" priority="102" stopIfTrue="1">
      <formula>IF(AND(SUM(E10:F10)&gt;12,H10=""),1,0)=1</formula>
    </cfRule>
    <cfRule type="expression" dxfId="38" priority="101">
      <formula>IF(AND(SUM(E10:F10)&gt;13,H10&lt;&gt;""),1,0)</formula>
    </cfRule>
  </conditionalFormatting>
  <conditionalFormatting sqref="H25:H29 M25:M29 R25:R29">
    <cfRule type="expression" dxfId="37" priority="3">
      <formula>IF(AND(SUM(E25:F25)&gt;13,H25&lt;&gt;""),1,0)</formula>
    </cfRule>
    <cfRule type="expression" dxfId="36" priority="4" stopIfTrue="1">
      <formula>IF(AND(SUM(E25:F25)&gt;12,H25=""),1,0)=1</formula>
    </cfRule>
  </conditionalFormatting>
  <conditionalFormatting sqref="I10:I14 I25:I29 S25:S29">
    <cfRule type="expression" dxfId="35" priority="139">
      <formula>IF(AND(SUM(E10:F10)&gt;13,I10&lt;&gt;""),1,0)</formula>
    </cfRule>
    <cfRule type="expression" dxfId="34" priority="146" stopIfTrue="1">
      <formula>IF(AND(SUM(E10:F10)&gt;12,I10=""),1,0)=1</formula>
    </cfRule>
  </conditionalFormatting>
  <conditionalFormatting sqref="J8">
    <cfRule type="expression" dxfId="33" priority="4201">
      <formula>IF(CU20=1,1,0)</formula>
    </cfRule>
  </conditionalFormatting>
  <conditionalFormatting sqref="J15:J18">
    <cfRule type="expression" dxfId="32" priority="63">
      <formula>IF(CT20=1,1,0)</formula>
    </cfRule>
  </conditionalFormatting>
  <conditionalFormatting sqref="J19">
    <cfRule type="containsText" dxfId="31" priority="130" operator="containsText" text="K">
      <formula>NOT(ISERROR(SEARCH("K",J19)))</formula>
    </cfRule>
    <cfRule type="containsText" dxfId="30" priority="129" operator="containsText" text="&quot;J&quot;">
      <formula>NOT(ISERROR(SEARCH("""J""",J19)))</formula>
    </cfRule>
  </conditionalFormatting>
  <conditionalFormatting sqref="L12:L13">
    <cfRule type="expression" dxfId="29" priority="70">
      <formula>IF(L12=$CV$18,0,1)</formula>
    </cfRule>
  </conditionalFormatting>
  <conditionalFormatting sqref="N25:N29">
    <cfRule type="expression" dxfId="28" priority="1">
      <formula>IF(AND(SUM(J25:K25)&gt;13,N25&lt;&gt;""),1,0)</formula>
    </cfRule>
    <cfRule type="expression" dxfId="27" priority="2" stopIfTrue="1">
      <formula>IF(AND(SUM(J25:K25)&gt;12,N25=""),1,0)=1</formula>
    </cfRule>
  </conditionalFormatting>
  <conditionalFormatting sqref="O5">
    <cfRule type="containsText" dxfId="26" priority="125" operator="containsText" text="&quot;J&quot;">
      <formula>NOT(ISERROR(SEARCH("""J""",O5)))</formula>
    </cfRule>
    <cfRule type="containsText" dxfId="25" priority="126" operator="containsText" text="K">
      <formula>NOT(ISERROR(SEARCH("K",O5)))</formula>
    </cfRule>
  </conditionalFormatting>
  <conditionalFormatting sqref="O8:O14">
    <cfRule type="expression" dxfId="24" priority="119">
      <formula>IF(AND(P8&gt;0,O8=0),1,0)</formula>
    </cfRule>
    <cfRule type="cellIs" dxfId="23" priority="120" operator="greaterThan">
      <formula>0</formula>
    </cfRule>
  </conditionalFormatting>
  <conditionalFormatting sqref="O10">
    <cfRule type="cellIs" dxfId="22" priority="12" stopIfTrue="1" operator="greaterThan">
      <formula>0</formula>
    </cfRule>
    <cfRule type="expression" dxfId="21" priority="11" stopIfTrue="1">
      <formula>IF(AND(N10&gt;0,O10=0),1,0)</formula>
    </cfRule>
  </conditionalFormatting>
  <conditionalFormatting sqref="O19">
    <cfRule type="containsText" dxfId="20" priority="127" operator="containsText" text="&quot;J&quot;">
      <formula>NOT(ISERROR(SEARCH("""J""",O19)))</formula>
    </cfRule>
    <cfRule type="containsText" dxfId="19" priority="128" operator="containsText" text="K">
      <formula>NOT(ISERROR(SEARCH("K",O19)))</formula>
    </cfRule>
  </conditionalFormatting>
  <conditionalFormatting sqref="P8:P14">
    <cfRule type="cellIs" dxfId="18" priority="52" stopIfTrue="1" operator="greaterThan">
      <formula>0</formula>
    </cfRule>
    <cfRule type="expression" dxfId="17" priority="51" stopIfTrue="1">
      <formula>IF(AND(O8&gt;0,P8=0),1,0)</formula>
    </cfRule>
  </conditionalFormatting>
  <conditionalFormatting sqref="P10">
    <cfRule type="expression" dxfId="16" priority="13" stopIfTrue="1">
      <formula>IF(AND(SUM(N10:O10)&gt;13,P10=""),1,0)=1</formula>
    </cfRule>
    <cfRule type="expression" dxfId="15" priority="10">
      <formula>IF(AND(SUM(N10:O10)&gt;13,P10&lt;&gt;""),1,0)</formula>
    </cfRule>
  </conditionalFormatting>
  <conditionalFormatting sqref="Q10">
    <cfRule type="expression" dxfId="14" priority="8" stopIfTrue="1">
      <formula>IF(AND(SUM(N10:O10)&gt;12,Q10=""),1,0)=1</formula>
    </cfRule>
    <cfRule type="expression" dxfId="13" priority="7">
      <formula>IF(AND(SUM(N10:O10)&gt;13,Q10&lt;&gt;""),1,0)</formula>
    </cfRule>
  </conditionalFormatting>
  <conditionalFormatting sqref="Q10:Q14">
    <cfRule type="expression" dxfId="12" priority="53" stopIfTrue="1">
      <formula>IF(AND(SUM(O10:P10)&gt;13,Q10=""),1,0)=1</formula>
    </cfRule>
    <cfRule type="expression" dxfId="11" priority="50">
      <formula>IF(AND(SUM(O10:P10)&gt;13,Q10&lt;&gt;""),1,0)</formula>
    </cfRule>
  </conditionalFormatting>
  <conditionalFormatting sqref="R10">
    <cfRule type="expression" dxfId="10" priority="14" stopIfTrue="1">
      <formula>IF(AND(SUM(N10:O10)&gt;12,R10=""),1,0)=1</formula>
    </cfRule>
    <cfRule type="expression" dxfId="9" priority="9">
      <formula>IF(AND(SUM(N10:O10)&gt;13,R10&lt;&gt;""),1,0)</formula>
    </cfRule>
  </conditionalFormatting>
  <conditionalFormatting sqref="R10:R14">
    <cfRule type="expression" dxfId="8" priority="48" stopIfTrue="1">
      <formula>IF(AND(SUM(O10:P10)&gt;12,R10=""),1,0)=1</formula>
    </cfRule>
    <cfRule type="expression" dxfId="7" priority="47">
      <formula>IF(AND(SUM(O10:P10)&gt;13,R10&lt;&gt;""),1,0)</formula>
    </cfRule>
  </conditionalFormatting>
  <conditionalFormatting sqref="S10">
    <cfRule type="expression" dxfId="6" priority="124" stopIfTrue="1">
      <formula>IF(AND(SUM(O10:P10)&gt;12,S10=""),1,0)=1</formula>
    </cfRule>
    <cfRule type="expression" dxfId="5" priority="117">
      <formula>IF(AND(SUM(O10:P10)&gt;13,S10&lt;&gt;""),1,0)</formula>
    </cfRule>
  </conditionalFormatting>
  <conditionalFormatting sqref="S10:S14">
    <cfRule type="expression" dxfId="4" priority="49">
      <formula>IF(AND(SUM(O10:P10)&gt;13,S10&lt;&gt;""),1,0)</formula>
    </cfRule>
    <cfRule type="expression" dxfId="3" priority="54" stopIfTrue="1">
      <formula>IF(AND(SUM(O10:P10)&gt;12,S10=""),1,0)=1</formula>
    </cfRule>
  </conditionalFormatting>
  <conditionalFormatting sqref="U8:U13">
    <cfRule type="cellIs" dxfId="2" priority="74" operator="greaterThan">
      <formula>0</formula>
    </cfRule>
  </conditionalFormatting>
  <conditionalFormatting sqref="U25:U28">
    <cfRule type="cellIs" dxfId="1" priority="73" operator="greaterThan">
      <formula>0</formula>
    </cfRule>
  </conditionalFormatting>
  <conditionalFormatting sqref="U29">
    <cfRule type="notContainsBlanks" dxfId="0" priority="137" stopIfTrue="1">
      <formula>LEN(TRIM(U29))&gt;0</formula>
    </cfRule>
  </conditionalFormatting>
  <dataValidations count="10">
    <dataValidation type="whole" allowBlank="1" showInputMessage="1" showErrorMessage="1" error="Es werden max 60  tigungsfreie Monate angenommen! " sqref="H10:H14 H25:H29 M25:M28 R10:R14 R25:R29" xr:uid="{EA003613-19BF-49C8-BA2E-DB5651B0C4A8}">
      <formula1>0</formula1>
      <formula2>60</formula2>
    </dataValidation>
    <dataValidation type="list" allowBlank="1" showErrorMessage="1" promptTitle="Mit Mauszeiger auf Pfeil klicken" prompt="In Menü-Liste den Monat anklicken, in dem investiert werden soll._x000a_Keine Eingabe = Januar" sqref="P8:P14 F25:F29 K25:K29 F8:F14 P25:P29" xr:uid="{9D18C309-BCAF-45BD-A461-02FB4016D5F3}">
      <formula1>$E$60:$P$60</formula1>
    </dataValidation>
    <dataValidation type="whole" operator="greaterThan" allowBlank="1" showInputMessage="1" showErrorMessage="1" error="Werte unter410 EUR als Betriebsausgaben im Jahr abschreiben oder in den Sammelposten eingeben" sqref="E10:E14 O10:O14 J25:J29 E25:E29 O25:O29" xr:uid="{ADDCAC3B-A899-453F-B200-FA578697DB41}">
      <formula1>409</formula1>
    </dataValidation>
    <dataValidation type="whole" allowBlank="1" showInputMessage="1" showErrorMessage="1" error="er werden maximal 20 Tilgungsjahre angenommen" sqref="I25:I29 S10:S14 N25:N29 I10:I14 S25:S29" xr:uid="{B07ABA94-DCA0-4B72-96B1-00FCD5DDB4FC}">
      <formula1>1</formula1>
      <formula2>20</formula2>
    </dataValidation>
    <dataValidation type="whole" allowBlank="1" showInputMessage="1" showErrorMessage="1" error="Es werden max 60 tigungsfrei eMonate angenommen! " sqref="M29" xr:uid="{F296B23D-5460-4225-858C-0CBCD0FD2D38}">
      <formula1>0</formula1>
      <formula2>60</formula2>
    </dataValidation>
    <dataValidation type="decimal" allowBlank="1" showInputMessage="1" showErrorMessage="1" error="Zinswerte werden nur bis 33% angenommen;alles andere ist sittenwirdrig! " sqref="L25:L29 Q10:Q14 G25:G29 G10:G14 Q25:Q29" xr:uid="{C6422E81-8E58-4D94-98E5-B0F7CB2A8074}">
      <formula1>0</formula1>
      <formula2>0.33</formula2>
    </dataValidation>
    <dataValidation type="whole" operator="equal" allowBlank="1" showInputMessage="1" showErrorMessage="1" sqref="G8:I9 Q8:S9" xr:uid="{A5F403B5-4431-43D7-952D-7F2D8C5C7C02}">
      <formula1>0</formula1>
    </dataValidation>
    <dataValidation type="whole" errorStyle="information" operator="greaterThan" allowBlank="1" showInputMessage="1" showErrorMessage="1" errorTitle="Beschränkung der Eingabewerte" sqref="E8 O8" xr:uid="{D5AF7C1A-A7A7-4911-9B42-3B7CFD4E98BD}">
      <formula1>499</formula1>
    </dataValidation>
    <dataValidation type="whole" operator="greaterThan" allowBlank="1" showInputMessage="1" showErrorMessage="1" errorTitle="Beschränkung der Eingabewerte" error="Die untere Grenze für Kapitaldienste ist  500 EUR" sqref="E9 O9" xr:uid="{BEB04112-1510-4CA7-B734-BEC7F347C069}">
      <formula1>499</formula1>
    </dataValidation>
    <dataValidation type="list" allowBlank="1" showInputMessage="1" showErrorMessage="1" sqref="D27:D28 D12:D13 L12:L13" xr:uid="{FE448A32-987E-48E4-96E2-EFCBDE3BF29B}">
      <formula1>$CV$18:$CV$24</formula1>
    </dataValidation>
  </dataValidations>
  <printOptions horizontalCentered="1" verticalCentered="1"/>
  <pageMargins left="0.9055118110236221" right="0.9055118110236221" top="0.98425196850393704" bottom="0.39370078740157483" header="0.51181102362204722" footer="0.31496062992125984"/>
  <pageSetup paperSize="9" scale="61" orientation="landscape" r:id="rId1"/>
  <headerFooter>
    <oddHeader>&amp;L&amp;G&amp;C&amp;36Finanzierung / Capital&amp;R&amp;G</oddHeader>
    <oddFooter>&amp;L&amp;F / &amp;A&amp;CSeite &amp;P von &amp;N&amp;R© 2026 Juergen Erlewein</oddFooter>
  </headerFooter>
  <ignoredErrors>
    <ignoredError sqref="I103:U103 AA103 AC103 AE103 AG103 K21 AI103 AK103 AM103 AO103 AQ103 AS103 AU103 AW103 AY103 G103 Q132 CS21" formula="1"/>
    <ignoredError sqref="E30 J30 O30" formulaRange="1"/>
  </ignoredErrors>
  <drawing r:id="rId2"/>
  <legacyDrawing r:id="rId3"/>
  <legacyDrawingHF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1"/>
  <dimension ref="A1:CZ1000"/>
  <sheetViews>
    <sheetView showGridLines="0" zoomScale="60" zoomScaleNormal="60" workbookViewId="0"/>
  </sheetViews>
  <sheetFormatPr baseColWidth="10" defaultColWidth="11.44140625" defaultRowHeight="12.6"/>
  <cols>
    <col min="1" max="1" width="6.21875" style="16" customWidth="1"/>
    <col min="2" max="21" width="10.6640625" style="16" customWidth="1"/>
    <col min="22" max="22" width="2" style="16" customWidth="1"/>
    <col min="23" max="23" width="36.109375" style="16" customWidth="1"/>
    <col min="24" max="78" width="11.44140625" style="16" customWidth="1"/>
    <col min="79" max="104" width="11.44140625" style="16" hidden="1" customWidth="1"/>
    <col min="105" max="155" width="11.44140625" style="16" customWidth="1"/>
    <col min="156" max="16384" width="11.44140625" style="16"/>
  </cols>
  <sheetData>
    <row r="1" spans="1:18" s="295" customFormat="1" ht="50.4" customHeight="1">
      <c r="A1" s="1625" t="s">
        <v>507</v>
      </c>
      <c r="C1" s="1618" t="s">
        <v>1020</v>
      </c>
      <c r="L1" s="1512" t="str">
        <f>IF(Basisdaten!B15="English","Overview Financial Plan ","Übersicht Finanzplan ")&amp;'0 Daten|Data'!D5</f>
        <v xml:space="preserve">Übersicht Finanzplan </v>
      </c>
    </row>
    <row r="2" spans="1:18" ht="27.6" customHeight="1">
      <c r="A2" s="1169"/>
    </row>
    <row r="3" spans="1:18" ht="22.2">
      <c r="D3" s="304"/>
      <c r="K3" s="304"/>
      <c r="R3" s="304"/>
    </row>
    <row r="27" spans="2:101" ht="11.4" customHeight="1">
      <c r="CU27" s="16" t="str">
        <f>IF(Basisdaten!B15="English",CW27,CV27)</f>
        <v>Tab</v>
      </c>
      <c r="CV27" s="16" t="s">
        <v>993</v>
      </c>
      <c r="CW27" s="16" t="s">
        <v>994</v>
      </c>
    </row>
    <row r="28" spans="2:101">
      <c r="E28" s="159" t="str">
        <f>CU27&amp;" 2"</f>
        <v>Tab 2</v>
      </c>
      <c r="L28" s="161" t="str">
        <f>CU27&amp;" 3"</f>
        <v>Tab 3</v>
      </c>
      <c r="S28" s="161" t="str">
        <f>CU27&amp;" 4"</f>
        <v>Tab 4</v>
      </c>
    </row>
    <row r="30" spans="2:101" ht="21.6" customHeight="1">
      <c r="B30" s="1169"/>
      <c r="C30" s="1169"/>
      <c r="D30" s="304"/>
      <c r="F30" s="1169"/>
      <c r="G30" s="1169"/>
      <c r="H30" s="1169"/>
      <c r="I30" s="1169"/>
      <c r="J30" s="1169"/>
      <c r="K30" s="304"/>
      <c r="M30" s="1169"/>
      <c r="N30" s="1169"/>
      <c r="O30" s="1169"/>
      <c r="P30" s="1169"/>
      <c r="Q30" s="1169"/>
      <c r="R30" s="304"/>
      <c r="T30" s="1169"/>
      <c r="U30" s="1169"/>
    </row>
    <row r="56" spans="1:21" ht="6" customHeight="1"/>
    <row r="57" spans="1:21">
      <c r="T57" s="15"/>
      <c r="U57" s="15"/>
    </row>
    <row r="59" spans="1:21" ht="16.5" customHeight="1">
      <c r="A59" s="1168"/>
    </row>
    <row r="61" spans="1:21">
      <c r="E61" s="704" t="str">
        <f>CU27&amp;" 5"</f>
        <v>Tab 5</v>
      </c>
      <c r="L61" s="159" t="str">
        <f>CV27&amp;" 6"</f>
        <v>Tab 6</v>
      </c>
      <c r="R61" s="704" t="str">
        <f>CU27&amp;" 7"</f>
        <v>Tab 7</v>
      </c>
    </row>
    <row r="73" spans="6:6">
      <c r="F73" s="210"/>
    </row>
    <row r="105" s="231" customFormat="1"/>
    <row r="106" s="231" customFormat="1"/>
    <row r="107" s="231" customFormat="1"/>
    <row r="108" s="231" customFormat="1"/>
    <row r="109" s="231" customFormat="1"/>
    <row r="110" s="231" customFormat="1"/>
    <row r="111" s="231" customFormat="1"/>
    <row r="1000" spans="1:1">
      <c r="A1000" s="16">
        <v>60</v>
      </c>
    </row>
  </sheetData>
  <sheetProtection algorithmName="SHA-512" hashValue="3qDm8MkvcubSCTTDLG9mYCa+Mk/Ezox8YjhSJ27qvsCKr3lRUzrqsxbgkD6Vs/Mt578hT3jQc4TfMr2nhKEIzw==" saltValue="uFJZp79Csks9HxyuL+6m6w==" spinCount="100000" sheet="1" objects="1" scenarios="1"/>
  <printOptions horizontalCentered="1" verticalCentered="1"/>
  <pageMargins left="0.78740157480314965" right="0.78740157480314965" top="0.98425196850393704" bottom="0.59055118110236227" header="0.31496062992125984" footer="0.31496062992125984"/>
  <pageSetup paperSize="9" scale="61" orientation="landscape" r:id="rId1"/>
  <headerFooter>
    <oddHeader>&amp;L&amp;G&amp;R&amp;G</oddHeader>
    <oddFooter xml:space="preserve">&amp;L&amp;F / &amp;A&amp;R© 2026 Juergen Erlewein </oddFooter>
  </headerFooter>
  <drawing r:id="rId2"/>
  <legacyDrawing r:id="rId3"/>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80740-6EFE-4EF4-8E2F-1CB215C29D59}">
  <sheetPr codeName="Tabelle5"/>
  <dimension ref="A1:CZ1000"/>
  <sheetViews>
    <sheetView zoomScale="80" zoomScaleNormal="80" workbookViewId="0">
      <selection activeCell="A8" sqref="A8"/>
    </sheetView>
  </sheetViews>
  <sheetFormatPr baseColWidth="10" defaultColWidth="11.5546875" defaultRowHeight="13.2"/>
  <cols>
    <col min="1" max="1" width="20" bestFit="1" customWidth="1"/>
    <col min="2" max="2" width="22.5546875" bestFit="1" customWidth="1"/>
    <col min="5" max="5" width="14.21875" bestFit="1" customWidth="1"/>
    <col min="6" max="6" width="10.6640625" customWidth="1"/>
    <col min="17" max="19" width="13.21875" customWidth="1"/>
    <col min="21" max="23" width="29.21875" customWidth="1"/>
    <col min="24" max="24" width="20" customWidth="1"/>
    <col min="79" max="104" width="11.5546875" hidden="1" customWidth="1"/>
  </cols>
  <sheetData>
    <row r="1" spans="1:35">
      <c r="C1" s="9" t="s">
        <v>1030</v>
      </c>
    </row>
    <row r="2" spans="1:35">
      <c r="A2" s="307" t="s">
        <v>661</v>
      </c>
      <c r="B2" s="1647"/>
      <c r="C2" s="680" t="s">
        <v>452</v>
      </c>
      <c r="D2" s="1648" t="s">
        <v>140</v>
      </c>
      <c r="E2" s="1648" t="s">
        <v>185</v>
      </c>
      <c r="J2" s="305" t="s">
        <v>462</v>
      </c>
      <c r="K2" s="307" t="s">
        <v>496</v>
      </c>
      <c r="L2" s="326" t="s">
        <v>495</v>
      </c>
      <c r="M2" s="307" t="s">
        <v>468</v>
      </c>
      <c r="N2" s="326" t="s">
        <v>493</v>
      </c>
      <c r="O2" s="9" t="s">
        <v>825</v>
      </c>
      <c r="P2" s="9" t="s">
        <v>835</v>
      </c>
      <c r="Q2" s="9" t="s">
        <v>845</v>
      </c>
      <c r="S2" s="1649"/>
    </row>
    <row r="3" spans="1:35" ht="13.8">
      <c r="A3" s="307" t="s">
        <v>779</v>
      </c>
      <c r="C3" s="680" t="s">
        <v>451</v>
      </c>
      <c r="D3" s="1650">
        <f ca="1">YEAR(TODAY())-1</f>
        <v>2025</v>
      </c>
      <c r="E3" s="1650">
        <f ca="1">D3+1</f>
        <v>2026</v>
      </c>
      <c r="F3" s="1650">
        <f ca="1">E3+1</f>
        <v>2027</v>
      </c>
      <c r="G3" s="1650">
        <f ca="1">F3+1</f>
        <v>2028</v>
      </c>
      <c r="H3" s="1650">
        <f ca="1">G3+1</f>
        <v>2029</v>
      </c>
      <c r="I3" s="1651"/>
      <c r="J3" s="117" t="s">
        <v>459</v>
      </c>
      <c r="K3" s="1652" t="s">
        <v>461</v>
      </c>
      <c r="L3" s="1653" t="s">
        <v>460</v>
      </c>
      <c r="M3" s="1654" t="s">
        <v>467</v>
      </c>
      <c r="N3" s="1655" t="s">
        <v>494</v>
      </c>
      <c r="O3" s="1656" t="s">
        <v>826</v>
      </c>
      <c r="P3" s="1657" t="s">
        <v>871</v>
      </c>
      <c r="Q3" s="1658" t="s">
        <v>844</v>
      </c>
      <c r="S3" s="1651"/>
      <c r="T3" s="1659"/>
      <c r="U3" s="1659"/>
      <c r="W3" s="1660"/>
      <c r="AB3" s="1659"/>
      <c r="AC3" s="1660"/>
      <c r="AD3" s="1660"/>
      <c r="AE3" s="1660"/>
      <c r="AF3" s="1660"/>
      <c r="AG3" s="1660"/>
      <c r="AH3" s="1660"/>
      <c r="AI3" s="1660"/>
    </row>
    <row r="4" spans="1:35" ht="13.8">
      <c r="A4" s="1661" t="str">
        <f>D2</f>
        <v>Deutsch</v>
      </c>
      <c r="B4" s="1647" t="s">
        <v>140</v>
      </c>
      <c r="C4" s="307" t="s">
        <v>185</v>
      </c>
      <c r="E4" s="1662"/>
      <c r="F4" s="1662"/>
      <c r="G4" s="1662"/>
      <c r="H4" s="1662"/>
      <c r="I4" s="1651"/>
      <c r="J4" s="117"/>
      <c r="K4" s="117"/>
      <c r="L4" s="117"/>
      <c r="N4" s="1651"/>
      <c r="O4" s="1651"/>
      <c r="T4" s="1659"/>
      <c r="U4" s="1659"/>
      <c r="W4" s="1660"/>
      <c r="AB4" s="1659"/>
      <c r="AC4" s="1660"/>
      <c r="AD4" s="1660"/>
      <c r="AE4" s="1660"/>
      <c r="AF4" s="1660"/>
      <c r="AG4" s="1660"/>
      <c r="AH4" s="1660"/>
      <c r="AI4" s="1660"/>
    </row>
    <row r="5" spans="1:35" ht="13.8">
      <c r="A5" s="1651" t="str">
        <f>IF('Deckblatt|Cover'!$I$3=Basisdaten!A4,"nein","ja")</f>
        <v>nein</v>
      </c>
      <c r="B5" s="307" t="s">
        <v>453</v>
      </c>
      <c r="C5" s="1663" t="s">
        <v>447</v>
      </c>
      <c r="D5" s="307" t="s">
        <v>448</v>
      </c>
      <c r="E5" s="1664" t="s">
        <v>60</v>
      </c>
      <c r="F5" s="1664" t="s">
        <v>61</v>
      </c>
      <c r="G5" s="1664" t="s">
        <v>190</v>
      </c>
      <c r="H5" s="1664" t="s">
        <v>63</v>
      </c>
      <c r="I5" s="1664" t="s">
        <v>187</v>
      </c>
      <c r="J5" s="1664" t="s">
        <v>64</v>
      </c>
      <c r="K5" s="1664" t="s">
        <v>65</v>
      </c>
      <c r="L5" s="1664" t="s">
        <v>66</v>
      </c>
      <c r="M5" s="1664" t="s">
        <v>67</v>
      </c>
      <c r="N5" s="1664" t="s">
        <v>191</v>
      </c>
      <c r="O5" s="1664" t="s">
        <v>69</v>
      </c>
      <c r="P5" s="1664" t="s">
        <v>192</v>
      </c>
      <c r="S5" s="1659"/>
      <c r="T5" s="1659"/>
      <c r="U5" s="1659"/>
      <c r="W5" s="1660"/>
      <c r="AB5" s="1659"/>
      <c r="AC5" s="1660"/>
      <c r="AD5" s="1660"/>
      <c r="AE5" s="1660"/>
      <c r="AF5" s="1660"/>
      <c r="AG5" s="1660"/>
      <c r="AH5" s="1660"/>
      <c r="AI5" s="1660"/>
    </row>
    <row r="6" spans="1:35" ht="13.8">
      <c r="B6" s="307" t="s">
        <v>449</v>
      </c>
      <c r="C6" s="1663" t="s">
        <v>427</v>
      </c>
      <c r="D6" s="307" t="s">
        <v>450</v>
      </c>
      <c r="E6" s="1664" t="s">
        <v>1</v>
      </c>
      <c r="F6" s="1664" t="s">
        <v>61</v>
      </c>
      <c r="G6" s="1664" t="s">
        <v>62</v>
      </c>
      <c r="H6" s="1664" t="s">
        <v>63</v>
      </c>
      <c r="I6" s="1664" t="s">
        <v>4</v>
      </c>
      <c r="J6" s="1664" t="s">
        <v>64</v>
      </c>
      <c r="K6" s="1664" t="s">
        <v>65</v>
      </c>
      <c r="L6" s="1664" t="s">
        <v>66</v>
      </c>
      <c r="M6" s="1664" t="s">
        <v>67</v>
      </c>
      <c r="N6" s="1664" t="s">
        <v>68</v>
      </c>
      <c r="O6" s="1664" t="s">
        <v>69</v>
      </c>
      <c r="P6" s="1664" t="s">
        <v>70</v>
      </c>
      <c r="R6" t="str">
        <f>IF(B15=B4,S6,S7)</f>
        <v>Sprache geändert; Titel anpassen</v>
      </c>
      <c r="S6" s="1719" t="s">
        <v>1049</v>
      </c>
      <c r="T6" s="1659"/>
      <c r="U6" s="1659"/>
      <c r="W6" s="1660"/>
      <c r="AB6" s="1659"/>
      <c r="AC6" s="1660"/>
      <c r="AD6" s="1660"/>
      <c r="AE6" s="1660"/>
      <c r="AF6" s="1660"/>
      <c r="AG6" s="1660"/>
      <c r="AH6" s="1660"/>
      <c r="AI6" s="1660"/>
    </row>
    <row r="7" spans="1:35" ht="13.8">
      <c r="B7" s="307"/>
      <c r="C7" s="1663"/>
      <c r="D7" s="307"/>
      <c r="E7" s="1651">
        <v>1</v>
      </c>
      <c r="F7" s="307">
        <v>2</v>
      </c>
      <c r="G7" s="1651">
        <v>3</v>
      </c>
      <c r="H7" s="307">
        <v>4</v>
      </c>
      <c r="I7" s="1651">
        <v>5</v>
      </c>
      <c r="J7" s="307">
        <v>6</v>
      </c>
      <c r="K7" s="1651">
        <v>7</v>
      </c>
      <c r="L7" s="307">
        <v>8</v>
      </c>
      <c r="M7" s="1651">
        <v>9</v>
      </c>
      <c r="N7" s="307">
        <v>10</v>
      </c>
      <c r="O7" s="1651">
        <v>11</v>
      </c>
      <c r="P7" s="307">
        <v>12</v>
      </c>
      <c r="S7" s="1719" t="s">
        <v>1044</v>
      </c>
      <c r="T7" s="1659"/>
      <c r="U7" s="1659"/>
      <c r="W7" s="1660"/>
      <c r="AB7" s="1659"/>
      <c r="AC7" s="1660"/>
      <c r="AD7" s="1660"/>
      <c r="AE7" s="1660"/>
      <c r="AF7" s="1660"/>
      <c r="AG7" s="1660"/>
      <c r="AH7" s="1660"/>
      <c r="AI7" s="1660"/>
    </row>
    <row r="8" spans="1:35" ht="13.8">
      <c r="A8" t="str">
        <f>"{"&amp;D67&amp;"@Erlewein_"&amp;D63&amp;"}"</f>
        <v>{2026@Erlewein_V6.2.0}</v>
      </c>
      <c r="B8" s="1665" t="str">
        <f>IF('Deckblatt|Cover'!$N$7="English",B5,B6)</f>
        <v>Sprache</v>
      </c>
      <c r="C8" s="1665" t="str">
        <f>IF(B10="English",C5,C6)</f>
        <v>Jahr</v>
      </c>
      <c r="D8" s="1665" t="str">
        <f>IF(B10="English",D5,D6)</f>
        <v>Monat</v>
      </c>
      <c r="E8" s="1665" t="str">
        <f>IF($B$15="English",E5,E6)</f>
        <v>Jan.</v>
      </c>
      <c r="F8" s="1665" t="str">
        <f t="shared" ref="F8:P8" si="0">IF($B$15="English",F5,F6)</f>
        <v>Feb</v>
      </c>
      <c r="G8" s="1665" t="str">
        <f t="shared" si="0"/>
        <v>Mrz</v>
      </c>
      <c r="H8" s="1665" t="str">
        <f t="shared" si="0"/>
        <v>Apr</v>
      </c>
      <c r="I8" s="1665" t="str">
        <f t="shared" si="0"/>
        <v>Mai</v>
      </c>
      <c r="J8" s="1665" t="str">
        <f t="shared" si="0"/>
        <v>Jun</v>
      </c>
      <c r="K8" s="1665" t="str">
        <f t="shared" si="0"/>
        <v>Jul</v>
      </c>
      <c r="L8" s="1665" t="str">
        <f t="shared" si="0"/>
        <v>Aug</v>
      </c>
      <c r="M8" s="1665" t="str">
        <f t="shared" si="0"/>
        <v>Sep</v>
      </c>
      <c r="N8" s="1665" t="str">
        <f t="shared" si="0"/>
        <v>Okt</v>
      </c>
      <c r="O8" s="1665" t="str">
        <f t="shared" si="0"/>
        <v>Nov</v>
      </c>
      <c r="P8" s="1665" t="str">
        <f t="shared" si="0"/>
        <v>Dez</v>
      </c>
      <c r="S8" s="1659"/>
      <c r="T8" s="1659"/>
      <c r="U8" s="1659"/>
      <c r="W8" s="1660"/>
      <c r="AB8" s="1659"/>
      <c r="AC8" s="1660"/>
      <c r="AD8" s="1660"/>
      <c r="AE8" s="1660"/>
      <c r="AF8" s="1660"/>
      <c r="AG8" s="1660"/>
      <c r="AH8" s="1660"/>
      <c r="AI8" s="1660"/>
    </row>
    <row r="9" spans="1:35" ht="13.8">
      <c r="B9" s="9"/>
      <c r="S9" s="1659"/>
      <c r="T9" s="1659"/>
      <c r="U9" s="1659"/>
      <c r="W9" s="1660"/>
      <c r="AB9" s="1659"/>
      <c r="AC9" s="1660"/>
      <c r="AD9" s="1660"/>
      <c r="AE9" s="1660"/>
      <c r="AF9" s="1660"/>
      <c r="AG9" s="1660"/>
      <c r="AH9" s="1660"/>
      <c r="AI9" s="1660"/>
    </row>
    <row r="10" spans="1:35" ht="13.8">
      <c r="B10" s="307" t="s">
        <v>453</v>
      </c>
      <c r="C10" s="1663" t="s">
        <v>447</v>
      </c>
      <c r="D10" s="307" t="s">
        <v>448</v>
      </c>
      <c r="E10" s="1664" t="s">
        <v>228</v>
      </c>
      <c r="F10" s="1664" t="s">
        <v>250</v>
      </c>
      <c r="G10" s="1664" t="s">
        <v>229</v>
      </c>
      <c r="H10" s="1664" t="s">
        <v>3</v>
      </c>
      <c r="I10" s="1664" t="s">
        <v>187</v>
      </c>
      <c r="J10" s="1664" t="s">
        <v>188</v>
      </c>
      <c r="K10" s="1664" t="s">
        <v>189</v>
      </c>
      <c r="L10" s="1664" t="s">
        <v>71</v>
      </c>
      <c r="M10" s="1664" t="s">
        <v>251</v>
      </c>
      <c r="N10" s="1664" t="s">
        <v>230</v>
      </c>
      <c r="O10" s="1664" t="s">
        <v>79</v>
      </c>
      <c r="P10" s="1664" t="s">
        <v>231</v>
      </c>
      <c r="T10" s="1659"/>
      <c r="U10" s="1659"/>
      <c r="AB10" s="1659"/>
      <c r="AC10" s="1660"/>
      <c r="AD10" s="1660"/>
      <c r="AE10" s="1660"/>
      <c r="AF10" s="1660"/>
      <c r="AG10" s="1660"/>
      <c r="AH10" s="1660"/>
      <c r="AI10" s="1660"/>
    </row>
    <row r="11" spans="1:35" ht="13.8">
      <c r="B11" s="307" t="s">
        <v>449</v>
      </c>
      <c r="C11" s="1663" t="s">
        <v>427</v>
      </c>
      <c r="D11" s="307" t="s">
        <v>450</v>
      </c>
      <c r="E11" s="1664" t="s">
        <v>75</v>
      </c>
      <c r="F11" s="1664" t="s">
        <v>76</v>
      </c>
      <c r="G11" s="1664" t="s">
        <v>2</v>
      </c>
      <c r="H11" s="1664" t="s">
        <v>3</v>
      </c>
      <c r="I11" s="1664" t="s">
        <v>4</v>
      </c>
      <c r="J11" s="1664" t="s">
        <v>5</v>
      </c>
      <c r="K11" s="1664" t="s">
        <v>6</v>
      </c>
      <c r="L11" s="1664" t="s">
        <v>71</v>
      </c>
      <c r="M11" s="1664" t="s">
        <v>77</v>
      </c>
      <c r="N11" s="1664" t="s">
        <v>78</v>
      </c>
      <c r="O11" s="1664" t="s">
        <v>79</v>
      </c>
      <c r="P11" s="1664" t="s">
        <v>80</v>
      </c>
      <c r="S11" s="2339"/>
      <c r="T11" s="2339"/>
      <c r="U11" s="1659"/>
      <c r="W11" s="310"/>
      <c r="AB11" s="1659"/>
      <c r="AC11" s="1660"/>
      <c r="AD11" s="1660"/>
      <c r="AE11" s="1660"/>
      <c r="AF11" s="1660"/>
      <c r="AH11" s="311"/>
      <c r="AI11" s="1660"/>
    </row>
    <row r="12" spans="1:35" ht="13.8" hidden="1">
      <c r="B12" s="307"/>
      <c r="C12" s="1663"/>
      <c r="D12" s="307"/>
      <c r="E12" s="1651">
        <v>1</v>
      </c>
      <c r="F12" s="307">
        <v>2</v>
      </c>
      <c r="G12" s="1651">
        <v>3</v>
      </c>
      <c r="H12" s="307">
        <v>4</v>
      </c>
      <c r="I12" s="1651">
        <v>5</v>
      </c>
      <c r="J12" s="307">
        <v>6</v>
      </c>
      <c r="K12" s="1651">
        <v>7</v>
      </c>
      <c r="L12" s="307">
        <v>8</v>
      </c>
      <c r="M12" s="1651">
        <v>9</v>
      </c>
      <c r="N12" s="307">
        <v>10</v>
      </c>
      <c r="O12" s="1651">
        <v>11</v>
      </c>
      <c r="P12" s="307">
        <v>12</v>
      </c>
      <c r="S12" s="1659"/>
      <c r="T12" s="1659"/>
      <c r="U12" s="1659"/>
      <c r="W12" s="310"/>
      <c r="AB12" s="1659"/>
      <c r="AC12" s="1660"/>
      <c r="AD12" s="1660"/>
      <c r="AE12" s="1660"/>
      <c r="AF12" s="1660"/>
      <c r="AH12" s="311"/>
      <c r="AI12" s="1660"/>
    </row>
    <row r="13" spans="1:35" ht="13.8">
      <c r="B13" s="1665" t="str">
        <f>IF('Deckblatt|Cover'!$N$7="English",B10,B11)</f>
        <v>Sprache</v>
      </c>
      <c r="C13" s="1665" t="str">
        <f>IF(B15="English",C10,C11)</f>
        <v>Jahr</v>
      </c>
      <c r="D13" s="1665" t="str">
        <f>IF(B15="English",D10,D11)</f>
        <v>Monat</v>
      </c>
      <c r="E13" s="1665" t="str">
        <f>IF($B$15="English",E10,E11)</f>
        <v>Januar</v>
      </c>
      <c r="F13" s="1665" t="str">
        <f t="shared" ref="F13:P13" si="1">IF($B$15="English",F10,F11)</f>
        <v>Februar</v>
      </c>
      <c r="G13" s="1665" t="str">
        <f t="shared" si="1"/>
        <v>März</v>
      </c>
      <c r="H13" s="1665" t="str">
        <f t="shared" si="1"/>
        <v>April</v>
      </c>
      <c r="I13" s="1665" t="str">
        <f t="shared" si="1"/>
        <v>Mai</v>
      </c>
      <c r="J13" s="1665" t="str">
        <f t="shared" si="1"/>
        <v>Juni</v>
      </c>
      <c r="K13" s="1665" t="str">
        <f t="shared" si="1"/>
        <v>Juli</v>
      </c>
      <c r="L13" s="1665" t="str">
        <f t="shared" si="1"/>
        <v>August</v>
      </c>
      <c r="M13" s="1665" t="str">
        <f t="shared" si="1"/>
        <v>September</v>
      </c>
      <c r="N13" s="1665" t="str">
        <f t="shared" si="1"/>
        <v>Oktober</v>
      </c>
      <c r="O13" s="1665" t="str">
        <f t="shared" si="1"/>
        <v>November</v>
      </c>
      <c r="P13" s="1665" t="str">
        <f t="shared" si="1"/>
        <v>Dezember</v>
      </c>
      <c r="S13" s="1659"/>
      <c r="T13" s="1659"/>
      <c r="U13" s="1659"/>
      <c r="AB13" s="1659"/>
      <c r="AC13" s="1660"/>
      <c r="AD13" s="1660"/>
      <c r="AE13" s="1660"/>
      <c r="AF13" s="1660"/>
      <c r="AH13" s="1660"/>
      <c r="AI13" s="1660"/>
    </row>
    <row r="14" spans="1:35" ht="14.4" thickBot="1">
      <c r="E14" t="s">
        <v>491</v>
      </c>
      <c r="G14" t="s">
        <v>483</v>
      </c>
      <c r="I14" t="s">
        <v>492</v>
      </c>
      <c r="L14" s="2344" t="s">
        <v>504</v>
      </c>
      <c r="M14" s="2344"/>
      <c r="S14" s="1663"/>
      <c r="T14" s="1663"/>
      <c r="U14" s="1659"/>
      <c r="AB14" s="121"/>
      <c r="AC14" s="71"/>
      <c r="AD14" s="71"/>
      <c r="AE14" s="71"/>
      <c r="AF14" s="71"/>
      <c r="AG14" s="71"/>
      <c r="AH14" s="71"/>
      <c r="AI14" s="71"/>
    </row>
    <row r="15" spans="1:35" ht="14.4" thickBot="1">
      <c r="A15" s="1666" t="s">
        <v>1010</v>
      </c>
      <c r="B15" s="1667" t="str">
        <f>IF('Deckblatt|Cover'!$I$3=E2,E2,D2)</f>
        <v>Deutsch</v>
      </c>
      <c r="C15" s="1668">
        <f ca="1">IF('0 Daten|Data'!$D$9="",E3,'0 Daten|Data'!$D$9)</f>
        <v>2026</v>
      </c>
      <c r="D15" s="1669">
        <f>IF('0 Daten|Data'!$F$9="",1,'0 Daten|Data'!$F$9)</f>
        <v>1</v>
      </c>
      <c r="E15" s="2334" t="str">
        <f>IF('0 Daten|Data'!$D$7="",U31,'0 Daten|Data'!$D$7)</f>
        <v>Personengesellschaft</v>
      </c>
      <c r="F15" s="2340"/>
      <c r="G15" s="2334" t="str">
        <f>IF('0 Daten|Data'!H7="",U22,'0 Daten|Data'!H7)</f>
        <v>steuerpflichtig</v>
      </c>
      <c r="H15" s="2335"/>
      <c r="I15" s="2341" t="str">
        <f>IF('0 Daten|Data'!H9="",U30,'0 Daten|Data'!H9)</f>
        <v>Einzelunternehmen</v>
      </c>
      <c r="J15" s="2342"/>
      <c r="K15" s="2343"/>
      <c r="L15" s="2334" t="str">
        <f>IF(G15=L16,'0 Daten|Data'!CX39,'0 Daten|Data'!CX40)</f>
        <v xml:space="preserve"> (ohne MwSt) </v>
      </c>
      <c r="M15" s="2340"/>
      <c r="N15" s="1663"/>
      <c r="O15" s="1665" t="str">
        <f ca="1">C13&amp;" "&amp;C15</f>
        <v>Jahr 2026</v>
      </c>
      <c r="P15" s="1663"/>
      <c r="Q15" s="1663" t="str">
        <f>'0 Daten|Data'!CX39</f>
        <v xml:space="preserve"> (mit MwSt) </v>
      </c>
      <c r="S15" s="112"/>
      <c r="T15" s="71"/>
      <c r="U15" s="1659"/>
      <c r="V15" s="121"/>
      <c r="W15" s="121"/>
      <c r="X15" s="121"/>
      <c r="Y15" s="121"/>
      <c r="Z15" s="121"/>
      <c r="AA15" s="121"/>
      <c r="AB15" s="121"/>
      <c r="AC15" s="71"/>
      <c r="AD15" s="71"/>
      <c r="AE15" s="71"/>
      <c r="AF15" s="71"/>
      <c r="AG15" s="71"/>
      <c r="AH15" s="71"/>
      <c r="AI15" s="71"/>
    </row>
    <row r="16" spans="1:35" ht="14.4" thickBot="1">
      <c r="D16" s="1670" t="str">
        <f>HLOOKUP(D15,E12:P13,2,FALSE)</f>
        <v>Januar</v>
      </c>
      <c r="H16" s="1671"/>
      <c r="I16" s="1672"/>
      <c r="J16" s="1673"/>
      <c r="K16" s="2345" t="s">
        <v>550</v>
      </c>
      <c r="L16" s="2347" t="str">
        <f>'0 Daten|Data'!CX2</f>
        <v>Kleinunternehmerregelung</v>
      </c>
      <c r="M16" s="2348"/>
      <c r="N16" s="1662"/>
      <c r="O16" s="1650" t="str">
        <f ca="1">C13&amp;" "&amp;C15+1</f>
        <v>Jahr 2027</v>
      </c>
      <c r="P16" s="71"/>
      <c r="Q16" s="1663" t="str">
        <f>'0 Daten|Data'!CX40</f>
        <v xml:space="preserve"> (ohne MwSt) </v>
      </c>
      <c r="S16" s="1659"/>
      <c r="T16" s="71"/>
      <c r="U16" s="1659"/>
      <c r="V16" s="71"/>
      <c r="W16" s="71"/>
      <c r="X16" s="71"/>
      <c r="Y16" s="71"/>
      <c r="Z16" s="71"/>
      <c r="AA16" s="71"/>
      <c r="AB16" s="71"/>
      <c r="AC16" s="71"/>
      <c r="AD16" s="71"/>
      <c r="AE16" s="71"/>
      <c r="AF16" s="71"/>
      <c r="AG16" s="71"/>
      <c r="AH16" s="71"/>
      <c r="AI16" s="71"/>
    </row>
    <row r="17" spans="1:35">
      <c r="D17" s="1674"/>
      <c r="F17" s="312"/>
      <c r="H17" s="1674"/>
      <c r="I17" s="1662"/>
      <c r="J17" s="1662"/>
      <c r="K17" s="2346"/>
      <c r="L17" s="2349"/>
      <c r="M17" s="2350"/>
      <c r="O17" s="1661" t="str">
        <f ca="1">C15+2&amp; " - "&amp;C15+4</f>
        <v>2028 - 2030</v>
      </c>
      <c r="Q17" s="1651" t="str">
        <f>IF($B$15=$D$2,R17,S17)</f>
        <v xml:space="preserve"> die Jahre </v>
      </c>
      <c r="R17" s="1675" t="s">
        <v>611</v>
      </c>
      <c r="S17" s="1676" t="s">
        <v>612</v>
      </c>
      <c r="T17" s="112"/>
      <c r="U17" s="1659"/>
      <c r="V17" s="112"/>
      <c r="W17" s="112"/>
      <c r="X17" s="112"/>
      <c r="Y17" s="112"/>
      <c r="Z17" s="112"/>
      <c r="AA17" s="112"/>
      <c r="AB17" s="112"/>
      <c r="AC17" s="112"/>
      <c r="AD17" s="112"/>
      <c r="AE17" s="112"/>
      <c r="AF17" s="112"/>
      <c r="AG17" s="112"/>
      <c r="AH17" s="112"/>
      <c r="AI17" s="112"/>
    </row>
    <row r="18" spans="1:35">
      <c r="C18" s="1677" t="s">
        <v>898</v>
      </c>
      <c r="O18" s="1661" t="str">
        <f ca="1">C15&amp; " - "&amp;C15+4</f>
        <v>2026 - 2030</v>
      </c>
    </row>
    <row r="19" spans="1:35">
      <c r="A19" s="2038"/>
      <c r="C19" s="2336" t="s">
        <v>440</v>
      </c>
      <c r="D19" s="2336"/>
      <c r="E19" s="2336" t="s">
        <v>441</v>
      </c>
      <c r="F19" s="2336"/>
      <c r="G19" s="2336" t="s">
        <v>442</v>
      </c>
      <c r="H19" s="2336"/>
      <c r="I19" s="2336" t="s">
        <v>443</v>
      </c>
      <c r="J19" s="2336"/>
      <c r="K19" s="2336" t="s">
        <v>444</v>
      </c>
      <c r="L19" s="2336"/>
    </row>
    <row r="20" spans="1:35">
      <c r="C20" s="1661" t="s">
        <v>434</v>
      </c>
      <c r="D20" s="1661"/>
      <c r="E20" s="1661" t="s">
        <v>435</v>
      </c>
      <c r="F20" s="1661"/>
      <c r="G20" s="1661" t="s">
        <v>436</v>
      </c>
      <c r="H20" s="1661"/>
      <c r="I20" s="1661" t="s">
        <v>437</v>
      </c>
      <c r="J20" s="1661"/>
      <c r="K20" s="1661" t="s">
        <v>438</v>
      </c>
      <c r="L20" s="1661"/>
    </row>
    <row r="21" spans="1:35">
      <c r="C21" s="1678">
        <v>0</v>
      </c>
      <c r="D21" s="1678">
        <v>12348</v>
      </c>
      <c r="E21" s="1678">
        <f>D21+1</f>
        <v>12349</v>
      </c>
      <c r="F21" s="1678">
        <v>17799</v>
      </c>
      <c r="G21" s="1678">
        <f>F21+1</f>
        <v>17800</v>
      </c>
      <c r="H21" s="1678">
        <v>69879</v>
      </c>
      <c r="I21" s="1678">
        <f>H21+1</f>
        <v>69880</v>
      </c>
      <c r="J21" s="1678">
        <v>277825</v>
      </c>
      <c r="K21" s="1678">
        <f>J21+1</f>
        <v>277826</v>
      </c>
      <c r="L21" s="1678">
        <v>0</v>
      </c>
    </row>
    <row r="22" spans="1:35">
      <c r="C22" s="1679">
        <v>0</v>
      </c>
      <c r="D22" s="1679">
        <v>0</v>
      </c>
      <c r="E22" s="1680">
        <v>0.14000000000000001</v>
      </c>
      <c r="F22" s="1680">
        <v>0.24</v>
      </c>
      <c r="G22" s="1680">
        <v>0.24</v>
      </c>
      <c r="H22" s="1680">
        <v>0.4</v>
      </c>
      <c r="I22" s="1679">
        <f>H22</f>
        <v>0.4</v>
      </c>
      <c r="J22" s="1679">
        <v>0.42</v>
      </c>
      <c r="K22" s="1679">
        <v>0.45</v>
      </c>
      <c r="L22" s="1679">
        <v>0.45</v>
      </c>
      <c r="U22" s="1659" t="str">
        <f>'0 Daten|Data'!CX3</f>
        <v>steuerpflichtig</v>
      </c>
    </row>
    <row r="23" spans="1:35">
      <c r="D23" t="s">
        <v>939</v>
      </c>
      <c r="E23" s="1681">
        <f>(F22-E22)/(F21-E21)</f>
        <v>1.8348623853211004E-5</v>
      </c>
      <c r="F23" s="1682"/>
      <c r="G23" s="1681">
        <f>(H22-G22)/(H21-G21)</f>
        <v>3.0722556116668913E-6</v>
      </c>
      <c r="I23" s="1683">
        <f>(J22-I22)/(J21-I21)</f>
        <v>9.6179278174517116E-8</v>
      </c>
    </row>
    <row r="24" spans="1:35" hidden="1">
      <c r="E24" s="307" t="s">
        <v>455</v>
      </c>
      <c r="U24" s="694" t="str">
        <f>IF($B$15=$D$2,V24,W24)</f>
        <v xml:space="preserve"> (keine Steuern)</v>
      </c>
      <c r="V24" s="1675" t="s">
        <v>656</v>
      </c>
      <c r="W24" s="1676" t="s">
        <v>657</v>
      </c>
    </row>
    <row r="25" spans="1:35">
      <c r="B25" s="9"/>
      <c r="C25" s="1677" t="s">
        <v>650</v>
      </c>
      <c r="E25" s="307"/>
      <c r="U25" s="694"/>
      <c r="V25" s="1675"/>
      <c r="W25" s="1676"/>
    </row>
    <row r="26" spans="1:35">
      <c r="B26" s="309"/>
      <c r="C26" s="1647" t="s">
        <v>456</v>
      </c>
      <c r="D26" s="307">
        <v>1</v>
      </c>
      <c r="F26" s="307">
        <v>2</v>
      </c>
      <c r="G26" s="307"/>
      <c r="H26" s="307">
        <v>3</v>
      </c>
      <c r="I26" s="307"/>
      <c r="J26" s="307">
        <v>4</v>
      </c>
      <c r="K26" s="307"/>
      <c r="L26" s="307">
        <v>5</v>
      </c>
      <c r="M26" s="307"/>
      <c r="N26" s="9" t="s">
        <v>649</v>
      </c>
      <c r="O26" s="1651" t="s">
        <v>439</v>
      </c>
      <c r="P26" s="1651">
        <f ca="1">$C$15+1</f>
        <v>2027</v>
      </c>
      <c r="Q26" s="1651">
        <f ca="1">P26+1</f>
        <v>2028</v>
      </c>
      <c r="R26" s="1651">
        <f ca="1">Q26+1</f>
        <v>2029</v>
      </c>
      <c r="S26" s="1651">
        <f ca="1">R26+1</f>
        <v>2030</v>
      </c>
      <c r="U26" s="694" t="str">
        <f>IF($B$15=$D$2,V26,W26)</f>
        <v xml:space="preserve">Steuersatz </v>
      </c>
      <c r="V26" s="1675" t="s">
        <v>651</v>
      </c>
      <c r="W26" s="1676" t="s">
        <v>652</v>
      </c>
    </row>
    <row r="27" spans="1:35">
      <c r="B27">
        <f ca="1">C15</f>
        <v>2026</v>
      </c>
      <c r="C27" s="1651">
        <f>IF($L$15=$Q$15,0,IF(E27&lt;=D21,1,IF(AND(E27&gt;=E21,E27&lt;=F21),2,IF(AND(E27&gt;=G21,E27&lt;=H21),3,IF(AND(E27&gt;=I21,E27&lt;=J21),4,IF(E27&gt;=K21,5))))))</f>
        <v>1</v>
      </c>
      <c r="D27" s="1684">
        <f>C22</f>
        <v>0</v>
      </c>
      <c r="E27" s="1685">
        <f>IF($E$15=$U$31,'5 Rendite|Profit'!D48,IF($E$15=$U$32,SUM('3  Betriebskosten|Operation Ex'!X32:AI32),0))</f>
        <v>0</v>
      </c>
      <c r="F27" s="1686">
        <f>(F22-E22)/(F21-E21)*(G27-E21)+E22</f>
        <v>-8.6587155963302687E-2</v>
      </c>
      <c r="G27" s="1685">
        <f>E27</f>
        <v>0</v>
      </c>
      <c r="H27" s="1684">
        <f>(H22-G22)/(H21-G21)*(I27-G21)+G22</f>
        <v>0.18531385011232931</v>
      </c>
      <c r="I27" s="1685">
        <f>G27</f>
        <v>0</v>
      </c>
      <c r="J27" s="1684">
        <f>(J22-I22)/(J21-I21)*(K27-I21)+I22</f>
        <v>0.39327899204116479</v>
      </c>
      <c r="K27" s="1685">
        <f>I27</f>
        <v>0</v>
      </c>
      <c r="L27" s="1684">
        <f>K22</f>
        <v>0.45</v>
      </c>
      <c r="M27" s="1685">
        <f>K27</f>
        <v>0</v>
      </c>
      <c r="N27" s="1684">
        <f>IF($L$15=$Q$15,0,HLOOKUP(C27,D26:M31,2))</f>
        <v>0</v>
      </c>
      <c r="O27" s="1687">
        <f>IF($L$15=$Q$15,0,M27*N27)</f>
        <v>0</v>
      </c>
      <c r="P27" s="1688">
        <f>O28</f>
        <v>0</v>
      </c>
      <c r="Q27" s="1688">
        <f ca="1">O29</f>
        <v>0</v>
      </c>
      <c r="R27" s="1688">
        <f ca="1">O30</f>
        <v>0</v>
      </c>
      <c r="S27" s="1688">
        <f ca="1">O31</f>
        <v>0</v>
      </c>
      <c r="U27" s="694" t="str">
        <f>IF($B$15=$D$2,V27,W27)</f>
        <v xml:space="preserve">Einkommensteuer </v>
      </c>
      <c r="V27" s="1675" t="s">
        <v>653</v>
      </c>
      <c r="W27" s="1676" t="s">
        <v>654</v>
      </c>
    </row>
    <row r="28" spans="1:35">
      <c r="B28">
        <f ca="1">B27+1</f>
        <v>2027</v>
      </c>
      <c r="C28" s="1651">
        <f>IF(L15=Q15,0,IF(E28&lt;=D21,1,IF(AND(E28&gt;=E21,E28&lt;=F21),2,IF(AND(E28&gt;=G21,E28&lt;=H21),3,IF(AND(E28&gt;=I21,E28&lt;=J21),4,IF(E28&gt;=K21,5))))))</f>
        <v>1</v>
      </c>
      <c r="D28" s="1684">
        <f>D27</f>
        <v>0</v>
      </c>
      <c r="E28" s="1685">
        <f>IF($E$15=$U$31,'5 Rendite|Profit'!E48,IF($E$15=$U$32,SUM('3  Betriebskosten|Operation Ex'!X111:AI111),0))</f>
        <v>0</v>
      </c>
      <c r="F28" s="1684">
        <f>(F22-E22)/(F21-E21)*(G28-E21)+E22</f>
        <v>-8.6587155963302687E-2</v>
      </c>
      <c r="G28" s="1685">
        <f>E28</f>
        <v>0</v>
      </c>
      <c r="H28" s="1684">
        <f>(H22-G22)/(H21-G21)*(I28-G21)+G22</f>
        <v>0.18531385011232931</v>
      </c>
      <c r="I28" s="1685">
        <f>G28</f>
        <v>0</v>
      </c>
      <c r="J28" s="1684">
        <f>(J22-I22)/(J21-I21)*(K28-I21)+I22</f>
        <v>0.39327899204116479</v>
      </c>
      <c r="K28" s="1685">
        <f>I28</f>
        <v>0</v>
      </c>
      <c r="L28" s="1684">
        <f>L27</f>
        <v>0.45</v>
      </c>
      <c r="M28" s="1685">
        <f>K28</f>
        <v>0</v>
      </c>
      <c r="N28" s="1684">
        <f>IF($L$15=$Q$15,0,HLOOKUP(C28,D26:M31,3))</f>
        <v>0</v>
      </c>
      <c r="O28" s="1687">
        <f>IF($L$15=$Q$15,0,M28*N28)</f>
        <v>0</v>
      </c>
      <c r="U28" s="694" t="str">
        <f>IF($B$15=$D$2,V28,W28)</f>
        <v>Körperschaftsteuer</v>
      </c>
      <c r="V28" s="1675" t="s">
        <v>445</v>
      </c>
      <c r="W28" s="1676" t="s">
        <v>655</v>
      </c>
    </row>
    <row r="29" spans="1:35">
      <c r="B29">
        <f ca="1">B28+1</f>
        <v>2028</v>
      </c>
      <c r="C29" s="1651">
        <f ca="1">IF(L15=Q15,0,IF(E29&lt;=D21,1,IF(AND(E29&gt;=E21,E29&lt;=F21),2,IF(AND(E29&gt;=G21,E29&lt;=H21),3,IF(AND(E29&gt;=I21,E29&lt;=J21),4,IF(E29&gt;=K21,5))))))</f>
        <v>1</v>
      </c>
      <c r="D29" s="1684">
        <f>D28</f>
        <v>0</v>
      </c>
      <c r="E29" s="1685">
        <f ca="1">IF($E$15=$U$31,'5 Rendite|Profit'!F48,IF($E$15=$U$32,'3  Betriebskosten|Operation Ex'!AA190,0))</f>
        <v>0</v>
      </c>
      <c r="F29" s="1684">
        <f ca="1">(F$22-E$22)/(F$21-E$21)*(E29-E$21)+E$22</f>
        <v>-8.6587155963302687E-2</v>
      </c>
      <c r="G29" s="1685">
        <f ca="1">E29</f>
        <v>0</v>
      </c>
      <c r="H29" s="1684">
        <f ca="1">(H22-G22)/(H21-G21)*(I29-G21)+G22</f>
        <v>0.18531385011232931</v>
      </c>
      <c r="I29" s="1685">
        <f ca="1">G29</f>
        <v>0</v>
      </c>
      <c r="J29" s="1684">
        <f ca="1">(J22-I22)/(J21-I21)*(K29-I21)+I22</f>
        <v>0.39327899204116479</v>
      </c>
      <c r="K29" s="1685">
        <f ca="1">I29</f>
        <v>0</v>
      </c>
      <c r="L29" s="1684">
        <f>L28</f>
        <v>0.45</v>
      </c>
      <c r="M29" s="1685">
        <f ca="1">K29</f>
        <v>0</v>
      </c>
      <c r="N29" s="1684">
        <f ca="1">IF($L$15=$Q$15,0,HLOOKUP(C29,D26:M31,4))</f>
        <v>0</v>
      </c>
      <c r="O29" s="1687">
        <f ca="1">IF($L$15=$Q$15,0,M29*N29)</f>
        <v>0</v>
      </c>
      <c r="U29" s="694" t="str">
        <f>U26&amp;U33</f>
        <v>Steuersatz FreiberuflerIn</v>
      </c>
    </row>
    <row r="30" spans="1:35">
      <c r="B30">
        <f ca="1">B29+1</f>
        <v>2029</v>
      </c>
      <c r="C30" s="1651">
        <f ca="1">IF(L15=Q15,0,IF(E30&lt;=D21,1,IF(AND(E30&gt;=E21,E30&lt;=F21),2,IF(AND(E30&gt;=G21,E30&lt;=H21),3,IF(AND(E30&gt;=I21,E30&lt;=J21),4,IF(E30&gt;=K21,5))))))</f>
        <v>1</v>
      </c>
      <c r="D30" s="1684">
        <f>D29</f>
        <v>0</v>
      </c>
      <c r="E30" s="1685">
        <f ca="1">IF($E$15=$U$31,'5 Rendite|Profit'!G48,IF($E$15=$U$32,'3  Betriebskosten|Operation Ex'!AE190,0))</f>
        <v>0</v>
      </c>
      <c r="F30" s="1684">
        <f ca="1">(F$22-E$22)/(F$21-E$21)*(E30-E$21)+E$22</f>
        <v>-8.6587155963302687E-2</v>
      </c>
      <c r="G30" s="1685">
        <f ca="1">E30</f>
        <v>0</v>
      </c>
      <c r="H30" s="1684">
        <f ca="1">(H22-G22)/(H21-G21)*(I30-G21)+G22</f>
        <v>0.18531385011232931</v>
      </c>
      <c r="I30" s="1685">
        <f ca="1">G30</f>
        <v>0</v>
      </c>
      <c r="J30" s="1684">
        <f ca="1">(J22-I22)/(J21-I21)*(K30-I21)+I22</f>
        <v>0.39327899204116479</v>
      </c>
      <c r="K30" s="1685">
        <f ca="1">I30</f>
        <v>0</v>
      </c>
      <c r="L30" s="1684">
        <f>L29</f>
        <v>0.45</v>
      </c>
      <c r="M30" s="1685">
        <f ca="1">K30</f>
        <v>0</v>
      </c>
      <c r="N30" s="1684">
        <f ca="1">IF($L$15=$Q$15,0,HLOOKUP(C30,D26:M31,5))</f>
        <v>0</v>
      </c>
      <c r="O30" s="1687">
        <f ca="1">IF($L$15=$Q$15,0,M30*N30)</f>
        <v>0</v>
      </c>
      <c r="U30" s="676" t="str">
        <f>'0 Daten|Data'!CV29</f>
        <v>Einzelunternehmen</v>
      </c>
      <c r="V30" t="str">
        <f>U27</f>
        <v xml:space="preserve">Einkommensteuer </v>
      </c>
    </row>
    <row r="31" spans="1:35">
      <c r="B31">
        <f ca="1">B30+1</f>
        <v>2030</v>
      </c>
      <c r="C31" s="1651">
        <f ca="1">IF(L15=Q15,0,IF(E31&lt;=D21,1,IF(AND(E31&gt;=E21,E31&lt;=F21),2,IF(AND(E31&gt;=G21,E31&lt;=H21),3,IF(AND(E31&gt;=I21,E31&lt;=J21),4,IF(E31&gt;=K21,5))))))</f>
        <v>1</v>
      </c>
      <c r="D31" s="1684">
        <f>D30</f>
        <v>0</v>
      </c>
      <c r="E31" s="1685">
        <f ca="1">IF($E$15=$U$31,'5 Rendite|Profit'!H48,IF($E$15=$U$32,'3  Betriebskosten|Operation Ex'!AI190,0))</f>
        <v>0</v>
      </c>
      <c r="F31" s="1684">
        <f ca="1">(F$22-E$22)/(F$21-E$21)*(E31-E$21)+E$22</f>
        <v>-8.6587155963302687E-2</v>
      </c>
      <c r="G31" s="1685">
        <f ca="1">E31</f>
        <v>0</v>
      </c>
      <c r="H31" s="1684">
        <f ca="1">(H22-G22)/(H21-G21)*(I31-G21)+G22</f>
        <v>0.18531385011232931</v>
      </c>
      <c r="I31" s="1685">
        <f ca="1">G31</f>
        <v>0</v>
      </c>
      <c r="J31" s="1684">
        <f ca="1">(J22-I22)/(J21-I21)*(K31-I21)+I22</f>
        <v>0.39327899204116479</v>
      </c>
      <c r="K31" s="1685">
        <f ca="1">I31</f>
        <v>0</v>
      </c>
      <c r="L31" s="1684">
        <f>L30</f>
        <v>0.45</v>
      </c>
      <c r="M31" s="1685">
        <f ca="1">K31</f>
        <v>0</v>
      </c>
      <c r="N31" s="1684">
        <f ca="1">IF($L$15=$Q$15,0,HLOOKUP(C31,D26:M31,6))</f>
        <v>0</v>
      </c>
      <c r="O31" s="1687">
        <f ca="1">IF($L$15=$Q$15,0,M31*N31)</f>
        <v>0</v>
      </c>
      <c r="Q31" s="9"/>
      <c r="U31" s="676" t="str">
        <f>'0 Daten|Data'!CX4</f>
        <v>Personengesellschaft</v>
      </c>
      <c r="V31" s="9" t="str">
        <f>U27&amp;"("&amp;U31&amp;")"</f>
        <v>Einkommensteuer (Personengesellschaft)</v>
      </c>
    </row>
    <row r="32" spans="1:35">
      <c r="K32" s="1685"/>
      <c r="Q32" s="9"/>
      <c r="R32" s="9"/>
      <c r="S32" s="9"/>
      <c r="U32" s="676" t="str">
        <f>'0 Daten|Data'!CX5</f>
        <v>Kapitalgesellschaft</v>
      </c>
      <c r="V32" s="9" t="str">
        <f>U28&amp;" ("&amp;U32&amp;")"</f>
        <v>Körperschaftsteuer (Kapitalgesellschaft)</v>
      </c>
    </row>
    <row r="33" spans="2:25">
      <c r="H33" s="9"/>
      <c r="I33" s="1689" t="s">
        <v>851</v>
      </c>
      <c r="Q33" s="9"/>
      <c r="R33" s="9"/>
      <c r="U33" s="1659" t="str">
        <f>'0 Daten|Data'!CV28</f>
        <v>FreiberuflerIn</v>
      </c>
      <c r="V33" t="str">
        <f>U27&amp;" ("&amp;U33&amp;")"</f>
        <v>Einkommensteuer  (FreiberuflerIn)</v>
      </c>
    </row>
    <row r="34" spans="2:25">
      <c r="D34" s="1690" t="s">
        <v>1011</v>
      </c>
      <c r="E34" s="9" t="s">
        <v>941</v>
      </c>
      <c r="F34" s="9" t="s">
        <v>942</v>
      </c>
      <c r="H34" s="307" t="s">
        <v>852</v>
      </c>
      <c r="I34" s="307" t="s">
        <v>854</v>
      </c>
      <c r="J34" s="307" t="s">
        <v>853</v>
      </c>
      <c r="P34" s="1691" t="s">
        <v>1009</v>
      </c>
      <c r="Q34" s="2336" t="str">
        <f>IF(E15=0,V31,IF(E15=U32,V32,IF(AND(E15=U31,G15=U22,I15=U33),V33,IF(AND(E15=U31,G15=U34),V34,IF(AND(E15=U31,G15=U22),V31,"hoppla")))))</f>
        <v>Einkommensteuer (Personengesellschaft)</v>
      </c>
      <c r="R34" s="2336"/>
      <c r="S34" s="2336"/>
      <c r="U34" s="1659" t="str">
        <f>'0 Daten|Data'!CX2</f>
        <v>Kleinunternehmerregelung</v>
      </c>
      <c r="V34" t="str">
        <f>U34&amp;U24</f>
        <v>Kleinunternehmerregelung (keine Steuern)</v>
      </c>
    </row>
    <row r="35" spans="2:25">
      <c r="D35" s="1692">
        <v>2026</v>
      </c>
      <c r="E35" s="1693">
        <v>0.192</v>
      </c>
      <c r="F35" s="1694">
        <v>0.28000000000000003</v>
      </c>
      <c r="H35" s="1695">
        <v>500</v>
      </c>
      <c r="I35" s="1695">
        <v>1000</v>
      </c>
      <c r="J35" s="1661" t="str">
        <f>"&gt;"&amp;I35</f>
        <v>&gt;1000</v>
      </c>
      <c r="W35" s="117"/>
      <c r="X35" s="117"/>
      <c r="Y35" s="295"/>
    </row>
    <row r="36" spans="2:25" hidden="1">
      <c r="L36" s="1651">
        <v>2026</v>
      </c>
      <c r="W36" s="117"/>
      <c r="X36" s="117"/>
      <c r="Y36" s="295"/>
    </row>
    <row r="37" spans="2:25">
      <c r="D37" s="307" t="s">
        <v>445</v>
      </c>
      <c r="F37" s="9" t="s">
        <v>899</v>
      </c>
      <c r="I37" s="1651" t="s">
        <v>446</v>
      </c>
      <c r="L37" s="326" t="s">
        <v>602</v>
      </c>
      <c r="O37" s="307" t="str">
        <f>IF(B15="Deutsch",P37,Q37)</f>
        <v>MwSt</v>
      </c>
      <c r="P37" s="1675" t="s">
        <v>504</v>
      </c>
      <c r="Q37" s="1676" t="s">
        <v>581</v>
      </c>
      <c r="X37" s="117"/>
      <c r="Y37" s="295"/>
    </row>
    <row r="38" spans="2:25">
      <c r="B38">
        <v>2026</v>
      </c>
      <c r="D38" s="1680">
        <v>0.15</v>
      </c>
      <c r="F38" s="1696"/>
      <c r="I38" s="1680">
        <v>5.5E-2</v>
      </c>
      <c r="L38" s="1651" t="str">
        <f>IF($B$15=$D$2,M38,M39)</f>
        <v xml:space="preserve">Grenze </v>
      </c>
      <c r="M38" s="1675" t="s">
        <v>623</v>
      </c>
      <c r="O38" s="1694">
        <v>0.19</v>
      </c>
      <c r="W38" s="117"/>
      <c r="Y38" s="295"/>
    </row>
    <row r="39" spans="2:25">
      <c r="D39" s="1651">
        <f ca="1">C15</f>
        <v>2026</v>
      </c>
      <c r="E39" s="1651">
        <f ca="1">C15+1</f>
        <v>2027</v>
      </c>
      <c r="F39" s="1651">
        <f ca="1">E39+1</f>
        <v>2028</v>
      </c>
      <c r="G39" s="1651">
        <f ca="1">F39+1</f>
        <v>2029</v>
      </c>
      <c r="H39" s="1651">
        <f ca="1">G39+1</f>
        <v>2030</v>
      </c>
      <c r="L39" s="1697">
        <v>603</v>
      </c>
      <c r="M39" s="1676" t="s">
        <v>622</v>
      </c>
      <c r="O39" s="1694">
        <v>7.0000000000000007E-2</v>
      </c>
      <c r="Q39" t="str">
        <f>"Posten für "&amp;MwSt_7*100&amp;"% MwSt"</f>
        <v>Posten für 7% MwSt</v>
      </c>
    </row>
    <row r="40" spans="2:25">
      <c r="B40">
        <f ca="1">$C$15</f>
        <v>2026</v>
      </c>
      <c r="C40" s="1698">
        <f>'5 Rendite|Profit'!D48</f>
        <v>0</v>
      </c>
      <c r="D40" s="1699">
        <f>IF(C40&lt;=0,0,C40*($D$38*(1+$I$38)))</f>
        <v>0</v>
      </c>
      <c r="E40" s="1700">
        <f>D41</f>
        <v>0</v>
      </c>
      <c r="F40" s="1700">
        <f ca="1">D42</f>
        <v>0</v>
      </c>
      <c r="G40" s="1700">
        <f ca="1">D43</f>
        <v>0</v>
      </c>
      <c r="H40" s="1700">
        <f ca="1">D44</f>
        <v>0</v>
      </c>
      <c r="O40" s="1661">
        <v>0</v>
      </c>
      <c r="Q40" s="9" t="s">
        <v>621</v>
      </c>
    </row>
    <row r="41" spans="2:25">
      <c r="B41">
        <f ca="1">B40+1</f>
        <v>2027</v>
      </c>
      <c r="C41" s="1698">
        <f>'5 Rendite|Profit'!E48</f>
        <v>0</v>
      </c>
      <c r="D41" s="1699">
        <f>IF(C41&lt;=0,0,C41*($D$38*(1+$I$38)))</f>
        <v>0</v>
      </c>
      <c r="K41" s="1705" t="s">
        <v>454</v>
      </c>
      <c r="L41" s="1701" t="str">
        <f>IF($B$15=$D$2,M41,M42)</f>
        <v xml:space="preserve">Steuerabgabe </v>
      </c>
      <c r="M41" s="1702" t="s">
        <v>603</v>
      </c>
    </row>
    <row r="42" spans="2:25">
      <c r="B42">
        <f ca="1">B41+1</f>
        <v>2028</v>
      </c>
      <c r="C42" s="1698">
        <f ca="1">'5 Rendite|Profit'!F48</f>
        <v>0</v>
      </c>
      <c r="D42" s="1699">
        <f ca="1">IF(C42&lt;=0,0,C42*($D$38*(1+$I$38)))</f>
        <v>0</v>
      </c>
      <c r="K42" s="1680">
        <v>3.5000000000000003E-2</v>
      </c>
      <c r="L42" s="1703">
        <v>0.3</v>
      </c>
      <c r="M42" s="1676" t="s">
        <v>604</v>
      </c>
    </row>
    <row r="43" spans="2:25" hidden="1">
      <c r="B43">
        <f ca="1">B42+1</f>
        <v>2029</v>
      </c>
      <c r="C43" s="1698">
        <f ca="1">'5 Rendite|Profit'!G48</f>
        <v>0</v>
      </c>
      <c r="D43" s="1699">
        <f ca="1">IF(C43&lt;=0,0,C43*($D$38*(1+$I$38)))</f>
        <v>0</v>
      </c>
    </row>
    <row r="44" spans="2:25">
      <c r="B44">
        <f ca="1">B43+1</f>
        <v>2030</v>
      </c>
      <c r="C44" s="1698">
        <f ca="1">'5 Rendite|Profit'!H48</f>
        <v>0</v>
      </c>
      <c r="D44" s="1699">
        <f ca="1">IF(C44&lt;=0,0,C44*($D$38*(1+$I$38)))</f>
        <v>0</v>
      </c>
      <c r="J44" s="699" t="s">
        <v>659</v>
      </c>
      <c r="K44" s="1704">
        <v>24500</v>
      </c>
    </row>
    <row r="46" spans="2:25">
      <c r="C46" s="1705" t="s">
        <v>578</v>
      </c>
      <c r="F46" s="326" t="s">
        <v>554</v>
      </c>
    </row>
    <row r="47" spans="2:25" ht="12.75" customHeight="1">
      <c r="H47" s="1705" t="s">
        <v>648</v>
      </c>
      <c r="I47" s="1706">
        <v>2025</v>
      </c>
    </row>
    <row r="48" spans="2:25">
      <c r="B48" s="2337" t="s">
        <v>579</v>
      </c>
      <c r="C48" s="2337" t="s">
        <v>580</v>
      </c>
      <c r="D48" s="2337" t="s">
        <v>644</v>
      </c>
      <c r="F48" s="1707">
        <v>1</v>
      </c>
      <c r="H48" s="1705" t="s">
        <v>862</v>
      </c>
      <c r="I48" s="1708">
        <v>2026</v>
      </c>
      <c r="L48" s="1705" t="s">
        <v>647</v>
      </c>
      <c r="M48" s="1695">
        <v>25000</v>
      </c>
      <c r="Q48" s="1709" t="s">
        <v>860</v>
      </c>
      <c r="R48" s="1695">
        <v>100000</v>
      </c>
      <c r="U48" s="1705" t="s">
        <v>857</v>
      </c>
      <c r="V48" t="s">
        <v>646</v>
      </c>
    </row>
    <row r="49" spans="2:22">
      <c r="B49" s="2338"/>
      <c r="C49" s="2338"/>
      <c r="D49" s="2338"/>
      <c r="F49" s="1707">
        <v>2</v>
      </c>
      <c r="Q49" s="1710"/>
      <c r="R49" s="1711"/>
      <c r="S49" s="1712"/>
      <c r="U49" s="307" t="str">
        <f>"&gt;= "&amp;M48</f>
        <v>&gt;= 25000</v>
      </c>
      <c r="V49" s="307" t="str">
        <f>"&gt; "&amp;R48</f>
        <v>&gt; 100000</v>
      </c>
    </row>
    <row r="50" spans="2:22">
      <c r="B50" s="1707">
        <v>250</v>
      </c>
      <c r="C50" s="1707">
        <v>800</v>
      </c>
      <c r="D50" s="1707">
        <v>1000</v>
      </c>
      <c r="F50" s="1707">
        <v>3</v>
      </c>
      <c r="J50" s="307" t="s">
        <v>427</v>
      </c>
      <c r="Q50" s="1710"/>
      <c r="R50" s="307"/>
      <c r="S50" s="9"/>
    </row>
    <row r="51" spans="2:22" hidden="1">
      <c r="F51" s="1707">
        <v>4</v>
      </c>
      <c r="I51" s="1705" t="s">
        <v>861</v>
      </c>
      <c r="J51" s="1651">
        <f ca="1">C15</f>
        <v>2026</v>
      </c>
      <c r="K51" s="1713">
        <f>'2 Umsatz|Sales'!S33</f>
        <v>0</v>
      </c>
      <c r="L51" s="1714" t="str">
        <f>IF(G15=U22,U22,IF(AND(K51&gt;$M$48,K52&gt;$M$48),$U$22,IF(AND(K53&gt;$M$48,K53&gt;$M$48),$U$22,$U$34)))</f>
        <v>steuerpflichtig</v>
      </c>
      <c r="O51" s="1715">
        <f>IF(L51=$U$22,1,0)</f>
        <v>1</v>
      </c>
      <c r="Q51" s="1710"/>
      <c r="R51" s="9"/>
    </row>
    <row r="52" spans="2:22">
      <c r="C52" s="307" t="s">
        <v>1012</v>
      </c>
      <c r="F52" s="1707">
        <v>5</v>
      </c>
      <c r="I52" s="1705" t="s">
        <v>861</v>
      </c>
      <c r="J52" s="1651">
        <f ca="1">J51+1</f>
        <v>2027</v>
      </c>
      <c r="K52" s="1713">
        <f>'2 Umsatz|Sales'!T65</f>
        <v>0</v>
      </c>
      <c r="L52" s="1714" t="str">
        <f>IF(G15=U22,U22,IF(AND(K51&gt;$M$48,'2 Umsatz|Sales'!S69&gt;$M$48),$U$22,IF(AND(K52&gt;$M$48,'2 Umsatz|Sales'!L124&gt;$M$48),$U$22,$U$34)))</f>
        <v>steuerpflichtig</v>
      </c>
      <c r="O52" s="1715">
        <f>IF(L52=$U$22,1,0)</f>
        <v>1</v>
      </c>
      <c r="Q52" s="1710"/>
      <c r="R52" s="9"/>
    </row>
    <row r="53" spans="2:22">
      <c r="B53" s="1716">
        <v>2026</v>
      </c>
      <c r="C53" s="1661">
        <v>1000</v>
      </c>
      <c r="F53" s="1707">
        <v>7</v>
      </c>
      <c r="I53" s="1705" t="s">
        <v>861</v>
      </c>
      <c r="J53" s="1651">
        <f ca="1">J52+1</f>
        <v>2028</v>
      </c>
      <c r="K53" s="1713">
        <f>'2 Umsatz|Sales'!L124</f>
        <v>0</v>
      </c>
      <c r="L53" s="1717" t="str">
        <f>IF(G15=U22,U22,IF(AND(J604&gt;Basisdaten!$M$48,K54&lt;=Basisdaten!$M$48),Basisdaten!$U$34,IF(AND(K53&gt;Basisdaten!$M$48,K54&gt;Basisdaten!$M$48),Basisdaten!$U$22,IF(AND(K53&lt;=Basisdaten!$H$35,K54&lt;Basisdaten!$R$48,K55&lt;=Basisdaten!$M$48),Basisdaten!$U$34,Basisdaten!$U$34))))</f>
        <v>steuerpflichtig</v>
      </c>
      <c r="O53" s="1715">
        <f>IF(L53=$U$22,1,0)</f>
        <v>1</v>
      </c>
      <c r="Q53" s="1710"/>
      <c r="R53" s="9"/>
    </row>
    <row r="54" spans="2:22">
      <c r="F54" s="1707">
        <v>8</v>
      </c>
      <c r="I54" s="1705" t="s">
        <v>861</v>
      </c>
      <c r="J54" s="1651">
        <f ca="1">J53+1</f>
        <v>2029</v>
      </c>
      <c r="K54" s="1713">
        <f>'2 Umsatz|Sales'!P124</f>
        <v>0</v>
      </c>
      <c r="L54" s="1717" t="str">
        <f>IF(G15=U22,U22,IF(AND('2 Umsatz|Sales'!$P$124&gt;Basisdaten!$M$48,'2 Umsatz|Sales'!$T$124&lt;=Basisdaten!$M$48),Basisdaten!$U$34,IF(AND(K54&gt;Basisdaten!$M$48,K55&gt;Basisdaten!$M$48),Basisdaten!$U$22,IF(AND(K54&lt;=Basisdaten!$H$35,K55&lt;Basisdaten!$R$48),Basisdaten!$U$34,Basisdaten!$U$34))))</f>
        <v>steuerpflichtig</v>
      </c>
      <c r="O54" s="1715">
        <f>IF(L54=$U$22,1,0)</f>
        <v>1</v>
      </c>
    </row>
    <row r="55" spans="2:22">
      <c r="F55" s="1707">
        <v>10</v>
      </c>
      <c r="I55" s="1705" t="s">
        <v>861</v>
      </c>
      <c r="J55" s="1651">
        <f ca="1">J54+1</f>
        <v>2030</v>
      </c>
      <c r="K55" s="1713">
        <f>'2 Umsatz|Sales'!T124</f>
        <v>0</v>
      </c>
      <c r="L55" s="1717" t="str">
        <f>IF(G15=U22,U22,IF(AND('2 Umsatz|Sales'!$T$124&lt;=Basisdaten!$M$48,'2 Umsatz|Sales'!$T$124&lt;Basisdaten!$R$48),Basisdaten!$U$34,Basisdaten!$U$22))</f>
        <v>steuerpflichtig</v>
      </c>
      <c r="O55" s="1715">
        <f>IF(L55=$U$22,1,0)</f>
        <v>1</v>
      </c>
    </row>
    <row r="56" spans="2:22">
      <c r="F56" s="1718">
        <v>12</v>
      </c>
    </row>
    <row r="57" spans="2:22">
      <c r="F57" s="1718">
        <v>15</v>
      </c>
    </row>
    <row r="58" spans="2:22">
      <c r="F58" s="1718">
        <v>20</v>
      </c>
    </row>
    <row r="60" spans="2:22" hidden="1"/>
    <row r="62" spans="2:22">
      <c r="D62" s="121" t="str">
        <f>IF($B$15=$D$2,E62,F62)</f>
        <v xml:space="preserve">Ausgabe </v>
      </c>
      <c r="E62" s="1675" t="s">
        <v>585</v>
      </c>
      <c r="F62" s="1676" t="s">
        <v>586</v>
      </c>
    </row>
    <row r="63" spans="2:22">
      <c r="C63" s="1705" t="s">
        <v>584</v>
      </c>
      <c r="D63" s="1665" t="s">
        <v>1094</v>
      </c>
    </row>
    <row r="64" spans="2:22">
      <c r="D64" s="1719" t="str">
        <f>IF($B$15=$D$2,E64,H64)</f>
        <v xml:space="preserve"> mit monatlicher Planung in den ersten 2 Jahren</v>
      </c>
      <c r="E64" s="1720" t="s">
        <v>589</v>
      </c>
      <c r="F64" s="1720"/>
      <c r="G64" s="1720"/>
      <c r="H64" s="1720" t="s">
        <v>588</v>
      </c>
    </row>
    <row r="65" spans="3:8">
      <c r="D65" s="9" t="str">
        <f ca="1">" (©"&amp;YEAR(TODAY())&amp;")"</f>
        <v xml:space="preserve"> (©2026)</v>
      </c>
      <c r="H65" s="117"/>
    </row>
    <row r="66" spans="3:8" hidden="1">
      <c r="C66" s="1705" t="s">
        <v>587</v>
      </c>
      <c r="D66" s="1721" t="str">
        <f ca="1">D62&amp;D63&amp;D64&amp;D65</f>
        <v>Ausgabe V6.2.0 mit monatlicher Planung in den ersten 2 Jahren (©2026)</v>
      </c>
      <c r="H66" s="117"/>
    </row>
    <row r="67" spans="3:8">
      <c r="C67" t="s">
        <v>427</v>
      </c>
      <c r="D67">
        <v>2026</v>
      </c>
      <c r="F67" s="117"/>
      <c r="G67" s="117"/>
      <c r="H67" s="117"/>
    </row>
    <row r="73" spans="3:8" hidden="1"/>
    <row r="90" customFormat="1" hidden="1"/>
    <row r="102" customFormat="1" hidden="1"/>
    <row r="103" s="2030" customFormat="1"/>
    <row r="104" s="2030" customFormat="1"/>
    <row r="105" s="2030" customFormat="1"/>
    <row r="106" s="2030" customFormat="1"/>
    <row r="107" s="2030" customFormat="1" hidden="1"/>
    <row r="108" s="2030" customFormat="1"/>
    <row r="109" s="2030" customFormat="1"/>
    <row r="110" s="2030" customFormat="1"/>
    <row r="111" s="2030" customFormat="1"/>
    <row r="112" s="2030" customFormat="1"/>
    <row r="113" s="2030" customFormat="1"/>
    <row r="114" s="2030" customFormat="1" hidden="1"/>
    <row r="115" s="2030" customFormat="1"/>
    <row r="116" s="2030" customFormat="1"/>
    <row r="117" s="2030" customFormat="1"/>
    <row r="121" customFormat="1"/>
    <row r="129" customFormat="1"/>
    <row r="138" customFormat="1"/>
    <row r="144" customFormat="1"/>
    <row r="151" customFormat="1"/>
    <row r="168" customFormat="1"/>
    <row r="180" customFormat="1"/>
    <row r="185" customFormat="1"/>
    <row r="192" customFormat="1"/>
    <row r="199" customFormat="1"/>
    <row r="207" customFormat="1"/>
    <row r="216" customFormat="1"/>
    <row r="222" customFormat="1"/>
    <row r="229" customFormat="1"/>
    <row r="1000" spans="1:1">
      <c r="A1000">
        <v>80</v>
      </c>
    </row>
  </sheetData>
  <sheetProtection algorithmName="SHA-512" hashValue="wvEsounhyJgXbdf7HZ5MFBNf8x0eoonU2104TRIZqZcRVJMibVxtKg3Qzpwyj8fBZvrANK30WGf0hnWcdsi3vQ==" saltValue="t4dNkW3VrouWO6A1JpZdtQ==" spinCount="100000" sheet="1" objects="1" scenarios="1"/>
  <mergeCells count="17">
    <mergeCell ref="S11:T11"/>
    <mergeCell ref="C19:D19"/>
    <mergeCell ref="E19:F19"/>
    <mergeCell ref="G19:H19"/>
    <mergeCell ref="I19:J19"/>
    <mergeCell ref="K19:L19"/>
    <mergeCell ref="E15:F15"/>
    <mergeCell ref="I15:K15"/>
    <mergeCell ref="L15:M15"/>
    <mergeCell ref="L14:M14"/>
    <mergeCell ref="K16:K17"/>
    <mergeCell ref="L16:M17"/>
    <mergeCell ref="G15:H15"/>
    <mergeCell ref="Q34:S34"/>
    <mergeCell ref="B48:B49"/>
    <mergeCell ref="C48:C49"/>
    <mergeCell ref="D48:D49"/>
  </mergeCells>
  <phoneticPr fontId="74" type="noConversion"/>
  <pageMargins left="0.7" right="0.7" top="0.78740157499999996" bottom="0.78740157499999996" header="0.3" footer="0.3"/>
  <ignoredErrors>
    <ignoredError sqref="I27:I28 G27:G28 H29:H31 J29:J31 L27:L31 I29:I3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CZ1000"/>
  <sheetViews>
    <sheetView showGridLines="0" zoomScale="80" zoomScaleNormal="80" workbookViewId="0">
      <selection activeCell="B2" sqref="B2"/>
    </sheetView>
  </sheetViews>
  <sheetFormatPr baseColWidth="10" defaultColWidth="11.5546875" defaultRowHeight="12.6"/>
  <cols>
    <col min="1" max="15" width="11.5546875" style="16" customWidth="1"/>
    <col min="16" max="16" width="15.44140625" style="16" customWidth="1"/>
    <col min="17" max="17" width="8" style="16" customWidth="1"/>
    <col min="18" max="19" width="15" style="16" customWidth="1"/>
    <col min="20" max="78" width="11.5546875" style="16" customWidth="1"/>
    <col min="79" max="98" width="11.5546875" style="16" hidden="1" customWidth="1"/>
    <col min="99" max="99" width="155.6640625" style="16" hidden="1" customWidth="1"/>
    <col min="100" max="101" width="142.5546875" style="16" hidden="1" customWidth="1"/>
    <col min="102" max="104" width="11.5546875" style="16" hidden="1" customWidth="1"/>
    <col min="105" max="156" width="11.5546875" style="16" customWidth="1"/>
    <col min="157" max="16384" width="11.5546875" style="16"/>
  </cols>
  <sheetData>
    <row r="1" spans="1:103">
      <c r="A1" s="257"/>
      <c r="B1" s="148"/>
      <c r="C1" s="146" t="s">
        <v>1027</v>
      </c>
    </row>
    <row r="2" spans="1:103" ht="22.2">
      <c r="B2" s="1233"/>
      <c r="CU2" s="16" t="str">
        <f>IF(Basisdaten!$B$15=Basisdaten!$B$4,CV2,CW2)</f>
        <v>Finanzplanung für Gründer und Gründerinnen leicht gemacht!</v>
      </c>
      <c r="CV2" s="1171" t="s">
        <v>253</v>
      </c>
      <c r="CW2" s="1171" t="s">
        <v>258</v>
      </c>
    </row>
    <row r="3" spans="1:103" ht="17.399999999999999">
      <c r="B3" s="1615"/>
      <c r="AB3" s="221"/>
      <c r="CU3" s="16">
        <f>IF(Basisdaten!$B$15=Basisdaten!$B$4,CV3,CW3)</f>
        <v>0</v>
      </c>
      <c r="CV3" s="1171"/>
      <c r="CW3" s="1171"/>
    </row>
    <row r="4" spans="1:103" ht="17.399999999999999">
      <c r="A4" s="1723"/>
      <c r="B4" s="340" t="str">
        <f t="shared" ref="B4:B22" si="0">CU4</f>
        <v>Vorwort</v>
      </c>
      <c r="AB4" s="221"/>
      <c r="CU4" s="16" t="str">
        <f>IF(Basisdaten!$B$15=Basisdaten!$B$4,CV4,CW4)</f>
        <v>Vorwort</v>
      </c>
      <c r="CV4" s="1171" t="s">
        <v>254</v>
      </c>
      <c r="CW4" s="1171" t="s">
        <v>259</v>
      </c>
    </row>
    <row r="5" spans="1:103" ht="17.399999999999999">
      <c r="B5" s="340"/>
      <c r="CU5" s="16">
        <f>IF(Basisdaten!$B$15=Basisdaten!$B$4,CV5,CW5)</f>
        <v>0</v>
      </c>
      <c r="CV5" s="17"/>
      <c r="CW5" s="17"/>
    </row>
    <row r="6" spans="1:103" ht="17.399999999999999">
      <c r="B6" s="340" t="str">
        <f t="shared" si="0"/>
        <v>Finanzplanungstabellen sind für Freiberufler,  Einzelunternehmer, umsatzsteuerpflichtigen Unternehmen, wie Personengesellschaften (z.B. GbR, KG),</v>
      </c>
      <c r="CU6" s="16" t="str">
        <f>IF(Basisdaten!$B$15=Basisdaten!$B$4,CV6,CW6)</f>
        <v>Finanzplanungstabellen sind für Freiberufler,  Einzelunternehmer, umsatzsteuerpflichtigen Unternehmen, wie Personengesellschaften (z.B. GbR, KG),</v>
      </c>
      <c r="CV6" s="14" t="s">
        <v>271</v>
      </c>
      <c r="CW6" s="14" t="s">
        <v>267</v>
      </c>
      <c r="CX6" s="14"/>
    </row>
    <row r="7" spans="1:103" ht="17.399999999999999">
      <c r="B7" s="340" t="str">
        <f>CU7</f>
        <v>Einzelhandel und Kapitalgesellschaften (wie GmbH) verwendbar. Bitte jedoch beachten, dass die Zahlen im Finanzplan dem Businessplan entsprechen!!!</v>
      </c>
      <c r="CU7" s="16" t="str">
        <f>IF(Basisdaten!$B$15=Basisdaten!$B$4,CV7,CW7)</f>
        <v>Einzelhandel und Kapitalgesellschaften (wie GmbH) verwendbar. Bitte jedoch beachten, dass die Zahlen im Finanzplan dem Businessplan entsprechen!!!</v>
      </c>
      <c r="CV7" s="16" t="s">
        <v>1032</v>
      </c>
      <c r="CW7" s="16" t="s">
        <v>1033</v>
      </c>
      <c r="CX7" s="14"/>
    </row>
    <row r="8" spans="1:103" ht="17.399999999999999">
      <c r="B8" s="340"/>
      <c r="CU8" s="16">
        <f>IF(Basisdaten!$B$15=Basisdaten!$B$4,CV8,CW8)</f>
        <v>0</v>
      </c>
      <c r="CW8" s="16" t="s">
        <v>118</v>
      </c>
    </row>
    <row r="9" spans="1:103" ht="17.399999999999999">
      <c r="B9" s="340" t="str">
        <f t="shared" si="0"/>
        <v xml:space="preserve">Vor der Finanzplanung haben Existenzgründer und Existenzgründerinnen in der Regel eine große Scheu. Für Viele ist die Finanzplanung ein Buch </v>
      </c>
      <c r="CU9" s="16" t="str">
        <f>IF(Basisdaten!$B$15=Basisdaten!$B$4,CV9,CW9)</f>
        <v xml:space="preserve">Vor der Finanzplanung haben Existenzgründer und Existenzgründerinnen in der Regel eine große Scheu. Für Viele ist die Finanzplanung ein Buch </v>
      </c>
      <c r="CV9" s="14" t="s">
        <v>316</v>
      </c>
      <c r="CW9" s="16" t="s">
        <v>266</v>
      </c>
      <c r="CX9" s="8"/>
    </row>
    <row r="10" spans="1:103" ht="17.399999999999999">
      <c r="B10" s="340" t="str">
        <f t="shared" si="0"/>
        <v>mit sieben Siegeln,ein bisher unbekanntes Terrain. Aber zu jeder Existenzgründung und zu jedem  Business-Plan gehört nun einmal auch eine grobe</v>
      </c>
      <c r="CU10" s="16" t="str">
        <f>IF(Basisdaten!$B$15=Basisdaten!$B$4,CV10,CW10)</f>
        <v>mit sieben Siegeln,ein bisher unbekanntes Terrain. Aber zu jeder Existenzgründung und zu jedem  Business-Plan gehört nun einmal auch eine grobe</v>
      </c>
      <c r="CV10" s="16" t="s">
        <v>317</v>
      </c>
      <c r="CW10" s="14" t="s">
        <v>321</v>
      </c>
      <c r="CX10" s="22"/>
    </row>
    <row r="11" spans="1:103" ht="17.399999999999999">
      <c r="B11" s="340" t="str">
        <f t="shared" si="0"/>
        <v>Finanzplanung mit Umsatzvorausschau, Rentabilitätsberechnung und Liquiditätsbetrachtung. Erst diese Daten – auch wenn es nur Prognosewerte sind -</v>
      </c>
      <c r="CU11" s="16" t="str">
        <f>IF(Basisdaten!$B$15=Basisdaten!$B$4,CV11,CW11)</f>
        <v>Finanzplanung mit Umsatzvorausschau, Rentabilitätsberechnung und Liquiditätsbetrachtung. Erst diese Daten – auch wenn es nur Prognosewerte sind -</v>
      </c>
      <c r="CV11" s="16" t="s">
        <v>318</v>
      </c>
      <c r="CW11" s="16" t="s">
        <v>322</v>
      </c>
      <c r="CX11" s="7"/>
    </row>
    <row r="12" spans="1:103" ht="17.399999999999999">
      <c r="B12" s="340" t="str">
        <f t="shared" si="0"/>
        <v>zeigen, ob das geplante Unternehmen voraussichtlich auch Gewinn abwirft und sich in den nächsten Jahren auch auf dem Markt durchsetzen kann.</v>
      </c>
      <c r="CU12" s="16" t="str">
        <f>IF(Basisdaten!$B$15=Basisdaten!$B$4,CV12,CW12)</f>
        <v>zeigen, ob das geplante Unternehmen voraussichtlich auch Gewinn abwirft und sich in den nächsten Jahren auch auf dem Markt durchsetzen kann.</v>
      </c>
      <c r="CV12" s="16" t="s">
        <v>319</v>
      </c>
      <c r="CW12" s="16" t="s">
        <v>323</v>
      </c>
      <c r="CX12" s="7"/>
    </row>
    <row r="13" spans="1:103" ht="17.399999999999999">
      <c r="B13" s="340"/>
      <c r="CU13" s="16">
        <f>IF(Basisdaten!$B$15=Basisdaten!$B$4,CV13,CW13)</f>
        <v>0</v>
      </c>
      <c r="CX13" s="7"/>
    </row>
    <row r="14" spans="1:103" ht="17.399999999999999">
      <c r="B14" s="340" t="str">
        <f t="shared" si="0"/>
        <v>Ohne eine Darstellung der voraussichtlichen Finanzverhältnisse wird keine Bank dem Existenzgründer oder der Gründerin ein Darlehen geben oder einen</v>
      </c>
      <c r="CU14" s="16" t="str">
        <f>IF(Basisdaten!$B$15=Basisdaten!$B$4,CV14,CW14)</f>
        <v>Ohne eine Darstellung der voraussichtlichen Finanzverhältnisse wird keine Bank dem Existenzgründer oder der Gründerin ein Darlehen geben oder einen</v>
      </c>
      <c r="CV14" s="14" t="s">
        <v>357</v>
      </c>
      <c r="CW14" s="14" t="s">
        <v>268</v>
      </c>
      <c r="CX14" s="21"/>
      <c r="CY14" s="21"/>
    </row>
    <row r="15" spans="1:103" ht="17.399999999999999">
      <c r="B15" s="340" t="str">
        <f t="shared" si="0"/>
        <v xml:space="preserve">Kredit einräumen. Auch zur Erstellung der Tragfähigkeitsbescheinigung für die Agentur für Arbeit oder das Jobcenter ist eine Finanzplanung Voraussetzung.  </v>
      </c>
      <c r="CU15" s="16" t="str">
        <f>IF(Basisdaten!$B$15=Basisdaten!$B$4,CV15,CW15)</f>
        <v xml:space="preserve">Kredit einräumen. Auch zur Erstellung der Tragfähigkeitsbescheinigung für die Agentur für Arbeit oder das Jobcenter ist eine Finanzplanung Voraussetzung.  </v>
      </c>
      <c r="CV15" s="16" t="s">
        <v>359</v>
      </c>
      <c r="CW15" s="16" t="s">
        <v>262</v>
      </c>
    </row>
    <row r="16" spans="1:103" ht="17.399999999999999">
      <c r="B16" s="340" t="str">
        <f t="shared" si="0"/>
        <v xml:space="preserve">     </v>
      </c>
      <c r="CU16" s="16" t="str">
        <f>IF(Basisdaten!$B$15=Basisdaten!$B$4,CV16,CW16)</f>
        <v xml:space="preserve">     </v>
      </c>
      <c r="CV16" s="16" t="s">
        <v>358</v>
      </c>
    </row>
    <row r="17" spans="2:102" ht="17.399999999999999">
      <c r="B17" s="340" t="str">
        <f t="shared" si="0"/>
        <v>Die Tabellen sollen dem Gründer/der Gründerin die Finanzplanung erleichtern. Es wird empfohlen, die Tabellen, eine nach der anderen, auszufüllen.</v>
      </c>
      <c r="CU17" s="16" t="str">
        <f>IF(Basisdaten!$B$15=Basisdaten!$B$4,CV17,CW17)</f>
        <v>Die Tabellen sollen dem Gründer/der Gründerin die Finanzplanung erleichtern. Es wird empfohlen, die Tabellen, eine nach der anderen, auszufüllen.</v>
      </c>
      <c r="CV17" s="14" t="s">
        <v>320</v>
      </c>
      <c r="CW17" s="14" t="s">
        <v>263</v>
      </c>
    </row>
    <row r="18" spans="2:102" ht="17.399999999999999">
      <c r="B18" s="340" t="str">
        <f t="shared" si="0"/>
        <v xml:space="preserve">Tabellen sind miteinander verknüpft, so dass jederzeit die Auswirkung einer Planänderung auf das Ergebnis erkennbar ist.  Außerdem wird sofort </v>
      </c>
      <c r="CU18" s="16" t="str">
        <f>IF(Basisdaten!$B$15=Basisdaten!$B$4,CV18,CW18)</f>
        <v xml:space="preserve">Tabellen sind miteinander verknüpft, so dass jederzeit die Auswirkung einer Planänderung auf das Ergebnis erkennbar ist.  Außerdem wird sofort </v>
      </c>
      <c r="CV18" s="16" t="s">
        <v>876</v>
      </c>
      <c r="CW18" s="16" t="s">
        <v>264</v>
      </c>
    </row>
    <row r="19" spans="2:102" ht="17.399999999999999">
      <c r="B19" s="340" t="str">
        <f t="shared" si="0"/>
        <v>aus den eingebenen Zahlen eine anschauliche Grafik über den jeweiligen Zeithorizont erzeugt. Zusätzlich sind dann alle Grafiken nochmals zusammen</v>
      </c>
      <c r="CU19" s="16" t="str">
        <f>IF(Basisdaten!$B$15=Basisdaten!$B$4,CV19,CW19)</f>
        <v>aus den eingebenen Zahlen eine anschauliche Grafik über den jeweiligen Zeithorizont erzeugt. Zusätzlich sind dann alle Grafiken nochmals zusammen</v>
      </c>
      <c r="CV19" s="16" t="s">
        <v>255</v>
      </c>
      <c r="CW19" s="16" t="s">
        <v>356</v>
      </c>
      <c r="CX19" s="9"/>
    </row>
    <row r="20" spans="2:102" ht="17.399999999999999">
      <c r="B20" s="340" t="str">
        <f t="shared" si="0"/>
        <v>im Blatt "Cockpit-Chart" zu sehen. Noch zu erledigende Arbeiten können in jeder Tabelle in die dafür vorgesehenen Kommentarzeilen geschrieben werden.</v>
      </c>
      <c r="CU20" s="16" t="str">
        <f>IF(Basisdaten!$B$15=Basisdaten!$B$4,CV20,CW20)</f>
        <v>im Blatt "Cockpit-Chart" zu sehen. Noch zu erledigende Arbeiten können in jeder Tabelle in die dafür vorgesehenen Kommentarzeilen geschrieben werden.</v>
      </c>
      <c r="CV20" s="16" t="s">
        <v>355</v>
      </c>
      <c r="CX20"/>
    </row>
    <row r="21" spans="2:102" ht="17.399999999999999">
      <c r="B21" s="340"/>
      <c r="CU21" s="16">
        <f>IF(Basisdaten!$B$15=Basisdaten!$B$4,CV21,CW21)</f>
        <v>0</v>
      </c>
    </row>
    <row r="22" spans="2:102" ht="17.399999999999999">
      <c r="B22" s="340" t="str">
        <f t="shared" si="0"/>
        <v xml:space="preserve">Probieren Sie es! Mit den Tabellen ist die Finanzplanung für Ihr Unternehmen relativ einfach. </v>
      </c>
      <c r="CU22" s="295" t="str">
        <f>IF(Basisdaten!$B$15=Basisdaten!$B$4,CV22,CW22)</f>
        <v xml:space="preserve">Probieren Sie es! Mit den Tabellen ist die Finanzplanung für Ihr Unternehmen relativ einfach. </v>
      </c>
      <c r="CV22" s="14" t="s">
        <v>256</v>
      </c>
      <c r="CW22" s="14" t="s">
        <v>261</v>
      </c>
    </row>
    <row r="23" spans="2:102" ht="17.399999999999999">
      <c r="B23" s="340"/>
      <c r="CU23" s="16">
        <f>IF(Basisdaten!$B$15=Basisdaten!$B$4,CV23,CW23)</f>
        <v>0</v>
      </c>
    </row>
    <row r="24" spans="2:102" ht="17.399999999999999">
      <c r="B24" s="340" t="str">
        <f>CU24</f>
        <v>Die Tabellen werden jährlich an steuerliche Änderungen angepasst, Fehler werden unterjährig korrigiert.</v>
      </c>
      <c r="CU24" s="16" t="str">
        <f>IF(Basisdaten!$B$15=Basisdaten!$B$4,CV24,CW24)</f>
        <v>Die Tabellen werden jährlich an steuerliche Änderungen angepasst, Fehler werden unterjährig korrigiert.</v>
      </c>
      <c r="CV24" s="14" t="s">
        <v>892</v>
      </c>
      <c r="CW24" s="14" t="s">
        <v>893</v>
      </c>
    </row>
    <row r="25" spans="2:102" ht="17.399999999999999">
      <c r="B25" s="340" t="str">
        <f>IF(Basisdaten!$B$15="English",IF(CW25="","",CW25),IF(CV25="","",CV25))</f>
        <v xml:space="preserve">Anregungen und Verbesserungsvorschläge sind herzlich willkommen. </v>
      </c>
      <c r="CU25" s="16" t="str">
        <f>IF(Basisdaten!$B$15=Basisdaten!$B$4,CV25,CW25)</f>
        <v xml:space="preserve">Anregungen und Verbesserungsvorschläge sind herzlich willkommen. </v>
      </c>
      <c r="CV25" s="16" t="s">
        <v>891</v>
      </c>
    </row>
    <row r="26" spans="2:102" ht="17.399999999999999">
      <c r="B26" s="340"/>
    </row>
    <row r="27" spans="2:102" ht="18">
      <c r="B27" s="258" t="s">
        <v>351</v>
      </c>
      <c r="E27" s="259"/>
      <c r="G27" s="258"/>
      <c r="CU27" s="16">
        <f>IF(Basisdaten!$B$15=Basisdaten!$B$4,CV27,CW27)</f>
        <v>0</v>
      </c>
      <c r="CV27" s="14"/>
      <c r="CW27" s="14"/>
    </row>
    <row r="28" spans="2:102">
      <c r="CU28" s="16">
        <f>IF(Basisdaten!$B$15=Basisdaten!$B$4,CV28,CW28)</f>
        <v>0</v>
      </c>
    </row>
    <row r="29" spans="2:102" ht="13.2">
      <c r="B29" s="260" t="s">
        <v>352</v>
      </c>
      <c r="G29" s="20"/>
      <c r="CU29" s="16" t="str">
        <f>IF(Basisdaten!$B$15=Basisdaten!$B$4,CV29,CW29)</f>
        <v>Jegliche Haftung für die Richtigkeit der berechneten Werte ist ausgeschlossen.</v>
      </c>
      <c r="CV29" s="13" t="s">
        <v>257</v>
      </c>
      <c r="CW29" s="13" t="s">
        <v>260</v>
      </c>
    </row>
    <row r="32" spans="2:102" ht="13.8">
      <c r="B32" s="1234" t="str">
        <f>IF(Basisdaten!B15="English",IF(CW29="","",CW29),IF(CV29="","",CV29))</f>
        <v>Jegliche Haftung für die Richtigkeit der berechneten Werte ist ausgeschlossen.</v>
      </c>
    </row>
    <row r="33" spans="2:2" ht="13.2">
      <c r="B33" s="18"/>
    </row>
    <row r="34" spans="2:2" ht="13.2">
      <c r="B34" s="19"/>
    </row>
    <row r="35" spans="2:2" ht="13.2">
      <c r="B35" s="19"/>
    </row>
    <row r="36" spans="2:2" ht="13.2">
      <c r="B36" s="19"/>
    </row>
    <row r="37" spans="2:2" ht="13.2">
      <c r="B37" s="19"/>
    </row>
    <row r="38" spans="2:2" ht="13.2">
      <c r="B38" s="19"/>
    </row>
    <row r="39" spans="2:2" ht="13.2">
      <c r="B39" s="20"/>
    </row>
    <row r="40" spans="2:2" ht="13.2">
      <c r="B40" s="19"/>
    </row>
    <row r="41" spans="2:2" ht="13.2">
      <c r="B41" s="19"/>
    </row>
    <row r="42" spans="2:2" ht="13.2">
      <c r="B42" s="19"/>
    </row>
    <row r="1000" spans="1:1">
      <c r="A1000" s="159">
        <v>80</v>
      </c>
    </row>
  </sheetData>
  <sheetProtection algorithmName="SHA-512" hashValue="amg5jXRIicNNCxBfn80/VqGJfIzQ/D5Z5wpt4NeWICkJmZPPiyq5bs9urB7VLpNTrCFztsJ3yiIhVZqiQhdL5g==" saltValue="M4pWjYlT2M4OqILVsd08IA==" spinCount="100000" sheet="1" objects="1" scenarios="1" selectLockedCells="1" selectUnlockedCells="1"/>
  <phoneticPr fontId="0" type="noConversion"/>
  <hyperlinks>
    <hyperlink ref="B29" r:id="rId1" xr:uid="{00000000-0004-0000-0100-000003000000}"/>
  </hyperlinks>
  <printOptions horizontalCentered="1"/>
  <pageMargins left="0.78740157480314965" right="0.78740157480314965" top="1.1811023622047245" bottom="0.78740157480314965" header="0.59055118110236227" footer="0.51181102362204722"/>
  <pageSetup paperSize="9" scale="71" orientation="landscape" r:id="rId2"/>
  <headerFooter>
    <oddHeader>&amp;L&amp;G&amp;C&amp;36Vorwort|Preface&amp;R&amp;G</oddHeader>
    <oddFooter>&amp;L&amp;9&amp;F / &amp;A&amp;C&amp;9Seite &amp;P von &amp;N&amp;R&amp;9 © 2026 Juergen Erlewein</oddFooter>
  </headerFooter>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DW1000"/>
  <sheetViews>
    <sheetView showGridLines="0" zoomScale="90" zoomScaleNormal="90" workbookViewId="0">
      <selection activeCell="D5" sqref="D5:H5"/>
    </sheetView>
  </sheetViews>
  <sheetFormatPr baseColWidth="10" defaultColWidth="11.5546875" defaultRowHeight="17.399999999999999"/>
  <cols>
    <col min="1" max="1" width="5.6640625" style="48" customWidth="1"/>
    <col min="2" max="2" width="31.5546875" style="48" customWidth="1"/>
    <col min="3" max="3" width="1.33203125" style="48" customWidth="1"/>
    <col min="4" max="4" width="16.109375" style="99" customWidth="1"/>
    <col min="5" max="5" width="25.44140625" style="48" customWidth="1"/>
    <col min="6" max="6" width="8.88671875" style="48" customWidth="1"/>
    <col min="7" max="7" width="19.5546875" style="100" customWidth="1"/>
    <col min="8" max="8" width="49.5546875" style="48" customWidth="1"/>
    <col min="9" max="9" width="4.6640625" style="99" customWidth="1"/>
    <col min="10" max="10" width="21.5546875" style="48" customWidth="1"/>
    <col min="11" max="11" width="20.44140625" style="99" customWidth="1"/>
    <col min="12" max="16" width="12.77734375" style="268" customWidth="1"/>
    <col min="17" max="17" width="12.77734375" style="306" customWidth="1"/>
    <col min="18" max="30" width="12.77734375" style="268" customWidth="1"/>
    <col min="31" max="78" width="12.77734375" style="48" customWidth="1"/>
    <col min="79" max="86" width="11.5546875" style="48" hidden="1" customWidth="1"/>
    <col min="87" max="87" width="26.109375" style="95" hidden="1" customWidth="1"/>
    <col min="88" max="88" width="31.6640625" style="117" hidden="1" customWidth="1"/>
    <col min="89" max="89" width="25.5546875" style="117" hidden="1" customWidth="1"/>
    <col min="90" max="90" width="56.44140625" style="117" hidden="1" customWidth="1"/>
    <col min="91" max="91" width="58.5546875" style="117" hidden="1" customWidth="1"/>
    <col min="92" max="92" width="21" style="30" hidden="1" customWidth="1"/>
    <col min="93" max="93" width="17.109375" style="30" hidden="1" customWidth="1"/>
    <col min="94" max="96" width="24.5546875" style="30" hidden="1" customWidth="1"/>
    <col min="97" max="97" width="17.33203125" style="30" hidden="1" customWidth="1"/>
    <col min="98" max="98" width="22.44140625" style="30" hidden="1" customWidth="1"/>
    <col min="99" max="99" width="30.109375" style="30" hidden="1" customWidth="1"/>
    <col min="100" max="101" width="36.5546875" style="30" hidden="1" customWidth="1"/>
    <col min="102" max="102" width="36.5546875" style="117" hidden="1" customWidth="1"/>
    <col min="103" max="103" width="46.5546875" style="117" hidden="1" customWidth="1"/>
    <col min="104" max="104" width="38.44140625" style="117" hidden="1" customWidth="1"/>
    <col min="105" max="105" width="29.33203125" style="30" customWidth="1"/>
    <col min="106" max="106" width="24.33203125" style="30" customWidth="1"/>
    <col min="107" max="107" width="24.5546875" style="30" bestFit="1" customWidth="1"/>
    <col min="108" max="108" width="11.5546875" style="30" customWidth="1"/>
    <col min="109" max="115" width="11.5546875" style="95" customWidth="1"/>
    <col min="116" max="121" width="11.5546875" style="96" customWidth="1"/>
    <col min="122" max="127" width="11.5546875" style="95" customWidth="1"/>
    <col min="128" max="158" width="11.5546875" style="48" customWidth="1"/>
    <col min="159" max="16384" width="11.5546875" style="48"/>
  </cols>
  <sheetData>
    <row r="1" spans="1:127" s="94" customFormat="1" ht="21" customHeight="1">
      <c r="C1" s="1622" t="s">
        <v>1028</v>
      </c>
      <c r="D1" s="317"/>
      <c r="G1" s="246"/>
      <c r="H1" s="94">
        <f>IF(ISNA(VLOOKUP(H7,G1:G1,1,FALSE)),1,VLOOKUP(H7,G1:G1,1,FALSE))</f>
        <v>1</v>
      </c>
      <c r="J1" s="427"/>
      <c r="K1" s="318"/>
      <c r="L1" s="306"/>
      <c r="M1" s="306"/>
      <c r="N1" s="306"/>
      <c r="O1" s="306"/>
      <c r="P1" s="306"/>
      <c r="Q1" s="306"/>
      <c r="R1" s="306"/>
      <c r="S1" s="306"/>
      <c r="T1" s="306"/>
      <c r="U1" s="306"/>
      <c r="V1" s="306"/>
      <c r="W1" s="306"/>
      <c r="X1" s="306"/>
      <c r="Y1" s="306"/>
      <c r="Z1" s="306"/>
      <c r="AA1" s="306"/>
      <c r="AB1" s="306"/>
      <c r="AC1" s="306"/>
      <c r="AD1" s="306"/>
      <c r="AE1" s="306"/>
      <c r="AF1" s="306"/>
      <c r="AG1" s="306"/>
      <c r="AH1" s="306"/>
      <c r="CH1" s="47"/>
      <c r="CI1" s="251"/>
      <c r="CJ1" s="117"/>
      <c r="CK1" s="117"/>
      <c r="CL1" s="117"/>
      <c r="CM1" s="117"/>
      <c r="CN1" s="55"/>
      <c r="CO1" s="55"/>
      <c r="CP1" s="116"/>
      <c r="CQ1" s="116"/>
      <c r="CR1" s="116"/>
      <c r="CS1" s="116"/>
      <c r="CT1" s="30"/>
      <c r="CU1" s="30"/>
      <c r="CV1" s="30"/>
      <c r="CW1" s="30"/>
      <c r="CX1" s="47" t="s">
        <v>934</v>
      </c>
      <c r="DA1" s="55"/>
      <c r="DB1" s="55"/>
      <c r="DC1" s="55"/>
      <c r="DD1" s="55"/>
      <c r="DE1" s="319"/>
      <c r="DF1" s="319"/>
      <c r="DG1" s="319"/>
      <c r="DH1" s="319"/>
      <c r="DI1" s="319"/>
      <c r="DJ1" s="319"/>
      <c r="DK1" s="319"/>
      <c r="DL1" s="319"/>
      <c r="DM1" s="319"/>
      <c r="DN1" s="319"/>
      <c r="DO1" s="319"/>
      <c r="DP1" s="319"/>
      <c r="DQ1" s="319"/>
      <c r="DR1" s="319"/>
      <c r="DS1" s="319"/>
      <c r="DT1" s="319"/>
      <c r="DU1" s="319"/>
      <c r="DV1" s="319"/>
      <c r="DW1" s="319"/>
    </row>
    <row r="2" spans="1:127" ht="28.2">
      <c r="A2" s="336" t="s">
        <v>507</v>
      </c>
      <c r="C2" s="100" t="s">
        <v>1021</v>
      </c>
      <c r="D2" s="324" t="str">
        <f>CX6</f>
        <v>Finanzplan für Gründung/Startup</v>
      </c>
      <c r="F2" s="324"/>
      <c r="G2" s="324"/>
      <c r="I2" s="101"/>
      <c r="J2" s="1736">
        <f>$CW$6</f>
        <v>0</v>
      </c>
      <c r="K2" s="1734"/>
      <c r="N2" s="269"/>
      <c r="O2" s="269"/>
      <c r="P2" s="269"/>
      <c r="R2" s="269"/>
      <c r="T2" s="306"/>
      <c r="U2" s="269"/>
      <c r="AE2" s="268"/>
      <c r="AF2" s="268"/>
      <c r="AG2" s="268"/>
      <c r="AH2" s="268"/>
      <c r="AI2" s="100"/>
      <c r="AJ2" s="100"/>
      <c r="AK2" s="100"/>
      <c r="AL2" s="100"/>
      <c r="AM2" s="100"/>
      <c r="AN2" s="100"/>
      <c r="AO2" s="100"/>
      <c r="AP2" s="100"/>
      <c r="AQ2" s="100"/>
      <c r="AR2" s="100"/>
      <c r="AS2" s="100"/>
      <c r="AT2" s="100"/>
      <c r="AU2" s="100"/>
      <c r="AV2" s="100"/>
      <c r="AW2" s="100"/>
      <c r="AX2" s="100"/>
      <c r="CI2" s="117"/>
      <c r="CU2" s="117" t="str">
        <f>IF(Basisdaten!$B$15=Basisdaten!$E$2,CW2,CV2)</f>
        <v>richtig auswählen</v>
      </c>
      <c r="CV2" s="295" t="s">
        <v>662</v>
      </c>
      <c r="CW2" s="295" t="s">
        <v>663</v>
      </c>
      <c r="CX2" s="117" t="str">
        <f>IF(Basisdaten!$B$15=Basisdaten!$E$2,CZ2,CY2)</f>
        <v>Kleinunternehmerregelung</v>
      </c>
      <c r="CY2" s="117" t="s">
        <v>108</v>
      </c>
      <c r="CZ2" s="117" t="s">
        <v>501</v>
      </c>
      <c r="DL2" s="95"/>
      <c r="DM2" s="95"/>
      <c r="DN2" s="95"/>
      <c r="DO2" s="95"/>
      <c r="DP2" s="95"/>
      <c r="DQ2" s="95"/>
    </row>
    <row r="3" spans="1:127" ht="18" customHeight="1">
      <c r="C3" s="99"/>
      <c r="D3" s="325" t="str">
        <f>CX7</f>
        <v>mit Monatsplanung für die ersten 2 Jahre</v>
      </c>
      <c r="F3" s="320"/>
      <c r="G3" s="48"/>
      <c r="I3" s="101"/>
      <c r="J3" s="1736">
        <f>$CU$38</f>
        <v>0</v>
      </c>
      <c r="K3" s="1734"/>
      <c r="N3" s="269"/>
      <c r="O3" s="269"/>
      <c r="P3" s="269"/>
      <c r="R3" s="269"/>
      <c r="T3" s="306"/>
      <c r="U3" s="269"/>
      <c r="CM3" s="48"/>
      <c r="CN3" s="48"/>
      <c r="CO3" s="48"/>
      <c r="CP3" s="48"/>
      <c r="CQ3" s="48"/>
      <c r="CR3" s="48"/>
      <c r="CU3" s="117" t="str">
        <f>IF(Basisdaten!$B$15=Basisdaten!$E$2,CW3,CV3)</f>
        <v>Sprache gewechselt</v>
      </c>
      <c r="CV3" s="295" t="s">
        <v>661</v>
      </c>
      <c r="CW3" s="295" t="s">
        <v>660</v>
      </c>
      <c r="CX3" s="117" t="str">
        <f>IF(Basisdaten!$B$15=Basisdaten!$E$2,CZ3,CY3)</f>
        <v>steuerpflichtig</v>
      </c>
      <c r="CY3" s="295" t="s">
        <v>548</v>
      </c>
      <c r="CZ3" s="305" t="s">
        <v>549</v>
      </c>
    </row>
    <row r="4" spans="1:127" ht="42.75" customHeight="1">
      <c r="A4" s="1724"/>
      <c r="H4" s="696"/>
      <c r="I4" s="93"/>
      <c r="J4" s="1736">
        <f>$CV$38</f>
        <v>0</v>
      </c>
      <c r="K4" s="1734"/>
      <c r="N4" s="269"/>
      <c r="O4" s="269"/>
      <c r="P4" s="269"/>
      <c r="R4" s="269"/>
      <c r="T4" s="306"/>
      <c r="U4" s="269"/>
      <c r="CU4" s="117" t="str">
        <f>IF(Basisdaten!$B$15=Basisdaten!$E$2,CW4,CV4)</f>
        <v>ausgewählte Sprache</v>
      </c>
      <c r="CV4" s="30" t="s">
        <v>896</v>
      </c>
      <c r="CW4" s="30" t="s">
        <v>897</v>
      </c>
      <c r="CX4" s="117" t="str">
        <f>IF(Basisdaten!$B$15=Basisdaten!$E$2,CZ4,CY4)</f>
        <v>Personengesellschaft</v>
      </c>
      <c r="CY4" s="309" t="s">
        <v>117</v>
      </c>
      <c r="CZ4" s="309" t="s">
        <v>199</v>
      </c>
      <c r="DA4" s="117"/>
    </row>
    <row r="5" spans="1:127">
      <c r="A5" s="336" t="s">
        <v>507</v>
      </c>
      <c r="B5" s="92" t="str">
        <f>CX14</f>
        <v>Unternehmensname*):</v>
      </c>
      <c r="C5" s="92"/>
      <c r="D5" s="2130"/>
      <c r="E5" s="2130"/>
      <c r="F5" s="2130"/>
      <c r="G5" s="2130"/>
      <c r="H5" s="2130"/>
      <c r="I5" s="93"/>
      <c r="J5" s="212"/>
      <c r="L5" s="1515"/>
      <c r="M5" s="306"/>
      <c r="N5" s="306"/>
      <c r="O5" s="306"/>
      <c r="P5" s="269"/>
      <c r="R5" s="269"/>
      <c r="T5" s="306"/>
      <c r="U5" s="269"/>
      <c r="CM5" s="316"/>
      <c r="CN5" s="135"/>
      <c r="CO5" s="135"/>
      <c r="CP5" s="135"/>
      <c r="CQ5" s="135"/>
      <c r="CR5" s="135"/>
      <c r="CS5" s="135"/>
      <c r="CU5" s="135"/>
      <c r="CW5" s="451" t="s">
        <v>1040</v>
      </c>
      <c r="CX5" s="117" t="str">
        <f>IF(Basisdaten!$B$15=Basisdaten!$E$2,CZ5,CY5)</f>
        <v>Kapitalgesellschaft</v>
      </c>
      <c r="CY5" s="309" t="s">
        <v>90</v>
      </c>
      <c r="CZ5" s="309" t="s">
        <v>200</v>
      </c>
      <c r="DA5" s="117"/>
      <c r="DB5" s="117"/>
      <c r="DC5" s="117"/>
      <c r="DD5" s="117"/>
      <c r="DE5" s="117"/>
      <c r="DF5" s="117"/>
    </row>
    <row r="6" spans="1:127">
      <c r="B6" s="98"/>
      <c r="C6" s="98"/>
      <c r="D6" s="2133" t="str">
        <f>IF(CU38=1,"Sprache geändert/Language changed","")</f>
        <v/>
      </c>
      <c r="E6" s="2133"/>
      <c r="F6" s="98"/>
      <c r="G6" s="313"/>
      <c r="H6" s="435" t="str">
        <f>IF(CW6=1,"Sprache geändert/Language changed","")</f>
        <v/>
      </c>
      <c r="I6" s="101"/>
      <c r="J6" s="212"/>
      <c r="K6" s="246"/>
      <c r="L6" s="306"/>
      <c r="M6" s="306"/>
      <c r="N6" s="306"/>
      <c r="O6" s="306"/>
      <c r="P6" s="269"/>
      <c r="R6" s="269"/>
      <c r="T6" s="306"/>
      <c r="U6" s="269"/>
      <c r="CN6" s="135"/>
      <c r="CO6" s="135"/>
      <c r="CP6" s="135"/>
      <c r="CQ6" s="135"/>
      <c r="CR6" s="135"/>
      <c r="CT6" s="135"/>
      <c r="CW6" s="54">
        <f>IF(AND(H7&lt;&gt;CX2,H7&lt;&gt;CX3,H7&lt;&gt;""),1,0)</f>
        <v>0</v>
      </c>
      <c r="CX6" s="117" t="str">
        <f>IF(Basisdaten!$B$15=Basisdaten!$E$2,CZ6,CY6)</f>
        <v>Finanzplan für Gründung/Startup</v>
      </c>
      <c r="CY6" s="117" t="s">
        <v>457</v>
      </c>
      <c r="CZ6" s="117" t="s">
        <v>490</v>
      </c>
      <c r="DA6" s="117"/>
      <c r="DB6" s="48"/>
      <c r="DC6" s="117"/>
      <c r="DD6" s="117"/>
      <c r="DE6" s="117"/>
      <c r="DF6" s="117"/>
    </row>
    <row r="7" spans="1:127">
      <c r="B7" s="92" t="str">
        <f>CX15</f>
        <v>Unternehmensform*):</v>
      </c>
      <c r="C7" s="92"/>
      <c r="D7" s="2131"/>
      <c r="E7" s="2132"/>
      <c r="F7" s="98"/>
      <c r="G7" s="92" t="str">
        <f>CX11</f>
        <v>Steuerpflicht*):</v>
      </c>
      <c r="H7" s="1726"/>
      <c r="I7" s="321"/>
      <c r="J7" s="250" t="str">
        <f>CX9</f>
        <v>Voreingestellter Inhalt der lila Felder</v>
      </c>
      <c r="K7" s="246"/>
      <c r="L7" s="1516"/>
      <c r="M7" s="1516"/>
      <c r="N7" s="306"/>
      <c r="O7" s="306"/>
      <c r="P7" s="269"/>
      <c r="Q7" s="268"/>
      <c r="CM7" s="316"/>
      <c r="CN7" s="135"/>
      <c r="CO7" s="135"/>
      <c r="CP7" s="135"/>
      <c r="CQ7" s="135"/>
      <c r="CR7" s="135"/>
      <c r="CT7" s="135"/>
      <c r="CU7" s="48"/>
      <c r="CX7" s="117" t="str">
        <f>IF(Basisdaten!$B$15=Basisdaten!$E$2,CZ7,CY7)</f>
        <v>mit Monatsplanung für die ersten 2 Jahre</v>
      </c>
      <c r="CY7" s="117" t="s">
        <v>458</v>
      </c>
      <c r="CZ7" s="117" t="s">
        <v>487</v>
      </c>
      <c r="DA7" s="295"/>
      <c r="DB7" s="117"/>
      <c r="DC7" s="117"/>
      <c r="DD7" s="117"/>
      <c r="DE7" s="117"/>
      <c r="DF7" s="117"/>
    </row>
    <row r="8" spans="1:127">
      <c r="B8" s="98"/>
      <c r="C8" s="98"/>
      <c r="D8" s="98"/>
      <c r="E8" s="98"/>
      <c r="F8" s="92"/>
      <c r="G8" s="232"/>
      <c r="H8" s="435" t="str">
        <f>IF(CV38=1,"Sprache geändert/Language changed","")</f>
        <v/>
      </c>
      <c r="I8" s="93"/>
      <c r="J8" s="33" t="str">
        <f>CX15</f>
        <v>Unternehmensform*):</v>
      </c>
      <c r="K8" s="33" t="str">
        <f>CX4</f>
        <v>Personengesellschaft</v>
      </c>
      <c r="L8" s="1516"/>
      <c r="N8" s="306"/>
      <c r="O8" s="306"/>
      <c r="P8" s="269"/>
      <c r="Q8" s="268"/>
      <c r="CN8" s="135"/>
      <c r="CO8" s="135"/>
      <c r="CP8" s="135"/>
      <c r="CQ8" s="135"/>
      <c r="CR8" s="135"/>
      <c r="CT8" s="135"/>
      <c r="CX8" s="117" t="str">
        <f>IF(Basisdaten!$B$15=Basisdaten!$E$2,CZ8,CY8)</f>
        <v>rötlich/grünlich hinterlegte Felder bitte ausfüllen</v>
      </c>
      <c r="CY8" s="295" t="s">
        <v>488</v>
      </c>
      <c r="CZ8" s="117" t="s">
        <v>489</v>
      </c>
      <c r="DA8" s="117"/>
      <c r="DB8" s="117"/>
      <c r="DC8" s="117"/>
      <c r="DD8" s="117"/>
      <c r="DE8" s="48"/>
      <c r="DF8" s="117"/>
    </row>
    <row r="9" spans="1:127">
      <c r="B9" s="92" t="str">
        <f>CX12</f>
        <v>Gründungsjahr*):</v>
      </c>
      <c r="C9" s="92"/>
      <c r="D9" s="1735"/>
      <c r="E9" s="92" t="str">
        <f>CX13</f>
        <v>Gründungsmonat*):</v>
      </c>
      <c r="F9" s="1735"/>
      <c r="G9" s="92" t="str">
        <f>CX16</f>
        <v>Rechtsform *1):</v>
      </c>
      <c r="H9" s="1735"/>
      <c r="I9" s="103"/>
      <c r="J9" s="33" t="str">
        <f>CX11</f>
        <v>Steuerpflicht*):</v>
      </c>
      <c r="K9" s="33" t="str">
        <f>CX3</f>
        <v>steuerpflichtig</v>
      </c>
      <c r="L9" s="1516"/>
      <c r="N9" s="306"/>
      <c r="O9" s="306"/>
      <c r="CN9" s="135"/>
      <c r="CO9" s="135"/>
      <c r="CP9" s="135"/>
      <c r="CQ9" s="135"/>
      <c r="CR9" s="135"/>
      <c r="CT9" s="135"/>
      <c r="CU9" s="135"/>
      <c r="CX9" s="117" t="str">
        <f>IF(Basisdaten!$B$15=Basisdaten!$E$2,CZ9,CY9)</f>
        <v>Voreingestellter Inhalt der lila Felder</v>
      </c>
      <c r="CY9" s="117" t="s">
        <v>1036</v>
      </c>
      <c r="CZ9" s="117" t="s">
        <v>1037</v>
      </c>
      <c r="DA9" s="295"/>
      <c r="DB9" s="117"/>
      <c r="DE9" s="48"/>
      <c r="DF9" s="117"/>
    </row>
    <row r="10" spans="1:127">
      <c r="B10" s="98"/>
      <c r="C10" s="98"/>
      <c r="D10" s="323"/>
      <c r="E10" s="98"/>
      <c r="F10" s="92"/>
      <c r="G10" s="232"/>
      <c r="H10" s="92"/>
      <c r="I10" s="103"/>
      <c r="J10" s="47" t="str">
        <f>CX16</f>
        <v>Rechtsform *1):</v>
      </c>
      <c r="K10" s="230" t="str">
        <f>CY29</f>
        <v>Einzelunternehmen</v>
      </c>
      <c r="L10" s="1516"/>
      <c r="N10" s="306"/>
      <c r="O10" s="306"/>
      <c r="CN10" s="135"/>
      <c r="CO10" s="135"/>
      <c r="CP10" s="135"/>
      <c r="CQ10" s="135"/>
      <c r="CR10" s="135"/>
      <c r="CT10" s="135"/>
      <c r="CX10" s="117" t="str">
        <f>IF(Basisdaten!$B$15=Basisdaten!$E$2,CZ10,CY10)</f>
        <v>Unternehmensform:</v>
      </c>
      <c r="CY10" s="117" t="s">
        <v>135</v>
      </c>
      <c r="CZ10" s="117" t="s">
        <v>246</v>
      </c>
      <c r="DA10" s="117"/>
      <c r="DB10" s="117"/>
      <c r="DE10" s="48"/>
      <c r="DF10" s="117"/>
    </row>
    <row r="11" spans="1:127">
      <c r="B11" s="92" t="str">
        <f>CX17</f>
        <v>Namen GründerIn(nen)*):</v>
      </c>
      <c r="C11" s="92"/>
      <c r="D11" s="2128"/>
      <c r="E11" s="2128"/>
      <c r="F11" s="2128"/>
      <c r="G11" s="2128"/>
      <c r="H11" s="2128"/>
      <c r="I11" s="103"/>
      <c r="J11" s="33" t="str">
        <f>CX12</f>
        <v>Gründungsjahr*):</v>
      </c>
      <c r="K11" s="33" t="str">
        <f>CX24</f>
        <v>aktuelles Jahr</v>
      </c>
      <c r="L11" s="306"/>
      <c r="N11" s="306"/>
      <c r="O11" s="306"/>
      <c r="CN11" s="135"/>
      <c r="CO11" s="135"/>
      <c r="CP11" s="135"/>
      <c r="CQ11" s="135"/>
      <c r="CR11" s="135"/>
      <c r="CS11" s="135"/>
      <c r="CT11" s="135"/>
      <c r="CU11" s="135"/>
      <c r="CX11" s="117" t="str">
        <f>IF(Basisdaten!$B$15=Basisdaten!$E$2,CZ11,CY11)</f>
        <v>Steuerpflicht*):</v>
      </c>
      <c r="CY11" s="117" t="s">
        <v>483</v>
      </c>
      <c r="CZ11" s="117" t="s">
        <v>484</v>
      </c>
      <c r="DA11" s="117"/>
      <c r="DB11" s="117"/>
      <c r="DE11" s="117"/>
      <c r="DF11" s="117"/>
    </row>
    <row r="12" spans="1:127">
      <c r="B12" s="92"/>
      <c r="C12" s="92"/>
      <c r="D12" s="323"/>
      <c r="E12" s="315"/>
      <c r="F12" s="315"/>
      <c r="G12" s="314"/>
      <c r="H12" s="315"/>
      <c r="I12" s="103"/>
      <c r="J12" s="33" t="str">
        <f>CX13</f>
        <v>Gründungsmonat*):</v>
      </c>
      <c r="K12" s="33" t="str">
        <f>CX25</f>
        <v>Januar</v>
      </c>
      <c r="L12" s="306"/>
      <c r="M12" s="306"/>
      <c r="N12" s="306"/>
      <c r="O12" s="306"/>
      <c r="CX12" s="117" t="str">
        <f>IF(Basisdaten!$B$15=Basisdaten!$E$2,CZ12,CY12)</f>
        <v>Gründungsjahr*):</v>
      </c>
      <c r="CY12" s="117" t="s">
        <v>465</v>
      </c>
      <c r="CZ12" s="117" t="s">
        <v>206</v>
      </c>
      <c r="DA12" s="117"/>
      <c r="DB12" s="117"/>
      <c r="DC12" s="117"/>
      <c r="DD12" s="117"/>
      <c r="DE12" s="117"/>
      <c r="DF12" s="117"/>
    </row>
    <row r="13" spans="1:127">
      <c r="B13" s="92" t="str">
        <f>CX18</f>
        <v>Adresse:</v>
      </c>
      <c r="C13" s="92"/>
      <c r="D13" s="2128"/>
      <c r="E13" s="2128"/>
      <c r="F13" s="2128"/>
      <c r="G13" s="2128"/>
      <c r="H13" s="2128"/>
      <c r="I13" s="103"/>
      <c r="L13" s="1516"/>
      <c r="M13" s="1516"/>
      <c r="N13" s="306"/>
      <c r="O13" s="306"/>
      <c r="CM13" s="316"/>
      <c r="CN13" s="135"/>
      <c r="CO13" s="135"/>
      <c r="CP13" s="135"/>
      <c r="CQ13" s="135"/>
      <c r="CR13" s="135"/>
      <c r="CS13" s="135"/>
      <c r="CT13" s="135"/>
      <c r="CU13" s="135"/>
      <c r="CX13" s="117" t="str">
        <f>IF(Basisdaten!$B$15=Basisdaten!$E$2,CZ13,CY13)</f>
        <v>Gründungsmonat*):</v>
      </c>
      <c r="CY13" s="117" t="s">
        <v>485</v>
      </c>
      <c r="CZ13" s="117" t="s">
        <v>486</v>
      </c>
      <c r="DA13" s="117"/>
      <c r="DB13" s="117"/>
      <c r="DC13" s="117"/>
      <c r="DD13" s="117"/>
      <c r="DE13" s="117"/>
      <c r="DF13" s="117"/>
    </row>
    <row r="14" spans="1:127">
      <c r="B14" s="92"/>
      <c r="C14" s="92"/>
      <c r="D14" s="2128"/>
      <c r="E14" s="2128"/>
      <c r="F14" s="2128"/>
      <c r="G14" s="2128"/>
      <c r="H14" s="2128"/>
      <c r="J14" s="1737">
        <f>IF(AND(D7=CX4,OR(H9=CV28,H9=CV29,H9=CV30,H9=CV31)),0,1)</f>
        <v>1</v>
      </c>
      <c r="K14" s="1730"/>
      <c r="L14" s="1516"/>
      <c r="M14" s="1516"/>
      <c r="N14" s="306"/>
      <c r="O14" s="306"/>
      <c r="CM14" s="316"/>
      <c r="CN14" s="135"/>
      <c r="CO14" s="135"/>
      <c r="CP14" s="135"/>
      <c r="CQ14" s="135"/>
      <c r="CR14" s="135"/>
      <c r="CS14" s="135"/>
      <c r="CT14" s="135"/>
      <c r="CU14" s="135"/>
      <c r="CX14" s="117" t="str">
        <f>IF(Basisdaten!$B$15=Basisdaten!$E$2,CZ14,CY14)</f>
        <v>Unternehmensname*):</v>
      </c>
      <c r="CY14" s="117" t="s">
        <v>463</v>
      </c>
      <c r="CZ14" s="117" t="s">
        <v>196</v>
      </c>
      <c r="DA14" s="117"/>
      <c r="DB14" s="117"/>
      <c r="DC14" s="117"/>
      <c r="DD14" s="117"/>
      <c r="DE14" s="117"/>
      <c r="DF14" s="117"/>
    </row>
    <row r="15" spans="1:127">
      <c r="B15" s="98"/>
      <c r="C15" s="98"/>
      <c r="D15" s="323"/>
      <c r="E15" s="315"/>
      <c r="F15" s="315"/>
      <c r="G15" s="314"/>
      <c r="H15" s="315"/>
      <c r="J15" s="1737"/>
      <c r="K15" s="1730"/>
      <c r="L15" s="1516"/>
      <c r="M15" s="1516"/>
      <c r="N15" s="306"/>
      <c r="O15" s="306"/>
      <c r="CM15" s="316"/>
      <c r="CN15" s="135"/>
      <c r="CO15" s="135"/>
      <c r="CP15" s="135"/>
      <c r="CQ15" s="135"/>
      <c r="CR15" s="135"/>
      <c r="CS15" s="135"/>
      <c r="CT15" s="135"/>
      <c r="CU15" s="135"/>
      <c r="CX15" s="117" t="str">
        <f>IF(Basisdaten!$B$15=Basisdaten!$E$2,CZ15,CY15)</f>
        <v>Unternehmensform*):</v>
      </c>
      <c r="CY15" s="117" t="s">
        <v>464</v>
      </c>
      <c r="CZ15" s="117" t="s">
        <v>197</v>
      </c>
      <c r="DA15" s="117"/>
      <c r="DB15" s="117"/>
      <c r="DC15" s="117"/>
      <c r="DD15" s="117"/>
      <c r="DE15" s="117"/>
      <c r="DF15" s="117"/>
    </row>
    <row r="16" spans="1:127">
      <c r="B16" s="92" t="str">
        <f>CX19</f>
        <v>Telefon:</v>
      </c>
      <c r="C16" s="92"/>
      <c r="D16" s="2128"/>
      <c r="E16" s="2128"/>
      <c r="F16" s="98"/>
      <c r="G16" s="92" t="str">
        <f>CX20</f>
        <v xml:space="preserve">Mobil: </v>
      </c>
      <c r="H16" s="1235"/>
      <c r="J16" s="1737">
        <f>IF(AND(D7=CX5,OR(H9=CV32,H9=CV33,H9=CV34,H9=CV335,H9=CV36,H9=CV37,H9=CV38)),0,1)</f>
        <v>1</v>
      </c>
      <c r="K16" s="1730"/>
      <c r="L16" s="1516"/>
      <c r="M16" s="1516"/>
      <c r="N16" s="306"/>
      <c r="O16" s="306"/>
      <c r="CX16" s="117" t="str">
        <f>IF(Basisdaten!$B$15=Basisdaten!$E$2,CZ16,CY16)</f>
        <v>Rechtsform *1):</v>
      </c>
      <c r="CY16" s="117" t="s">
        <v>499</v>
      </c>
      <c r="CZ16" s="117" t="s">
        <v>500</v>
      </c>
      <c r="DA16" s="117"/>
      <c r="DB16" s="117"/>
      <c r="DC16" s="117"/>
      <c r="DD16" s="117"/>
      <c r="DE16" s="117"/>
      <c r="DF16" s="117"/>
    </row>
    <row r="17" spans="2:110">
      <c r="D17" s="98"/>
      <c r="E17" s="98"/>
      <c r="F17" s="98"/>
      <c r="G17" s="98"/>
      <c r="J17" s="1732"/>
      <c r="K17" s="1730"/>
      <c r="L17" s="1516"/>
      <c r="M17" s="1516"/>
      <c r="N17" s="306"/>
      <c r="O17" s="306"/>
      <c r="CM17" s="2129"/>
      <c r="CN17" s="2129"/>
      <c r="CU17" s="135"/>
      <c r="CX17" s="117" t="str">
        <f>IF(Basisdaten!$B$15=Basisdaten!$E$2,CZ17,CY17)</f>
        <v>Namen GründerIn(nen)*):</v>
      </c>
      <c r="CY17" s="117" t="s">
        <v>466</v>
      </c>
      <c r="CZ17" s="117" t="s">
        <v>198</v>
      </c>
      <c r="DA17" s="117"/>
      <c r="DC17" s="117"/>
      <c r="DD17" s="117"/>
      <c r="DE17" s="117"/>
      <c r="DF17" s="117"/>
    </row>
    <row r="18" spans="2:110">
      <c r="B18" s="92" t="str">
        <f>CX21</f>
        <v>Mail:</v>
      </c>
      <c r="C18" s="92"/>
      <c r="D18" s="2128"/>
      <c r="E18" s="2128"/>
      <c r="F18" s="98"/>
      <c r="G18" s="92" t="str">
        <f>CX22</f>
        <v>Erstelldatum:</v>
      </c>
      <c r="H18" s="2055"/>
      <c r="J18" s="1733"/>
      <c r="K18" s="1730"/>
      <c r="L18" s="1517"/>
      <c r="M18" s="1517"/>
      <c r="N18" s="1517"/>
      <c r="CX18" s="117" t="str">
        <f>IF(Basisdaten!$B$15=Basisdaten!$E$2,CZ18,CY18)</f>
        <v>Adresse:</v>
      </c>
      <c r="CY18" s="117" t="s">
        <v>497</v>
      </c>
      <c r="CZ18" s="117" t="s">
        <v>498</v>
      </c>
      <c r="DA18" s="117"/>
    </row>
    <row r="19" spans="2:110">
      <c r="D19" s="48"/>
      <c r="G19" s="48"/>
      <c r="J19" s="1731"/>
      <c r="K19" s="1729"/>
      <c r="L19" s="1517"/>
      <c r="M19" s="1517"/>
      <c r="CM19" s="316"/>
      <c r="CN19" s="135"/>
      <c r="CP19" s="135"/>
      <c r="CQ19" s="135"/>
      <c r="CR19" s="135"/>
      <c r="CU19" s="135"/>
      <c r="CX19" s="117" t="str">
        <f>IF(Basisdaten!$B$15=Basisdaten!$E$2,CZ19,CY19)</f>
        <v>Telefon:</v>
      </c>
      <c r="CY19" s="117" t="s">
        <v>85</v>
      </c>
      <c r="CZ19" s="117" t="s">
        <v>247</v>
      </c>
      <c r="DA19" s="117"/>
    </row>
    <row r="20" spans="2:110">
      <c r="B20" s="98"/>
      <c r="C20" s="98"/>
      <c r="D20" s="103"/>
      <c r="E20" s="104"/>
      <c r="G20" s="105"/>
      <c r="H20" s="104"/>
      <c r="I20" s="103"/>
      <c r="J20" s="1728">
        <f>IF(AND(D7=CX5,OR(H9=CV32,H9=CV33,H9=CV34,H9=CV35,H9=CV36,H9=CV37,H9=CV38)),1,IF(AND(D7=CX4,OR(H9=CV28,H9=CV29,H9=CV30,H9=CV31)),1,0))</f>
        <v>0</v>
      </c>
      <c r="K20" s="1727"/>
      <c r="L20" s="1517"/>
      <c r="M20" s="1517"/>
      <c r="CX20" s="117" t="str">
        <f>IF(Basisdaten!$B$15=Basisdaten!$E$2,CZ20,CY20)</f>
        <v xml:space="preserve">Mobil: </v>
      </c>
      <c r="CY20" s="117" t="s">
        <v>87</v>
      </c>
      <c r="CZ20" s="316" t="s">
        <v>87</v>
      </c>
      <c r="DA20" s="117"/>
    </row>
    <row r="21" spans="2:110">
      <c r="D21" s="33" t="str">
        <f>CX37</f>
        <v>*) Pflichtfelder (rötlich und lila) sind Mindestangaben für einen Businessplan</v>
      </c>
      <c r="E21" s="47"/>
      <c r="I21" s="103"/>
      <c r="CL21" s="48"/>
      <c r="CM21" s="48"/>
      <c r="CN21" s="48"/>
      <c r="CO21" s="48"/>
      <c r="CS21" s="30" t="s">
        <v>118</v>
      </c>
      <c r="CX21" s="117" t="str">
        <f>IF(Basisdaten!$B$15=Basisdaten!$E$2,CZ21,CY21)</f>
        <v>Mail:</v>
      </c>
      <c r="CY21" s="117" t="s">
        <v>86</v>
      </c>
      <c r="CZ21" s="117" t="s">
        <v>248</v>
      </c>
      <c r="DA21" s="117"/>
    </row>
    <row r="22" spans="2:110">
      <c r="D22" s="33" t="str">
        <f>CX38</f>
        <v xml:space="preserve">1) Erläuterung zu Rechtsformen siehe z.B. </v>
      </c>
      <c r="E22" s="47"/>
      <c r="F22" s="106" t="s">
        <v>115</v>
      </c>
      <c r="CX22" s="117" t="str">
        <f>IF(Basisdaten!$B$15=Basisdaten!$E$2,CZ22,CY22)</f>
        <v>Erstelldatum:</v>
      </c>
      <c r="CY22" s="117" t="s">
        <v>1034</v>
      </c>
      <c r="CZ22" s="327" t="s">
        <v>1035</v>
      </c>
      <c r="DA22" s="117"/>
    </row>
    <row r="23" spans="2:110">
      <c r="CX23" s="117" t="str">
        <f>IF(Basisdaten!$B$15=Basisdaten!$E$2,CZ23,CY23)</f>
        <v>umsatzsteuerpflichtig</v>
      </c>
      <c r="CY23" s="117" t="s">
        <v>107</v>
      </c>
      <c r="CZ23" s="117" t="s">
        <v>201</v>
      </c>
      <c r="DA23" s="117"/>
    </row>
    <row r="24" spans="2:110">
      <c r="CX24" s="117" t="str">
        <f>IF(Basisdaten!$B$15=Basisdaten!$E$2,CZ24,CY24)</f>
        <v>aktuelles Jahr</v>
      </c>
      <c r="CY24" s="117" t="s">
        <v>136</v>
      </c>
      <c r="CZ24" s="117" t="s">
        <v>203</v>
      </c>
      <c r="DA24" s="117"/>
    </row>
    <row r="25" spans="2:110">
      <c r="D25" s="98"/>
      <c r="CX25" s="117" t="str">
        <f>IF(Basisdaten!$B$15=Basisdaten!$E$2,CZ25,CY25)</f>
        <v>Januar</v>
      </c>
      <c r="CY25" s="117" t="s">
        <v>75</v>
      </c>
      <c r="CZ25" s="117" t="s">
        <v>350</v>
      </c>
      <c r="DA25" s="117"/>
    </row>
    <row r="26" spans="2:110">
      <c r="I26" s="103"/>
      <c r="DA26" s="117"/>
    </row>
    <row r="27" spans="2:110">
      <c r="DA27" s="117"/>
    </row>
    <row r="28" spans="2:110">
      <c r="I28" s="103"/>
      <c r="CU28" s="117" t="str">
        <f>$CX$4</f>
        <v>Personengesellschaft</v>
      </c>
      <c r="CV28" s="117" t="str">
        <f>IF(Basisdaten!$B$15=Basisdaten!$E$2,CZ28,CY28)</f>
        <v>FreiberuflerIn</v>
      </c>
      <c r="CW28" s="117" t="str">
        <f>$CX$2</f>
        <v>Kleinunternehmerregelung</v>
      </c>
      <c r="CX28" s="117" t="str">
        <f>$CX$4</f>
        <v>Personengesellschaft</v>
      </c>
      <c r="CY28" s="309" t="s">
        <v>106</v>
      </c>
      <c r="CZ28" s="309" t="s">
        <v>249</v>
      </c>
      <c r="DA28" s="305">
        <v>1</v>
      </c>
    </row>
    <row r="29" spans="2:110">
      <c r="I29" s="103"/>
      <c r="CU29" s="117" t="str">
        <f>$CX$4</f>
        <v>Personengesellschaft</v>
      </c>
      <c r="CV29" s="117" t="str">
        <f>IF(Basisdaten!$B$15=Basisdaten!$E$2,CZ29,CY29)</f>
        <v>Einzelunternehmen</v>
      </c>
      <c r="CW29" s="117" t="str">
        <f>$CX$2</f>
        <v>Kleinunternehmerregelung</v>
      </c>
      <c r="CX29" s="117" t="str">
        <f>$CX$4</f>
        <v>Personengesellschaft</v>
      </c>
      <c r="CY29" s="117" t="s">
        <v>116</v>
      </c>
      <c r="CZ29" s="309" t="s">
        <v>474</v>
      </c>
      <c r="DA29" s="305">
        <v>1</v>
      </c>
    </row>
    <row r="30" spans="2:110">
      <c r="CU30" s="117" t="str">
        <f>$CX$4</f>
        <v>Personengesellschaft</v>
      </c>
      <c r="CV30" s="117" t="str">
        <f>IF(Basisdaten!$B$15=Basisdaten!$E$2,CZ30,CY30)</f>
        <v>GbR (Gesellschaft d. bürgerlichen Rechts)</v>
      </c>
      <c r="CW30" s="117" t="str">
        <f>$CX$2</f>
        <v>Kleinunternehmerregelung</v>
      </c>
      <c r="CX30" s="117" t="str">
        <f>$CX$4</f>
        <v>Personengesellschaft</v>
      </c>
      <c r="CY30" s="117" t="s">
        <v>502</v>
      </c>
      <c r="CZ30" s="117" t="s">
        <v>476</v>
      </c>
      <c r="DA30" s="305">
        <v>1</v>
      </c>
    </row>
    <row r="31" spans="2:110">
      <c r="CU31" s="117" t="str">
        <f>$CX$4</f>
        <v>Personengesellschaft</v>
      </c>
      <c r="CV31" s="117" t="str">
        <f>IF(Basisdaten!$B$15=Basisdaten!$E$2,CZ31,CY31)</f>
        <v>e.K (eingetragener Kaufmann)</v>
      </c>
      <c r="CW31" s="117" t="str">
        <f>$CX$2</f>
        <v>Kleinunternehmerregelung</v>
      </c>
      <c r="CX31" s="117" t="str">
        <f>$CX$4</f>
        <v>Personengesellschaft</v>
      </c>
      <c r="CY31" s="117" t="s">
        <v>469</v>
      </c>
      <c r="CZ31" s="309" t="s">
        <v>475</v>
      </c>
      <c r="DA31" s="305">
        <v>1</v>
      </c>
    </row>
    <row r="32" spans="2:110">
      <c r="CU32" s="117" t="str">
        <f>$CX$5</f>
        <v>Kapitalgesellschaft</v>
      </c>
      <c r="CV32" s="117" t="str">
        <f>IF(Basisdaten!$B$15=Basisdaten!$E$2,CZ32,CY32)</f>
        <v>UG (Unternehmergesellschaft)</v>
      </c>
      <c r="CW32" s="117" t="str">
        <f>$CX$2</f>
        <v>Kleinunternehmerregelung</v>
      </c>
      <c r="CX32" s="117" t="str">
        <f>$CX$5</f>
        <v>Kapitalgesellschaft</v>
      </c>
      <c r="CY32" s="117" t="s">
        <v>471</v>
      </c>
      <c r="CZ32" s="117" t="s">
        <v>478</v>
      </c>
      <c r="DA32" s="305">
        <v>1</v>
      </c>
    </row>
    <row r="33" spans="9:106">
      <c r="CU33" s="117" t="str">
        <f>$CX$5</f>
        <v>Kapitalgesellschaft</v>
      </c>
      <c r="CV33" s="117" t="str">
        <f>IF(Basisdaten!$B$15=Basisdaten!$E$2,CZ33,CY33)</f>
        <v>GmbH (Gesellschaft mit beschr. Haftung)</v>
      </c>
      <c r="CX33" s="117" t="str">
        <f>$CX$5</f>
        <v>Kapitalgesellschaft</v>
      </c>
      <c r="CY33" s="117" t="s">
        <v>481</v>
      </c>
      <c r="CZ33" s="117" t="s">
        <v>658</v>
      </c>
      <c r="DA33" s="305">
        <v>0</v>
      </c>
    </row>
    <row r="34" spans="9:106">
      <c r="CU34" s="117" t="str">
        <f>$CX$5</f>
        <v>Kapitalgesellschaft</v>
      </c>
      <c r="CV34" s="117" t="str">
        <f>IF(Basisdaten!$B$15=Basisdaten!$E$2,CZ34,CY34)</f>
        <v>AG (Aktiengesellschaft)</v>
      </c>
      <c r="CX34" s="117" t="str">
        <f>$CX$5</f>
        <v>Kapitalgesellschaft</v>
      </c>
      <c r="CY34" s="117" t="s">
        <v>472</v>
      </c>
      <c r="CZ34" s="117" t="s">
        <v>479</v>
      </c>
      <c r="DA34" s="305">
        <v>0</v>
      </c>
    </row>
    <row r="35" spans="9:106">
      <c r="CU35" s="117" t="str">
        <f>$CX$5</f>
        <v>Kapitalgesellschaft</v>
      </c>
      <c r="CV35" s="117" t="str">
        <f>IF(Basisdaten!$B$15=Basisdaten!$E$2,CZ35,CY35)</f>
        <v>OHG (Offene Handelsgesellschaft)</v>
      </c>
      <c r="CX35" s="117" t="str">
        <f>$CX$5</f>
        <v>Kapitalgesellschaft</v>
      </c>
      <c r="CY35" s="117" t="s">
        <v>470</v>
      </c>
      <c r="CZ35" s="117" t="s">
        <v>477</v>
      </c>
      <c r="DA35" s="305">
        <v>0</v>
      </c>
      <c r="DB35" s="30" t="s">
        <v>645</v>
      </c>
    </row>
    <row r="36" spans="9:106">
      <c r="CU36" s="117" t="str">
        <f>$CX$5</f>
        <v>Kapitalgesellschaft</v>
      </c>
      <c r="CV36" s="117" t="str">
        <f>IF(Basisdaten!$B$15=Basisdaten!$E$2,CZ36,CY36)</f>
        <v>eG (eingetragende Genossenschaft)</v>
      </c>
      <c r="CX36" s="117" t="str">
        <f>$CX$5</f>
        <v>Kapitalgesellschaft</v>
      </c>
      <c r="CY36" s="117" t="s">
        <v>473</v>
      </c>
      <c r="CZ36" s="117" t="s">
        <v>480</v>
      </c>
      <c r="DA36" s="305">
        <v>0</v>
      </c>
    </row>
    <row r="37" spans="9:106">
      <c r="CU37" s="1753" t="s">
        <v>661</v>
      </c>
      <c r="CX37" s="117" t="str">
        <f>IF(Basisdaten!$B$15=Basisdaten!$E$2,CZ37,CY37)</f>
        <v>*) Pflichtfelder (rötlich und lila) sind Mindestangaben für einen Businessplan</v>
      </c>
      <c r="CY37" s="117" t="s">
        <v>1041</v>
      </c>
      <c r="CZ37" s="117" t="s">
        <v>1042</v>
      </c>
      <c r="DA37" s="117"/>
    </row>
    <row r="38" spans="9:106">
      <c r="CU38" s="1752">
        <f>IF(AND(D7&lt;&gt;CU31,D7&lt;&gt;CU32,D7&lt;&gt;""),1,0)</f>
        <v>0</v>
      </c>
      <c r="CV38" s="1752">
        <f>IF(AND(H9&lt;&gt;CV28,H9&lt;&gt;CV29,H9&lt;&gt;CV30,H9&lt;&gt;CV31,H9&lt;&gt;CV32,H9&lt;&gt;CV33,H9&lt;&gt;CV34,H9&lt;&gt;CV35,H9&lt;&gt;CV36,H9&lt;&gt;""),1,0)</f>
        <v>0</v>
      </c>
      <c r="CX38" s="117" t="str">
        <f>IF(Basisdaten!$B$15=Basisdaten!$E$2,CZ38,CY38)</f>
        <v xml:space="preserve">1) Erläuterung zu Rechtsformen siehe z.B. </v>
      </c>
      <c r="CY38" s="322" t="s">
        <v>482</v>
      </c>
      <c r="CZ38" s="117" t="s">
        <v>503</v>
      </c>
      <c r="DA38" s="117"/>
    </row>
    <row r="39" spans="9:106">
      <c r="I39" s="103"/>
      <c r="CX39" s="117" t="str">
        <f>IF(Basisdaten!$B$15=Basisdaten!$E$2,CZ39,CY39)</f>
        <v xml:space="preserve"> (mit MwSt) </v>
      </c>
      <c r="CY39" s="117" t="s">
        <v>544</v>
      </c>
      <c r="CZ39" s="117" t="s">
        <v>545</v>
      </c>
    </row>
    <row r="40" spans="9:106">
      <c r="I40" s="103"/>
      <c r="CX40" s="117" t="str">
        <f>IF(Basisdaten!$B$15=Basisdaten!$E$2,CZ40,CY40)</f>
        <v xml:space="preserve"> (ohne MwSt) </v>
      </c>
      <c r="CY40" s="117" t="s">
        <v>547</v>
      </c>
      <c r="CZ40" s="117" t="s">
        <v>546</v>
      </c>
    </row>
    <row r="41" spans="9:106">
      <c r="CV41" s="30" t="s">
        <v>1053</v>
      </c>
    </row>
    <row r="42" spans="9:106">
      <c r="CU42" s="30" t="str">
        <f>CU28</f>
        <v>Personengesellschaft</v>
      </c>
      <c r="CV42" s="30">
        <f>IF(AND(OR(D7="",D7=CU28),OR(H9=CV28,H9=CV29,H9=CV30,H9=CV31,H9="")),0,1)</f>
        <v>0</v>
      </c>
    </row>
    <row r="43" spans="9:106">
      <c r="CU43" s="30" t="str">
        <f>CU32</f>
        <v>Kapitalgesellschaft</v>
      </c>
      <c r="CV43" s="30">
        <f>IF(AND(D7=CU32,OR(H9=CV32,H9=CV33,H9=CV34,H9=CV35,H9=CV36)),0,1)</f>
        <v>1</v>
      </c>
    </row>
    <row r="44" spans="9:106">
      <c r="CU44" s="30" t="s">
        <v>493</v>
      </c>
      <c r="CV44" s="1752">
        <f>IF(_xlfn.XOR(CV42=1,CV43=1),0,1)</f>
        <v>0</v>
      </c>
    </row>
    <row r="1000" spans="1:1">
      <c r="A1000" s="48">
        <v>90</v>
      </c>
    </row>
  </sheetData>
  <sheetProtection algorithmName="SHA-512" hashValue="B8jb8o7MyCZt19qD5FYItaXo7pCbmfzpItDiRAmYGSsbeo6Y5uIyQR23Syxd5DE5Os83ABIP0N5od2dsUrz6zg==" saltValue="25rpEhg0AuYVpYQR5oiq3Q==" spinCount="100000" sheet="1" objects="1" scenarios="1" selectLockedCells="1"/>
  <mergeCells count="9">
    <mergeCell ref="D18:E18"/>
    <mergeCell ref="D16:E16"/>
    <mergeCell ref="CM17:CN17"/>
    <mergeCell ref="D5:H5"/>
    <mergeCell ref="D7:E7"/>
    <mergeCell ref="D11:H11"/>
    <mergeCell ref="D13:H13"/>
    <mergeCell ref="D14:H14"/>
    <mergeCell ref="D6:E6"/>
  </mergeCells>
  <conditionalFormatting sqref="D5">
    <cfRule type="cellIs" dxfId="715" priority="6" operator="greaterThan">
      <formula>0</formula>
    </cfRule>
  </conditionalFormatting>
  <conditionalFormatting sqref="D9">
    <cfRule type="cellIs" dxfId="714" priority="36" operator="greaterThan">
      <formula>0</formula>
    </cfRule>
  </conditionalFormatting>
  <conditionalFormatting sqref="D7:E7">
    <cfRule type="expression" dxfId="713" priority="20">
      <formula>IF($CU$38=1,1,0)</formula>
    </cfRule>
    <cfRule type="expression" dxfId="712" priority="32">
      <formula>IF($D$6=$CU$3,1,0)</formula>
    </cfRule>
    <cfRule type="expression" dxfId="711" priority="57">
      <formula>IF(OR($D$7=CX4,D7=CX5),1,0)</formula>
    </cfRule>
  </conditionalFormatting>
  <conditionalFormatting sqref="D16:E16">
    <cfRule type="cellIs" dxfId="710" priority="4" operator="greaterThan">
      <formula>0</formula>
    </cfRule>
  </conditionalFormatting>
  <conditionalFormatting sqref="D18:E18">
    <cfRule type="cellIs" dxfId="709" priority="3" operator="greaterThan">
      <formula>0</formula>
    </cfRule>
  </conditionalFormatting>
  <conditionalFormatting sqref="D11:H11">
    <cfRule type="cellIs" dxfId="708" priority="46" operator="greaterThan">
      <formula>0</formula>
    </cfRule>
  </conditionalFormatting>
  <conditionalFormatting sqref="D13:H14">
    <cfRule type="cellIs" dxfId="707" priority="5" operator="greaterThan">
      <formula>0</formula>
    </cfRule>
  </conditionalFormatting>
  <conditionalFormatting sqref="F9">
    <cfRule type="cellIs" dxfId="706" priority="35" operator="greaterThan">
      <formula>0</formula>
    </cfRule>
  </conditionalFormatting>
  <conditionalFormatting sqref="H7">
    <cfRule type="expression" dxfId="705" priority="19">
      <formula>IF(CW6=1,1,0)</formula>
    </cfRule>
    <cfRule type="expression" dxfId="704" priority="21">
      <formula>IF(AND($D$7=CX5,$H$7=CX2),1,0)</formula>
    </cfRule>
    <cfRule type="expression" dxfId="703" priority="39">
      <formula>IF(OR(CX2=$H$7,CX3=$H$7),1,0)</formula>
    </cfRule>
  </conditionalFormatting>
  <conditionalFormatting sqref="H9">
    <cfRule type="expression" dxfId="702" priority="7">
      <formula>IF(CV44=1,1,0)</formula>
    </cfRule>
    <cfRule type="expression" dxfId="701" priority="8">
      <formula>IF(CV38=1,1,0)</formula>
    </cfRule>
    <cfRule type="expression" dxfId="700" priority="9">
      <formula>IF(AND($D$7=CX7,$H$7=CX4),1,0)</formula>
    </cfRule>
    <cfRule type="expression" dxfId="699" priority="10">
      <formula>IF(OR(AND(CX4=$H$7,$J$14=1),AND(CX5=H7,$J$16=1),H9=""),0,1)</formula>
    </cfRule>
  </conditionalFormatting>
  <conditionalFormatting sqref="H16">
    <cfRule type="cellIs" dxfId="698" priority="2" operator="greaterThan">
      <formula>0</formula>
    </cfRule>
  </conditionalFormatting>
  <conditionalFormatting sqref="H18">
    <cfRule type="cellIs" dxfId="697" priority="1" operator="greaterThan">
      <formula>0</formula>
    </cfRule>
  </conditionalFormatting>
  <conditionalFormatting sqref="CM5">
    <cfRule type="expression" dxfId="696" priority="125" stopIfTrue="1">
      <formula>IF(CM5&lt;&gt;"",1,0)=1</formula>
    </cfRule>
  </conditionalFormatting>
  <conditionalFormatting sqref="CM7">
    <cfRule type="expression" dxfId="695" priority="124" stopIfTrue="1">
      <formula>IF(CM7&lt;&gt;"",1,"")=1</formula>
    </cfRule>
  </conditionalFormatting>
  <conditionalFormatting sqref="CM17:CN17">
    <cfRule type="expression" dxfId="694" priority="120" stopIfTrue="1">
      <formula>IF(CM17&lt;&gt;"",1,"")=1</formula>
    </cfRule>
  </conditionalFormatting>
  <conditionalFormatting sqref="CM19:CN19">
    <cfRule type="expression" dxfId="693" priority="117" stopIfTrue="1">
      <formula>IF(CM19&lt;&gt;"",1,"")=1</formula>
    </cfRule>
  </conditionalFormatting>
  <conditionalFormatting sqref="CM13:CU15">
    <cfRule type="expression" dxfId="692" priority="121" stopIfTrue="1">
      <formula>IF(CM13&lt;&gt;"",1,"")=1</formula>
    </cfRule>
  </conditionalFormatting>
  <conditionalFormatting sqref="CS11:CU11">
    <cfRule type="expression" dxfId="691" priority="144" stopIfTrue="1">
      <formula>IF(CS11&lt;&gt;"",1,0)=1</formula>
    </cfRule>
  </conditionalFormatting>
  <conditionalFormatting sqref="CU9">
    <cfRule type="expression" dxfId="690" priority="140" stopIfTrue="1">
      <formula>IF(CU9&lt;&gt;"",1,"")=1</formula>
    </cfRule>
  </conditionalFormatting>
  <dataValidations count="5">
    <dataValidation type="list" allowBlank="1" showErrorMessage="1" sqref="CT6:CT10" xr:uid="{00000000-0002-0000-0200-000001000000}">
      <formula1>$G$1:$G$1</formula1>
    </dataValidation>
    <dataValidation type="list" allowBlank="1" showInputMessage="1" showErrorMessage="1" sqref="CM7" xr:uid="{00000000-0002-0000-0200-000003000000}">
      <formula1>#REF!</formula1>
    </dataValidation>
    <dataValidation type="list" allowBlank="1" showErrorMessage="1" sqref="H7" xr:uid="{9BD3F428-78E6-4123-A459-6117B2243F0C}">
      <formula1>$CX$2:$CX$3</formula1>
    </dataValidation>
    <dataValidation type="list" allowBlank="1" showInputMessage="1" showErrorMessage="1" sqref="D7:E7" xr:uid="{677BA019-9D51-4B21-9AB6-A6B2B7EA1719}">
      <formula1>$CX$4:$CX$5</formula1>
    </dataValidation>
    <dataValidation type="list" allowBlank="1" showInputMessage="1" showErrorMessage="1" sqref="H9" xr:uid="{E8B3D301-203C-4165-9E51-AE62AC477D1B}">
      <formula1>$CV$28:$CV$36</formula1>
    </dataValidation>
  </dataValidations>
  <hyperlinks>
    <hyperlink ref="F22" r:id="rId1" xr:uid="{00000000-0004-0000-0200-000000000000}"/>
  </hyperlinks>
  <printOptions horizontalCentered="1" verticalCentered="1"/>
  <pageMargins left="0.78740157480314965" right="0.78740157480314965" top="0.98425196850393704" bottom="0.78740157480314965" header="0.51181102362204722" footer="0.31496062992125984"/>
  <pageSetup paperSize="9" scale="86" orientation="landscape" r:id="rId2"/>
  <headerFooter>
    <oddHeader>&amp;L&amp;G&amp;R&amp;G</oddHeader>
    <oddFooter>&amp;L&amp;8&amp;F 7 &amp;A&amp;C&amp;8Seite &amp;P von &amp;N&amp;R&amp;9© 2026 Juergen Erlewein</oddFooter>
  </headerFooter>
  <ignoredErrors>
    <ignoredError sqref="J8" formula="1"/>
  </ignoredErrors>
  <legacyDrawing r:id="rId3"/>
  <legacyDrawingHF r:id="rId4"/>
  <extLst>
    <ext xmlns:x14="http://schemas.microsoft.com/office/spreadsheetml/2009/9/main" uri="{CCE6A557-97BC-4b89-ADB6-D9C93CAAB3DF}">
      <x14:dataValidations xmlns:xm="http://schemas.microsoft.com/office/excel/2006/main" count="2">
        <x14:dataValidation type="list" allowBlank="1" showErrorMessage="1" error="Jahreszahl bitte 4-stellig eingeben" promptTitle="Jahreszahl 4-stellig eingeben" prompt="Aktuelles Jahr und die 3 Folgejahre sind als Eingabe zugelassen" xr:uid="{00000000-0002-0000-0200-000000000000}">
          <x14:formula1>
            <xm:f>Basisdaten!$D$3:$H$3</xm:f>
          </x14:formula1>
          <xm:sqref>D9</xm:sqref>
        </x14:dataValidation>
        <x14:dataValidation type="list" allowBlank="1" showInputMessage="1" showErrorMessage="1" xr:uid="{00000000-0002-0000-0200-000005000000}">
          <x14:formula1>
            <xm:f>Basisdaten!$E$12:$P$12</xm:f>
          </x14:formula1>
          <xm:sqref>F9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0C8BA-98A0-4217-862A-F60F60E7E7E4}">
  <sheetPr codeName="Tabelle11"/>
  <dimension ref="A1:EI1000"/>
  <sheetViews>
    <sheetView showGridLines="0" zoomScale="80" zoomScaleNormal="80" workbookViewId="0">
      <selection activeCell="A2" sqref="A2"/>
    </sheetView>
  </sheetViews>
  <sheetFormatPr baseColWidth="10" defaultColWidth="28.88671875" defaultRowHeight="13.8"/>
  <cols>
    <col min="1" max="1" width="6.44140625" style="71" customWidth="1"/>
    <col min="2" max="2" width="4.33203125" style="68" customWidth="1"/>
    <col min="3" max="3" width="5.88671875" style="71" customWidth="1"/>
    <col min="4" max="4" width="45.44140625" style="71" customWidth="1"/>
    <col min="5" max="16" width="14.6640625" style="71" customWidth="1"/>
    <col min="17" max="17" width="14.6640625" style="86" customWidth="1"/>
    <col min="18" max="18" width="8.77734375" style="37" customWidth="1"/>
    <col min="19" max="19" width="51.6640625" style="74" customWidth="1"/>
    <col min="20" max="58" width="12.77734375" style="74" customWidth="1"/>
    <col min="59" max="77" width="12.77734375" style="1448" customWidth="1"/>
    <col min="78" max="78" width="12.77734375" style="71" customWidth="1"/>
    <col min="79" max="101" width="28.88671875" style="71" hidden="1" customWidth="1"/>
    <col min="102" max="102" width="65.6640625" style="341" hidden="1" customWidth="1"/>
    <col min="103" max="103" width="53.88671875" style="296" hidden="1" customWidth="1"/>
    <col min="104" max="104" width="60" style="296" hidden="1" customWidth="1"/>
    <col min="105" max="106" width="19.109375" style="71" customWidth="1"/>
    <col min="107" max="16384" width="28.88671875" style="71"/>
  </cols>
  <sheetData>
    <row r="1" spans="1:139" ht="9.9" customHeight="1">
      <c r="C1" s="130" t="s">
        <v>1028</v>
      </c>
    </row>
    <row r="2" spans="1:139" s="73" customFormat="1" ht="24.6">
      <c r="A2" s="336" t="s">
        <v>507</v>
      </c>
      <c r="C2" s="128" t="str">
        <f ca="1">CX2&amp;Basisdaten!C15</f>
        <v>1.1  Persönliche Ausgaben für die Monate des Jahres 2026</v>
      </c>
      <c r="E2" s="68"/>
      <c r="F2" s="68"/>
      <c r="G2" s="68"/>
      <c r="H2" s="68"/>
      <c r="I2" s="68"/>
      <c r="J2" s="68"/>
      <c r="K2" s="68"/>
      <c r="L2" s="68"/>
      <c r="M2" s="68"/>
      <c r="N2" s="68"/>
      <c r="O2" s="68"/>
      <c r="P2" s="68"/>
      <c r="Q2" s="68"/>
      <c r="R2" s="48"/>
      <c r="T2" s="72" t="s">
        <v>131</v>
      </c>
      <c r="U2" s="1438"/>
      <c r="V2" s="1438"/>
      <c r="W2" s="1438"/>
      <c r="X2" s="1438"/>
      <c r="Y2" s="1438"/>
      <c r="Z2" s="1438"/>
      <c r="AA2" s="1438"/>
      <c r="AB2" s="1438"/>
      <c r="AC2" s="1438"/>
      <c r="AD2" s="1438"/>
      <c r="AE2" s="1438"/>
      <c r="AF2" s="1438"/>
      <c r="AG2" s="1438"/>
      <c r="AH2" s="1438"/>
      <c r="AI2" s="1438"/>
      <c r="AJ2" s="1438"/>
      <c r="AK2" s="1438"/>
      <c r="AL2" s="1438"/>
      <c r="AM2" s="1438"/>
      <c r="AN2" s="1438"/>
      <c r="AO2" s="1438"/>
      <c r="AP2" s="1438"/>
      <c r="AQ2" s="1438"/>
      <c r="AR2" s="1438"/>
      <c r="AS2" s="1438"/>
      <c r="AT2" s="1438"/>
      <c r="AU2" s="1438"/>
      <c r="AV2" s="1438"/>
      <c r="AW2" s="1438"/>
      <c r="AX2" s="1438"/>
      <c r="AY2" s="1438"/>
      <c r="AZ2" s="1438"/>
      <c r="BA2" s="1438"/>
      <c r="BB2" s="1438"/>
      <c r="BC2" s="1438"/>
      <c r="BD2" s="1438"/>
      <c r="BE2" s="1438"/>
      <c r="BF2" s="1438"/>
      <c r="BG2" s="1438"/>
      <c r="BH2" s="1438"/>
      <c r="BI2" s="1438"/>
      <c r="BJ2" s="1438"/>
      <c r="BK2" s="1438"/>
      <c r="BL2" s="1438"/>
      <c r="BM2" s="1438"/>
      <c r="BN2" s="1438"/>
      <c r="BO2" s="1438"/>
      <c r="BP2" s="1438"/>
      <c r="BQ2" s="1438"/>
      <c r="BR2" s="1438"/>
      <c r="BS2" s="1438"/>
      <c r="BT2" s="1438"/>
      <c r="BU2" s="1438"/>
      <c r="BV2" s="1438"/>
      <c r="BW2" s="1438"/>
      <c r="BX2" s="1438"/>
      <c r="BY2" s="1438"/>
      <c r="CX2" s="296" t="str">
        <f>IF('Deckblatt|Cover'!$I$3=Basisdaten!$E$2,'1 Private Kosten|Costs'!CZ2,'1 Private Kosten|Costs'!CY2)</f>
        <v xml:space="preserve">1.1  Persönliche Ausgaben für die Monate des Jahres </v>
      </c>
      <c r="CY2" s="161" t="str">
        <f>"1.1  Persönliche Ausgaben für die Monate des Jahres "</f>
        <v xml:space="preserve">1.1  Persönliche Ausgaben für die Monate des Jahres </v>
      </c>
      <c r="CZ2" s="161" t="str">
        <f>"1.1  Personal Expenses for the Months of the Year "</f>
        <v xml:space="preserve">1.1  Personal Expenses for the Months of the Year </v>
      </c>
    </row>
    <row r="3" spans="1:139" s="73" customFormat="1" ht="9.9" customHeight="1">
      <c r="B3" s="69">
        <v>75</v>
      </c>
      <c r="C3" s="69"/>
      <c r="D3" s="120"/>
      <c r="E3" s="244">
        <v>1</v>
      </c>
      <c r="F3" s="244">
        <v>2</v>
      </c>
      <c r="G3" s="244">
        <v>3</v>
      </c>
      <c r="H3" s="244">
        <v>4</v>
      </c>
      <c r="I3" s="244">
        <v>5</v>
      </c>
      <c r="J3" s="244">
        <v>6</v>
      </c>
      <c r="K3" s="244">
        <v>7</v>
      </c>
      <c r="L3" s="244">
        <v>8</v>
      </c>
      <c r="M3" s="244">
        <v>9</v>
      </c>
      <c r="N3" s="244">
        <v>10</v>
      </c>
      <c r="O3" s="244">
        <v>11</v>
      </c>
      <c r="P3" s="244">
        <v>12</v>
      </c>
      <c r="Q3" s="76"/>
      <c r="R3" s="25"/>
      <c r="T3" s="27" t="s">
        <v>193</v>
      </c>
      <c r="U3" s="1445"/>
      <c r="V3" s="1445"/>
      <c r="W3" s="1445"/>
      <c r="X3" s="1445"/>
      <c r="Y3" s="1446"/>
      <c r="Z3" s="1438"/>
      <c r="AA3" s="1438"/>
      <c r="AB3" s="74"/>
      <c r="AC3" s="74"/>
      <c r="AD3" s="1447"/>
      <c r="AE3" s="74"/>
      <c r="AF3" s="74"/>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CX3" s="296" t="str">
        <f>IF('Deckblatt|Cover'!$I$3=Basisdaten!$E$2,'1 Private Kosten|Costs'!CZ3,'1 Private Kosten|Costs'!CY3)</f>
        <v>Aufgaben und/oder Kommentar</v>
      </c>
      <c r="CY3" s="190" t="s">
        <v>131</v>
      </c>
      <c r="CZ3" s="190" t="s">
        <v>193</v>
      </c>
      <c r="EE3" s="68"/>
      <c r="EF3" s="68"/>
      <c r="EG3" s="68"/>
      <c r="EH3" s="68"/>
      <c r="EI3" s="68"/>
    </row>
    <row r="4" spans="1:139" s="240" customFormat="1" ht="18" customHeight="1">
      <c r="B4" s="1349"/>
      <c r="C4" s="342" t="s">
        <v>186</v>
      </c>
      <c r="D4" s="343" t="str">
        <f>CX4</f>
        <v>Kostenart</v>
      </c>
      <c r="E4" s="342" t="str">
        <f>Basisdaten!E13</f>
        <v>Januar</v>
      </c>
      <c r="F4" s="342" t="str">
        <f>Basisdaten!F13</f>
        <v>Februar</v>
      </c>
      <c r="G4" s="342" t="str">
        <f>Basisdaten!G13</f>
        <v>März</v>
      </c>
      <c r="H4" s="342" t="str">
        <f>Basisdaten!H13</f>
        <v>April</v>
      </c>
      <c r="I4" s="342" t="str">
        <f>Basisdaten!I13</f>
        <v>Mai</v>
      </c>
      <c r="J4" s="342" t="str">
        <f>Basisdaten!J13</f>
        <v>Juni</v>
      </c>
      <c r="K4" s="342" t="str">
        <f>Basisdaten!K13</f>
        <v>Juli</v>
      </c>
      <c r="L4" s="342" t="str">
        <f>Basisdaten!L13</f>
        <v>August</v>
      </c>
      <c r="M4" s="342" t="str">
        <f>Basisdaten!M13</f>
        <v>September</v>
      </c>
      <c r="N4" s="342" t="str">
        <f>Basisdaten!N13</f>
        <v>Oktober</v>
      </c>
      <c r="O4" s="342" t="str">
        <f>Basisdaten!O13</f>
        <v>November</v>
      </c>
      <c r="P4" s="342" t="str">
        <f>Basisdaten!P13</f>
        <v>Dezember</v>
      </c>
      <c r="Q4" s="342" t="str">
        <f ca="1">Basisdaten!O15</f>
        <v>Jahr 2026</v>
      </c>
      <c r="R4" s="344"/>
      <c r="S4" s="342" t="str">
        <f>CX3</f>
        <v>Aufgaben und/oder Kommentar</v>
      </c>
      <c r="T4" s="1495"/>
      <c r="U4" s="1495"/>
      <c r="V4" s="1495"/>
      <c r="W4" s="1495"/>
      <c r="X4" s="1495"/>
      <c r="Y4" s="1495"/>
      <c r="Z4" s="1495"/>
      <c r="AA4" s="1495"/>
      <c r="AB4" s="1495"/>
      <c r="AC4" s="1495"/>
      <c r="AD4" s="1495"/>
      <c r="AE4" s="1495"/>
      <c r="AF4" s="1495"/>
      <c r="AG4" s="1495"/>
      <c r="AH4" s="1495"/>
      <c r="AI4" s="1495"/>
      <c r="AJ4" s="1495"/>
      <c r="AK4" s="1495"/>
      <c r="AL4" s="1495"/>
      <c r="AM4" s="1495"/>
      <c r="AN4" s="1495"/>
      <c r="AO4" s="1495"/>
      <c r="AP4" s="1495"/>
      <c r="AQ4" s="1495"/>
      <c r="AR4" s="1495"/>
      <c r="AS4" s="1495"/>
      <c r="AT4" s="1495"/>
      <c r="AU4" s="1495"/>
      <c r="AV4" s="1495"/>
      <c r="AW4" s="1495"/>
      <c r="AX4" s="1495"/>
      <c r="AY4" s="1495"/>
      <c r="AZ4" s="1495"/>
      <c r="BA4" s="1495"/>
      <c r="BB4" s="1495"/>
      <c r="BC4" s="1495"/>
      <c r="BD4" s="1495"/>
      <c r="BE4" s="1495"/>
      <c r="BF4" s="1495"/>
      <c r="BG4" s="1496"/>
      <c r="BH4" s="1496"/>
      <c r="BI4" s="1496"/>
      <c r="BJ4" s="1496"/>
      <c r="BK4" s="1496"/>
      <c r="BL4" s="1496"/>
      <c r="BM4" s="1496"/>
      <c r="BN4" s="1496"/>
      <c r="BO4" s="1496"/>
      <c r="BP4" s="1496"/>
      <c r="BQ4" s="1496"/>
      <c r="BR4" s="1496"/>
      <c r="BS4" s="1496"/>
      <c r="BT4" s="1496"/>
      <c r="BU4" s="1496"/>
      <c r="BV4" s="1496"/>
      <c r="BW4" s="1496"/>
      <c r="BX4" s="1496"/>
      <c r="BY4" s="1496"/>
      <c r="CX4" s="296" t="str">
        <f>IF('Deckblatt|Cover'!$I$3=Basisdaten!$E$2,'1 Private Kosten|Costs'!CZ4,'1 Private Kosten|Costs'!CY4)</f>
        <v>Kostenart</v>
      </c>
      <c r="CY4" s="305" t="s">
        <v>0</v>
      </c>
      <c r="CZ4" s="305" t="s">
        <v>233</v>
      </c>
    </row>
    <row r="5" spans="1:139" s="30" customFormat="1">
      <c r="B5" s="37"/>
      <c r="C5" s="345">
        <v>1</v>
      </c>
      <c r="D5" s="346" t="str">
        <f>CX5</f>
        <v>Wohnen</v>
      </c>
      <c r="E5" s="347"/>
      <c r="F5" s="348"/>
      <c r="G5" s="348"/>
      <c r="H5" s="348"/>
      <c r="I5" s="348"/>
      <c r="J5" s="348"/>
      <c r="K5" s="348"/>
      <c r="L5" s="348"/>
      <c r="M5" s="348"/>
      <c r="N5" s="348"/>
      <c r="O5" s="348"/>
      <c r="P5" s="348"/>
      <c r="Q5" s="349"/>
      <c r="R5" s="39"/>
      <c r="S5" s="37"/>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135"/>
      <c r="BH5" s="135"/>
      <c r="BI5" s="135"/>
      <c r="BJ5" s="135"/>
      <c r="BK5" s="135"/>
      <c r="BL5" s="135"/>
      <c r="BM5" s="135"/>
      <c r="BN5" s="135"/>
      <c r="BO5" s="135"/>
      <c r="BP5" s="135"/>
      <c r="BQ5" s="135"/>
      <c r="BR5" s="135"/>
      <c r="BS5" s="135"/>
      <c r="BT5" s="135"/>
      <c r="BU5" s="135"/>
      <c r="BV5" s="135"/>
      <c r="BW5" s="135"/>
      <c r="BX5" s="135"/>
      <c r="BY5" s="135"/>
      <c r="CX5" s="296" t="str">
        <f>IF('Deckblatt|Cover'!$I$3=Basisdaten!$E$2,'1 Private Kosten|Costs'!CZ5,'1 Private Kosten|Costs'!CY5)</f>
        <v>Wohnen</v>
      </c>
      <c r="CY5" s="305" t="s">
        <v>30</v>
      </c>
      <c r="CZ5" s="305" t="s">
        <v>361</v>
      </c>
    </row>
    <row r="6" spans="1:139" s="30" customFormat="1">
      <c r="B6" s="37"/>
      <c r="C6" s="345"/>
      <c r="D6" s="350" t="str">
        <f t="shared" ref="D6:D12" si="0">CX6</f>
        <v>Miete (oder vergleichbare Belastung)</v>
      </c>
      <c r="E6" s="351"/>
      <c r="F6" s="351"/>
      <c r="G6" s="351"/>
      <c r="H6" s="351"/>
      <c r="I6" s="351"/>
      <c r="J6" s="351"/>
      <c r="K6" s="351"/>
      <c r="L6" s="351"/>
      <c r="M6" s="351"/>
      <c r="N6" s="351"/>
      <c r="O6" s="351"/>
      <c r="P6" s="351"/>
      <c r="Q6" s="352">
        <f>SUM(E6:P6)</f>
        <v>0</v>
      </c>
      <c r="R6" s="37"/>
      <c r="S6" s="1583"/>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135"/>
      <c r="BH6" s="135"/>
      <c r="BI6" s="135"/>
      <c r="BJ6" s="135"/>
      <c r="BK6" s="135"/>
      <c r="BL6" s="135"/>
      <c r="BM6" s="135"/>
      <c r="BN6" s="135"/>
      <c r="BO6" s="135"/>
      <c r="BP6" s="135"/>
      <c r="BQ6" s="135"/>
      <c r="BR6" s="135"/>
      <c r="BS6" s="135"/>
      <c r="BT6" s="135"/>
      <c r="BU6" s="135"/>
      <c r="BV6" s="135"/>
      <c r="BW6" s="135"/>
      <c r="BX6" s="135"/>
      <c r="BY6" s="135"/>
      <c r="CX6" s="296" t="str">
        <f>IF('Deckblatt|Cover'!$I$3=Basisdaten!$E$2,'1 Private Kosten|Costs'!CZ6,'1 Private Kosten|Costs'!CY6)</f>
        <v>Miete (oder vergleichbare Belastung)</v>
      </c>
      <c r="CY6" s="305" t="s">
        <v>7</v>
      </c>
      <c r="CZ6" s="353" t="s">
        <v>362</v>
      </c>
    </row>
    <row r="7" spans="1:139" s="30" customFormat="1">
      <c r="B7" s="37"/>
      <c r="C7" s="345"/>
      <c r="D7" s="354" t="str">
        <f t="shared" si="0"/>
        <v xml:space="preserve">Heizung, Schornsteinfeger, Emission </v>
      </c>
      <c r="E7" s="355"/>
      <c r="F7" s="355"/>
      <c r="G7" s="355"/>
      <c r="H7" s="355"/>
      <c r="I7" s="355"/>
      <c r="J7" s="355"/>
      <c r="K7" s="355"/>
      <c r="L7" s="355"/>
      <c r="M7" s="355"/>
      <c r="N7" s="355"/>
      <c r="O7" s="355"/>
      <c r="P7" s="355"/>
      <c r="Q7" s="356">
        <f t="shared" ref="Q7:Q13" si="1">SUM(E7:P7)</f>
        <v>0</v>
      </c>
      <c r="R7" s="37"/>
      <c r="S7" s="1583"/>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135"/>
      <c r="BH7" s="135"/>
      <c r="BI7" s="135"/>
      <c r="BJ7" s="135"/>
      <c r="BK7" s="135"/>
      <c r="BL7" s="135"/>
      <c r="BM7" s="135"/>
      <c r="BN7" s="135"/>
      <c r="BO7" s="135"/>
      <c r="BP7" s="135"/>
      <c r="BQ7" s="135"/>
      <c r="BR7" s="135"/>
      <c r="BS7" s="135"/>
      <c r="BT7" s="135"/>
      <c r="BU7" s="135"/>
      <c r="BV7" s="135"/>
      <c r="BW7" s="135"/>
      <c r="BX7" s="135"/>
      <c r="BY7" s="135"/>
      <c r="BZ7" s="68"/>
      <c r="CA7" s="68"/>
      <c r="CB7" s="68"/>
      <c r="CC7" s="68"/>
      <c r="CD7" s="68"/>
      <c r="CE7" s="68"/>
      <c r="CF7" s="68"/>
      <c r="CG7" s="68"/>
      <c r="CH7" s="68"/>
      <c r="CI7" s="68"/>
      <c r="CJ7" s="68"/>
      <c r="CK7" s="68"/>
      <c r="CL7" s="68"/>
      <c r="CX7" s="296" t="str">
        <f>IF('Deckblatt|Cover'!$I$3=Basisdaten!$E$2,'1 Private Kosten|Costs'!CZ7,'1 Private Kosten|Costs'!CY7)</f>
        <v xml:space="preserve">Heizung, Schornsteinfeger, Emission </v>
      </c>
      <c r="CY7" s="305" t="s">
        <v>8</v>
      </c>
      <c r="CZ7" s="353" t="s">
        <v>363</v>
      </c>
    </row>
    <row r="8" spans="1:139" s="30" customFormat="1">
      <c r="C8" s="345"/>
      <c r="D8" s="357" t="str">
        <f t="shared" si="0"/>
        <v>Strom, Wasser, Abwasser, Müll</v>
      </c>
      <c r="E8" s="351"/>
      <c r="F8" s="351"/>
      <c r="G8" s="351"/>
      <c r="H8" s="351"/>
      <c r="I8" s="351"/>
      <c r="J8" s="351"/>
      <c r="K8" s="351"/>
      <c r="L8" s="351"/>
      <c r="M8" s="351"/>
      <c r="N8" s="351"/>
      <c r="O8" s="351"/>
      <c r="P8" s="351"/>
      <c r="Q8" s="356">
        <f t="shared" si="1"/>
        <v>0</v>
      </c>
      <c r="R8" s="37"/>
      <c r="S8" s="1583"/>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135"/>
      <c r="BH8" s="135"/>
      <c r="BI8" s="135"/>
      <c r="BJ8" s="135"/>
      <c r="BK8" s="135"/>
      <c r="BL8" s="135"/>
      <c r="BM8" s="135"/>
      <c r="BN8" s="135"/>
      <c r="BO8" s="135"/>
      <c r="BP8" s="135"/>
      <c r="BQ8" s="135"/>
      <c r="BR8" s="135"/>
      <c r="BS8" s="135"/>
      <c r="BT8" s="135"/>
      <c r="BU8" s="135"/>
      <c r="BV8" s="135"/>
      <c r="BW8" s="135"/>
      <c r="BX8" s="135"/>
      <c r="BY8" s="135"/>
      <c r="CX8" s="296" t="str">
        <f>IF('Deckblatt|Cover'!$I$3=Basisdaten!$E$2,'1 Private Kosten|Costs'!CZ8,'1 Private Kosten|Costs'!CY8)</f>
        <v>Strom, Wasser, Abwasser, Müll</v>
      </c>
      <c r="CY8" s="305" t="s">
        <v>9</v>
      </c>
      <c r="CZ8" s="353" t="s">
        <v>160</v>
      </c>
    </row>
    <row r="9" spans="1:139" s="30" customFormat="1" ht="13.8" customHeight="1">
      <c r="C9" s="345"/>
      <c r="D9" s="354" t="str">
        <f t="shared" si="0"/>
        <v>Telefon, Mobil, Fax, Internet</v>
      </c>
      <c r="E9" s="351"/>
      <c r="F9" s="351"/>
      <c r="G9" s="351"/>
      <c r="H9" s="351"/>
      <c r="I9" s="351"/>
      <c r="J9" s="351"/>
      <c r="K9" s="351"/>
      <c r="L9" s="351"/>
      <c r="M9" s="351"/>
      <c r="N9" s="351"/>
      <c r="O9" s="351"/>
      <c r="P9" s="351"/>
      <c r="Q9" s="356">
        <f t="shared" si="1"/>
        <v>0</v>
      </c>
      <c r="R9" s="37"/>
      <c r="S9" s="1583"/>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135"/>
      <c r="BH9" s="135"/>
      <c r="BI9" s="135"/>
      <c r="BJ9" s="135"/>
      <c r="BK9" s="135"/>
      <c r="BL9" s="135"/>
      <c r="BM9" s="135"/>
      <c r="BN9" s="135"/>
      <c r="BO9" s="135"/>
      <c r="BP9" s="135"/>
      <c r="BQ9" s="135"/>
      <c r="BR9" s="135"/>
      <c r="BS9" s="135"/>
      <c r="BT9" s="135"/>
      <c r="BU9" s="135"/>
      <c r="BV9" s="135"/>
      <c r="BW9" s="135"/>
      <c r="BX9" s="135"/>
      <c r="BY9" s="135"/>
      <c r="CX9" s="296" t="str">
        <f>IF('Deckblatt|Cover'!$I$3=Basisdaten!$E$2,'1 Private Kosten|Costs'!CZ9,'1 Private Kosten|Costs'!CY9)</f>
        <v>Telefon, Mobil, Fax, Internet</v>
      </c>
      <c r="CY9" s="305" t="s">
        <v>10</v>
      </c>
      <c r="CZ9" s="353" t="s">
        <v>364</v>
      </c>
    </row>
    <row r="10" spans="1:139" s="30" customFormat="1">
      <c r="B10" s="1755"/>
      <c r="C10" s="345"/>
      <c r="D10" s="354" t="str">
        <f t="shared" si="0"/>
        <v>Rundfunk / Fernsehen usw.</v>
      </c>
      <c r="E10" s="351"/>
      <c r="F10" s="351"/>
      <c r="G10" s="351"/>
      <c r="H10" s="351"/>
      <c r="I10" s="351"/>
      <c r="J10" s="351"/>
      <c r="K10" s="351"/>
      <c r="L10" s="351"/>
      <c r="M10" s="351"/>
      <c r="N10" s="351"/>
      <c r="O10" s="351"/>
      <c r="P10" s="351"/>
      <c r="Q10" s="356">
        <f t="shared" si="1"/>
        <v>0</v>
      </c>
      <c r="R10" s="37"/>
      <c r="S10" s="1583"/>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135"/>
      <c r="BH10" s="135"/>
      <c r="BI10" s="135"/>
      <c r="BJ10" s="135"/>
      <c r="BK10" s="135"/>
      <c r="BL10" s="135"/>
      <c r="BM10" s="135"/>
      <c r="BN10" s="135"/>
      <c r="BO10" s="135"/>
      <c r="BP10" s="135"/>
      <c r="BQ10" s="135"/>
      <c r="BR10" s="135"/>
      <c r="BS10" s="135"/>
      <c r="BT10" s="135"/>
      <c r="BU10" s="135"/>
      <c r="BV10" s="135"/>
      <c r="BW10" s="135"/>
      <c r="BX10" s="135"/>
      <c r="BY10" s="135"/>
      <c r="CX10" s="296" t="str">
        <f>IF('Deckblatt|Cover'!$I$3=Basisdaten!$E$2,'1 Private Kosten|Costs'!CZ10,'1 Private Kosten|Costs'!CY10)</f>
        <v>Rundfunk / Fernsehen usw.</v>
      </c>
      <c r="CY10" s="305" t="s">
        <v>11</v>
      </c>
      <c r="CZ10" s="353" t="s">
        <v>370</v>
      </c>
    </row>
    <row r="11" spans="1:139" s="30" customFormat="1">
      <c r="B11" s="1755"/>
      <c r="C11" s="345"/>
      <c r="D11" s="357" t="str">
        <f t="shared" si="0"/>
        <v>Kredit (Zins u. Tilgung)</v>
      </c>
      <c r="E11" s="355"/>
      <c r="F11" s="355"/>
      <c r="G11" s="355"/>
      <c r="H11" s="355"/>
      <c r="I11" s="355"/>
      <c r="J11" s="355"/>
      <c r="K11" s="355"/>
      <c r="L11" s="355"/>
      <c r="M11" s="355"/>
      <c r="N11" s="355"/>
      <c r="O11" s="355"/>
      <c r="P11" s="355"/>
      <c r="Q11" s="356">
        <f t="shared" si="1"/>
        <v>0</v>
      </c>
      <c r="R11" s="37"/>
      <c r="S11" s="1583"/>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135"/>
      <c r="BH11" s="135"/>
      <c r="BI11" s="135"/>
      <c r="BJ11" s="135"/>
      <c r="BK11" s="135"/>
      <c r="BL11" s="135"/>
      <c r="BM11" s="135"/>
      <c r="BN11" s="135"/>
      <c r="BO11" s="135"/>
      <c r="BP11" s="135"/>
      <c r="BQ11" s="135"/>
      <c r="BR11" s="135"/>
      <c r="BS11" s="135"/>
      <c r="BT11" s="135"/>
      <c r="BU11" s="135"/>
      <c r="BV11" s="135"/>
      <c r="BW11" s="135"/>
      <c r="BX11" s="135"/>
      <c r="BY11" s="135"/>
      <c r="CX11" s="296" t="str">
        <f>IF('Deckblatt|Cover'!$I$3=Basisdaten!$E$2,'1 Private Kosten|Costs'!CZ11,'1 Private Kosten|Costs'!CY11)</f>
        <v>Kredit (Zins u. Tilgung)</v>
      </c>
      <c r="CY11" s="305" t="s">
        <v>12</v>
      </c>
      <c r="CZ11" s="353" t="s">
        <v>149</v>
      </c>
    </row>
    <row r="12" spans="1:139" s="30" customFormat="1" ht="13.8" customHeight="1">
      <c r="B12" s="2134" t="str">
        <f>IF(CW51=1,Basisdaten!R6,"")</f>
        <v/>
      </c>
      <c r="C12" s="345"/>
      <c r="D12" s="354" t="str">
        <f t="shared" si="0"/>
        <v>Wohnungsreparaturen</v>
      </c>
      <c r="E12" s="351"/>
      <c r="F12" s="351"/>
      <c r="G12" s="351"/>
      <c r="H12" s="351"/>
      <c r="I12" s="351"/>
      <c r="J12" s="351"/>
      <c r="K12" s="351"/>
      <c r="L12" s="351"/>
      <c r="M12" s="351"/>
      <c r="N12" s="351"/>
      <c r="O12" s="351"/>
      <c r="P12" s="351"/>
      <c r="Q12" s="356">
        <f t="shared" si="1"/>
        <v>0</v>
      </c>
      <c r="R12" s="37"/>
      <c r="S12" s="1583"/>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135"/>
      <c r="BH12" s="135"/>
      <c r="BI12" s="135"/>
      <c r="BJ12" s="135"/>
      <c r="BK12" s="135"/>
      <c r="BL12" s="135"/>
      <c r="BM12" s="135"/>
      <c r="BN12" s="135"/>
      <c r="BO12" s="135"/>
      <c r="BP12" s="135"/>
      <c r="BQ12" s="135"/>
      <c r="BR12" s="135"/>
      <c r="BS12" s="135"/>
      <c r="BT12" s="135"/>
      <c r="BU12" s="135"/>
      <c r="BV12" s="135"/>
      <c r="BW12" s="135"/>
      <c r="BX12" s="135"/>
      <c r="BY12" s="135"/>
      <c r="CX12" s="296" t="str">
        <f>IF('Deckblatt|Cover'!$I$3=Basisdaten!$E$2,'1 Private Kosten|Costs'!CZ12,'1 Private Kosten|Costs'!CY12)</f>
        <v>Wohnungsreparaturen</v>
      </c>
      <c r="CY12" s="305" t="s">
        <v>13</v>
      </c>
      <c r="CZ12" s="353" t="s">
        <v>365</v>
      </c>
    </row>
    <row r="13" spans="1:139" s="30" customFormat="1" ht="13.8" customHeight="1">
      <c r="B13" s="2134"/>
      <c r="C13" s="345"/>
      <c r="D13" s="358" t="str">
        <f>CX13</f>
        <v xml:space="preserve">Sonstiges (z.B. Grundsteuern)  </v>
      </c>
      <c r="E13" s="355"/>
      <c r="F13" s="355"/>
      <c r="G13" s="355"/>
      <c r="H13" s="355"/>
      <c r="I13" s="355"/>
      <c r="J13" s="355"/>
      <c r="K13" s="355"/>
      <c r="L13" s="355"/>
      <c r="M13" s="355"/>
      <c r="N13" s="355"/>
      <c r="O13" s="355"/>
      <c r="P13" s="355"/>
      <c r="Q13" s="359">
        <f t="shared" si="1"/>
        <v>0</v>
      </c>
      <c r="R13" s="37"/>
      <c r="S13" s="1583"/>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135"/>
      <c r="BH13" s="135"/>
      <c r="BI13" s="135"/>
      <c r="BJ13" s="135"/>
      <c r="BK13" s="135"/>
      <c r="BL13" s="135"/>
      <c r="BM13" s="135"/>
      <c r="BN13" s="135"/>
      <c r="BO13" s="135"/>
      <c r="BP13" s="135"/>
      <c r="BQ13" s="135"/>
      <c r="BR13" s="135"/>
      <c r="BS13" s="135"/>
      <c r="BT13" s="135"/>
      <c r="BU13" s="135"/>
      <c r="BV13" s="135"/>
      <c r="BW13" s="135"/>
      <c r="BX13" s="135"/>
      <c r="BY13" s="135"/>
      <c r="CX13" s="296" t="str">
        <f>IF('Deckblatt|Cover'!$I$3=Basisdaten!$E$2,'1 Private Kosten|Costs'!CZ13,'1 Private Kosten|Costs'!CY13)</f>
        <v xml:space="preserve">Sonstiges (z.B. Grundsteuern)  </v>
      </c>
      <c r="CY13" s="305" t="s">
        <v>509</v>
      </c>
      <c r="CZ13" s="353" t="s">
        <v>510</v>
      </c>
    </row>
    <row r="14" spans="1:139" s="30" customFormat="1">
      <c r="B14" s="2134"/>
      <c r="C14" s="360"/>
      <c r="D14" s="361" t="str">
        <f t="shared" ref="D14:D45" si="2">CX14</f>
        <v>Summe</v>
      </c>
      <c r="E14" s="362">
        <f>SUM(E6:E13)</f>
        <v>0</v>
      </c>
      <c r="F14" s="362">
        <f t="shared" ref="F14:P14" si="3">SUM(F6:F13)</f>
        <v>0</v>
      </c>
      <c r="G14" s="362">
        <f t="shared" si="3"/>
        <v>0</v>
      </c>
      <c r="H14" s="362">
        <f t="shared" si="3"/>
        <v>0</v>
      </c>
      <c r="I14" s="362">
        <f t="shared" si="3"/>
        <v>0</v>
      </c>
      <c r="J14" s="362">
        <f t="shared" si="3"/>
        <v>0</v>
      </c>
      <c r="K14" s="362">
        <f t="shared" si="3"/>
        <v>0</v>
      </c>
      <c r="L14" s="362">
        <f t="shared" si="3"/>
        <v>0</v>
      </c>
      <c r="M14" s="362">
        <f t="shared" si="3"/>
        <v>0</v>
      </c>
      <c r="N14" s="362">
        <f t="shared" si="3"/>
        <v>0</v>
      </c>
      <c r="O14" s="362">
        <f t="shared" si="3"/>
        <v>0</v>
      </c>
      <c r="P14" s="362">
        <f t="shared" si="3"/>
        <v>0</v>
      </c>
      <c r="Q14" s="363">
        <f>SUM(Q6:Q13)</f>
        <v>0</v>
      </c>
      <c r="R14" s="37"/>
      <c r="S14" s="37"/>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135"/>
      <c r="BH14" s="135"/>
      <c r="BI14" s="135"/>
      <c r="BJ14" s="135"/>
      <c r="BK14" s="135"/>
      <c r="BL14" s="135"/>
      <c r="BM14" s="135"/>
      <c r="BN14" s="135"/>
      <c r="BO14" s="135"/>
      <c r="BP14" s="135"/>
      <c r="BQ14" s="135"/>
      <c r="BR14" s="135"/>
      <c r="BS14" s="135"/>
      <c r="BT14" s="135"/>
      <c r="BU14" s="135"/>
      <c r="BV14" s="135"/>
      <c r="BW14" s="135"/>
      <c r="BX14" s="135"/>
      <c r="BY14" s="135"/>
      <c r="CX14" s="296" t="str">
        <f>IF('Deckblatt|Cover'!$I$3=Basisdaten!$E$2,'1 Private Kosten|Costs'!CZ14,'1 Private Kosten|Costs'!CY14)</f>
        <v>Summe</v>
      </c>
      <c r="CY14" s="305" t="s">
        <v>32</v>
      </c>
      <c r="CZ14" s="305" t="s">
        <v>141</v>
      </c>
    </row>
    <row r="15" spans="1:139" s="30" customFormat="1">
      <c r="B15" s="2134"/>
      <c r="C15" s="345">
        <v>2</v>
      </c>
      <c r="D15" s="364" t="str">
        <f t="shared" si="2"/>
        <v>Lebensunterhalt / Haushaltsgeld</v>
      </c>
      <c r="E15" s="347"/>
      <c r="F15" s="348"/>
      <c r="G15" s="348"/>
      <c r="H15" s="348"/>
      <c r="I15" s="348"/>
      <c r="J15" s="348"/>
      <c r="K15" s="348"/>
      <c r="L15" s="348"/>
      <c r="M15" s="348"/>
      <c r="N15" s="348"/>
      <c r="O15" s="348"/>
      <c r="P15" s="348"/>
      <c r="Q15" s="349"/>
      <c r="R15" s="37"/>
      <c r="S15" s="62"/>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135"/>
      <c r="BH15" s="135"/>
      <c r="BI15" s="135"/>
      <c r="BJ15" s="135"/>
      <c r="BK15" s="135"/>
      <c r="BL15" s="135"/>
      <c r="BM15" s="135"/>
      <c r="BN15" s="135"/>
      <c r="BO15" s="135"/>
      <c r="BP15" s="135"/>
      <c r="BQ15" s="135"/>
      <c r="BR15" s="135"/>
      <c r="BS15" s="135"/>
      <c r="BT15" s="135"/>
      <c r="BU15" s="135"/>
      <c r="BV15" s="135"/>
      <c r="BW15" s="135"/>
      <c r="BX15" s="135"/>
      <c r="BY15" s="135"/>
      <c r="CX15" s="296" t="str">
        <f>IF('Deckblatt|Cover'!$I$3=Basisdaten!$E$2,'1 Private Kosten|Costs'!CZ15,'1 Private Kosten|Costs'!CY15)</f>
        <v>Lebensunterhalt / Haushaltsgeld</v>
      </c>
      <c r="CY15" s="305" t="s">
        <v>14</v>
      </c>
      <c r="CZ15" s="353" t="s">
        <v>366</v>
      </c>
    </row>
    <row r="16" spans="1:139" s="30" customFormat="1" ht="13.8" customHeight="1">
      <c r="B16" s="2134"/>
      <c r="C16" s="345"/>
      <c r="D16" s="365" t="str">
        <f t="shared" si="2"/>
        <v>Lebensmittel , auswärts Essen</v>
      </c>
      <c r="E16" s="351"/>
      <c r="F16" s="351"/>
      <c r="G16" s="351"/>
      <c r="H16" s="351"/>
      <c r="I16" s="351"/>
      <c r="J16" s="351"/>
      <c r="K16" s="351"/>
      <c r="L16" s="351"/>
      <c r="M16" s="351"/>
      <c r="N16" s="351"/>
      <c r="O16" s="351"/>
      <c r="P16" s="351"/>
      <c r="Q16" s="356">
        <f>SUM(E16:P16)</f>
        <v>0</v>
      </c>
      <c r="R16" s="37"/>
      <c r="S16" s="1582"/>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135"/>
      <c r="BH16" s="135"/>
      <c r="BI16" s="135"/>
      <c r="BJ16" s="135"/>
      <c r="BK16" s="135"/>
      <c r="BL16" s="135"/>
      <c r="BM16" s="135"/>
      <c r="BN16" s="135"/>
      <c r="BO16" s="135"/>
      <c r="BP16" s="135"/>
      <c r="BQ16" s="135"/>
      <c r="BR16" s="135"/>
      <c r="BS16" s="135"/>
      <c r="BT16" s="135"/>
      <c r="BU16" s="135"/>
      <c r="BV16" s="135"/>
      <c r="BW16" s="135"/>
      <c r="BX16" s="135"/>
      <c r="BY16" s="135"/>
      <c r="CX16" s="296" t="str">
        <f>IF('Deckblatt|Cover'!$I$3=Basisdaten!$E$2,'1 Private Kosten|Costs'!CZ16,'1 Private Kosten|Costs'!CY16)</f>
        <v>Lebensmittel , auswärts Essen</v>
      </c>
      <c r="CY16" s="305" t="s">
        <v>15</v>
      </c>
      <c r="CZ16" s="353" t="s">
        <v>367</v>
      </c>
    </row>
    <row r="17" spans="1:104" s="30" customFormat="1">
      <c r="B17" s="2134"/>
      <c r="C17" s="345"/>
      <c r="D17" s="365" t="str">
        <f>CX17</f>
        <v>Kleidung, Kosmetika, Sonstiges</v>
      </c>
      <c r="E17" s="355"/>
      <c r="F17" s="355"/>
      <c r="G17" s="355"/>
      <c r="H17" s="355"/>
      <c r="I17" s="355"/>
      <c r="J17" s="355"/>
      <c r="K17" s="355"/>
      <c r="L17" s="355"/>
      <c r="M17" s="355"/>
      <c r="N17" s="355"/>
      <c r="O17" s="355"/>
      <c r="P17" s="355"/>
      <c r="Q17" s="366">
        <f>SUM(E17:P17)</f>
        <v>0</v>
      </c>
      <c r="R17" s="37"/>
      <c r="S17" s="1582"/>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135"/>
      <c r="BH17" s="135"/>
      <c r="BI17" s="135"/>
      <c r="BJ17" s="135"/>
      <c r="BK17" s="135"/>
      <c r="BL17" s="135"/>
      <c r="BM17" s="135"/>
      <c r="BN17" s="135"/>
      <c r="BO17" s="135"/>
      <c r="BP17" s="135"/>
      <c r="BQ17" s="135"/>
      <c r="BR17" s="135"/>
      <c r="BS17" s="135"/>
      <c r="BT17" s="135"/>
      <c r="BU17" s="135"/>
      <c r="BV17" s="135"/>
      <c r="BW17" s="135"/>
      <c r="BX17" s="135"/>
      <c r="BY17" s="135"/>
      <c r="CX17" s="296" t="str">
        <f>IF('Deckblatt|Cover'!$I$3=Basisdaten!$E$2,'1 Private Kosten|Costs'!CZ17,'1 Private Kosten|Costs'!CY17)</f>
        <v>Kleidung, Kosmetika, Sonstiges</v>
      </c>
      <c r="CY17" s="305" t="s">
        <v>511</v>
      </c>
      <c r="CZ17" s="353" t="s">
        <v>368</v>
      </c>
    </row>
    <row r="18" spans="1:104" s="30" customFormat="1">
      <c r="B18" s="2134"/>
      <c r="C18" s="360"/>
      <c r="D18" s="367" t="str">
        <f t="shared" si="2"/>
        <v>Summe</v>
      </c>
      <c r="E18" s="362">
        <f>SUM(E16:E17)</f>
        <v>0</v>
      </c>
      <c r="F18" s="362">
        <f t="shared" ref="F18:P18" si="4">SUM(F16:F17)</f>
        <v>0</v>
      </c>
      <c r="G18" s="362">
        <f t="shared" si="4"/>
        <v>0</v>
      </c>
      <c r="H18" s="362">
        <f t="shared" si="4"/>
        <v>0</v>
      </c>
      <c r="I18" s="362">
        <f t="shared" si="4"/>
        <v>0</v>
      </c>
      <c r="J18" s="362">
        <f t="shared" si="4"/>
        <v>0</v>
      </c>
      <c r="K18" s="362">
        <f t="shared" si="4"/>
        <v>0</v>
      </c>
      <c r="L18" s="362">
        <f t="shared" si="4"/>
        <v>0</v>
      </c>
      <c r="M18" s="362">
        <f t="shared" si="4"/>
        <v>0</v>
      </c>
      <c r="N18" s="362">
        <f t="shared" si="4"/>
        <v>0</v>
      </c>
      <c r="O18" s="362">
        <f t="shared" si="4"/>
        <v>0</v>
      </c>
      <c r="P18" s="362">
        <f t="shared" si="4"/>
        <v>0</v>
      </c>
      <c r="Q18" s="363">
        <f>SUM(Q16:Q17)</f>
        <v>0</v>
      </c>
      <c r="R18" s="37"/>
      <c r="S18" s="62"/>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135"/>
      <c r="BH18" s="135"/>
      <c r="BI18" s="135"/>
      <c r="BJ18" s="135"/>
      <c r="BK18" s="135"/>
      <c r="BL18" s="135"/>
      <c r="BM18" s="135"/>
      <c r="BN18" s="135"/>
      <c r="BO18" s="135"/>
      <c r="BP18" s="135"/>
      <c r="BQ18" s="135"/>
      <c r="BR18" s="135"/>
      <c r="BS18" s="135"/>
      <c r="BT18" s="135"/>
      <c r="BU18" s="135"/>
      <c r="BV18" s="135"/>
      <c r="BW18" s="135"/>
      <c r="BX18" s="135"/>
      <c r="BY18" s="135"/>
      <c r="CX18" s="296" t="str">
        <f>IF('Deckblatt|Cover'!$I$3=Basisdaten!$E$2,'1 Private Kosten|Costs'!CZ18,'1 Private Kosten|Costs'!CY18)</f>
        <v>Summe</v>
      </c>
      <c r="CY18" s="305" t="s">
        <v>32</v>
      </c>
      <c r="CZ18" s="305" t="s">
        <v>141</v>
      </c>
    </row>
    <row r="19" spans="1:104" s="30" customFormat="1">
      <c r="B19" s="2134"/>
      <c r="C19" s="345">
        <v>3</v>
      </c>
      <c r="D19" s="364" t="str">
        <f t="shared" si="2"/>
        <v>PKW</v>
      </c>
      <c r="E19" s="347"/>
      <c r="F19" s="348"/>
      <c r="G19" s="348"/>
      <c r="H19" s="348"/>
      <c r="I19" s="348"/>
      <c r="J19" s="348"/>
      <c r="K19" s="348"/>
      <c r="L19" s="348"/>
      <c r="M19" s="348"/>
      <c r="N19" s="348"/>
      <c r="O19" s="348"/>
      <c r="P19" s="348"/>
      <c r="Q19" s="349">
        <f>SUM(E19:P19)</f>
        <v>0</v>
      </c>
      <c r="R19" s="37"/>
      <c r="S19" s="62"/>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135"/>
      <c r="BH19" s="135"/>
      <c r="BI19" s="135"/>
      <c r="BJ19" s="135"/>
      <c r="BK19" s="135"/>
      <c r="BL19" s="135"/>
      <c r="BM19" s="135"/>
      <c r="BN19" s="135"/>
      <c r="BO19" s="135"/>
      <c r="BP19" s="135"/>
      <c r="BQ19" s="135"/>
      <c r="BR19" s="135"/>
      <c r="BS19" s="135"/>
      <c r="BT19" s="135"/>
      <c r="BU19" s="135"/>
      <c r="BV19" s="135"/>
      <c r="BW19" s="135"/>
      <c r="BX19" s="135"/>
      <c r="BY19" s="135"/>
      <c r="CX19" s="296" t="str">
        <f>IF('Deckblatt|Cover'!$I$3=Basisdaten!$E$2,'1 Private Kosten|Costs'!CZ19,'1 Private Kosten|Costs'!CY19)</f>
        <v>PKW</v>
      </c>
      <c r="CY19" s="305" t="s">
        <v>31</v>
      </c>
      <c r="CZ19" s="353" t="s">
        <v>155</v>
      </c>
    </row>
    <row r="20" spans="1:104" s="30" customFormat="1">
      <c r="B20" s="2134"/>
      <c r="C20" s="345"/>
      <c r="D20" s="365" t="str">
        <f t="shared" si="2"/>
        <v>Kredit (Zins u. Tilgung) / Leasing</v>
      </c>
      <c r="E20" s="355"/>
      <c r="F20" s="355"/>
      <c r="G20" s="355"/>
      <c r="H20" s="355"/>
      <c r="I20" s="355"/>
      <c r="J20" s="355"/>
      <c r="K20" s="355"/>
      <c r="L20" s="355"/>
      <c r="M20" s="355"/>
      <c r="N20" s="355"/>
      <c r="O20" s="355"/>
      <c r="P20" s="355"/>
      <c r="Q20" s="356">
        <f>SUM(E20:P20)</f>
        <v>0</v>
      </c>
      <c r="R20" s="37"/>
      <c r="S20" s="1582"/>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135"/>
      <c r="BH20" s="135"/>
      <c r="BI20" s="135"/>
      <c r="BJ20" s="135"/>
      <c r="BK20" s="135"/>
      <c r="BL20" s="135"/>
      <c r="BM20" s="135"/>
      <c r="BN20" s="135"/>
      <c r="BO20" s="135"/>
      <c r="BP20" s="135"/>
      <c r="BQ20" s="135"/>
      <c r="BR20" s="135"/>
      <c r="BS20" s="135"/>
      <c r="BT20" s="135"/>
      <c r="BU20" s="135"/>
      <c r="BV20" s="135"/>
      <c r="BW20" s="135"/>
      <c r="BX20" s="135"/>
      <c r="BY20" s="135"/>
      <c r="CX20" s="296" t="str">
        <f>IF('Deckblatt|Cover'!$I$3=Basisdaten!$E$2,'1 Private Kosten|Costs'!CZ20,'1 Private Kosten|Costs'!CY20)</f>
        <v>Kredit (Zins u. Tilgung) / Leasing</v>
      </c>
      <c r="CY20" s="305" t="s">
        <v>16</v>
      </c>
      <c r="CZ20" s="353" t="s">
        <v>150</v>
      </c>
    </row>
    <row r="21" spans="1:104" s="30" customFormat="1" ht="14.25" customHeight="1">
      <c r="B21" s="2134"/>
      <c r="C21" s="345"/>
      <c r="D21" s="365" t="str">
        <f t="shared" si="2"/>
        <v>Versicherung, Steuern, Reparaturen</v>
      </c>
      <c r="E21" s="351"/>
      <c r="F21" s="351"/>
      <c r="G21" s="351"/>
      <c r="H21" s="351"/>
      <c r="I21" s="351"/>
      <c r="J21" s="351"/>
      <c r="K21" s="351"/>
      <c r="L21" s="351"/>
      <c r="M21" s="351"/>
      <c r="N21" s="351"/>
      <c r="O21" s="351"/>
      <c r="P21" s="351"/>
      <c r="Q21" s="356">
        <f>SUM(E21:P21)</f>
        <v>0</v>
      </c>
      <c r="R21" s="37"/>
      <c r="S21" s="1582"/>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135"/>
      <c r="BH21" s="135"/>
      <c r="BI21" s="135"/>
      <c r="BJ21" s="135"/>
      <c r="BK21" s="135"/>
      <c r="BL21" s="135"/>
      <c r="BM21" s="135"/>
      <c r="BN21" s="135"/>
      <c r="BO21" s="135"/>
      <c r="BP21" s="135"/>
      <c r="BQ21" s="135"/>
      <c r="BR21" s="135"/>
      <c r="BS21" s="135"/>
      <c r="BT21" s="135"/>
      <c r="BU21" s="135"/>
      <c r="BV21" s="135"/>
      <c r="BW21" s="135"/>
      <c r="BX21" s="135"/>
      <c r="BY21" s="135"/>
      <c r="CX21" s="296" t="str">
        <f>IF('Deckblatt|Cover'!$I$3=Basisdaten!$E$2,'1 Private Kosten|Costs'!CZ21,'1 Private Kosten|Costs'!CY21)</f>
        <v>Versicherung, Steuern, Reparaturen</v>
      </c>
      <c r="CY21" s="305" t="s">
        <v>17</v>
      </c>
      <c r="CZ21" s="353" t="s">
        <v>173</v>
      </c>
    </row>
    <row r="22" spans="1:104" s="30" customFormat="1">
      <c r="B22" s="2134"/>
      <c r="C22" s="345"/>
      <c r="D22" s="368" t="str">
        <f t="shared" si="2"/>
        <v>Benzin / Diesel / Reparaturen</v>
      </c>
      <c r="E22" s="351"/>
      <c r="F22" s="351"/>
      <c r="G22" s="351"/>
      <c r="H22" s="351"/>
      <c r="I22" s="351"/>
      <c r="J22" s="351"/>
      <c r="K22" s="351"/>
      <c r="L22" s="351"/>
      <c r="M22" s="351"/>
      <c r="N22" s="351"/>
      <c r="O22" s="351"/>
      <c r="P22" s="351"/>
      <c r="Q22" s="366">
        <f>SUM(E22:P22)</f>
        <v>0</v>
      </c>
      <c r="R22" s="37"/>
      <c r="S22" s="1582"/>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135"/>
      <c r="BH22" s="135"/>
      <c r="BI22" s="135"/>
      <c r="BJ22" s="135"/>
      <c r="BK22" s="135"/>
      <c r="BL22" s="135"/>
      <c r="BM22" s="135"/>
      <c r="BN22" s="135"/>
      <c r="BO22" s="135"/>
      <c r="BP22" s="135"/>
      <c r="BQ22" s="135"/>
      <c r="BR22" s="135"/>
      <c r="BS22" s="135"/>
      <c r="BT22" s="135"/>
      <c r="BU22" s="135"/>
      <c r="BV22" s="135"/>
      <c r="BW22" s="135"/>
      <c r="BX22" s="135"/>
      <c r="BY22" s="135"/>
      <c r="CX22" s="296" t="str">
        <f>IF('Deckblatt|Cover'!$I$3=Basisdaten!$E$2,'1 Private Kosten|Costs'!CZ22,'1 Private Kosten|Costs'!CY22)</f>
        <v>Benzin / Diesel / Reparaturen</v>
      </c>
      <c r="CY22" s="305" t="s">
        <v>18</v>
      </c>
      <c r="CZ22" s="353" t="s">
        <v>369</v>
      </c>
    </row>
    <row r="23" spans="1:104" s="30" customFormat="1">
      <c r="B23" s="2134"/>
      <c r="C23" s="360"/>
      <c r="D23" s="367" t="str">
        <f t="shared" si="2"/>
        <v>Summe</v>
      </c>
      <c r="E23" s="362">
        <f>SUM(E20:E22)</f>
        <v>0</v>
      </c>
      <c r="F23" s="362">
        <f t="shared" ref="F23:P23" si="5">SUM(F20:F22)</f>
        <v>0</v>
      </c>
      <c r="G23" s="362">
        <f t="shared" si="5"/>
        <v>0</v>
      </c>
      <c r="H23" s="362">
        <f t="shared" si="5"/>
        <v>0</v>
      </c>
      <c r="I23" s="362">
        <f t="shared" si="5"/>
        <v>0</v>
      </c>
      <c r="J23" s="362">
        <f t="shared" si="5"/>
        <v>0</v>
      </c>
      <c r="K23" s="362">
        <f t="shared" si="5"/>
        <v>0</v>
      </c>
      <c r="L23" s="362">
        <f t="shared" si="5"/>
        <v>0</v>
      </c>
      <c r="M23" s="362">
        <f t="shared" si="5"/>
        <v>0</v>
      </c>
      <c r="N23" s="362">
        <f t="shared" si="5"/>
        <v>0</v>
      </c>
      <c r="O23" s="362">
        <f t="shared" si="5"/>
        <v>0</v>
      </c>
      <c r="P23" s="362">
        <f t="shared" si="5"/>
        <v>0</v>
      </c>
      <c r="Q23" s="356">
        <f>SUM(E23:P23)</f>
        <v>0</v>
      </c>
      <c r="R23" s="37"/>
      <c r="S23" s="62"/>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135"/>
      <c r="BH23" s="135"/>
      <c r="BI23" s="135"/>
      <c r="BJ23" s="135"/>
      <c r="BK23" s="135"/>
      <c r="BL23" s="135"/>
      <c r="BM23" s="135"/>
      <c r="BN23" s="135"/>
      <c r="BO23" s="135"/>
      <c r="BP23" s="135"/>
      <c r="BQ23" s="135"/>
      <c r="BR23" s="135"/>
      <c r="BS23" s="135"/>
      <c r="BT23" s="135"/>
      <c r="BU23" s="135"/>
      <c r="BV23" s="135"/>
      <c r="BW23" s="135"/>
      <c r="BX23" s="135"/>
      <c r="BY23" s="135"/>
      <c r="CX23" s="296" t="str">
        <f>IF('Deckblatt|Cover'!$I$3=Basisdaten!$E$2,'1 Private Kosten|Costs'!CZ23,'1 Private Kosten|Costs'!CY23)</f>
        <v>Summe</v>
      </c>
      <c r="CY23" s="305" t="s">
        <v>32</v>
      </c>
      <c r="CZ23" s="305" t="s">
        <v>141</v>
      </c>
    </row>
    <row r="24" spans="1:104" s="30" customFormat="1" ht="17.399999999999999">
      <c r="B24" s="2134"/>
      <c r="C24" s="345">
        <v>4</v>
      </c>
      <c r="D24" s="364" t="str">
        <f t="shared" si="2"/>
        <v>Versicherungen</v>
      </c>
      <c r="E24" s="347"/>
      <c r="F24" s="348"/>
      <c r="G24" s="348"/>
      <c r="H24" s="348"/>
      <c r="I24" s="348"/>
      <c r="J24" s="348"/>
      <c r="K24" s="348"/>
      <c r="L24" s="348"/>
      <c r="M24" s="348"/>
      <c r="N24" s="348"/>
      <c r="O24" s="348"/>
      <c r="P24" s="348"/>
      <c r="Q24" s="349"/>
      <c r="R24" s="37"/>
      <c r="S24" s="62"/>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1497"/>
      <c r="BC24" s="1440"/>
      <c r="BD24" s="135"/>
      <c r="BE24" s="135"/>
      <c r="BF24" s="135"/>
      <c r="BG24" s="135"/>
      <c r="BH24" s="135"/>
      <c r="BI24" s="135"/>
      <c r="BJ24" s="135"/>
      <c r="BK24" s="135"/>
      <c r="BL24" s="135"/>
      <c r="BM24" s="1498"/>
      <c r="BN24" s="1498"/>
      <c r="BO24" s="135"/>
      <c r="BP24" s="135"/>
      <c r="BQ24" s="135"/>
      <c r="BR24" s="135"/>
      <c r="BS24" s="135"/>
      <c r="BT24" s="135"/>
      <c r="BU24" s="135"/>
      <c r="BV24" s="135"/>
      <c r="BW24" s="135"/>
      <c r="BX24" s="135"/>
      <c r="BY24" s="135"/>
      <c r="CX24" s="296" t="str">
        <f>IF('Deckblatt|Cover'!$I$3=Basisdaten!$E$2,'1 Private Kosten|Costs'!CZ24,'1 Private Kosten|Costs'!CY24)</f>
        <v>Versicherungen</v>
      </c>
      <c r="CY24" s="305" t="s">
        <v>19</v>
      </c>
      <c r="CZ24" s="353" t="s">
        <v>174</v>
      </c>
    </row>
    <row r="25" spans="1:104" s="30" customFormat="1" ht="14.25" customHeight="1">
      <c r="A25" s="336" t="s">
        <v>507</v>
      </c>
      <c r="B25" s="2134"/>
      <c r="C25" s="1754" t="s">
        <v>1043</v>
      </c>
      <c r="D25" s="1914" t="s">
        <v>513</v>
      </c>
      <c r="E25" s="351"/>
      <c r="F25" s="351"/>
      <c r="G25" s="351"/>
      <c r="H25" s="351"/>
      <c r="I25" s="351"/>
      <c r="J25" s="351"/>
      <c r="K25" s="351"/>
      <c r="L25" s="351"/>
      <c r="M25" s="351"/>
      <c r="N25" s="351"/>
      <c r="O25" s="351"/>
      <c r="P25" s="351"/>
      <c r="Q25" s="356">
        <f>SUM(E25:P25)</f>
        <v>0</v>
      </c>
      <c r="R25" s="37"/>
      <c r="S25" s="1582"/>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1499"/>
      <c r="BC25" s="1440"/>
      <c r="BD25" s="1440"/>
      <c r="BE25" s="1440"/>
      <c r="BF25" s="1440"/>
      <c r="BG25" s="1440"/>
      <c r="BH25" s="1440"/>
      <c r="BI25" s="1440"/>
      <c r="BJ25" s="1440"/>
      <c r="BK25" s="1440"/>
      <c r="BL25" s="1440"/>
      <c r="BM25" s="1498"/>
      <c r="BN25" s="1498"/>
      <c r="BO25" s="50"/>
      <c r="BP25" s="135"/>
      <c r="BQ25" s="135"/>
      <c r="BR25" s="135"/>
      <c r="BS25" s="135"/>
      <c r="BT25" s="135"/>
      <c r="BU25" s="135"/>
      <c r="BV25" s="135"/>
      <c r="BW25" s="135"/>
      <c r="BX25" s="135"/>
      <c r="BY25" s="135"/>
      <c r="CX25" s="296" t="str">
        <f>IF('Deckblatt|Cover'!$I$3=Basisdaten!$E$2,'1 Private Kosten|Costs'!CZ25,'1 Private Kosten|Costs'!CY25)</f>
        <v>Vorsorge: Renten / freiw. Versicherng</v>
      </c>
      <c r="CY25" s="305" t="s">
        <v>513</v>
      </c>
      <c r="CZ25" s="353" t="s">
        <v>514</v>
      </c>
    </row>
    <row r="26" spans="1:104" s="30" customFormat="1" ht="14.25" customHeight="1">
      <c r="A26" s="336" t="s">
        <v>507</v>
      </c>
      <c r="B26" s="2135" t="str">
        <f>IF(CW53=1,Basisdaten!R6,"")</f>
        <v/>
      </c>
      <c r="C26" s="1754" t="s">
        <v>1043</v>
      </c>
      <c r="D26" s="1914" t="s">
        <v>894</v>
      </c>
      <c r="E26" s="355">
        <f>IF($D$72=$CX$54,0,IF(Basisdaten!$E$15=Basisdaten!$U$32,300,600))</f>
        <v>600</v>
      </c>
      <c r="F26" s="355">
        <f>IF($D$72=$CX$54,0,IF(Basisdaten!$E$15=Basisdaten!$U$32,300,600))</f>
        <v>600</v>
      </c>
      <c r="G26" s="355">
        <f>IF($D$72=$CX$54,0,IF(Basisdaten!$E$15=Basisdaten!$U$32,300,600))</f>
        <v>600</v>
      </c>
      <c r="H26" s="355">
        <f>IF($D$72=$CX$54,0,IF(Basisdaten!$E$15=Basisdaten!$U$32,300,600))</f>
        <v>600</v>
      </c>
      <c r="I26" s="355">
        <f>IF($D$72=$CX$54,0,IF(Basisdaten!$E$15=Basisdaten!$U$32,300,600))</f>
        <v>600</v>
      </c>
      <c r="J26" s="355">
        <f>IF($D$72=$CX$54,0,IF(Basisdaten!$E$15=Basisdaten!$U$32,300,600))</f>
        <v>600</v>
      </c>
      <c r="K26" s="355">
        <f>IF($D$72=$CX$54,0,IF(Basisdaten!$E$15=Basisdaten!$U$32,300,600))</f>
        <v>600</v>
      </c>
      <c r="L26" s="355">
        <f>IF($D$72=$CX$54,0,IF(Basisdaten!$E$15=Basisdaten!$U$32,300,600))</f>
        <v>600</v>
      </c>
      <c r="M26" s="355">
        <f>IF($D$72=$CX$54,0,IF(Basisdaten!$E$15=Basisdaten!$U$32,300,600))</f>
        <v>600</v>
      </c>
      <c r="N26" s="355">
        <f>IF($D$72=$CX$54,0,IF(Basisdaten!$E$15=Basisdaten!$U$32,300,600))</f>
        <v>600</v>
      </c>
      <c r="O26" s="355">
        <f>IF($D$72=$CX$54,0,IF(Basisdaten!$E$15=Basisdaten!$U$32,300,600))</f>
        <v>600</v>
      </c>
      <c r="P26" s="355">
        <f>IF($D$72=$CX$54,0,IF(Basisdaten!$E$15=Basisdaten!$U$32,300,600))</f>
        <v>600</v>
      </c>
      <c r="Q26" s="356">
        <f>SUM(E26:P26)</f>
        <v>7200</v>
      </c>
      <c r="R26" s="37"/>
      <c r="S26" s="1582"/>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1499"/>
      <c r="BC26" s="1500"/>
      <c r="BD26" s="1500"/>
      <c r="BE26" s="1500"/>
      <c r="BF26" s="1500"/>
      <c r="BG26" s="1500"/>
      <c r="BH26" s="1500"/>
      <c r="BI26" s="1500"/>
      <c r="BJ26" s="1500"/>
      <c r="BK26" s="1500"/>
      <c r="BL26" s="1501"/>
      <c r="BM26" s="1498"/>
      <c r="BN26" s="1498"/>
      <c r="BO26" s="50"/>
      <c r="BP26" s="135"/>
      <c r="BQ26" s="135"/>
      <c r="BR26" s="135"/>
      <c r="BS26" s="135"/>
      <c r="BT26" s="135"/>
      <c r="BU26" s="135"/>
      <c r="BV26" s="135"/>
      <c r="BW26" s="135"/>
      <c r="BX26" s="135"/>
      <c r="BY26" s="135"/>
      <c r="CX26" s="296" t="str">
        <f>IF('Deckblatt|Cover'!$I$3=Basisdaten!$E$2,'1 Private Kosten|Costs'!CZ26,'1 Private Kosten|Costs'!CY26)</f>
        <v>Krankenversicherung u Medikamente</v>
      </c>
      <c r="CY26" s="305" t="s">
        <v>517</v>
      </c>
      <c r="CZ26" s="353" t="s">
        <v>518</v>
      </c>
    </row>
    <row r="27" spans="1:104" s="30" customFormat="1" ht="14.25" customHeight="1">
      <c r="B27" s="2135"/>
      <c r="C27" s="345"/>
      <c r="D27" s="365" t="str">
        <f t="shared" si="2"/>
        <v>Unfallversicherung, Berufsunfähigkeit</v>
      </c>
      <c r="E27" s="351"/>
      <c r="F27" s="351"/>
      <c r="G27" s="351"/>
      <c r="H27" s="351"/>
      <c r="I27" s="351"/>
      <c r="J27" s="351"/>
      <c r="K27" s="351"/>
      <c r="L27" s="351"/>
      <c r="M27" s="351"/>
      <c r="N27" s="351"/>
      <c r="O27" s="351"/>
      <c r="P27" s="351"/>
      <c r="Q27" s="356">
        <f>SUM(E27:P27)</f>
        <v>0</v>
      </c>
      <c r="R27" s="37"/>
      <c r="S27" s="1582"/>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1497"/>
      <c r="BC27" s="1502"/>
      <c r="BD27" s="1502"/>
      <c r="BE27" s="1503"/>
      <c r="BF27" s="1503"/>
      <c r="BG27" s="1503"/>
      <c r="BH27" s="1503"/>
      <c r="BI27" s="1502"/>
      <c r="BJ27" s="1502"/>
      <c r="BK27" s="1502"/>
      <c r="BL27" s="1502"/>
      <c r="BM27" s="1498"/>
      <c r="BN27" s="1498"/>
      <c r="BO27" s="50"/>
      <c r="BP27" s="135"/>
      <c r="BQ27" s="135"/>
      <c r="BR27" s="135"/>
      <c r="BS27" s="135"/>
      <c r="BT27" s="135"/>
      <c r="BU27" s="135"/>
      <c r="BV27" s="135"/>
      <c r="BW27" s="135"/>
      <c r="BX27" s="135"/>
      <c r="BY27" s="135"/>
      <c r="CX27" s="296" t="str">
        <f>IF('Deckblatt|Cover'!$I$3=Basisdaten!$E$2,'1 Private Kosten|Costs'!CZ27,'1 Private Kosten|Costs'!CY27)</f>
        <v>Unfallversicherung, Berufsunfähigkeit</v>
      </c>
      <c r="CY27" s="305" t="s">
        <v>20</v>
      </c>
      <c r="CZ27" s="353" t="s">
        <v>170</v>
      </c>
    </row>
    <row r="28" spans="1:104" s="30" customFormat="1" ht="14.25" customHeight="1">
      <c r="B28" s="2135"/>
      <c r="C28" s="345"/>
      <c r="D28" s="365" t="str">
        <f t="shared" si="2"/>
        <v>Hausratsversicherung, Haftpflicht</v>
      </c>
      <c r="E28" s="351"/>
      <c r="F28" s="351"/>
      <c r="G28" s="351"/>
      <c r="H28" s="351"/>
      <c r="I28" s="351"/>
      <c r="J28" s="351"/>
      <c r="K28" s="351"/>
      <c r="L28" s="351"/>
      <c r="M28" s="351"/>
      <c r="N28" s="351"/>
      <c r="O28" s="351"/>
      <c r="P28" s="351"/>
      <c r="Q28" s="356">
        <f>SUM(E28:P28)</f>
        <v>0</v>
      </c>
      <c r="R28" s="37"/>
      <c r="S28" s="1582"/>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1497"/>
      <c r="BC28" s="1440"/>
      <c r="BD28" s="1440"/>
      <c r="BE28" s="1440"/>
      <c r="BF28" s="1440"/>
      <c r="BG28" s="1440"/>
      <c r="BH28" s="1440"/>
      <c r="BI28" s="1440"/>
      <c r="BJ28" s="1440"/>
      <c r="BK28" s="1440"/>
      <c r="BL28" s="1440"/>
      <c r="BM28" s="1498"/>
      <c r="BN28" s="1498"/>
      <c r="BO28" s="50"/>
      <c r="BP28" s="135"/>
      <c r="BQ28" s="135"/>
      <c r="BR28" s="135"/>
      <c r="BS28" s="135"/>
      <c r="BT28" s="135"/>
      <c r="BU28" s="135"/>
      <c r="BV28" s="135"/>
      <c r="BW28" s="135"/>
      <c r="BX28" s="135"/>
      <c r="BY28" s="135"/>
      <c r="CX28" s="296" t="str">
        <f>IF('Deckblatt|Cover'!$I$3=Basisdaten!$E$2,'1 Private Kosten|Costs'!CZ28,'1 Private Kosten|Costs'!CY28)</f>
        <v>Hausratsversicherung, Haftpflicht</v>
      </c>
      <c r="CY28" s="305" t="s">
        <v>21</v>
      </c>
      <c r="CZ28" s="353" t="s">
        <v>373</v>
      </c>
    </row>
    <row r="29" spans="1:104" s="30" customFormat="1" ht="14.25" customHeight="1">
      <c r="B29" s="2135"/>
      <c r="C29" s="345"/>
      <c r="D29" s="371" t="str">
        <f>CX29</f>
        <v xml:space="preserve">Sonstige Versicherungen  </v>
      </c>
      <c r="E29" s="351"/>
      <c r="F29" s="351"/>
      <c r="G29" s="351"/>
      <c r="H29" s="351"/>
      <c r="I29" s="351"/>
      <c r="J29" s="351"/>
      <c r="K29" s="351"/>
      <c r="L29" s="351"/>
      <c r="M29" s="351"/>
      <c r="N29" s="351"/>
      <c r="O29" s="351"/>
      <c r="P29" s="351"/>
      <c r="Q29" s="366">
        <f>SUM(E29:P29)</f>
        <v>0</v>
      </c>
      <c r="R29" s="37"/>
      <c r="S29" s="1582"/>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1497"/>
      <c r="BC29" s="1440"/>
      <c r="BD29" s="1440"/>
      <c r="BE29" s="1440"/>
      <c r="BF29" s="1504"/>
      <c r="BG29" s="1504"/>
      <c r="BH29" s="1504"/>
      <c r="BI29" s="1504"/>
      <c r="BJ29" s="1504"/>
      <c r="BK29" s="1504"/>
      <c r="BL29" s="1440"/>
      <c r="BM29" s="50"/>
      <c r="BN29" s="50"/>
      <c r="BO29" s="50"/>
      <c r="BP29" s="135"/>
      <c r="BQ29" s="135"/>
      <c r="BR29" s="135"/>
      <c r="BS29" s="135"/>
      <c r="BT29" s="135"/>
      <c r="BU29" s="135"/>
      <c r="BV29" s="135"/>
      <c r="BW29" s="135"/>
      <c r="BX29" s="135"/>
      <c r="BY29" s="135"/>
      <c r="CX29" s="296" t="str">
        <f>IF('Deckblatt|Cover'!$I$3=Basisdaten!$E$2,'1 Private Kosten|Costs'!CZ29,'1 Private Kosten|Costs'!CY29)</f>
        <v xml:space="preserve">Sonstige Versicherungen  </v>
      </c>
      <c r="CY29" s="305" t="s">
        <v>520</v>
      </c>
      <c r="CZ29" s="353" t="s">
        <v>521</v>
      </c>
    </row>
    <row r="30" spans="1:104" s="30" customFormat="1">
      <c r="B30" s="2135"/>
      <c r="C30" s="360"/>
      <c r="D30" s="367" t="str">
        <f t="shared" si="2"/>
        <v>Summe</v>
      </c>
      <c r="E30" s="362">
        <f>SUM(E25:E29)</f>
        <v>600</v>
      </c>
      <c r="F30" s="362">
        <f t="shared" ref="F30:P30" si="6">SUM(F25:F29)</f>
        <v>600</v>
      </c>
      <c r="G30" s="362">
        <f t="shared" si="6"/>
        <v>600</v>
      </c>
      <c r="H30" s="362">
        <f t="shared" si="6"/>
        <v>600</v>
      </c>
      <c r="I30" s="362">
        <f t="shared" si="6"/>
        <v>600</v>
      </c>
      <c r="J30" s="362">
        <f t="shared" si="6"/>
        <v>600</v>
      </c>
      <c r="K30" s="362">
        <f t="shared" si="6"/>
        <v>600</v>
      </c>
      <c r="L30" s="362">
        <f t="shared" si="6"/>
        <v>600</v>
      </c>
      <c r="M30" s="362">
        <f t="shared" si="6"/>
        <v>600</v>
      </c>
      <c r="N30" s="362">
        <f t="shared" si="6"/>
        <v>600</v>
      </c>
      <c r="O30" s="362">
        <f t="shared" si="6"/>
        <v>600</v>
      </c>
      <c r="P30" s="362">
        <f t="shared" si="6"/>
        <v>600</v>
      </c>
      <c r="Q30" s="363">
        <f>SUM(Q25:Q29)</f>
        <v>7200</v>
      </c>
      <c r="R30" s="37"/>
      <c r="S30" s="62"/>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1440"/>
      <c r="BB30" s="1498"/>
      <c r="BC30" s="1440"/>
      <c r="BD30" s="1440"/>
      <c r="BE30" s="1505"/>
      <c r="BF30" s="1504"/>
      <c r="BG30" s="1504"/>
      <c r="BH30" s="1504"/>
      <c r="BI30" s="1504"/>
      <c r="BJ30" s="1504"/>
      <c r="BK30" s="1504"/>
      <c r="BL30" s="1440"/>
      <c r="BM30" s="1440"/>
      <c r="BN30" s="1440"/>
      <c r="BO30" s="1440"/>
      <c r="BP30" s="135"/>
      <c r="BQ30" s="135"/>
      <c r="BR30" s="135"/>
      <c r="BS30" s="135"/>
      <c r="BT30" s="135"/>
      <c r="BU30" s="135"/>
      <c r="BV30" s="135"/>
      <c r="BW30" s="135"/>
      <c r="BX30" s="135"/>
      <c r="BY30" s="135"/>
      <c r="CX30" s="296" t="str">
        <f>IF('Deckblatt|Cover'!$I$3=Basisdaten!$E$2,'1 Private Kosten|Costs'!CZ30,'1 Private Kosten|Costs'!CY30)</f>
        <v>Summe</v>
      </c>
      <c r="CY30" s="305" t="s">
        <v>32</v>
      </c>
      <c r="CZ30" s="305" t="s">
        <v>141</v>
      </c>
    </row>
    <row r="31" spans="1:104" s="30" customFormat="1">
      <c r="B31" s="2135"/>
      <c r="C31" s="345">
        <v>5</v>
      </c>
      <c r="D31" s="364" t="str">
        <f t="shared" si="2"/>
        <v>Freizeit / Unterhaltung</v>
      </c>
      <c r="E31" s="347"/>
      <c r="F31" s="348"/>
      <c r="G31" s="348"/>
      <c r="H31" s="348"/>
      <c r="I31" s="348"/>
      <c r="J31" s="348"/>
      <c r="K31" s="348"/>
      <c r="L31" s="348"/>
      <c r="M31" s="348"/>
      <c r="N31" s="348"/>
      <c r="O31" s="348"/>
      <c r="P31" s="348"/>
      <c r="Q31" s="349"/>
      <c r="R31" s="37"/>
      <c r="S31" s="62"/>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1440"/>
      <c r="BB31" s="1498"/>
      <c r="BC31" s="1440"/>
      <c r="BD31" s="1440"/>
      <c r="BE31" s="1440"/>
      <c r="BF31" s="1504"/>
      <c r="BG31" s="1504"/>
      <c r="BH31" s="1504"/>
      <c r="BI31" s="1504"/>
      <c r="BJ31" s="1504"/>
      <c r="BK31" s="1504"/>
      <c r="BL31" s="1440"/>
      <c r="BM31" s="1440"/>
      <c r="BN31" s="1440"/>
      <c r="BO31" s="1440"/>
      <c r="BP31" s="135"/>
      <c r="BQ31" s="135"/>
      <c r="BR31" s="135"/>
      <c r="BS31" s="135"/>
      <c r="BT31" s="135"/>
      <c r="BU31" s="135"/>
      <c r="BV31" s="135"/>
      <c r="BW31" s="135"/>
      <c r="BX31" s="135"/>
      <c r="BY31" s="135"/>
      <c r="CX31" s="296" t="str">
        <f>IF('Deckblatt|Cover'!$I$3=Basisdaten!$E$2,'1 Private Kosten|Costs'!CZ31,'1 Private Kosten|Costs'!CY31)</f>
        <v>Freizeit / Unterhaltung</v>
      </c>
      <c r="CY31" s="305" t="s">
        <v>22</v>
      </c>
      <c r="CZ31" s="353" t="s">
        <v>146</v>
      </c>
    </row>
    <row r="32" spans="1:104" s="30" customFormat="1">
      <c r="B32" s="2135"/>
      <c r="C32" s="345"/>
      <c r="D32" s="365" t="str">
        <f t="shared" si="2"/>
        <v xml:space="preserve">Hobby, Bücher, Geschenke </v>
      </c>
      <c r="E32" s="351"/>
      <c r="F32" s="351"/>
      <c r="G32" s="351"/>
      <c r="H32" s="351"/>
      <c r="I32" s="351"/>
      <c r="J32" s="351"/>
      <c r="K32" s="351"/>
      <c r="L32" s="351"/>
      <c r="M32" s="351"/>
      <c r="N32" s="351"/>
      <c r="O32" s="351"/>
      <c r="P32" s="351"/>
      <c r="Q32" s="356">
        <f>SUM(E32:P32)</f>
        <v>0</v>
      </c>
      <c r="R32" s="37"/>
      <c r="S32" s="1582"/>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1440"/>
      <c r="BB32" s="1506"/>
      <c r="BC32" s="1440"/>
      <c r="BD32" s="1507"/>
      <c r="BE32" s="1504"/>
      <c r="BF32" s="1504"/>
      <c r="BG32" s="1504"/>
      <c r="BH32" s="1504"/>
      <c r="BI32" s="1504"/>
      <c r="BJ32" s="1504"/>
      <c r="BK32" s="1504"/>
      <c r="BL32" s="1504"/>
      <c r="BM32" s="1440"/>
      <c r="BN32" s="1440"/>
      <c r="BO32" s="1440"/>
      <c r="BP32" s="135"/>
      <c r="BQ32" s="135"/>
      <c r="BR32" s="135"/>
      <c r="BS32" s="135"/>
      <c r="BT32" s="135"/>
      <c r="BU32" s="135"/>
      <c r="BV32" s="135"/>
      <c r="BW32" s="135"/>
      <c r="BX32" s="135"/>
      <c r="BY32" s="135"/>
      <c r="CX32" s="296" t="str">
        <f>IF('Deckblatt|Cover'!$I$3=Basisdaten!$E$2,'1 Private Kosten|Costs'!CZ32,'1 Private Kosten|Costs'!CY32)</f>
        <v xml:space="preserve">Hobby, Bücher, Geschenke </v>
      </c>
      <c r="CY32" s="305" t="s">
        <v>23</v>
      </c>
      <c r="CZ32" s="353" t="s">
        <v>371</v>
      </c>
    </row>
    <row r="33" spans="2:104" s="30" customFormat="1">
      <c r="B33" s="2135"/>
      <c r="C33" s="345"/>
      <c r="D33" s="365" t="str">
        <f t="shared" si="2"/>
        <v>Urlaub, Reisen, Sonstiges</v>
      </c>
      <c r="E33" s="355"/>
      <c r="F33" s="355"/>
      <c r="G33" s="355"/>
      <c r="H33" s="355"/>
      <c r="I33" s="355"/>
      <c r="J33" s="355"/>
      <c r="K33" s="355"/>
      <c r="L33" s="355"/>
      <c r="M33" s="355"/>
      <c r="N33" s="355"/>
      <c r="O33" s="355"/>
      <c r="P33" s="355"/>
      <c r="Q33" s="366">
        <f>SUM(E33:P33)</f>
        <v>0</v>
      </c>
      <c r="R33" s="37"/>
      <c r="S33" s="1582"/>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1504"/>
      <c r="BB33" s="1504"/>
      <c r="BC33" s="1503"/>
      <c r="BD33" s="1500"/>
      <c r="BE33" s="1503"/>
      <c r="BF33" s="1500"/>
      <c r="BG33" s="1503"/>
      <c r="BH33" s="1500"/>
      <c r="BI33" s="1503"/>
      <c r="BJ33" s="1500"/>
      <c r="BK33" s="1503"/>
      <c r="BL33" s="1500"/>
      <c r="BM33" s="1440"/>
      <c r="BN33" s="1502"/>
      <c r="BO33" s="1440"/>
      <c r="BP33" s="135"/>
      <c r="BQ33" s="135"/>
      <c r="BR33" s="135"/>
      <c r="BS33" s="135"/>
      <c r="BT33" s="135"/>
      <c r="BU33" s="135"/>
      <c r="BV33" s="135"/>
      <c r="BW33" s="135"/>
      <c r="BX33" s="135"/>
      <c r="BY33" s="135"/>
      <c r="CX33" s="296" t="str">
        <f>IF('Deckblatt|Cover'!$I$3=Basisdaten!$E$2,'1 Private Kosten|Costs'!CZ33,'1 Private Kosten|Costs'!CY33)</f>
        <v>Urlaub, Reisen, Sonstiges</v>
      </c>
      <c r="CY33" s="305" t="s">
        <v>24</v>
      </c>
      <c r="CZ33" s="353" t="s">
        <v>372</v>
      </c>
    </row>
    <row r="34" spans="2:104" s="30" customFormat="1">
      <c r="B34" s="2135"/>
      <c r="C34" s="360"/>
      <c r="D34" s="367" t="str">
        <f t="shared" si="2"/>
        <v>Summe</v>
      </c>
      <c r="E34" s="362">
        <f>SUM(E32:E33)</f>
        <v>0</v>
      </c>
      <c r="F34" s="362">
        <f t="shared" ref="F34:P34" si="7">SUM(F32:F33)</f>
        <v>0</v>
      </c>
      <c r="G34" s="362">
        <f t="shared" si="7"/>
        <v>0</v>
      </c>
      <c r="H34" s="362">
        <f t="shared" si="7"/>
        <v>0</v>
      </c>
      <c r="I34" s="362">
        <f t="shared" si="7"/>
        <v>0</v>
      </c>
      <c r="J34" s="362">
        <f t="shared" si="7"/>
        <v>0</v>
      </c>
      <c r="K34" s="362">
        <f t="shared" si="7"/>
        <v>0</v>
      </c>
      <c r="L34" s="362">
        <f t="shared" si="7"/>
        <v>0</v>
      </c>
      <c r="M34" s="362">
        <f t="shared" si="7"/>
        <v>0</v>
      </c>
      <c r="N34" s="362">
        <f t="shared" si="7"/>
        <v>0</v>
      </c>
      <c r="O34" s="362">
        <f t="shared" si="7"/>
        <v>0</v>
      </c>
      <c r="P34" s="362">
        <f t="shared" si="7"/>
        <v>0</v>
      </c>
      <c r="Q34" s="363">
        <f>SUM(Q32:Q33)</f>
        <v>0</v>
      </c>
      <c r="R34" s="44"/>
      <c r="S34" s="62"/>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1504"/>
      <c r="BB34" s="1504"/>
      <c r="BC34" s="1508"/>
      <c r="BD34" s="1500"/>
      <c r="BE34" s="1503"/>
      <c r="BF34" s="1500"/>
      <c r="BG34" s="1503"/>
      <c r="BH34" s="1500"/>
      <c r="BI34" s="1503"/>
      <c r="BJ34" s="1500"/>
      <c r="BK34" s="1503"/>
      <c r="BL34" s="1500"/>
      <c r="BM34" s="50"/>
      <c r="BN34" s="1502"/>
      <c r="BO34" s="1509"/>
      <c r="BP34" s="135"/>
      <c r="BQ34" s="135"/>
      <c r="BR34" s="135"/>
      <c r="BS34" s="135"/>
      <c r="BT34" s="135"/>
      <c r="BU34" s="135"/>
      <c r="BV34" s="135"/>
      <c r="BW34" s="135"/>
      <c r="BX34" s="135"/>
      <c r="BY34" s="135"/>
      <c r="CX34" s="296" t="str">
        <f>IF('Deckblatt|Cover'!$I$3=Basisdaten!$E$2,'1 Private Kosten|Costs'!CZ34,'1 Private Kosten|Costs'!CY34)</f>
        <v>Summe</v>
      </c>
      <c r="CY34" s="305" t="s">
        <v>32</v>
      </c>
      <c r="CZ34" s="305" t="s">
        <v>141</v>
      </c>
    </row>
    <row r="35" spans="2:104" s="30" customFormat="1">
      <c r="B35" s="2135"/>
      <c r="C35" s="377">
        <v>6</v>
      </c>
      <c r="D35" s="364" t="str">
        <f t="shared" si="2"/>
        <v>Zahlungsverpflichtungen</v>
      </c>
      <c r="E35" s="347"/>
      <c r="F35" s="348"/>
      <c r="G35" s="348"/>
      <c r="H35" s="348"/>
      <c r="I35" s="348"/>
      <c r="J35" s="348"/>
      <c r="K35" s="348"/>
      <c r="L35" s="348"/>
      <c r="M35" s="348"/>
      <c r="N35" s="348"/>
      <c r="O35" s="348"/>
      <c r="P35" s="348"/>
      <c r="Q35" s="349"/>
      <c r="R35" s="37"/>
      <c r="S35" s="62"/>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1504"/>
      <c r="BB35" s="1504"/>
      <c r="BC35" s="1508"/>
      <c r="BD35" s="1500"/>
      <c r="BE35" s="1503"/>
      <c r="BF35" s="1500"/>
      <c r="BG35" s="1503"/>
      <c r="BH35" s="1500"/>
      <c r="BI35" s="1503"/>
      <c r="BJ35" s="1500"/>
      <c r="BK35" s="1503"/>
      <c r="BL35" s="1500"/>
      <c r="BM35" s="50"/>
      <c r="BN35" s="1502"/>
      <c r="BO35" s="1509"/>
      <c r="BP35" s="135"/>
      <c r="BQ35" s="135"/>
      <c r="BR35" s="135"/>
      <c r="BS35" s="135"/>
      <c r="BT35" s="135"/>
      <c r="BU35" s="135"/>
      <c r="BV35" s="135"/>
      <c r="BW35" s="135"/>
      <c r="BX35" s="135"/>
      <c r="BY35" s="135"/>
      <c r="CX35" s="296" t="str">
        <f>IF('Deckblatt|Cover'!$I$3=Basisdaten!$E$2,'1 Private Kosten|Costs'!CZ35,'1 Private Kosten|Costs'!CY35)</f>
        <v>Zahlungsverpflichtungen</v>
      </c>
      <c r="CY35" s="305" t="s">
        <v>28</v>
      </c>
      <c r="CZ35" s="353" t="s">
        <v>176</v>
      </c>
    </row>
    <row r="36" spans="2:104" s="30" customFormat="1">
      <c r="B36" s="2135"/>
      <c r="C36" s="345"/>
      <c r="D36" s="365" t="str">
        <f t="shared" si="2"/>
        <v>Unterhalt, Kredittilgung, Weiterbildung</v>
      </c>
      <c r="E36" s="351"/>
      <c r="F36" s="351"/>
      <c r="G36" s="351"/>
      <c r="H36" s="351"/>
      <c r="I36" s="351"/>
      <c r="J36" s="351"/>
      <c r="K36" s="351"/>
      <c r="L36" s="351"/>
      <c r="M36" s="351"/>
      <c r="N36" s="351"/>
      <c r="O36" s="351"/>
      <c r="P36" s="351"/>
      <c r="Q36" s="356">
        <f>SUM(E36:P36)</f>
        <v>0</v>
      </c>
      <c r="R36" s="37"/>
      <c r="S36" s="1582"/>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1504"/>
      <c r="BB36" s="1504"/>
      <c r="BC36" s="1508"/>
      <c r="BD36" s="1500"/>
      <c r="BE36" s="1503"/>
      <c r="BF36" s="1500"/>
      <c r="BG36" s="1503"/>
      <c r="BH36" s="1500"/>
      <c r="BI36" s="1503"/>
      <c r="BJ36" s="1500"/>
      <c r="BK36" s="1503"/>
      <c r="BL36" s="1500"/>
      <c r="BM36" s="50"/>
      <c r="BN36" s="1502"/>
      <c r="BO36" s="1509"/>
      <c r="BP36" s="135"/>
      <c r="BQ36" s="135"/>
      <c r="BR36" s="135"/>
      <c r="BS36" s="135"/>
      <c r="BT36" s="135"/>
      <c r="BU36" s="135"/>
      <c r="BV36" s="135"/>
      <c r="BW36" s="135"/>
      <c r="BX36" s="135"/>
      <c r="BY36" s="135"/>
      <c r="CX36" s="296" t="str">
        <f>IF('Deckblatt|Cover'!$I$3=Basisdaten!$E$2,'1 Private Kosten|Costs'!CZ36,'1 Private Kosten|Costs'!CY36)</f>
        <v>Unterhalt, Kredittilgung, Weiterbildung</v>
      </c>
      <c r="CY36" s="305" t="s">
        <v>29</v>
      </c>
      <c r="CZ36" s="353" t="s">
        <v>374</v>
      </c>
    </row>
    <row r="37" spans="2:104" s="30" customFormat="1">
      <c r="B37" s="2135"/>
      <c r="C37" s="345"/>
      <c r="D37" s="371" t="str">
        <f>CX37</f>
        <v xml:space="preserve">Sonstige private Kredite (Zins + Tilg.)  </v>
      </c>
      <c r="E37" s="355">
        <v>0</v>
      </c>
      <c r="F37" s="355">
        <v>0</v>
      </c>
      <c r="G37" s="355">
        <v>0</v>
      </c>
      <c r="H37" s="355">
        <v>0</v>
      </c>
      <c r="I37" s="355">
        <v>0</v>
      </c>
      <c r="J37" s="355">
        <v>0</v>
      </c>
      <c r="K37" s="355">
        <v>0</v>
      </c>
      <c r="L37" s="355">
        <v>0</v>
      </c>
      <c r="M37" s="355">
        <v>0</v>
      </c>
      <c r="N37" s="355">
        <v>0</v>
      </c>
      <c r="O37" s="355">
        <v>0</v>
      </c>
      <c r="P37" s="355">
        <v>0</v>
      </c>
      <c r="Q37" s="366">
        <f>SUM(E37:P37)</f>
        <v>0</v>
      </c>
      <c r="R37" s="37"/>
      <c r="S37" s="1582"/>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1504"/>
      <c r="BB37" s="1504"/>
      <c r="BC37" s="1508"/>
      <c r="BD37" s="1500"/>
      <c r="BE37" s="1503"/>
      <c r="BF37" s="1500"/>
      <c r="BG37" s="1503"/>
      <c r="BH37" s="1500"/>
      <c r="BI37" s="1503"/>
      <c r="BJ37" s="1500"/>
      <c r="BK37" s="1503"/>
      <c r="BL37" s="1500"/>
      <c r="BM37" s="50"/>
      <c r="BN37" s="1502"/>
      <c r="BO37" s="1509"/>
      <c r="BP37" s="135"/>
      <c r="BQ37" s="135"/>
      <c r="BR37" s="135"/>
      <c r="BS37" s="135"/>
      <c r="BT37" s="135"/>
      <c r="BU37" s="135"/>
      <c r="BV37" s="135"/>
      <c r="BW37" s="135"/>
      <c r="BX37" s="135"/>
      <c r="BY37" s="135"/>
      <c r="CX37" s="296" t="str">
        <f>IF('Deckblatt|Cover'!$I$3=Basisdaten!$E$2,'1 Private Kosten|Costs'!CZ37,'1 Private Kosten|Costs'!CY37)</f>
        <v xml:space="preserve">Sonstige private Kredite (Zins + Tilg.)  </v>
      </c>
      <c r="CY37" s="305" t="s">
        <v>522</v>
      </c>
      <c r="CZ37" s="353" t="s">
        <v>523</v>
      </c>
    </row>
    <row r="38" spans="2:104" s="30" customFormat="1">
      <c r="B38" s="2135"/>
      <c r="C38" s="360"/>
      <c r="D38" s="367" t="str">
        <f t="shared" si="2"/>
        <v>Summe</v>
      </c>
      <c r="E38" s="362">
        <f>SUM(E36:E37)</f>
        <v>0</v>
      </c>
      <c r="F38" s="362">
        <f t="shared" ref="F38:P38" si="8">SUM(F36:F37)</f>
        <v>0</v>
      </c>
      <c r="G38" s="362">
        <f t="shared" si="8"/>
        <v>0</v>
      </c>
      <c r="H38" s="362">
        <f t="shared" si="8"/>
        <v>0</v>
      </c>
      <c r="I38" s="362">
        <f t="shared" si="8"/>
        <v>0</v>
      </c>
      <c r="J38" s="362">
        <f t="shared" si="8"/>
        <v>0</v>
      </c>
      <c r="K38" s="362">
        <f t="shared" si="8"/>
        <v>0</v>
      </c>
      <c r="L38" s="362">
        <f t="shared" si="8"/>
        <v>0</v>
      </c>
      <c r="M38" s="362">
        <f t="shared" si="8"/>
        <v>0</v>
      </c>
      <c r="N38" s="362">
        <f t="shared" si="8"/>
        <v>0</v>
      </c>
      <c r="O38" s="362">
        <f t="shared" si="8"/>
        <v>0</v>
      </c>
      <c r="P38" s="362">
        <f t="shared" si="8"/>
        <v>0</v>
      </c>
      <c r="Q38" s="363">
        <f>SUM(Q36:Q37)</f>
        <v>0</v>
      </c>
      <c r="R38" s="37"/>
      <c r="S38" s="62"/>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135"/>
      <c r="BH38" s="135"/>
      <c r="BI38" s="135"/>
      <c r="BJ38" s="135"/>
      <c r="BK38" s="135"/>
      <c r="BL38" s="135"/>
      <c r="BM38" s="135"/>
      <c r="BN38" s="135"/>
      <c r="BO38" s="135"/>
      <c r="BP38" s="135"/>
      <c r="BQ38" s="135"/>
      <c r="BR38" s="135"/>
      <c r="BS38" s="135"/>
      <c r="BT38" s="135"/>
      <c r="BU38" s="135"/>
      <c r="BV38" s="135"/>
      <c r="BW38" s="135"/>
      <c r="BX38" s="135"/>
      <c r="BY38" s="135"/>
      <c r="CX38" s="296" t="str">
        <f>IF('Deckblatt|Cover'!$I$3=Basisdaten!$E$2,'1 Private Kosten|Costs'!CZ38,'1 Private Kosten|Costs'!CY38)</f>
        <v>Summe</v>
      </c>
      <c r="CY38" s="305" t="s">
        <v>32</v>
      </c>
      <c r="CZ38" s="305" t="s">
        <v>141</v>
      </c>
    </row>
    <row r="39" spans="2:104" s="30" customFormat="1">
      <c r="B39" s="2135"/>
      <c r="C39" s="377">
        <v>7</v>
      </c>
      <c r="D39" s="364" t="str">
        <f t="shared" si="2"/>
        <v>Verschiedenes</v>
      </c>
      <c r="E39" s="347"/>
      <c r="F39" s="348"/>
      <c r="G39" s="348"/>
      <c r="H39" s="348"/>
      <c r="I39" s="348"/>
      <c r="J39" s="348"/>
      <c r="K39" s="348"/>
      <c r="L39" s="348"/>
      <c r="M39" s="348"/>
      <c r="N39" s="348"/>
      <c r="O39" s="348"/>
      <c r="P39" s="348"/>
      <c r="Q39" s="349"/>
      <c r="R39" s="37"/>
      <c r="S39" s="62"/>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135"/>
      <c r="BH39" s="135"/>
      <c r="BI39" s="135"/>
      <c r="BJ39" s="135"/>
      <c r="BK39" s="135"/>
      <c r="BL39" s="135"/>
      <c r="BM39" s="135"/>
      <c r="BN39" s="135"/>
      <c r="BO39" s="135"/>
      <c r="BP39" s="135"/>
      <c r="BQ39" s="135"/>
      <c r="BR39" s="135"/>
      <c r="BS39" s="135"/>
      <c r="BT39" s="135"/>
      <c r="BU39" s="135"/>
      <c r="BV39" s="135"/>
      <c r="BW39" s="135"/>
      <c r="BX39" s="135"/>
      <c r="BY39" s="135"/>
      <c r="CX39" s="296" t="str">
        <f>IF('Deckblatt|Cover'!$I$3=Basisdaten!$E$2,'1 Private Kosten|Costs'!CZ39,'1 Private Kosten|Costs'!CY39)</f>
        <v>Verschiedenes</v>
      </c>
      <c r="CY39" s="305" t="s">
        <v>25</v>
      </c>
      <c r="CZ39" s="353" t="s">
        <v>172</v>
      </c>
    </row>
    <row r="40" spans="2:104" s="30" customFormat="1">
      <c r="B40" s="1755"/>
      <c r="C40" s="345"/>
      <c r="D40" s="365" t="str">
        <f t="shared" si="2"/>
        <v>Vereinsbeiträge, Spenden, Bausparen</v>
      </c>
      <c r="E40" s="351"/>
      <c r="F40" s="351"/>
      <c r="G40" s="351"/>
      <c r="H40" s="351"/>
      <c r="I40" s="351"/>
      <c r="J40" s="351"/>
      <c r="K40" s="351"/>
      <c r="L40" s="351"/>
      <c r="M40" s="351"/>
      <c r="N40" s="351"/>
      <c r="O40" s="351"/>
      <c r="P40" s="351"/>
      <c r="Q40" s="356">
        <f>SUM(E40:P40)</f>
        <v>0</v>
      </c>
      <c r="R40" s="45"/>
      <c r="S40" s="1582"/>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135"/>
      <c r="BH40" s="135"/>
      <c r="BI40" s="135"/>
      <c r="BJ40" s="135"/>
      <c r="BK40" s="135"/>
      <c r="BL40" s="135"/>
      <c r="BM40" s="135"/>
      <c r="BN40" s="135"/>
      <c r="BO40" s="135"/>
      <c r="BP40" s="135"/>
      <c r="BQ40" s="135"/>
      <c r="BR40" s="135"/>
      <c r="BS40" s="135"/>
      <c r="BT40" s="135"/>
      <c r="BU40" s="135"/>
      <c r="BV40" s="135"/>
      <c r="BW40" s="135"/>
      <c r="BX40" s="135"/>
      <c r="BY40" s="135"/>
      <c r="CX40" s="296" t="str">
        <f>IF('Deckblatt|Cover'!$I$3=Basisdaten!$E$2,'1 Private Kosten|Costs'!CZ40,'1 Private Kosten|Costs'!CY40)</f>
        <v>Vereinsbeiträge, Spenden, Bausparen</v>
      </c>
      <c r="CY40" s="305" t="s">
        <v>26</v>
      </c>
      <c r="CZ40" s="353" t="s">
        <v>171</v>
      </c>
    </row>
    <row r="41" spans="2:104" s="30" customFormat="1">
      <c r="B41" s="1755"/>
      <c r="C41" s="345"/>
      <c r="D41" s="365" t="str">
        <f t="shared" si="2"/>
        <v>Beratung (Steuer, Recht usw.)</v>
      </c>
      <c r="E41" s="355"/>
      <c r="F41" s="355"/>
      <c r="G41" s="355"/>
      <c r="H41" s="355"/>
      <c r="I41" s="355"/>
      <c r="J41" s="355"/>
      <c r="K41" s="355"/>
      <c r="L41" s="355"/>
      <c r="M41" s="355"/>
      <c r="N41" s="355"/>
      <c r="O41" s="355"/>
      <c r="P41" s="355"/>
      <c r="Q41" s="356">
        <f>SUM(E41:P41)</f>
        <v>0</v>
      </c>
      <c r="R41" s="45"/>
      <c r="S41" s="1582"/>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135"/>
      <c r="BH41" s="135"/>
      <c r="BI41" s="135"/>
      <c r="BJ41" s="135"/>
      <c r="BK41" s="135"/>
      <c r="BL41" s="135"/>
      <c r="BM41" s="135"/>
      <c r="BN41" s="135"/>
      <c r="BO41" s="135"/>
      <c r="BP41" s="135"/>
      <c r="BQ41" s="135"/>
      <c r="BR41" s="135"/>
      <c r="BS41" s="135"/>
      <c r="BT41" s="135"/>
      <c r="BU41" s="135"/>
      <c r="BV41" s="135"/>
      <c r="BW41" s="135"/>
      <c r="BX41" s="135"/>
      <c r="BY41" s="135"/>
      <c r="CX41" s="296" t="str">
        <f>IF('Deckblatt|Cover'!$I$3=Basisdaten!$E$2,'1 Private Kosten|Costs'!CZ41,'1 Private Kosten|Costs'!CY41)</f>
        <v>Beratung (Steuer, Recht usw.)</v>
      </c>
      <c r="CY41" s="305" t="s">
        <v>27</v>
      </c>
      <c r="CZ41" s="353" t="s">
        <v>375</v>
      </c>
    </row>
    <row r="42" spans="2:104" s="30" customFormat="1">
      <c r="B42" s="1755"/>
      <c r="C42" s="345"/>
      <c r="D42" s="365" t="str">
        <f>CX42</f>
        <v>Steueraufkommen s. Rentabilität Tab 5</v>
      </c>
      <c r="E42" s="1514">
        <f t="shared" ref="E42:P42" si="9">$E$88/12</f>
        <v>0</v>
      </c>
      <c r="F42" s="1514">
        <f t="shared" si="9"/>
        <v>0</v>
      </c>
      <c r="G42" s="1514">
        <f t="shared" si="9"/>
        <v>0</v>
      </c>
      <c r="H42" s="1514">
        <f t="shared" si="9"/>
        <v>0</v>
      </c>
      <c r="I42" s="1514">
        <f t="shared" si="9"/>
        <v>0</v>
      </c>
      <c r="J42" s="1514">
        <f t="shared" si="9"/>
        <v>0</v>
      </c>
      <c r="K42" s="1514">
        <f t="shared" si="9"/>
        <v>0</v>
      </c>
      <c r="L42" s="1514">
        <f t="shared" si="9"/>
        <v>0</v>
      </c>
      <c r="M42" s="1514">
        <f t="shared" si="9"/>
        <v>0</v>
      </c>
      <c r="N42" s="1514">
        <f t="shared" si="9"/>
        <v>0</v>
      </c>
      <c r="O42" s="1514">
        <f t="shared" si="9"/>
        <v>0</v>
      </c>
      <c r="P42" s="1514">
        <f t="shared" si="9"/>
        <v>0</v>
      </c>
      <c r="Q42" s="1513">
        <f>SUM(E42:P42)</f>
        <v>0</v>
      </c>
      <c r="R42" s="45"/>
      <c r="S42" s="1582"/>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135"/>
      <c r="BH42" s="135"/>
      <c r="BI42" s="135"/>
      <c r="BJ42" s="135"/>
      <c r="BK42" s="135"/>
      <c r="BL42" s="135"/>
      <c r="BM42" s="135"/>
      <c r="BN42" s="135"/>
      <c r="BO42" s="135"/>
      <c r="BP42" s="135"/>
      <c r="BQ42" s="135"/>
      <c r="BR42" s="135"/>
      <c r="BS42" s="135"/>
      <c r="BT42" s="135"/>
      <c r="BU42" s="135"/>
      <c r="BV42" s="135"/>
      <c r="BW42" s="135"/>
      <c r="BX42" s="135"/>
      <c r="BY42" s="135"/>
      <c r="CX42" s="296" t="str">
        <f>IF('Deckblatt|Cover'!$I$3=Basisdaten!$E$2,'1 Private Kosten|Costs'!CZ42,'1 Private Kosten|Costs'!CY42)</f>
        <v>Steueraufkommen s. Rentabilität Tab 5</v>
      </c>
      <c r="CY42" s="305" t="str">
        <f>IF(Basisdaten!E15='0 Daten|Data'!CX5,"Schätzung EKSt (max) auf Gehalt","Steueraufkommen s. Rentabilität Tab 5")</f>
        <v>Steueraufkommen s. Rentabilität Tab 5</v>
      </c>
      <c r="CZ42" s="353" t="str">
        <f>IF(Basisdaten!E15='0 Daten|Data'!CX5,"Estimation Incomming Tax (max) on salary","Tax see Rentability Tab 5")</f>
        <v>Tax see Rentability Tab 5</v>
      </c>
    </row>
    <row r="43" spans="2:104" s="30" customFormat="1" ht="13.5" customHeight="1">
      <c r="B43" s="37"/>
      <c r="C43" s="345"/>
      <c r="D43" s="378" t="str">
        <f>CX43</f>
        <v xml:space="preserve">Sonstiges  </v>
      </c>
      <c r="E43" s="351"/>
      <c r="F43" s="351"/>
      <c r="G43" s="351"/>
      <c r="H43" s="351"/>
      <c r="I43" s="351"/>
      <c r="J43" s="351"/>
      <c r="K43" s="351"/>
      <c r="L43" s="351"/>
      <c r="M43" s="351"/>
      <c r="N43" s="351"/>
      <c r="O43" s="351"/>
      <c r="P43" s="351"/>
      <c r="Q43" s="366">
        <f>SUM(E43:P43)</f>
        <v>0</v>
      </c>
      <c r="R43" s="37"/>
      <c r="S43" s="1582"/>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135"/>
      <c r="BH43" s="135"/>
      <c r="BI43" s="135"/>
      <c r="BJ43" s="135"/>
      <c r="BK43" s="135"/>
      <c r="BL43" s="135"/>
      <c r="BM43" s="135"/>
      <c r="BN43" s="135"/>
      <c r="BO43" s="135"/>
      <c r="BP43" s="135"/>
      <c r="BQ43" s="135"/>
      <c r="BR43" s="135"/>
      <c r="BS43" s="135"/>
      <c r="BT43" s="135"/>
      <c r="BU43" s="135"/>
      <c r="BV43" s="135"/>
      <c r="BW43" s="135"/>
      <c r="BX43" s="135"/>
      <c r="BY43" s="135"/>
      <c r="CX43" s="296" t="str">
        <f>IF('Deckblatt|Cover'!$I$3=Basisdaten!$E$2,'1 Private Kosten|Costs'!CZ43,'1 Private Kosten|Costs'!CY43)</f>
        <v xml:space="preserve">Sonstiges  </v>
      </c>
      <c r="CY43" s="305" t="s">
        <v>524</v>
      </c>
      <c r="CZ43" s="353" t="s">
        <v>525</v>
      </c>
    </row>
    <row r="44" spans="2:104" s="30" customFormat="1">
      <c r="B44" s="37"/>
      <c r="C44" s="360"/>
      <c r="D44" s="379" t="str">
        <f t="shared" si="2"/>
        <v>Summe</v>
      </c>
      <c r="E44" s="362">
        <f t="shared" ref="E44:Q44" si="10">SUM(E40:E43)</f>
        <v>0</v>
      </c>
      <c r="F44" s="362">
        <f t="shared" si="10"/>
        <v>0</v>
      </c>
      <c r="G44" s="362">
        <f t="shared" si="10"/>
        <v>0</v>
      </c>
      <c r="H44" s="362">
        <f t="shared" si="10"/>
        <v>0</v>
      </c>
      <c r="I44" s="362">
        <f t="shared" si="10"/>
        <v>0</v>
      </c>
      <c r="J44" s="362">
        <f t="shared" si="10"/>
        <v>0</v>
      </c>
      <c r="K44" s="362">
        <f t="shared" si="10"/>
        <v>0</v>
      </c>
      <c r="L44" s="362">
        <f t="shared" si="10"/>
        <v>0</v>
      </c>
      <c r="M44" s="362">
        <f t="shared" si="10"/>
        <v>0</v>
      </c>
      <c r="N44" s="362">
        <f t="shared" si="10"/>
        <v>0</v>
      </c>
      <c r="O44" s="362">
        <f t="shared" si="10"/>
        <v>0</v>
      </c>
      <c r="P44" s="362">
        <f t="shared" si="10"/>
        <v>0</v>
      </c>
      <c r="Q44" s="380">
        <f t="shared" si="10"/>
        <v>0</v>
      </c>
      <c r="R44" s="37"/>
      <c r="S44" s="62"/>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135"/>
      <c r="BH44" s="135"/>
      <c r="BI44" s="135"/>
      <c r="BJ44" s="135"/>
      <c r="BK44" s="135"/>
      <c r="BL44" s="135"/>
      <c r="BM44" s="135"/>
      <c r="BN44" s="135"/>
      <c r="BO44" s="135"/>
      <c r="BP44" s="135"/>
      <c r="BQ44" s="135"/>
      <c r="BR44" s="135"/>
      <c r="BS44" s="135"/>
      <c r="BT44" s="135"/>
      <c r="BU44" s="135"/>
      <c r="BV44" s="135"/>
      <c r="BW44" s="135"/>
      <c r="BX44" s="135"/>
      <c r="BY44" s="135"/>
      <c r="CX44" s="296" t="str">
        <f>IF('Deckblatt|Cover'!$I$3=Basisdaten!$E$2,'1 Private Kosten|Costs'!CZ44,'1 Private Kosten|Costs'!CY44)</f>
        <v>Summe</v>
      </c>
      <c r="CY44" s="305" t="s">
        <v>32</v>
      </c>
      <c r="CZ44" s="305" t="s">
        <v>141</v>
      </c>
    </row>
    <row r="45" spans="2:104" s="30" customFormat="1">
      <c r="B45" s="37"/>
      <c r="C45" s="37"/>
      <c r="D45" s="367" t="str">
        <f t="shared" si="2"/>
        <v>Gesamtausgaben ohne EkSt</v>
      </c>
      <c r="E45" s="362">
        <f t="shared" ref="E45:P45" si="11">SUM(E5:E44)/2</f>
        <v>600</v>
      </c>
      <c r="F45" s="362">
        <f t="shared" si="11"/>
        <v>600</v>
      </c>
      <c r="G45" s="362">
        <f t="shared" si="11"/>
        <v>600</v>
      </c>
      <c r="H45" s="362">
        <f t="shared" si="11"/>
        <v>600</v>
      </c>
      <c r="I45" s="362">
        <f t="shared" si="11"/>
        <v>600</v>
      </c>
      <c r="J45" s="362">
        <f t="shared" si="11"/>
        <v>600</v>
      </c>
      <c r="K45" s="362">
        <f t="shared" si="11"/>
        <v>600</v>
      </c>
      <c r="L45" s="362">
        <f t="shared" si="11"/>
        <v>600</v>
      </c>
      <c r="M45" s="362">
        <f t="shared" si="11"/>
        <v>600</v>
      </c>
      <c r="N45" s="362">
        <f t="shared" si="11"/>
        <v>600</v>
      </c>
      <c r="O45" s="362">
        <f t="shared" si="11"/>
        <v>600</v>
      </c>
      <c r="P45" s="362">
        <f t="shared" si="11"/>
        <v>600</v>
      </c>
      <c r="Q45" s="363">
        <f>SUM(Q6:Q44)/2</f>
        <v>7200</v>
      </c>
      <c r="R45" s="37"/>
      <c r="S45" s="62"/>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135"/>
      <c r="BH45" s="135"/>
      <c r="BI45" s="135"/>
      <c r="BJ45" s="135"/>
      <c r="BK45" s="135"/>
      <c r="BL45" s="135"/>
      <c r="BM45" s="135"/>
      <c r="BN45" s="135"/>
      <c r="BO45" s="135"/>
      <c r="BP45" s="135"/>
      <c r="BQ45" s="135"/>
      <c r="BR45" s="135"/>
      <c r="BS45" s="135"/>
      <c r="BT45" s="135"/>
      <c r="BU45" s="135"/>
      <c r="BV45" s="135"/>
      <c r="BW45" s="135"/>
      <c r="BX45" s="135"/>
      <c r="BY45" s="135"/>
      <c r="CX45" s="296" t="str">
        <f>IF('Deckblatt|Cover'!$I$3=Basisdaten!$E$2,'1 Private Kosten|Costs'!CZ45,'1 Private Kosten|Costs'!CY45)</f>
        <v>Gesamtausgaben ohne EkSt</v>
      </c>
      <c r="CY45" s="305" t="str">
        <f>IF(Basisdaten!E15=Basisdaten!U32,"Gesamtausgaben mit EkSt","Gesamtausgaben ohne EkSt")</f>
        <v>Gesamtausgaben ohne EkSt</v>
      </c>
      <c r="CZ45" s="353" t="str">
        <f>IF(Basisdaten!E15=Basisdaten!U32,"Total expenses with income tax","Total expenses w/o income tax")</f>
        <v>Total expenses w/o income tax</v>
      </c>
    </row>
    <row r="46" spans="2:104" s="30" customFormat="1">
      <c r="B46" s="37"/>
      <c r="C46" s="37"/>
      <c r="E46" s="381"/>
      <c r="F46" s="381"/>
      <c r="G46" s="381"/>
      <c r="H46" s="381"/>
      <c r="I46" s="381"/>
      <c r="J46" s="381"/>
      <c r="K46" s="381"/>
      <c r="L46" s="381"/>
      <c r="M46" s="381"/>
      <c r="N46" s="381"/>
      <c r="O46" s="381"/>
      <c r="P46" s="381"/>
      <c r="Q46" s="382"/>
      <c r="R46" s="37"/>
      <c r="S46" s="62"/>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135"/>
      <c r="BH46" s="135"/>
      <c r="BI46" s="135"/>
      <c r="BJ46" s="135"/>
      <c r="BK46" s="135"/>
      <c r="BL46" s="135"/>
      <c r="BM46" s="135"/>
      <c r="BN46" s="135"/>
      <c r="BO46" s="135"/>
      <c r="BP46" s="135"/>
      <c r="BQ46" s="135"/>
      <c r="BR46" s="135"/>
      <c r="BS46" s="135"/>
      <c r="BT46" s="135"/>
      <c r="BU46" s="135"/>
      <c r="BV46" s="135"/>
      <c r="BW46" s="135"/>
      <c r="BX46" s="135"/>
      <c r="BY46" s="135"/>
      <c r="CX46" s="296"/>
      <c r="CY46" s="305"/>
      <c r="CZ46" s="353"/>
    </row>
    <row r="47" spans="2:104" s="69" customFormat="1">
      <c r="E47" s="110">
        <f>IF(E45=0,0,1)</f>
        <v>1</v>
      </c>
      <c r="F47" s="110">
        <f t="shared" ref="F47:P47" si="12">IF(F45=0,0,1)</f>
        <v>1</v>
      </c>
      <c r="G47" s="110">
        <f t="shared" si="12"/>
        <v>1</v>
      </c>
      <c r="H47" s="110">
        <f t="shared" si="12"/>
        <v>1</v>
      </c>
      <c r="I47" s="110">
        <f t="shared" si="12"/>
        <v>1</v>
      </c>
      <c r="J47" s="110">
        <f t="shared" si="12"/>
        <v>1</v>
      </c>
      <c r="K47" s="110">
        <f t="shared" si="12"/>
        <v>1</v>
      </c>
      <c r="L47" s="110">
        <f t="shared" si="12"/>
        <v>1</v>
      </c>
      <c r="M47" s="110">
        <f t="shared" si="12"/>
        <v>1</v>
      </c>
      <c r="N47" s="110">
        <f t="shared" si="12"/>
        <v>1</v>
      </c>
      <c r="O47" s="110">
        <f t="shared" si="12"/>
        <v>1</v>
      </c>
      <c r="P47" s="110">
        <f t="shared" si="12"/>
        <v>1</v>
      </c>
      <c r="Q47" s="111">
        <f>SUM(E47:P47)</f>
        <v>12</v>
      </c>
      <c r="R47" s="37"/>
      <c r="S47" s="1584"/>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row>
    <row r="48" spans="2:104" s="36" customFormat="1" ht="24.6">
      <c r="C48" s="163" t="str">
        <f ca="1">CX49&amp;Basisdaten!O18</f>
        <v>1.2  Persönliche Ausgaben für die Jahre 2026 - 2030</v>
      </c>
      <c r="E48" s="37"/>
      <c r="F48" s="37"/>
      <c r="G48" s="37"/>
      <c r="H48" s="37"/>
      <c r="I48" s="37"/>
      <c r="J48" s="37"/>
      <c r="K48" s="37"/>
      <c r="L48" s="37"/>
      <c r="M48" s="37"/>
      <c r="N48" s="243"/>
      <c r="O48" s="37"/>
      <c r="P48" s="37"/>
      <c r="Q48" s="37"/>
      <c r="R48" s="37"/>
      <c r="S48" s="1585"/>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CX48" s="305" t="str">
        <f>IF('Deckblatt|Cover'!$I$3=Basisdaten!$E$2,'1 Private Kosten|Costs'!CZ48,'1 Private Kosten|Costs'!CY48)</f>
        <v>Gesamtausgaben mit Einkommensteuer  1)</v>
      </c>
      <c r="CY48" s="305" t="s">
        <v>526</v>
      </c>
      <c r="CZ48" s="305" t="s">
        <v>527</v>
      </c>
    </row>
    <row r="49" spans="2:104" s="36" customFormat="1" ht="9.9" customHeight="1">
      <c r="C49" s="163"/>
      <c r="E49" s="37"/>
      <c r="F49" s="37"/>
      <c r="G49" s="37"/>
      <c r="H49" s="37"/>
      <c r="I49" s="37"/>
      <c r="J49" s="37"/>
      <c r="K49" s="37"/>
      <c r="L49" s="37"/>
      <c r="M49" s="37"/>
      <c r="N49" s="243"/>
      <c r="O49" s="37"/>
      <c r="P49" s="37"/>
      <c r="Q49" s="37"/>
      <c r="R49" s="37"/>
      <c r="S49" s="1585"/>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CX49" s="305" t="str">
        <f>IF('Deckblatt|Cover'!$I$3=Basisdaten!$E$2,'1 Private Kosten|Costs'!CZ49,'1 Private Kosten|Costs'!CY49)</f>
        <v xml:space="preserve">1.2  Persönliche Ausgaben für die Jahre </v>
      </c>
      <c r="CY49" s="383" t="str">
        <f>"1.2  Persönliche Ausgaben für die Jahre "</f>
        <v xml:space="preserve">1.2  Persönliche Ausgaben für die Jahre </v>
      </c>
      <c r="CZ49" s="383" t="str">
        <f>"1.2  Personal Expenses in EUR for the Years "</f>
        <v xml:space="preserve">1.2  Personal Expenses in EUR for the Years </v>
      </c>
    </row>
    <row r="50" spans="2:104" s="30" customFormat="1" ht="18" customHeight="1">
      <c r="B50" s="37"/>
      <c r="C50" s="342" t="str">
        <f>C4</f>
        <v>No.</v>
      </c>
      <c r="D50" s="343" t="str">
        <f>D4</f>
        <v>Kostenart</v>
      </c>
      <c r="E50" s="342">
        <f ca="1">Basisdaten!C15</f>
        <v>2026</v>
      </c>
      <c r="F50" s="342">
        <f ca="1">E50+1</f>
        <v>2027</v>
      </c>
      <c r="G50" s="342">
        <f ca="1">F50+1</f>
        <v>2028</v>
      </c>
      <c r="H50" s="342">
        <f ca="1">G50+1</f>
        <v>2029</v>
      </c>
      <c r="I50" s="342">
        <f ca="1">H50+1</f>
        <v>2030</v>
      </c>
      <c r="J50" s="37"/>
      <c r="K50" s="45"/>
      <c r="L50" s="45"/>
      <c r="M50" s="45"/>
      <c r="N50" s="45"/>
      <c r="O50" s="45"/>
      <c r="P50" s="37"/>
      <c r="Q50" s="37"/>
      <c r="R50" s="37"/>
      <c r="S50" s="336" t="str">
        <f>S4</f>
        <v>Aufgaben und/oder Kommentar</v>
      </c>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176"/>
      <c r="BB50" s="176"/>
      <c r="BC50" s="176"/>
      <c r="BD50" s="176"/>
      <c r="BE50" s="176"/>
      <c r="BF50" s="176"/>
      <c r="BG50" s="176"/>
      <c r="BH50" s="176"/>
      <c r="BI50" s="176"/>
      <c r="BJ50" s="176"/>
      <c r="BK50" s="176"/>
      <c r="BL50" s="176"/>
      <c r="BM50" s="176"/>
      <c r="BN50" s="176"/>
      <c r="BO50" s="176"/>
      <c r="BP50" s="176"/>
      <c r="BQ50" s="135"/>
      <c r="BR50" s="135"/>
      <c r="BS50" s="135"/>
      <c r="BT50" s="135"/>
      <c r="BU50" s="135"/>
      <c r="BV50" s="135"/>
      <c r="BW50" s="135"/>
      <c r="BX50" s="135"/>
      <c r="BY50" s="135"/>
      <c r="CX50" s="305" t="str">
        <f>IF('Deckblatt|Cover'!$I$3=Basisdaten!$E$2,'1 Private Kosten|Costs'!CZ50,'1 Private Kosten|Costs'!CY50)</f>
        <v>Persönliche Ausgaben (EUR)</v>
      </c>
      <c r="CY50" s="305" t="s">
        <v>1039</v>
      </c>
      <c r="CZ50" s="305" t="s">
        <v>1038</v>
      </c>
    </row>
    <row r="51" spans="2:104" s="30" customFormat="1" ht="15.9" customHeight="1">
      <c r="B51" s="37"/>
      <c r="C51" s="345">
        <v>1</v>
      </c>
      <c r="D51" s="384" t="str">
        <f t="shared" ref="D51:D89" si="13">D5</f>
        <v>Wohnen</v>
      </c>
      <c r="E51" s="385"/>
      <c r="F51" s="386"/>
      <c r="G51" s="386"/>
      <c r="H51" s="386"/>
      <c r="I51" s="387"/>
      <c r="J51" s="37"/>
      <c r="K51" s="37"/>
      <c r="L51" s="37"/>
      <c r="M51" s="37"/>
      <c r="O51" s="37"/>
      <c r="P51" s="37"/>
      <c r="Q51" s="37"/>
      <c r="R51" s="37"/>
      <c r="S51" s="62"/>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176"/>
      <c r="BB51" s="176"/>
      <c r="BC51" s="176"/>
      <c r="BD51" s="176"/>
      <c r="BE51" s="176"/>
      <c r="BF51" s="176"/>
      <c r="BG51" s="176"/>
      <c r="BH51" s="176"/>
      <c r="BI51" s="176"/>
      <c r="BJ51" s="176"/>
      <c r="BK51" s="176"/>
      <c r="BL51" s="176"/>
      <c r="BM51" s="176"/>
      <c r="BN51" s="176"/>
      <c r="BO51" s="176"/>
      <c r="BP51" s="176"/>
      <c r="BQ51" s="135"/>
      <c r="BR51" s="135"/>
      <c r="BS51" s="135"/>
      <c r="BT51" s="135"/>
      <c r="BU51" s="135"/>
      <c r="BV51" s="135"/>
      <c r="BW51" s="135"/>
      <c r="BX51" s="135"/>
      <c r="BY51" s="135"/>
      <c r="CW51" s="1752">
        <f>IF(AND(D25&lt;&gt;CX51,D25&lt;&gt;CX52),1,0)</f>
        <v>0</v>
      </c>
      <c r="CX51" s="305" t="str">
        <f>IF('Deckblatt|Cover'!$I$3=Basisdaten!$E$2,'1 Private Kosten|Costs'!CZ51,'1 Private Kosten|Costs'!CY51)</f>
        <v>Vorsorge: Renten / freiw. Versicherng</v>
      </c>
      <c r="CY51" s="305" t="s">
        <v>513</v>
      </c>
      <c r="CZ51" s="353" t="s">
        <v>514</v>
      </c>
    </row>
    <row r="52" spans="2:104" s="30" customFormat="1">
      <c r="B52" s="37"/>
      <c r="C52" s="345"/>
      <c r="D52" s="388" t="str">
        <f t="shared" si="13"/>
        <v>Miete (oder vergleichbare Belastung)</v>
      </c>
      <c r="E52" s="389">
        <f t="shared" ref="E52:E64" si="14">Q6</f>
        <v>0</v>
      </c>
      <c r="F52" s="351"/>
      <c r="G52" s="351"/>
      <c r="H52" s="351"/>
      <c r="I52" s="351"/>
      <c r="J52" s="37"/>
      <c r="K52" s="37"/>
      <c r="L52" s="37"/>
      <c r="M52" s="37"/>
      <c r="N52" s="37"/>
      <c r="O52" s="37"/>
      <c r="P52" s="37"/>
      <c r="Q52" s="37"/>
      <c r="R52" s="37"/>
      <c r="S52" s="1582"/>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176"/>
      <c r="BB52" s="176"/>
      <c r="BC52" s="176"/>
      <c r="BD52" s="176"/>
      <c r="BE52" s="176"/>
      <c r="BF52" s="176"/>
      <c r="BG52" s="176"/>
      <c r="BH52" s="176"/>
      <c r="BI52" s="176"/>
      <c r="BJ52" s="176"/>
      <c r="BK52" s="176"/>
      <c r="BL52" s="176"/>
      <c r="BM52" s="176"/>
      <c r="BN52" s="176"/>
      <c r="BO52" s="176"/>
      <c r="BP52" s="176"/>
      <c r="BQ52" s="135"/>
      <c r="BR52" s="135"/>
      <c r="BS52" s="135"/>
      <c r="BT52" s="135"/>
      <c r="BU52" s="135"/>
      <c r="BV52" s="135"/>
      <c r="BW52" s="135"/>
      <c r="BX52" s="135"/>
      <c r="BY52" s="135"/>
      <c r="CX52" s="305" t="str">
        <f>IF('Deckblatt|Cover'!$I$3=Basisdaten!$E$2,'1 Private Kosten|Costs'!CZ52,'1 Private Kosten|Costs'!CY52)</f>
        <v>Keine Altersvorsorge</v>
      </c>
      <c r="CY52" s="305" t="s">
        <v>512</v>
      </c>
      <c r="CZ52" s="305" t="s">
        <v>516</v>
      </c>
    </row>
    <row r="53" spans="2:104" s="30" customFormat="1">
      <c r="B53" s="37"/>
      <c r="C53" s="345"/>
      <c r="D53" s="365" t="str">
        <f t="shared" si="13"/>
        <v xml:space="preserve">Heizung, Schornsteinfeger, Emission </v>
      </c>
      <c r="E53" s="390">
        <f t="shared" si="14"/>
        <v>0</v>
      </c>
      <c r="F53" s="355"/>
      <c r="G53" s="355"/>
      <c r="H53" s="355"/>
      <c r="I53" s="355"/>
      <c r="J53" s="37"/>
      <c r="K53" s="37"/>
      <c r="L53" s="37"/>
      <c r="M53" s="37"/>
      <c r="N53" s="37"/>
      <c r="O53" s="37"/>
      <c r="P53" s="37"/>
      <c r="Q53" s="37"/>
      <c r="R53" s="37"/>
      <c r="S53" s="1582"/>
      <c r="T53" s="50"/>
      <c r="U53" s="50"/>
      <c r="V53" s="50"/>
      <c r="W53" s="50"/>
      <c r="X53" s="50"/>
      <c r="Y53" s="50"/>
      <c r="Z53" s="50"/>
      <c r="AA53" s="50"/>
      <c r="AB53" s="50"/>
      <c r="AC53" s="50"/>
      <c r="AD53" s="1510"/>
      <c r="AE53" s="1510"/>
      <c r="AF53" s="50"/>
      <c r="AG53" s="50"/>
      <c r="AH53" s="50"/>
      <c r="AI53" s="50"/>
      <c r="AJ53" s="50"/>
      <c r="AK53" s="50"/>
      <c r="AL53" s="50"/>
      <c r="AM53" s="50"/>
      <c r="AN53" s="50"/>
      <c r="AO53" s="50"/>
      <c r="AP53" s="50"/>
      <c r="AQ53" s="50"/>
      <c r="AR53" s="50"/>
      <c r="AS53" s="50"/>
      <c r="AT53" s="50"/>
      <c r="AU53" s="50"/>
      <c r="AV53" s="50"/>
      <c r="AW53" s="50"/>
      <c r="AX53" s="50"/>
      <c r="AY53" s="50"/>
      <c r="AZ53" s="50"/>
      <c r="BA53" s="176"/>
      <c r="BB53" s="176"/>
      <c r="BC53" s="176"/>
      <c r="BD53" s="176"/>
      <c r="BE53" s="176"/>
      <c r="BF53" s="176"/>
      <c r="BG53" s="176"/>
      <c r="BH53" s="176"/>
      <c r="BI53" s="176"/>
      <c r="BJ53" s="176"/>
      <c r="BK53" s="176"/>
      <c r="BL53" s="176"/>
      <c r="BM53" s="176"/>
      <c r="BN53" s="176"/>
      <c r="BO53" s="176"/>
      <c r="BP53" s="176"/>
      <c r="BQ53" s="135"/>
      <c r="BR53" s="135"/>
      <c r="BS53" s="135"/>
      <c r="BT53" s="135"/>
      <c r="BU53" s="135"/>
      <c r="BV53" s="135"/>
      <c r="BW53" s="135"/>
      <c r="BX53" s="135"/>
      <c r="BY53" s="135"/>
      <c r="CW53" s="1752">
        <f>IF(AND(D26&lt;&gt;CX53,D26&lt;&gt;CX54),1,0)</f>
        <v>0</v>
      </c>
      <c r="CX53" s="305" t="str">
        <f>IF('Deckblatt|Cover'!$I$3=Basisdaten!$E$2,'1 Private Kosten|Costs'!CZ53,'1 Private Kosten|Costs'!CY53)</f>
        <v>Krankenversicherung / Medikamente</v>
      </c>
      <c r="CY53" s="305" t="s">
        <v>894</v>
      </c>
      <c r="CZ53" s="353" t="s">
        <v>895</v>
      </c>
    </row>
    <row r="54" spans="2:104" s="30" customFormat="1">
      <c r="B54" s="37"/>
      <c r="C54" s="345"/>
      <c r="D54" s="365" t="str">
        <f t="shared" si="13"/>
        <v>Strom, Wasser, Abwasser, Müll</v>
      </c>
      <c r="E54" s="390">
        <f t="shared" si="14"/>
        <v>0</v>
      </c>
      <c r="F54" s="355"/>
      <c r="G54" s="355"/>
      <c r="H54" s="355"/>
      <c r="I54" s="355"/>
      <c r="J54" s="37"/>
      <c r="K54" s="37"/>
      <c r="L54" s="37"/>
      <c r="M54" s="37"/>
      <c r="N54" s="37"/>
      <c r="O54" s="37"/>
      <c r="P54" s="37"/>
      <c r="Q54" s="37"/>
      <c r="R54" s="37"/>
      <c r="S54" s="1582"/>
      <c r="T54" s="50"/>
      <c r="U54" s="50"/>
      <c r="V54" s="50"/>
      <c r="W54" s="50"/>
      <c r="X54" s="50"/>
      <c r="Y54" s="50"/>
      <c r="Z54" s="50"/>
      <c r="AA54" s="50"/>
      <c r="AB54" s="50"/>
      <c r="AC54" s="50"/>
      <c r="AD54" s="1510"/>
      <c r="AE54" s="1510"/>
      <c r="AF54" s="50"/>
      <c r="AG54" s="50"/>
      <c r="AH54" s="50"/>
      <c r="AI54" s="50"/>
      <c r="AJ54" s="50"/>
      <c r="AK54" s="50"/>
      <c r="AL54" s="50"/>
      <c r="AM54" s="50"/>
      <c r="AN54" s="50"/>
      <c r="AO54" s="50"/>
      <c r="AP54" s="50"/>
      <c r="AQ54" s="50"/>
      <c r="AR54" s="50"/>
      <c r="AS54" s="50"/>
      <c r="AT54" s="50"/>
      <c r="AU54" s="50"/>
      <c r="AV54" s="50"/>
      <c r="AW54" s="50"/>
      <c r="AX54" s="50"/>
      <c r="AY54" s="50"/>
      <c r="AZ54" s="50"/>
      <c r="BA54" s="176"/>
      <c r="BB54" s="176"/>
      <c r="BC54" s="176"/>
      <c r="BD54" s="176"/>
      <c r="BE54" s="176"/>
      <c r="BF54" s="176"/>
      <c r="BG54" s="176"/>
      <c r="BH54" s="176"/>
      <c r="BI54" s="176"/>
      <c r="BJ54" s="176"/>
      <c r="BK54" s="176"/>
      <c r="BL54" s="176"/>
      <c r="BM54" s="176"/>
      <c r="BN54" s="176"/>
      <c r="BO54" s="176"/>
      <c r="BP54" s="176"/>
      <c r="BQ54" s="135"/>
      <c r="BR54" s="135"/>
      <c r="BS54" s="135"/>
      <c r="BT54" s="135"/>
      <c r="BU54" s="135"/>
      <c r="BV54" s="135"/>
      <c r="BW54" s="135"/>
      <c r="BX54" s="135"/>
      <c r="BY54" s="135"/>
      <c r="CX54" s="305" t="str">
        <f>IF('Deckblatt|Cover'!$I$3=Basisdaten!$E$2,'1 Private Kosten|Costs'!CZ54,'1 Private Kosten|Costs'!CY54)</f>
        <v>Keine Krankenversicherung</v>
      </c>
      <c r="CY54" s="38" t="s">
        <v>515</v>
      </c>
      <c r="CZ54" s="38" t="s">
        <v>519</v>
      </c>
    </row>
    <row r="55" spans="2:104" s="30" customFormat="1">
      <c r="B55" s="37"/>
      <c r="C55" s="345"/>
      <c r="D55" s="365" t="str">
        <f t="shared" si="13"/>
        <v>Telefon, Mobil, Fax, Internet</v>
      </c>
      <c r="E55" s="390">
        <f t="shared" si="14"/>
        <v>0</v>
      </c>
      <c r="F55" s="355"/>
      <c r="G55" s="355"/>
      <c r="H55" s="355"/>
      <c r="I55" s="355"/>
      <c r="J55" s="37"/>
      <c r="K55" s="37"/>
      <c r="L55" s="37"/>
      <c r="M55" s="37"/>
      <c r="N55" s="37"/>
      <c r="O55" s="37"/>
      <c r="P55" s="37"/>
      <c r="Q55" s="37"/>
      <c r="R55" s="37"/>
      <c r="S55" s="1582"/>
      <c r="T55" s="50"/>
      <c r="U55" s="50"/>
      <c r="V55" s="50"/>
      <c r="W55" s="50"/>
      <c r="X55" s="50"/>
      <c r="Y55" s="50"/>
      <c r="Z55" s="50"/>
      <c r="AA55" s="50"/>
      <c r="AB55" s="50"/>
      <c r="AC55" s="50"/>
      <c r="AD55" s="1510"/>
      <c r="AE55" s="1510"/>
      <c r="AF55" s="50"/>
      <c r="AG55" s="50"/>
      <c r="AH55" s="50"/>
      <c r="AI55" s="50"/>
      <c r="AJ55" s="50"/>
      <c r="AK55" s="50"/>
      <c r="AL55" s="50"/>
      <c r="AM55" s="50"/>
      <c r="AN55" s="50"/>
      <c r="AO55" s="50"/>
      <c r="AP55" s="50"/>
      <c r="AQ55" s="50"/>
      <c r="AR55" s="50"/>
      <c r="AS55" s="50"/>
      <c r="AT55" s="50"/>
      <c r="AU55" s="50"/>
      <c r="AV55" s="50"/>
      <c r="AW55" s="50"/>
      <c r="AX55" s="50"/>
      <c r="AY55" s="50"/>
      <c r="AZ55" s="50"/>
      <c r="BA55" s="176"/>
      <c r="BB55" s="176"/>
      <c r="BC55" s="176"/>
      <c r="BD55" s="176"/>
      <c r="BE55" s="176"/>
      <c r="BF55" s="176"/>
      <c r="BG55" s="176"/>
      <c r="BH55" s="176"/>
      <c r="BI55" s="176"/>
      <c r="BJ55" s="176"/>
      <c r="BK55" s="176"/>
      <c r="BL55" s="176"/>
      <c r="BM55" s="176"/>
      <c r="BN55" s="176"/>
      <c r="BO55" s="176"/>
      <c r="BP55" s="176"/>
      <c r="BQ55" s="135"/>
      <c r="BR55" s="135"/>
      <c r="BS55" s="135"/>
      <c r="BT55" s="135"/>
      <c r="BU55" s="135"/>
      <c r="BV55" s="135"/>
      <c r="BW55" s="135"/>
      <c r="BX55" s="135"/>
      <c r="BY55" s="135"/>
    </row>
    <row r="56" spans="2:104" s="30" customFormat="1">
      <c r="B56" s="37"/>
      <c r="C56" s="345"/>
      <c r="D56" s="365" t="str">
        <f t="shared" si="13"/>
        <v>Rundfunk / Fernsehen usw.</v>
      </c>
      <c r="E56" s="390">
        <f t="shared" si="14"/>
        <v>0</v>
      </c>
      <c r="F56" s="355"/>
      <c r="G56" s="355"/>
      <c r="H56" s="355"/>
      <c r="I56" s="355"/>
      <c r="J56" s="37"/>
      <c r="K56" s="37"/>
      <c r="L56" s="37"/>
      <c r="M56" s="37"/>
      <c r="N56" s="37"/>
      <c r="O56" s="37"/>
      <c r="P56" s="37"/>
      <c r="Q56" s="37"/>
      <c r="R56" s="37"/>
      <c r="S56" s="1582"/>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176"/>
      <c r="BB56" s="176"/>
      <c r="BC56" s="176"/>
      <c r="BD56" s="176"/>
      <c r="BE56" s="176"/>
      <c r="BF56" s="176"/>
      <c r="BG56" s="176"/>
      <c r="BH56" s="176"/>
      <c r="BI56" s="176"/>
      <c r="BJ56" s="176"/>
      <c r="BK56" s="176"/>
      <c r="BL56" s="176"/>
      <c r="BM56" s="176"/>
      <c r="BN56" s="176"/>
      <c r="BO56" s="176"/>
      <c r="BP56" s="176"/>
      <c r="BQ56" s="135"/>
      <c r="BR56" s="135"/>
      <c r="BS56" s="135"/>
      <c r="BT56" s="135"/>
      <c r="BU56" s="135"/>
      <c r="BV56" s="135"/>
      <c r="BW56" s="135"/>
      <c r="BX56" s="135"/>
      <c r="BY56" s="135"/>
      <c r="CX56" s="296"/>
      <c r="CY56" s="305"/>
      <c r="CZ56" s="305"/>
    </row>
    <row r="57" spans="2:104" s="30" customFormat="1">
      <c r="B57" s="37"/>
      <c r="C57" s="345"/>
      <c r="D57" s="365" t="str">
        <f t="shared" si="13"/>
        <v>Kredit (Zins u. Tilgung)</v>
      </c>
      <c r="E57" s="390">
        <f t="shared" si="14"/>
        <v>0</v>
      </c>
      <c r="F57" s="355"/>
      <c r="G57" s="355"/>
      <c r="H57" s="355"/>
      <c r="I57" s="355"/>
      <c r="J57" s="37"/>
      <c r="K57" s="37"/>
      <c r="L57" s="37"/>
      <c r="M57" s="37"/>
      <c r="N57" s="37"/>
      <c r="O57" s="37"/>
      <c r="P57" s="37"/>
      <c r="Q57" s="37"/>
      <c r="R57" s="37"/>
      <c r="S57" s="1582"/>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176"/>
      <c r="BB57" s="176"/>
      <c r="BC57" s="176"/>
      <c r="BD57" s="176"/>
      <c r="BE57" s="176"/>
      <c r="BF57" s="176"/>
      <c r="BG57" s="176"/>
      <c r="BH57" s="176"/>
      <c r="BI57" s="176"/>
      <c r="BJ57" s="176"/>
      <c r="BK57" s="176"/>
      <c r="BL57" s="176"/>
      <c r="BM57" s="176"/>
      <c r="BN57" s="176"/>
      <c r="BO57" s="176"/>
      <c r="BP57" s="176"/>
      <c r="BQ57" s="135"/>
      <c r="BR57" s="135"/>
      <c r="BS57" s="135"/>
      <c r="BT57" s="135"/>
      <c r="BU57" s="135"/>
      <c r="BV57" s="135"/>
      <c r="BW57" s="135"/>
      <c r="BX57" s="135"/>
      <c r="BY57" s="135"/>
      <c r="CX57" s="296"/>
      <c r="CY57" s="305"/>
      <c r="CZ57" s="305"/>
    </row>
    <row r="58" spans="2:104" s="30" customFormat="1">
      <c r="B58" s="37"/>
      <c r="C58" s="345"/>
      <c r="D58" s="365" t="str">
        <f t="shared" si="13"/>
        <v>Wohnungsreparaturen</v>
      </c>
      <c r="E58" s="390">
        <f t="shared" si="14"/>
        <v>0</v>
      </c>
      <c r="F58" s="355"/>
      <c r="G58" s="355"/>
      <c r="H58" s="355"/>
      <c r="I58" s="355"/>
      <c r="J58" s="37"/>
      <c r="K58" s="37"/>
      <c r="L58" s="37"/>
      <c r="M58" s="37"/>
      <c r="N58" s="37"/>
      <c r="O58" s="37"/>
      <c r="P58" s="37"/>
      <c r="Q58" s="37"/>
      <c r="R58" s="37"/>
      <c r="S58" s="1582"/>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176"/>
      <c r="BB58" s="176"/>
      <c r="BC58" s="176"/>
      <c r="BD58" s="176"/>
      <c r="BE58" s="176"/>
      <c r="BF58" s="176"/>
      <c r="BG58" s="176"/>
      <c r="BH58" s="176"/>
      <c r="BI58" s="176"/>
      <c r="BJ58" s="176"/>
      <c r="BK58" s="176"/>
      <c r="BL58" s="176"/>
      <c r="BM58" s="176"/>
      <c r="BN58" s="176"/>
      <c r="BO58" s="176"/>
      <c r="BP58" s="176"/>
      <c r="BQ58" s="135"/>
      <c r="BR58" s="135"/>
      <c r="BS58" s="135"/>
      <c r="BT58" s="135"/>
      <c r="BU58" s="135"/>
      <c r="BV58" s="135"/>
      <c r="BW58" s="135"/>
      <c r="BX58" s="135"/>
      <c r="BY58" s="135"/>
      <c r="CX58" s="296"/>
      <c r="CY58" s="305"/>
      <c r="CZ58" s="305"/>
    </row>
    <row r="59" spans="2:104" s="30" customFormat="1">
      <c r="B59" s="37"/>
      <c r="C59" s="345"/>
      <c r="D59" s="368" t="str">
        <f t="shared" si="13"/>
        <v xml:space="preserve">Sonstiges (z.B. Grundsteuern)  </v>
      </c>
      <c r="E59" s="391">
        <f t="shared" si="14"/>
        <v>0</v>
      </c>
      <c r="F59" s="392"/>
      <c r="G59" s="392"/>
      <c r="H59" s="392"/>
      <c r="I59" s="392"/>
      <c r="J59" s="37"/>
      <c r="K59" s="37"/>
      <c r="L59" s="37"/>
      <c r="M59" s="37"/>
      <c r="N59" s="37"/>
      <c r="O59" s="37"/>
      <c r="P59" s="37"/>
      <c r="Q59" s="37"/>
      <c r="R59" s="37"/>
      <c r="S59" s="1582"/>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176"/>
      <c r="BB59" s="176"/>
      <c r="BC59" s="176"/>
      <c r="BD59" s="176"/>
      <c r="BE59" s="176"/>
      <c r="BF59" s="176"/>
      <c r="BG59" s="176"/>
      <c r="BH59" s="176"/>
      <c r="BI59" s="176"/>
      <c r="BJ59" s="176"/>
      <c r="BK59" s="176"/>
      <c r="BL59" s="176"/>
      <c r="BM59" s="176"/>
      <c r="BN59" s="176"/>
      <c r="BO59" s="176"/>
      <c r="BP59" s="176"/>
      <c r="BQ59" s="135"/>
      <c r="BR59" s="135"/>
      <c r="BS59" s="135"/>
      <c r="BT59" s="135"/>
      <c r="BU59" s="135"/>
      <c r="BV59" s="135"/>
      <c r="BW59" s="135"/>
      <c r="BX59" s="135"/>
      <c r="BY59" s="135"/>
      <c r="CX59" s="296"/>
      <c r="CY59" s="305"/>
      <c r="CZ59" s="305"/>
    </row>
    <row r="60" spans="2:104" s="30" customFormat="1">
      <c r="B60" s="37"/>
      <c r="C60" s="360"/>
      <c r="D60" s="367" t="str">
        <f t="shared" si="13"/>
        <v>Summe</v>
      </c>
      <c r="E60" s="362">
        <f t="shared" si="14"/>
        <v>0</v>
      </c>
      <c r="F60" s="393">
        <f>SUM(F52:F59)</f>
        <v>0</v>
      </c>
      <c r="G60" s="362">
        <f>SUM(G52:G59)</f>
        <v>0</v>
      </c>
      <c r="H60" s="362">
        <f>SUM(H52:H59)</f>
        <v>0</v>
      </c>
      <c r="I60" s="362">
        <f>SUM(I52:I59)</f>
        <v>0</v>
      </c>
      <c r="J60" s="37"/>
      <c r="K60" s="37"/>
      <c r="L60" s="37"/>
      <c r="M60" s="37"/>
      <c r="N60" s="37"/>
      <c r="O60" s="37"/>
      <c r="P60" s="37"/>
      <c r="Q60" s="37"/>
      <c r="R60" s="37"/>
      <c r="S60" s="62"/>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176"/>
      <c r="BB60" s="176"/>
      <c r="BC60" s="176"/>
      <c r="BD60" s="176"/>
      <c r="BE60" s="176"/>
      <c r="BF60" s="176"/>
      <c r="BG60" s="176"/>
      <c r="BH60" s="176"/>
      <c r="BI60" s="176"/>
      <c r="BJ60" s="176"/>
      <c r="BK60" s="176"/>
      <c r="BL60" s="176"/>
      <c r="BM60" s="176"/>
      <c r="BN60" s="176"/>
      <c r="BO60" s="176"/>
      <c r="BP60" s="176"/>
      <c r="BQ60" s="135"/>
      <c r="BR60" s="135"/>
      <c r="BS60" s="135"/>
      <c r="BT60" s="135"/>
      <c r="BU60" s="135"/>
      <c r="BV60" s="135"/>
      <c r="BW60" s="135"/>
      <c r="BX60" s="135"/>
      <c r="BY60" s="135"/>
      <c r="CX60" s="296"/>
      <c r="CY60" s="305"/>
      <c r="CZ60" s="305"/>
    </row>
    <row r="61" spans="2:104" s="30" customFormat="1">
      <c r="B61" s="37"/>
      <c r="C61" s="345">
        <v>2</v>
      </c>
      <c r="D61" s="384" t="str">
        <f t="shared" si="13"/>
        <v>Lebensunterhalt / Haushaltsgeld</v>
      </c>
      <c r="E61" s="385"/>
      <c r="F61" s="386"/>
      <c r="G61" s="386"/>
      <c r="H61" s="386"/>
      <c r="I61" s="387"/>
      <c r="J61" s="37"/>
      <c r="K61" s="37"/>
      <c r="L61" s="37"/>
      <c r="M61" s="37"/>
      <c r="N61" s="37"/>
      <c r="O61" s="37"/>
      <c r="P61" s="37"/>
      <c r="Q61" s="37"/>
      <c r="R61" s="37"/>
      <c r="S61" s="62"/>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176"/>
      <c r="BB61" s="176"/>
      <c r="BC61" s="176"/>
      <c r="BD61" s="176"/>
      <c r="BE61" s="176"/>
      <c r="BF61" s="176"/>
      <c r="BG61" s="176"/>
      <c r="BH61" s="176"/>
      <c r="BI61" s="176"/>
      <c r="BJ61" s="176"/>
      <c r="BK61" s="176"/>
      <c r="BL61" s="176"/>
      <c r="BM61" s="176"/>
      <c r="BN61" s="176"/>
      <c r="BO61" s="176"/>
      <c r="BP61" s="176"/>
      <c r="BQ61" s="135"/>
      <c r="BR61" s="135"/>
      <c r="BS61" s="135"/>
      <c r="BT61" s="135"/>
      <c r="BU61" s="135"/>
      <c r="BV61" s="135"/>
      <c r="BW61" s="135"/>
      <c r="BX61" s="135"/>
      <c r="BY61" s="135"/>
      <c r="CX61" s="296"/>
      <c r="CY61" s="305"/>
      <c r="CZ61" s="305"/>
    </row>
    <row r="62" spans="2:104" s="30" customFormat="1">
      <c r="B62" s="37"/>
      <c r="C62" s="345"/>
      <c r="D62" s="365" t="str">
        <f t="shared" si="13"/>
        <v>Lebensmittel , auswärts Essen</v>
      </c>
      <c r="E62" s="390">
        <f t="shared" si="14"/>
        <v>0</v>
      </c>
      <c r="F62" s="355"/>
      <c r="G62" s="355"/>
      <c r="H62" s="355"/>
      <c r="I62" s="355"/>
      <c r="J62" s="37"/>
      <c r="K62" s="37"/>
      <c r="L62" s="37"/>
      <c r="M62" s="37"/>
      <c r="N62" s="37"/>
      <c r="O62" s="37"/>
      <c r="P62" s="37"/>
      <c r="Q62" s="37"/>
      <c r="R62" s="37"/>
      <c r="S62" s="1582"/>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176"/>
      <c r="BB62" s="176"/>
      <c r="BC62" s="176"/>
      <c r="BD62" s="176"/>
      <c r="BE62" s="176"/>
      <c r="BF62" s="176"/>
      <c r="BG62" s="176"/>
      <c r="BH62" s="176"/>
      <c r="BI62" s="176"/>
      <c r="BJ62" s="176"/>
      <c r="BK62" s="176"/>
      <c r="BL62" s="176"/>
      <c r="BM62" s="176"/>
      <c r="BN62" s="176"/>
      <c r="BO62" s="176"/>
      <c r="BP62" s="176"/>
      <c r="BQ62" s="135"/>
      <c r="BR62" s="135"/>
      <c r="BS62" s="135"/>
      <c r="BT62" s="135"/>
      <c r="BU62" s="135"/>
      <c r="BV62" s="135"/>
      <c r="BW62" s="135"/>
      <c r="BX62" s="135"/>
      <c r="BY62" s="135"/>
      <c r="CX62" s="296"/>
      <c r="CY62" s="305"/>
      <c r="CZ62" s="305"/>
    </row>
    <row r="63" spans="2:104" s="30" customFormat="1">
      <c r="B63" s="37"/>
      <c r="C63" s="345"/>
      <c r="D63" s="368" t="str">
        <f t="shared" si="13"/>
        <v>Kleidung, Kosmetika, Sonstiges</v>
      </c>
      <c r="E63" s="391">
        <f t="shared" si="14"/>
        <v>0</v>
      </c>
      <c r="F63" s="392"/>
      <c r="G63" s="392"/>
      <c r="H63" s="392"/>
      <c r="I63" s="392"/>
      <c r="J63" s="37"/>
      <c r="K63" s="37"/>
      <c r="L63" s="37"/>
      <c r="M63" s="37"/>
      <c r="N63" s="37"/>
      <c r="O63" s="37"/>
      <c r="P63" s="37"/>
      <c r="Q63" s="37"/>
      <c r="R63" s="37"/>
      <c r="S63" s="1582"/>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176"/>
      <c r="BB63" s="176"/>
      <c r="BC63" s="176"/>
      <c r="BD63" s="176"/>
      <c r="BE63" s="176"/>
      <c r="BF63" s="176"/>
      <c r="BG63" s="176"/>
      <c r="BH63" s="176"/>
      <c r="BI63" s="176"/>
      <c r="BJ63" s="176"/>
      <c r="BK63" s="176"/>
      <c r="BL63" s="176"/>
      <c r="BM63" s="176"/>
      <c r="BN63" s="176"/>
      <c r="BO63" s="176"/>
      <c r="BP63" s="176"/>
      <c r="BQ63" s="135"/>
      <c r="BR63" s="135"/>
      <c r="BS63" s="135"/>
      <c r="BT63" s="135"/>
      <c r="BU63" s="135"/>
      <c r="BV63" s="135"/>
      <c r="BW63" s="135"/>
      <c r="BX63" s="135"/>
      <c r="BY63" s="135"/>
      <c r="CX63" s="296"/>
      <c r="CY63" s="305"/>
      <c r="CZ63" s="305"/>
    </row>
    <row r="64" spans="2:104" s="30" customFormat="1">
      <c r="B64" s="37"/>
      <c r="C64" s="360"/>
      <c r="D64" s="367" t="str">
        <f t="shared" si="13"/>
        <v>Summe</v>
      </c>
      <c r="E64" s="362">
        <f t="shared" si="14"/>
        <v>0</v>
      </c>
      <c r="F64" s="393">
        <f>SUM(F62:F63)</f>
        <v>0</v>
      </c>
      <c r="G64" s="362">
        <f>SUM(G62:G63)</f>
        <v>0</v>
      </c>
      <c r="H64" s="362">
        <f>SUM(H62:H63)</f>
        <v>0</v>
      </c>
      <c r="I64" s="362">
        <f>SUM(I62:I63)</f>
        <v>0</v>
      </c>
      <c r="J64" s="37"/>
      <c r="K64" s="37"/>
      <c r="L64" s="37"/>
      <c r="M64" s="37"/>
      <c r="N64" s="37"/>
      <c r="O64" s="37"/>
      <c r="P64" s="37"/>
      <c r="Q64" s="37"/>
      <c r="R64" s="37"/>
      <c r="S64" s="62"/>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176"/>
      <c r="BB64" s="176"/>
      <c r="BC64" s="176"/>
      <c r="BD64" s="176"/>
      <c r="BE64" s="176"/>
      <c r="BF64" s="176"/>
      <c r="BG64" s="176"/>
      <c r="BH64" s="176"/>
      <c r="BI64" s="176"/>
      <c r="BJ64" s="176"/>
      <c r="BK64" s="176"/>
      <c r="BL64" s="176"/>
      <c r="BM64" s="176"/>
      <c r="BN64" s="176"/>
      <c r="BO64" s="176"/>
      <c r="BP64" s="176"/>
      <c r="BQ64" s="135"/>
      <c r="BR64" s="135"/>
      <c r="BS64" s="135"/>
      <c r="BT64" s="135"/>
      <c r="BU64" s="135"/>
      <c r="BV64" s="135"/>
      <c r="BW64" s="135"/>
      <c r="BX64" s="135"/>
      <c r="BY64" s="135"/>
      <c r="CX64" s="296"/>
      <c r="CY64" s="305"/>
      <c r="CZ64" s="305"/>
    </row>
    <row r="65" spans="1:104" s="30" customFormat="1">
      <c r="B65" s="37"/>
      <c r="C65" s="345">
        <v>3</v>
      </c>
      <c r="D65" s="384" t="str">
        <f t="shared" si="13"/>
        <v>PKW</v>
      </c>
      <c r="E65" s="385"/>
      <c r="F65" s="386"/>
      <c r="G65" s="386"/>
      <c r="H65" s="386"/>
      <c r="I65" s="387"/>
      <c r="J65" s="37"/>
      <c r="K65" s="37"/>
      <c r="L65" s="37"/>
      <c r="M65" s="37"/>
      <c r="N65" s="37"/>
      <c r="O65" s="37"/>
      <c r="P65" s="37"/>
      <c r="Q65" s="37"/>
      <c r="R65" s="37"/>
      <c r="S65" s="62"/>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176"/>
      <c r="BB65" s="176"/>
      <c r="BC65" s="176"/>
      <c r="BD65" s="176"/>
      <c r="BE65" s="176"/>
      <c r="BF65" s="176"/>
      <c r="BG65" s="176"/>
      <c r="BH65" s="176"/>
      <c r="BI65" s="176"/>
      <c r="BJ65" s="176"/>
      <c r="BK65" s="176"/>
      <c r="BL65" s="176"/>
      <c r="BM65" s="176"/>
      <c r="BN65" s="176"/>
      <c r="BO65" s="176"/>
      <c r="BP65" s="176"/>
      <c r="BQ65" s="135"/>
      <c r="BR65" s="135"/>
      <c r="BS65" s="135"/>
      <c r="BT65" s="135"/>
      <c r="BU65" s="135"/>
      <c r="BV65" s="135"/>
      <c r="BW65" s="135"/>
      <c r="BX65" s="135"/>
      <c r="BY65" s="135"/>
      <c r="CX65" s="296"/>
      <c r="CY65" s="305"/>
      <c r="CZ65" s="305"/>
    </row>
    <row r="66" spans="1:104" s="30" customFormat="1">
      <c r="B66" s="37"/>
      <c r="C66" s="345"/>
      <c r="D66" s="365" t="str">
        <f t="shared" si="13"/>
        <v>Kredit (Zins u. Tilgung) / Leasing</v>
      </c>
      <c r="E66" s="390">
        <f>Q20</f>
        <v>0</v>
      </c>
      <c r="F66" s="355"/>
      <c r="G66" s="355"/>
      <c r="H66" s="355"/>
      <c r="I66" s="355"/>
      <c r="J66" s="37"/>
      <c r="K66" s="37"/>
      <c r="L66" s="37"/>
      <c r="M66" s="37"/>
      <c r="N66" s="37"/>
      <c r="O66" s="37"/>
      <c r="P66" s="37"/>
      <c r="Q66" s="37"/>
      <c r="R66" s="37"/>
      <c r="S66" s="1582"/>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176"/>
      <c r="BB66" s="176"/>
      <c r="BC66" s="176"/>
      <c r="BD66" s="176"/>
      <c r="BE66" s="176"/>
      <c r="BF66" s="176"/>
      <c r="BG66" s="176"/>
      <c r="BH66" s="176"/>
      <c r="BI66" s="176"/>
      <c r="BJ66" s="176"/>
      <c r="BK66" s="176"/>
      <c r="BL66" s="176"/>
      <c r="BM66" s="176"/>
      <c r="BN66" s="176"/>
      <c r="BO66" s="176"/>
      <c r="BP66" s="176"/>
      <c r="BQ66" s="135"/>
      <c r="BR66" s="135"/>
      <c r="BS66" s="135"/>
      <c r="BT66" s="135"/>
      <c r="BU66" s="135"/>
      <c r="BV66" s="135"/>
      <c r="BW66" s="135"/>
      <c r="BX66" s="135"/>
      <c r="BY66" s="135"/>
      <c r="CX66" s="296"/>
      <c r="CY66" s="305"/>
      <c r="CZ66" s="305"/>
    </row>
    <row r="67" spans="1:104" s="30" customFormat="1">
      <c r="B67" s="37"/>
      <c r="C67" s="345"/>
      <c r="D67" s="365" t="str">
        <f t="shared" si="13"/>
        <v>Versicherung, Steuern, Reparaturen</v>
      </c>
      <c r="E67" s="390">
        <f>Q21</f>
        <v>0</v>
      </c>
      <c r="F67" s="355"/>
      <c r="G67" s="355"/>
      <c r="H67" s="355"/>
      <c r="I67" s="355"/>
      <c r="J67" s="37"/>
      <c r="K67" s="37"/>
      <c r="L67" s="37"/>
      <c r="M67" s="37"/>
      <c r="N67" s="37"/>
      <c r="O67" s="37"/>
      <c r="P67" s="37"/>
      <c r="Q67" s="37"/>
      <c r="R67" s="37"/>
      <c r="S67" s="1582"/>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176"/>
      <c r="BE67" s="176"/>
      <c r="BF67" s="176"/>
      <c r="BG67" s="176"/>
      <c r="BH67" s="176"/>
      <c r="BI67" s="176"/>
      <c r="BJ67" s="176"/>
      <c r="BK67" s="176"/>
      <c r="BL67" s="176"/>
      <c r="BM67" s="176"/>
      <c r="BN67" s="176"/>
      <c r="BO67" s="176"/>
      <c r="BP67" s="176"/>
      <c r="BQ67" s="135"/>
      <c r="BR67" s="135"/>
      <c r="BS67" s="135"/>
      <c r="BT67" s="135"/>
      <c r="BU67" s="135"/>
      <c r="BV67" s="135"/>
      <c r="BW67" s="135"/>
      <c r="BX67" s="135"/>
      <c r="BY67" s="135"/>
      <c r="CX67" s="296"/>
      <c r="CY67" s="305"/>
      <c r="CZ67" s="305"/>
    </row>
    <row r="68" spans="1:104" s="30" customFormat="1">
      <c r="B68" s="37"/>
      <c r="C68" s="345"/>
      <c r="D68" s="368" t="str">
        <f t="shared" si="13"/>
        <v>Benzin / Diesel / Reparaturen</v>
      </c>
      <c r="E68" s="391">
        <f>Q22</f>
        <v>0</v>
      </c>
      <c r="F68" s="392"/>
      <c r="G68" s="392"/>
      <c r="H68" s="392"/>
      <c r="I68" s="392"/>
      <c r="J68" s="37"/>
      <c r="K68" s="37"/>
      <c r="L68" s="37"/>
      <c r="M68" s="37"/>
      <c r="N68" s="37"/>
      <c r="O68" s="37"/>
      <c r="P68" s="37"/>
      <c r="Q68" s="37"/>
      <c r="R68" s="37"/>
      <c r="S68" s="1582"/>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135"/>
      <c r="BH68" s="135"/>
      <c r="BI68" s="135"/>
      <c r="BJ68" s="135"/>
      <c r="BK68" s="135"/>
      <c r="BL68" s="135"/>
      <c r="BM68" s="135"/>
      <c r="BN68" s="135"/>
      <c r="BO68" s="135"/>
      <c r="BP68" s="135"/>
      <c r="BQ68" s="135"/>
      <c r="BR68" s="135"/>
      <c r="BS68" s="135"/>
      <c r="BT68" s="135"/>
      <c r="BU68" s="135"/>
      <c r="BV68" s="135"/>
      <c r="BW68" s="135"/>
      <c r="BX68" s="135"/>
      <c r="BY68" s="135"/>
      <c r="CX68" s="296"/>
      <c r="CY68" s="305"/>
      <c r="CZ68" s="305"/>
    </row>
    <row r="69" spans="1:104" s="30" customFormat="1">
      <c r="B69" s="37"/>
      <c r="C69" s="360"/>
      <c r="D69" s="367" t="str">
        <f t="shared" si="13"/>
        <v>Summe</v>
      </c>
      <c r="E69" s="362">
        <f>Q23</f>
        <v>0</v>
      </c>
      <c r="F69" s="393">
        <f>SUM(F66:F68)</f>
        <v>0</v>
      </c>
      <c r="G69" s="362">
        <f>SUM(G66:G68)</f>
        <v>0</v>
      </c>
      <c r="H69" s="362">
        <f>SUM(H66:H68)</f>
        <v>0</v>
      </c>
      <c r="I69" s="362">
        <f>SUM(I66:I68)</f>
        <v>0</v>
      </c>
      <c r="J69" s="37"/>
      <c r="K69" s="37"/>
      <c r="L69" s="37"/>
      <c r="M69" s="37"/>
      <c r="N69" s="37"/>
      <c r="O69" s="37"/>
      <c r="P69" s="37"/>
      <c r="Q69" s="37"/>
      <c r="R69" s="37"/>
      <c r="S69" s="62"/>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135"/>
      <c r="BH69" s="135"/>
      <c r="BI69" s="135"/>
      <c r="BJ69" s="135"/>
      <c r="BK69" s="135"/>
      <c r="BL69" s="135"/>
      <c r="BM69" s="135"/>
      <c r="BN69" s="135"/>
      <c r="BO69" s="135"/>
      <c r="BP69" s="135"/>
      <c r="BQ69" s="135"/>
      <c r="BR69" s="135"/>
      <c r="BS69" s="135"/>
      <c r="BT69" s="135"/>
      <c r="BU69" s="135"/>
      <c r="BV69" s="135"/>
      <c r="BW69" s="135"/>
      <c r="BX69" s="135"/>
      <c r="BY69" s="135"/>
      <c r="CX69" s="296"/>
      <c r="CY69" s="305"/>
      <c r="CZ69" s="305"/>
    </row>
    <row r="70" spans="1:104" s="30" customFormat="1">
      <c r="B70" s="37"/>
      <c r="C70" s="345">
        <v>4</v>
      </c>
      <c r="D70" s="384" t="str">
        <f t="shared" si="13"/>
        <v>Versicherungen</v>
      </c>
      <c r="E70" s="385"/>
      <c r="F70" s="386"/>
      <c r="G70" s="386"/>
      <c r="H70" s="386"/>
      <c r="I70" s="387"/>
      <c r="J70" s="37"/>
      <c r="K70" s="37"/>
      <c r="L70" s="37"/>
      <c r="M70" s="37"/>
      <c r="N70" s="37"/>
      <c r="O70" s="37"/>
      <c r="P70" s="37"/>
      <c r="Q70" s="37"/>
      <c r="R70" s="37"/>
      <c r="S70" s="62"/>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135"/>
      <c r="BH70" s="135"/>
      <c r="BI70" s="135"/>
      <c r="BJ70" s="135"/>
      <c r="BK70" s="135"/>
      <c r="BL70" s="135"/>
      <c r="BM70" s="135"/>
      <c r="BN70" s="135"/>
      <c r="BO70" s="135"/>
      <c r="BP70" s="135"/>
      <c r="BQ70" s="135"/>
      <c r="BR70" s="135"/>
      <c r="BS70" s="135"/>
      <c r="BT70" s="135"/>
      <c r="BU70" s="135"/>
      <c r="BV70" s="135"/>
      <c r="BW70" s="135"/>
      <c r="BX70" s="135"/>
      <c r="BY70" s="135"/>
      <c r="CX70" s="296"/>
      <c r="CY70" s="305"/>
      <c r="CZ70" s="305"/>
    </row>
    <row r="71" spans="1:104" s="30" customFormat="1">
      <c r="A71" s="336" t="s">
        <v>507</v>
      </c>
      <c r="C71" s="345"/>
      <c r="D71" s="1915" t="s">
        <v>513</v>
      </c>
      <c r="E71" s="390">
        <f t="shared" ref="E71:E76" si="15">Q25</f>
        <v>0</v>
      </c>
      <c r="F71" s="355"/>
      <c r="G71" s="355"/>
      <c r="H71" s="355"/>
      <c r="I71" s="355"/>
      <c r="J71" s="37"/>
      <c r="K71" s="37"/>
      <c r="L71" s="37"/>
      <c r="M71" s="37"/>
      <c r="N71" s="37"/>
      <c r="O71" s="37"/>
      <c r="P71" s="37"/>
      <c r="Q71" s="37"/>
      <c r="R71" s="37"/>
      <c r="S71" s="1582"/>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135"/>
      <c r="BH71" s="135"/>
      <c r="BI71" s="135"/>
      <c r="BJ71" s="135"/>
      <c r="BK71" s="135"/>
      <c r="BL71" s="135"/>
      <c r="BM71" s="135"/>
      <c r="BN71" s="135"/>
      <c r="BO71" s="135"/>
      <c r="BP71" s="135"/>
      <c r="BQ71" s="135"/>
      <c r="BR71" s="135"/>
      <c r="BS71" s="135"/>
      <c r="BT71" s="135"/>
      <c r="BU71" s="135"/>
      <c r="BV71" s="135"/>
      <c r="BW71" s="135"/>
      <c r="BX71" s="135"/>
      <c r="BY71" s="135"/>
      <c r="CX71" s="296"/>
      <c r="CY71" s="305"/>
      <c r="CZ71" s="305"/>
    </row>
    <row r="72" spans="1:104" s="30" customFormat="1">
      <c r="A72" s="336" t="s">
        <v>507</v>
      </c>
      <c r="C72" s="345"/>
      <c r="D72" s="1915" t="s">
        <v>894</v>
      </c>
      <c r="E72" s="390">
        <f>Q26</f>
        <v>7200</v>
      </c>
      <c r="F72" s="394">
        <f>IF($D$72=$CX$54,0,IF(Basisdaten!$E$15=Basisdaten!$U$32,12*300,12*600))</f>
        <v>7200</v>
      </c>
      <c r="G72" s="394">
        <f>IF($D$72=$CX$54,0,IF(Basisdaten!$E$15=Basisdaten!$U$32,12*300,12*600))</f>
        <v>7200</v>
      </c>
      <c r="H72" s="394">
        <f>IF($D$72=$CX$54,0,IF(Basisdaten!$E$15=Basisdaten!$U$32,12*300,12*600))</f>
        <v>7200</v>
      </c>
      <c r="I72" s="394">
        <f>IF($D$72=$CX$54,0,IF(Basisdaten!$E$15=Basisdaten!$U$32,12*300,12*600))</f>
        <v>7200</v>
      </c>
      <c r="J72" s="37"/>
      <c r="K72" s="37"/>
      <c r="L72" s="37"/>
      <c r="M72" s="37"/>
      <c r="N72" s="37"/>
      <c r="O72" s="37"/>
      <c r="P72" s="37"/>
      <c r="Q72" s="37"/>
      <c r="R72" s="37"/>
      <c r="S72" s="1582"/>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135"/>
      <c r="BH72" s="135"/>
      <c r="BI72" s="135"/>
      <c r="BJ72" s="135"/>
      <c r="BK72" s="135"/>
      <c r="BL72" s="135"/>
      <c r="BM72" s="135"/>
      <c r="BN72" s="135"/>
      <c r="BO72" s="135"/>
      <c r="BP72" s="135"/>
      <c r="BQ72" s="135"/>
      <c r="BR72" s="135"/>
      <c r="BS72" s="135"/>
      <c r="BT72" s="135"/>
      <c r="BU72" s="135"/>
      <c r="BV72" s="135"/>
      <c r="BW72" s="135"/>
      <c r="BX72" s="135"/>
      <c r="BY72" s="135"/>
      <c r="CX72" s="296"/>
      <c r="CY72" s="305"/>
      <c r="CZ72" s="305"/>
    </row>
    <row r="73" spans="1:104" s="30" customFormat="1">
      <c r="B73" s="37"/>
      <c r="C73" s="345"/>
      <c r="D73" s="365" t="str">
        <f t="shared" si="13"/>
        <v>Unfallversicherung, Berufsunfähigkeit</v>
      </c>
      <c r="E73" s="390">
        <f t="shared" si="15"/>
        <v>0</v>
      </c>
      <c r="F73" s="355"/>
      <c r="G73" s="355"/>
      <c r="H73" s="355"/>
      <c r="I73" s="355"/>
      <c r="J73" s="37"/>
      <c r="K73" s="37"/>
      <c r="L73" s="37"/>
      <c r="M73" s="37"/>
      <c r="N73" s="37"/>
      <c r="O73" s="37"/>
      <c r="P73" s="37"/>
      <c r="Q73" s="37"/>
      <c r="R73" s="37"/>
      <c r="S73" s="1582"/>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135"/>
      <c r="BH73" s="135"/>
      <c r="BI73" s="135"/>
      <c r="BJ73" s="135"/>
      <c r="BK73" s="135"/>
      <c r="BL73" s="135"/>
      <c r="BM73" s="135"/>
      <c r="BN73" s="135"/>
      <c r="BO73" s="135"/>
      <c r="BP73" s="135"/>
      <c r="BQ73" s="135"/>
      <c r="BR73" s="135"/>
      <c r="BS73" s="135"/>
      <c r="BT73" s="135"/>
      <c r="BU73" s="135"/>
      <c r="BV73" s="135"/>
      <c r="BW73" s="135"/>
      <c r="BX73" s="135"/>
      <c r="BY73" s="135"/>
      <c r="CX73" s="296"/>
      <c r="CY73" s="305"/>
      <c r="CZ73" s="305"/>
    </row>
    <row r="74" spans="1:104" s="30" customFormat="1">
      <c r="B74" s="37"/>
      <c r="C74" s="345"/>
      <c r="D74" s="365" t="str">
        <f t="shared" si="13"/>
        <v>Hausratsversicherung, Haftpflicht</v>
      </c>
      <c r="E74" s="390">
        <f t="shared" si="15"/>
        <v>0</v>
      </c>
      <c r="F74" s="355"/>
      <c r="G74" s="355"/>
      <c r="H74" s="355"/>
      <c r="I74" s="355"/>
      <c r="J74" s="37"/>
      <c r="K74" s="37"/>
      <c r="L74" s="37"/>
      <c r="M74" s="37"/>
      <c r="N74" s="37"/>
      <c r="O74" s="37"/>
      <c r="P74" s="37"/>
      <c r="Q74" s="37"/>
      <c r="R74" s="37"/>
      <c r="S74" s="1582"/>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135"/>
      <c r="BH74" s="135"/>
      <c r="BI74" s="135"/>
      <c r="BJ74" s="135"/>
      <c r="BK74" s="135"/>
      <c r="BL74" s="135"/>
      <c r="BM74" s="135"/>
      <c r="BN74" s="135"/>
      <c r="BO74" s="135"/>
      <c r="BP74" s="135"/>
      <c r="BQ74" s="135"/>
      <c r="BR74" s="135"/>
      <c r="BS74" s="135"/>
      <c r="BT74" s="135"/>
      <c r="BU74" s="135"/>
      <c r="BV74" s="135"/>
      <c r="BW74" s="135"/>
      <c r="BX74" s="135"/>
      <c r="BY74" s="135"/>
      <c r="CX74" s="296"/>
      <c r="CY74" s="305"/>
      <c r="CZ74" s="305"/>
    </row>
    <row r="75" spans="1:104" s="30" customFormat="1">
      <c r="B75" s="37"/>
      <c r="C75" s="345"/>
      <c r="D75" s="368" t="str">
        <f t="shared" si="13"/>
        <v xml:space="preserve">Sonstige Versicherungen  </v>
      </c>
      <c r="E75" s="391">
        <f t="shared" si="15"/>
        <v>0</v>
      </c>
      <c r="F75" s="392"/>
      <c r="G75" s="392"/>
      <c r="H75" s="392"/>
      <c r="I75" s="392"/>
      <c r="J75" s="37"/>
      <c r="K75" s="37"/>
      <c r="L75" s="37"/>
      <c r="M75" s="37"/>
      <c r="N75" s="37"/>
      <c r="O75" s="37"/>
      <c r="P75" s="37"/>
      <c r="Q75" s="37"/>
      <c r="R75" s="37"/>
      <c r="S75" s="1582"/>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135"/>
      <c r="BH75" s="135"/>
      <c r="BI75" s="135"/>
      <c r="BJ75" s="135"/>
      <c r="BK75" s="135"/>
      <c r="BL75" s="135"/>
      <c r="BM75" s="135"/>
      <c r="BN75" s="135"/>
      <c r="BO75" s="135"/>
      <c r="BP75" s="135"/>
      <c r="BQ75" s="135"/>
      <c r="BR75" s="135"/>
      <c r="BS75" s="135"/>
      <c r="BT75" s="135"/>
      <c r="BU75" s="135"/>
      <c r="BV75" s="135"/>
      <c r="BW75" s="135"/>
      <c r="BX75" s="135"/>
      <c r="BY75" s="135"/>
      <c r="CX75" s="296"/>
      <c r="CY75" s="305"/>
      <c r="CZ75" s="305"/>
    </row>
    <row r="76" spans="1:104" s="30" customFormat="1">
      <c r="B76" s="37"/>
      <c r="C76" s="360"/>
      <c r="D76" s="367" t="str">
        <f t="shared" si="13"/>
        <v>Summe</v>
      </c>
      <c r="E76" s="362">
        <f t="shared" si="15"/>
        <v>7200</v>
      </c>
      <c r="F76" s="393">
        <f>SUM(F71:F75)</f>
        <v>7200</v>
      </c>
      <c r="G76" s="362">
        <f>SUM(G71:G75)</f>
        <v>7200</v>
      </c>
      <c r="H76" s="362">
        <f>SUM(H71:H75)</f>
        <v>7200</v>
      </c>
      <c r="I76" s="362">
        <f>SUM(I71:I75)</f>
        <v>7200</v>
      </c>
      <c r="J76" s="37"/>
      <c r="K76" s="37"/>
      <c r="L76" s="37"/>
      <c r="M76" s="37"/>
      <c r="N76" s="37"/>
      <c r="O76" s="37"/>
      <c r="P76" s="37"/>
      <c r="Q76" s="37"/>
      <c r="R76" s="37"/>
      <c r="S76" s="62"/>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135"/>
      <c r="BH76" s="135"/>
      <c r="BI76" s="135"/>
      <c r="BJ76" s="135"/>
      <c r="BK76" s="135"/>
      <c r="BL76" s="135"/>
      <c r="BM76" s="135"/>
      <c r="BN76" s="135"/>
      <c r="BO76" s="135"/>
      <c r="BP76" s="135"/>
      <c r="BQ76" s="135"/>
      <c r="BR76" s="135"/>
      <c r="BS76" s="135"/>
      <c r="BT76" s="135"/>
      <c r="BU76" s="135"/>
      <c r="BV76" s="135"/>
      <c r="BW76" s="135"/>
      <c r="BX76" s="135"/>
      <c r="BY76" s="135"/>
      <c r="CX76" s="296"/>
      <c r="CY76" s="305"/>
      <c r="CZ76" s="305"/>
    </row>
    <row r="77" spans="1:104" s="30" customFormat="1">
      <c r="B77" s="37"/>
      <c r="C77" s="345">
        <v>5</v>
      </c>
      <c r="D77" s="384" t="str">
        <f t="shared" si="13"/>
        <v>Freizeit / Unterhaltung</v>
      </c>
      <c r="E77" s="385"/>
      <c r="F77" s="386"/>
      <c r="G77" s="386"/>
      <c r="H77" s="386"/>
      <c r="I77" s="387"/>
      <c r="J77" s="37"/>
      <c r="K77" s="37"/>
      <c r="L77" s="37"/>
      <c r="M77" s="37"/>
      <c r="N77" s="37"/>
      <c r="O77" s="37"/>
      <c r="P77" s="37"/>
      <c r="Q77" s="37"/>
      <c r="R77" s="37"/>
      <c r="S77" s="62"/>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135"/>
      <c r="BH77" s="135"/>
      <c r="BI77" s="135"/>
      <c r="BJ77" s="135"/>
      <c r="BK77" s="135"/>
      <c r="BL77" s="135"/>
      <c r="BM77" s="135"/>
      <c r="BN77" s="135"/>
      <c r="BO77" s="135"/>
      <c r="BP77" s="135"/>
      <c r="BQ77" s="135"/>
      <c r="BR77" s="135"/>
      <c r="BS77" s="135"/>
      <c r="BT77" s="135"/>
      <c r="BU77" s="135"/>
      <c r="BV77" s="135"/>
      <c r="BW77" s="135"/>
      <c r="BX77" s="135"/>
      <c r="BY77" s="135"/>
      <c r="CX77" s="296"/>
      <c r="CY77" s="305"/>
      <c r="CZ77" s="305"/>
    </row>
    <row r="78" spans="1:104" s="30" customFormat="1">
      <c r="B78" s="37"/>
      <c r="C78" s="345"/>
      <c r="D78" s="365" t="str">
        <f t="shared" si="13"/>
        <v xml:space="preserve">Hobby, Bücher, Geschenke </v>
      </c>
      <c r="E78" s="390">
        <f>Q32</f>
        <v>0</v>
      </c>
      <c r="F78" s="355"/>
      <c r="G78" s="355"/>
      <c r="H78" s="355"/>
      <c r="I78" s="355"/>
      <c r="J78" s="37"/>
      <c r="K78" s="37"/>
      <c r="L78" s="37"/>
      <c r="M78" s="37"/>
      <c r="N78" s="37"/>
      <c r="O78" s="37"/>
      <c r="P78" s="37"/>
      <c r="Q78" s="37"/>
      <c r="R78" s="37"/>
      <c r="S78" s="1582"/>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135"/>
      <c r="BH78" s="135"/>
      <c r="BI78" s="135"/>
      <c r="BJ78" s="135"/>
      <c r="BK78" s="135"/>
      <c r="BL78" s="135"/>
      <c r="BM78" s="135"/>
      <c r="BN78" s="135"/>
      <c r="BO78" s="135"/>
      <c r="BP78" s="135"/>
      <c r="BQ78" s="135"/>
      <c r="BR78" s="135"/>
      <c r="BS78" s="135"/>
      <c r="BT78" s="135"/>
      <c r="BU78" s="135"/>
      <c r="BV78" s="135"/>
      <c r="BW78" s="135"/>
      <c r="BX78" s="135"/>
      <c r="BY78" s="135"/>
      <c r="CX78" s="296"/>
      <c r="CY78" s="305"/>
      <c r="CZ78" s="305"/>
    </row>
    <row r="79" spans="1:104" s="30" customFormat="1">
      <c r="B79" s="37"/>
      <c r="C79" s="345"/>
      <c r="D79" s="368" t="str">
        <f t="shared" si="13"/>
        <v>Urlaub, Reisen, Sonstiges</v>
      </c>
      <c r="E79" s="391">
        <f>Q33</f>
        <v>0</v>
      </c>
      <c r="F79" s="392"/>
      <c r="G79" s="392"/>
      <c r="H79" s="392"/>
      <c r="I79" s="392"/>
      <c r="J79" s="37"/>
      <c r="K79" s="37"/>
      <c r="L79" s="37"/>
      <c r="M79" s="37"/>
      <c r="N79" s="37"/>
      <c r="O79" s="37"/>
      <c r="P79" s="37"/>
      <c r="Q79" s="37"/>
      <c r="R79" s="37"/>
      <c r="S79" s="1582"/>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135"/>
      <c r="BH79" s="135"/>
      <c r="BI79" s="135"/>
      <c r="BJ79" s="135"/>
      <c r="BK79" s="135"/>
      <c r="BL79" s="135"/>
      <c r="BM79" s="135"/>
      <c r="BN79" s="135"/>
      <c r="BO79" s="135"/>
      <c r="BP79" s="135"/>
      <c r="BQ79" s="135"/>
      <c r="BR79" s="135"/>
      <c r="BS79" s="135"/>
      <c r="BT79" s="135"/>
      <c r="BU79" s="135"/>
      <c r="BV79" s="135"/>
      <c r="BW79" s="135"/>
      <c r="BX79" s="135"/>
      <c r="BY79" s="135"/>
      <c r="CX79" s="296"/>
      <c r="CY79" s="305"/>
      <c r="CZ79" s="305"/>
    </row>
    <row r="80" spans="1:104" s="30" customFormat="1">
      <c r="B80" s="37"/>
      <c r="C80" s="360"/>
      <c r="D80" s="367" t="str">
        <f t="shared" si="13"/>
        <v>Summe</v>
      </c>
      <c r="E80" s="362">
        <f>Q34</f>
        <v>0</v>
      </c>
      <c r="F80" s="393">
        <f>SUM(F78:F79)</f>
        <v>0</v>
      </c>
      <c r="G80" s="393">
        <f t="shared" ref="G80:I80" si="16">SUM(G78:G79)</f>
        <v>0</v>
      </c>
      <c r="H80" s="393">
        <f t="shared" si="16"/>
        <v>0</v>
      </c>
      <c r="I80" s="393">
        <f t="shared" si="16"/>
        <v>0</v>
      </c>
      <c r="J80" s="37"/>
      <c r="K80" s="37"/>
      <c r="L80" s="37"/>
      <c r="M80" s="37"/>
      <c r="N80" s="37"/>
      <c r="O80" s="37"/>
      <c r="P80" s="37"/>
      <c r="Q80" s="37"/>
      <c r="R80" s="37"/>
      <c r="S80" s="62"/>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135"/>
      <c r="BH80" s="135"/>
      <c r="BI80" s="135"/>
      <c r="BJ80" s="135"/>
      <c r="BK80" s="135"/>
      <c r="BL80" s="135"/>
      <c r="BM80" s="135"/>
      <c r="BN80" s="135"/>
      <c r="BO80" s="135"/>
      <c r="BP80" s="135"/>
      <c r="BQ80" s="135"/>
      <c r="BR80" s="135"/>
      <c r="BS80" s="135"/>
      <c r="BT80" s="135"/>
      <c r="BU80" s="135"/>
      <c r="BV80" s="135"/>
      <c r="BW80" s="135"/>
      <c r="BX80" s="135"/>
      <c r="BY80" s="135"/>
      <c r="CX80" s="296"/>
      <c r="CY80" s="305"/>
      <c r="CZ80" s="305"/>
    </row>
    <row r="81" spans="1:104" s="30" customFormat="1">
      <c r="B81" s="37"/>
      <c r="C81" s="377">
        <v>6</v>
      </c>
      <c r="D81" s="384" t="str">
        <f t="shared" si="13"/>
        <v>Zahlungsverpflichtungen</v>
      </c>
      <c r="E81" s="385"/>
      <c r="F81" s="386"/>
      <c r="G81" s="386"/>
      <c r="H81" s="386"/>
      <c r="I81" s="387"/>
      <c r="J81" s="37"/>
      <c r="K81" s="37"/>
      <c r="L81" s="37"/>
      <c r="M81" s="37"/>
      <c r="N81" s="37"/>
      <c r="O81" s="37"/>
      <c r="P81" s="37"/>
      <c r="Q81" s="37"/>
      <c r="R81" s="37"/>
      <c r="S81" s="62"/>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135"/>
      <c r="BH81" s="135"/>
      <c r="BI81" s="135"/>
      <c r="BJ81" s="135"/>
      <c r="BK81" s="135"/>
      <c r="BL81" s="135"/>
      <c r="BM81" s="135"/>
      <c r="BN81" s="135"/>
      <c r="BO81" s="135"/>
      <c r="BP81" s="135"/>
      <c r="BQ81" s="135"/>
      <c r="BR81" s="135"/>
      <c r="BS81" s="135"/>
      <c r="BT81" s="135"/>
      <c r="BU81" s="135"/>
      <c r="BV81" s="135"/>
      <c r="BW81" s="135"/>
      <c r="BX81" s="135"/>
      <c r="BY81" s="135"/>
      <c r="CX81" s="296"/>
      <c r="CY81" s="305"/>
      <c r="CZ81" s="305"/>
    </row>
    <row r="82" spans="1:104" s="30" customFormat="1">
      <c r="B82" s="37"/>
      <c r="C82" s="345"/>
      <c r="D82" s="365" t="str">
        <f t="shared" si="13"/>
        <v>Unterhalt, Kredittilgung, Weiterbildung</v>
      </c>
      <c r="E82" s="390">
        <f>Q36</f>
        <v>0</v>
      </c>
      <c r="F82" s="355"/>
      <c r="G82" s="355"/>
      <c r="H82" s="355"/>
      <c r="I82" s="355"/>
      <c r="J82" s="37"/>
      <c r="K82" s="37"/>
      <c r="L82" s="37"/>
      <c r="M82" s="37"/>
      <c r="N82" s="37"/>
      <c r="O82" s="37"/>
      <c r="P82" s="37"/>
      <c r="Q82" s="37"/>
      <c r="R82" s="37"/>
      <c r="S82" s="1582"/>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135"/>
      <c r="BH82" s="135"/>
      <c r="BI82" s="135"/>
      <c r="BJ82" s="135"/>
      <c r="BK82" s="135"/>
      <c r="BL82" s="135"/>
      <c r="BM82" s="135"/>
      <c r="BN82" s="135"/>
      <c r="BO82" s="135"/>
      <c r="BP82" s="135"/>
      <c r="BQ82" s="135"/>
      <c r="BR82" s="135"/>
      <c r="BS82" s="135"/>
      <c r="BT82" s="135"/>
      <c r="BU82" s="135"/>
      <c r="BV82" s="135"/>
      <c r="BW82" s="135"/>
      <c r="BX82" s="135"/>
      <c r="BY82" s="135"/>
      <c r="CX82" s="296"/>
      <c r="CY82" s="305"/>
      <c r="CZ82" s="305"/>
    </row>
    <row r="83" spans="1:104" s="30" customFormat="1">
      <c r="B83" s="37"/>
      <c r="C83" s="345"/>
      <c r="D83" s="368" t="str">
        <f t="shared" si="13"/>
        <v xml:space="preserve">Sonstige private Kredite (Zins + Tilg.)  </v>
      </c>
      <c r="E83" s="391">
        <f>Q37</f>
        <v>0</v>
      </c>
      <c r="F83" s="392"/>
      <c r="G83" s="392"/>
      <c r="H83" s="392"/>
      <c r="I83" s="392"/>
      <c r="J83" s="37"/>
      <c r="K83" s="37"/>
      <c r="L83" s="37"/>
      <c r="M83" s="37"/>
      <c r="N83" s="37"/>
      <c r="O83" s="37"/>
      <c r="P83" s="37"/>
      <c r="Q83" s="37"/>
      <c r="R83" s="37"/>
      <c r="S83" s="1582"/>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135"/>
      <c r="BH83" s="135"/>
      <c r="BI83" s="135"/>
      <c r="BJ83" s="135"/>
      <c r="BK83" s="135"/>
      <c r="BL83" s="135"/>
      <c r="BM83" s="135"/>
      <c r="BN83" s="135"/>
      <c r="BO83" s="135"/>
      <c r="BP83" s="135"/>
      <c r="BQ83" s="135"/>
      <c r="BR83" s="135"/>
      <c r="BS83" s="135"/>
      <c r="BT83" s="135"/>
      <c r="BU83" s="135"/>
      <c r="BV83" s="135"/>
      <c r="BW83" s="135"/>
      <c r="BX83" s="135"/>
      <c r="BY83" s="135"/>
      <c r="CX83" s="296"/>
      <c r="CY83" s="305"/>
      <c r="CZ83" s="305"/>
    </row>
    <row r="84" spans="1:104" s="30" customFormat="1">
      <c r="B84" s="37"/>
      <c r="C84" s="360"/>
      <c r="D84" s="367" t="str">
        <f t="shared" si="13"/>
        <v>Summe</v>
      </c>
      <c r="E84" s="362">
        <f>Q38</f>
        <v>0</v>
      </c>
      <c r="F84" s="393">
        <f>SUM(F82:F83)</f>
        <v>0</v>
      </c>
      <c r="G84" s="362">
        <f>SUM(G82:G83)</f>
        <v>0</v>
      </c>
      <c r="H84" s="362">
        <f>SUM(H82:H83)</f>
        <v>0</v>
      </c>
      <c r="I84" s="362">
        <f>SUM(I82:I83)</f>
        <v>0</v>
      </c>
      <c r="J84" s="37"/>
      <c r="K84" s="37"/>
      <c r="L84" s="37"/>
      <c r="M84" s="37"/>
      <c r="N84" s="37"/>
      <c r="O84" s="37"/>
      <c r="P84" s="37"/>
      <c r="Q84" s="37"/>
      <c r="R84" s="37"/>
      <c r="S84" s="62"/>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135"/>
      <c r="BH84" s="135"/>
      <c r="BI84" s="135"/>
      <c r="BJ84" s="135"/>
      <c r="BK84" s="135"/>
      <c r="BL84" s="135"/>
      <c r="BM84" s="135"/>
      <c r="BN84" s="135"/>
      <c r="BO84" s="135"/>
      <c r="BP84" s="135"/>
      <c r="BQ84" s="135"/>
      <c r="BR84" s="135"/>
      <c r="BS84" s="135"/>
      <c r="BT84" s="135"/>
      <c r="BU84" s="135"/>
      <c r="BV84" s="135"/>
      <c r="BW84" s="135"/>
      <c r="BX84" s="135"/>
      <c r="BY84" s="135"/>
      <c r="CX84" s="296"/>
      <c r="CY84" s="305"/>
      <c r="CZ84" s="305"/>
    </row>
    <row r="85" spans="1:104" s="30" customFormat="1">
      <c r="B85" s="37"/>
      <c r="C85" s="377">
        <v>7</v>
      </c>
      <c r="D85" s="384" t="str">
        <f t="shared" si="13"/>
        <v>Verschiedenes</v>
      </c>
      <c r="E85" s="385"/>
      <c r="F85" s="386"/>
      <c r="G85" s="386"/>
      <c r="H85" s="386"/>
      <c r="I85" s="387"/>
      <c r="J85" s="37"/>
      <c r="K85" s="37"/>
      <c r="L85" s="37"/>
      <c r="M85" s="37"/>
      <c r="N85" s="37"/>
      <c r="O85" s="37"/>
      <c r="P85" s="37"/>
      <c r="Q85" s="37"/>
      <c r="R85" s="37"/>
      <c r="S85" s="62"/>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135"/>
      <c r="BH85" s="135"/>
      <c r="BI85" s="135"/>
      <c r="BJ85" s="135"/>
      <c r="BK85" s="135"/>
      <c r="BL85" s="135"/>
      <c r="BM85" s="135"/>
      <c r="BN85" s="135"/>
      <c r="BO85" s="135"/>
      <c r="BP85" s="135"/>
      <c r="BQ85" s="135"/>
      <c r="BR85" s="135"/>
      <c r="BS85" s="135"/>
      <c r="BT85" s="135"/>
      <c r="BU85" s="135"/>
      <c r="BV85" s="135"/>
      <c r="BW85" s="135"/>
      <c r="BX85" s="135"/>
      <c r="BY85" s="135"/>
      <c r="CX85" s="296"/>
      <c r="CY85" s="305"/>
      <c r="CZ85" s="305"/>
    </row>
    <row r="86" spans="1:104" s="30" customFormat="1">
      <c r="B86" s="37"/>
      <c r="C86" s="345"/>
      <c r="D86" s="365" t="str">
        <f t="shared" si="13"/>
        <v>Vereinsbeiträge, Spenden, Bausparen</v>
      </c>
      <c r="E86" s="390">
        <f t="shared" ref="E86:E91" si="17">Q40</f>
        <v>0</v>
      </c>
      <c r="F86" s="355"/>
      <c r="G86" s="355"/>
      <c r="H86" s="355"/>
      <c r="I86" s="355"/>
      <c r="J86" s="37"/>
      <c r="K86" s="37"/>
      <c r="L86" s="37"/>
      <c r="M86" s="37"/>
      <c r="N86" s="37"/>
      <c r="O86" s="37"/>
      <c r="P86" s="37"/>
      <c r="Q86" s="37"/>
      <c r="R86" s="37"/>
      <c r="S86" s="1582"/>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135"/>
      <c r="BH86" s="135"/>
      <c r="BI86" s="135"/>
      <c r="BJ86" s="135"/>
      <c r="BK86" s="135"/>
      <c r="BL86" s="135"/>
      <c r="BM86" s="135"/>
      <c r="BN86" s="135"/>
      <c r="BO86" s="135"/>
      <c r="BP86" s="135"/>
      <c r="BQ86" s="135"/>
      <c r="BR86" s="135"/>
      <c r="BS86" s="135"/>
      <c r="BT86" s="135"/>
      <c r="BU86" s="135"/>
      <c r="BV86" s="135"/>
      <c r="BW86" s="135"/>
      <c r="BX86" s="135"/>
      <c r="BY86" s="135"/>
      <c r="CX86" s="296"/>
      <c r="CY86" s="305"/>
      <c r="CZ86" s="305"/>
    </row>
    <row r="87" spans="1:104" s="30" customFormat="1">
      <c r="B87" s="37"/>
      <c r="C87" s="345"/>
      <c r="D87" s="365" t="str">
        <f t="shared" si="13"/>
        <v>Beratung (Steuer, Recht usw.)</v>
      </c>
      <c r="E87" s="390">
        <f t="shared" si="17"/>
        <v>0</v>
      </c>
      <c r="F87" s="355"/>
      <c r="G87" s="355"/>
      <c r="H87" s="355"/>
      <c r="I87" s="355"/>
      <c r="J87" s="37"/>
      <c r="K87" s="37"/>
      <c r="L87" s="37"/>
      <c r="M87" s="37"/>
      <c r="N87" s="37"/>
      <c r="O87" s="37"/>
      <c r="P87" s="37"/>
      <c r="Q87" s="37"/>
      <c r="R87" s="37"/>
      <c r="S87" s="1582"/>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135"/>
      <c r="BH87" s="135"/>
      <c r="BI87" s="135"/>
      <c r="BJ87" s="135"/>
      <c r="BK87" s="135"/>
      <c r="BL87" s="135"/>
      <c r="BM87" s="135"/>
      <c r="BN87" s="135"/>
      <c r="BO87" s="135"/>
      <c r="BP87" s="135"/>
      <c r="BQ87" s="135"/>
      <c r="BR87" s="135"/>
      <c r="BS87" s="135"/>
      <c r="BT87" s="135"/>
      <c r="BU87" s="135"/>
      <c r="BV87" s="135"/>
      <c r="BW87" s="135"/>
      <c r="BX87" s="135"/>
      <c r="BY87" s="135"/>
      <c r="CX87" s="296"/>
      <c r="CY87" s="305"/>
      <c r="CZ87" s="305"/>
    </row>
    <row r="88" spans="1:104" s="30" customFormat="1">
      <c r="B88" s="37"/>
      <c r="C88" s="345"/>
      <c r="D88" s="365" t="str">
        <f>D42</f>
        <v>Steueraufkommen s. Rentabilität Tab 5</v>
      </c>
      <c r="E88" s="395">
        <f>IF(RIGHT($D$88,5)="Tab 5",0,Basisdaten!O27)</f>
        <v>0</v>
      </c>
      <c r="F88" s="395">
        <f>IF(RIGHT($D$88,5)="Tab 5",0,Basisdaten!O28)</f>
        <v>0</v>
      </c>
      <c r="G88" s="395">
        <f>IF(RIGHT($D$88,5)="Tab 5",0,Basisdaten!O29)</f>
        <v>0</v>
      </c>
      <c r="H88" s="395">
        <f>IF(RIGHT($D$88,5)="Tab 5",0,Basisdaten!O30)</f>
        <v>0</v>
      </c>
      <c r="I88" s="395">
        <f>IF(RIGHT($D$88,5)="Tab 5",0,Basisdaten!O31)</f>
        <v>0</v>
      </c>
      <c r="J88" s="37"/>
      <c r="K88" s="37"/>
      <c r="L88" s="37"/>
      <c r="M88" s="37"/>
      <c r="N88" s="37"/>
      <c r="O88" s="37"/>
      <c r="P88" s="37"/>
      <c r="Q88" s="37"/>
      <c r="R88" s="37"/>
      <c r="S88" s="1582"/>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135"/>
      <c r="BH88" s="135"/>
      <c r="BI88" s="135"/>
      <c r="BJ88" s="135"/>
      <c r="BK88" s="135"/>
      <c r="BL88" s="135"/>
      <c r="BM88" s="135"/>
      <c r="BN88" s="135"/>
      <c r="BO88" s="135"/>
      <c r="BP88" s="135"/>
      <c r="BQ88" s="135"/>
      <c r="BR88" s="135"/>
      <c r="BS88" s="135"/>
      <c r="BT88" s="135"/>
      <c r="BU88" s="135"/>
      <c r="BV88" s="135"/>
      <c r="BW88" s="135"/>
      <c r="BX88" s="135"/>
      <c r="BY88" s="135"/>
      <c r="CX88" s="296"/>
      <c r="CY88" s="305"/>
      <c r="CZ88" s="305"/>
    </row>
    <row r="89" spans="1:104" s="30" customFormat="1">
      <c r="B89" s="37"/>
      <c r="C89" s="345"/>
      <c r="D89" s="365" t="str">
        <f t="shared" si="13"/>
        <v xml:space="preserve">Sonstiges  </v>
      </c>
      <c r="E89" s="391">
        <f>Q43</f>
        <v>0</v>
      </c>
      <c r="F89" s="392"/>
      <c r="G89" s="392"/>
      <c r="H89" s="392"/>
      <c r="I89" s="392"/>
      <c r="J89" s="37"/>
      <c r="K89" s="37"/>
      <c r="L89" s="37"/>
      <c r="M89" s="37"/>
      <c r="N89" s="37"/>
      <c r="O89" s="37"/>
      <c r="P89" s="37"/>
      <c r="Q89" s="37"/>
      <c r="R89" s="37"/>
      <c r="S89" s="1582"/>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135"/>
      <c r="BH89" s="135"/>
      <c r="BI89" s="135"/>
      <c r="BJ89" s="135"/>
      <c r="BK89" s="135"/>
      <c r="BL89" s="135"/>
      <c r="BM89" s="135"/>
      <c r="BN89" s="135"/>
      <c r="BO89" s="135"/>
      <c r="BP89" s="135"/>
      <c r="BQ89" s="135"/>
      <c r="BR89" s="135"/>
      <c r="BS89" s="135"/>
      <c r="BT89" s="135"/>
      <c r="BU89" s="135"/>
      <c r="BV89" s="135"/>
      <c r="BW89" s="135"/>
      <c r="BX89" s="135"/>
      <c r="BY89" s="135"/>
      <c r="CX89" s="296"/>
      <c r="CY89" s="305"/>
      <c r="CZ89" s="305"/>
    </row>
    <row r="90" spans="1:104" s="30" customFormat="1">
      <c r="B90" s="37"/>
      <c r="C90" s="360"/>
      <c r="D90" s="367" t="str">
        <f>D44</f>
        <v>Summe</v>
      </c>
      <c r="E90" s="362">
        <f t="shared" si="17"/>
        <v>0</v>
      </c>
      <c r="F90" s="393">
        <f>SUM(F86:F89)</f>
        <v>0</v>
      </c>
      <c r="G90" s="362">
        <f>SUM(G86:G89)</f>
        <v>0</v>
      </c>
      <c r="H90" s="362">
        <f>SUM(H86:H89)</f>
        <v>0</v>
      </c>
      <c r="I90" s="362">
        <f>SUM(I86:I89)</f>
        <v>0</v>
      </c>
      <c r="J90" s="37"/>
      <c r="K90" s="37"/>
      <c r="L90" s="37"/>
      <c r="M90" s="37"/>
      <c r="N90" s="37"/>
      <c r="O90" s="37"/>
      <c r="P90" s="37"/>
      <c r="Q90" s="37"/>
      <c r="R90" s="37"/>
      <c r="S90" s="62"/>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135"/>
      <c r="BH90" s="135"/>
      <c r="BI90" s="135"/>
      <c r="BJ90" s="135"/>
      <c r="BK90" s="135"/>
      <c r="BL90" s="135"/>
      <c r="BM90" s="135"/>
      <c r="BN90" s="135"/>
      <c r="BO90" s="135"/>
      <c r="BP90" s="135"/>
      <c r="BQ90" s="135"/>
      <c r="BR90" s="135"/>
      <c r="BS90" s="135"/>
      <c r="BT90" s="135"/>
      <c r="BU90" s="135"/>
      <c r="BV90" s="135"/>
      <c r="BW90" s="135"/>
      <c r="BX90" s="135"/>
      <c r="BY90" s="135"/>
      <c r="CX90" s="296"/>
      <c r="CY90" s="305"/>
      <c r="CZ90" s="305"/>
    </row>
    <row r="91" spans="1:104" s="30" customFormat="1">
      <c r="B91" s="37"/>
      <c r="C91" s="140"/>
      <c r="D91" s="396" t="str">
        <f>D45</f>
        <v>Gesamtausgaben ohne EkSt</v>
      </c>
      <c r="E91" s="397">
        <f t="shared" si="17"/>
        <v>7200</v>
      </c>
      <c r="F91" s="398">
        <f>SUM(F51:F90)/2</f>
        <v>7200</v>
      </c>
      <c r="G91" s="397">
        <f>SUM(G51:G90)/2</f>
        <v>7200</v>
      </c>
      <c r="H91" s="397">
        <f>SUM(H51:H90)/2</f>
        <v>7200</v>
      </c>
      <c r="I91" s="397">
        <f>SUM(I51:I90)/2</f>
        <v>7200</v>
      </c>
      <c r="J91" s="37"/>
      <c r="K91" s="37"/>
      <c r="L91" s="37"/>
      <c r="M91" s="37"/>
      <c r="N91" s="37"/>
      <c r="O91" s="37"/>
      <c r="P91" s="37"/>
      <c r="Q91" s="37"/>
      <c r="R91" s="37"/>
      <c r="S91" s="62"/>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135"/>
      <c r="BH91" s="135"/>
      <c r="BI91" s="135"/>
      <c r="BJ91" s="135"/>
      <c r="BK91" s="135"/>
      <c r="BL91" s="135"/>
      <c r="BM91" s="135"/>
      <c r="BN91" s="135"/>
      <c r="BO91" s="135"/>
      <c r="BP91" s="135"/>
      <c r="BQ91" s="135"/>
      <c r="BR91" s="135"/>
      <c r="BS91" s="135"/>
      <c r="BT91" s="135"/>
      <c r="BU91" s="135"/>
      <c r="BV91" s="135"/>
      <c r="BW91" s="135"/>
      <c r="BX91" s="135"/>
      <c r="BY91" s="135"/>
      <c r="CX91" s="296"/>
      <c r="CY91" s="305"/>
      <c r="CZ91" s="305"/>
    </row>
    <row r="92" spans="1:104" s="30" customFormat="1">
      <c r="B92" s="37"/>
      <c r="C92" s="118"/>
      <c r="D92" s="68"/>
      <c r="E92" s="1764">
        <f ca="1">E50</f>
        <v>2026</v>
      </c>
      <c r="F92" s="1764">
        <f ca="1">F50</f>
        <v>2027</v>
      </c>
      <c r="G92" s="1764">
        <f ca="1">G50</f>
        <v>2028</v>
      </c>
      <c r="H92" s="1764">
        <f ca="1">H50</f>
        <v>2029</v>
      </c>
      <c r="I92" s="1764">
        <f ca="1">I50</f>
        <v>2030</v>
      </c>
      <c r="J92" s="37"/>
      <c r="K92" s="37"/>
      <c r="L92" s="37"/>
      <c r="M92" s="37"/>
      <c r="N92" s="37"/>
      <c r="O92" s="37"/>
      <c r="P92" s="37"/>
      <c r="Q92" s="37"/>
      <c r="R92" s="37"/>
      <c r="S92" s="62"/>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135"/>
      <c r="BH92" s="135"/>
      <c r="BI92" s="135"/>
      <c r="BJ92" s="135"/>
      <c r="BK92" s="135"/>
      <c r="BL92" s="135"/>
      <c r="BM92" s="135"/>
      <c r="BN92" s="135"/>
      <c r="BO92" s="135"/>
      <c r="BP92" s="135"/>
      <c r="BQ92" s="135"/>
      <c r="BR92" s="135"/>
      <c r="BS92" s="135"/>
      <c r="BT92" s="135"/>
      <c r="BU92" s="135"/>
      <c r="BV92" s="135"/>
      <c r="BW92" s="135"/>
      <c r="BX92" s="135"/>
      <c r="BY92" s="135"/>
      <c r="CX92" s="296"/>
      <c r="CY92" s="296"/>
      <c r="CZ92" s="296"/>
    </row>
    <row r="93" spans="1:104" s="37" customFormat="1">
      <c r="B93" s="68"/>
      <c r="C93" s="102"/>
      <c r="E93" s="68"/>
      <c r="F93" s="68"/>
      <c r="G93" s="68"/>
      <c r="H93" s="68"/>
      <c r="I93" s="68"/>
      <c r="J93" s="68"/>
      <c r="S93" s="62"/>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c r="BS93" s="50"/>
      <c r="BT93" s="50"/>
      <c r="BU93" s="50"/>
      <c r="BV93" s="50"/>
      <c r="BW93" s="50"/>
      <c r="BX93" s="50"/>
      <c r="BY93" s="50"/>
      <c r="CX93" s="296"/>
      <c r="CY93" s="305"/>
      <c r="CZ93" s="305"/>
    </row>
    <row r="94" spans="1:104" s="37" customFormat="1" ht="24.6">
      <c r="A94" s="336" t="s">
        <v>507</v>
      </c>
      <c r="C94" s="128" t="str">
        <f ca="1">CX94&amp;Basisdaten!O18</f>
        <v>1.3  Privatentnahmen (EUR) aller Gründer:innen für die Jahre 2026 - 2030</v>
      </c>
      <c r="E94" s="68"/>
      <c r="F94" s="68"/>
      <c r="G94" s="68"/>
      <c r="H94" s="68"/>
      <c r="I94" s="68"/>
      <c r="J94" s="68"/>
      <c r="K94" s="114"/>
      <c r="S94" s="62"/>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c r="BS94" s="50"/>
      <c r="BT94" s="50"/>
      <c r="BU94" s="50"/>
      <c r="BV94" s="50"/>
      <c r="BW94" s="50"/>
      <c r="BX94" s="50"/>
      <c r="BY94" s="50"/>
      <c r="CX94" s="296" t="str">
        <f>IF('Deckblatt|Cover'!$I$3=Basisdaten!$E$2,'1 Private Kosten|Costs'!CZ94,'1 Private Kosten|Costs'!CY94)</f>
        <v xml:space="preserve">1.3  Privatentnahmen (EUR) aller Gründer:innen für die Jahre </v>
      </c>
      <c r="CY94" s="296" t="s">
        <v>528</v>
      </c>
      <c r="CZ94" s="296" t="s">
        <v>529</v>
      </c>
    </row>
    <row r="95" spans="1:104" s="37" customFormat="1" ht="21" customHeight="1">
      <c r="B95" s="68"/>
      <c r="C95" s="108"/>
      <c r="E95" s="68"/>
      <c r="F95" s="68"/>
      <c r="G95" s="68"/>
      <c r="H95" s="68"/>
      <c r="I95" s="399"/>
      <c r="J95" s="2136" t="str">
        <f>CX95</f>
        <v>jährliche Anhebung</v>
      </c>
      <c r="K95" s="818"/>
      <c r="S95" s="62"/>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0"/>
      <c r="BY95" s="50"/>
      <c r="CX95" s="296" t="str">
        <f>IF('Deckblatt|Cover'!$I$3=Basisdaten!$E$2,'1 Private Kosten|Costs'!CZ95,'1 Private Kosten|Costs'!CY95)</f>
        <v>jährliche Anhebung</v>
      </c>
      <c r="CY95" s="296" t="s">
        <v>530</v>
      </c>
      <c r="CZ95" s="296" t="s">
        <v>531</v>
      </c>
    </row>
    <row r="96" spans="1:104" s="37" customFormat="1" ht="14.25" customHeight="1">
      <c r="B96" s="68"/>
      <c r="C96" s="400" t="str">
        <f>C50</f>
        <v>No.</v>
      </c>
      <c r="D96" s="401" t="str">
        <f>CX96</f>
        <v>Namen der GründerInnen  1)</v>
      </c>
      <c r="E96" s="400">
        <f ca="1">E50</f>
        <v>2026</v>
      </c>
      <c r="F96" s="400">
        <f ca="1">E96+1</f>
        <v>2027</v>
      </c>
      <c r="G96" s="400">
        <f ca="1">F96+1</f>
        <v>2028</v>
      </c>
      <c r="H96" s="400">
        <f ca="1">G96+1</f>
        <v>2029</v>
      </c>
      <c r="I96" s="400">
        <f ca="1">H96+1</f>
        <v>2030</v>
      </c>
      <c r="J96" s="2137"/>
      <c r="S96" s="336" t="str">
        <f>S50</f>
        <v>Aufgaben und/oder Kommentar</v>
      </c>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c r="BS96" s="50"/>
      <c r="BT96" s="50"/>
      <c r="BU96" s="50"/>
      <c r="BV96" s="50"/>
      <c r="BW96" s="50"/>
      <c r="BX96" s="50"/>
      <c r="BY96" s="50"/>
      <c r="CX96" s="296" t="str">
        <f>IF('Deckblatt|Cover'!$I$3=Basisdaten!$E$2,'1 Private Kosten|Costs'!CZ96,'1 Private Kosten|Costs'!CY96)</f>
        <v>Namen der GründerInnen  1)</v>
      </c>
      <c r="CY96" s="296" t="s">
        <v>532</v>
      </c>
      <c r="CZ96" s="296" t="s">
        <v>533</v>
      </c>
    </row>
    <row r="97" spans="1:106" s="30" customFormat="1">
      <c r="A97" s="336" t="s">
        <v>507</v>
      </c>
      <c r="C97" s="402" t="s">
        <v>126</v>
      </c>
      <c r="D97" s="403"/>
      <c r="E97" s="404"/>
      <c r="F97" s="404">
        <f>E97*(1+$J$97)</f>
        <v>0</v>
      </c>
      <c r="G97" s="404">
        <f>F97*(1+$J$97)</f>
        <v>0</v>
      </c>
      <c r="H97" s="404">
        <f>G97*(1+$J$97)</f>
        <v>0</v>
      </c>
      <c r="I97" s="404">
        <f>H97*(1+$J$97)</f>
        <v>0</v>
      </c>
      <c r="J97" s="405"/>
      <c r="M97" s="37"/>
      <c r="N97" s="37"/>
      <c r="O97" s="37"/>
      <c r="P97" s="37"/>
      <c r="Q97" s="37"/>
      <c r="R97" s="37"/>
      <c r="S97" s="62"/>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135"/>
      <c r="BH97" s="135"/>
      <c r="BI97" s="135"/>
      <c r="BJ97" s="135"/>
      <c r="BK97" s="135"/>
      <c r="BL97" s="135"/>
      <c r="BM97" s="135"/>
      <c r="BN97" s="135"/>
      <c r="BO97" s="135"/>
      <c r="BP97" s="135"/>
      <c r="BQ97" s="135"/>
      <c r="BR97" s="135"/>
      <c r="BS97" s="135"/>
      <c r="BT97" s="135"/>
      <c r="BU97" s="135"/>
      <c r="BV97" s="135"/>
      <c r="BW97" s="135"/>
      <c r="BX97" s="135"/>
      <c r="BY97" s="135"/>
      <c r="CX97" s="296" t="str">
        <f>IF('Deckblatt|Cover'!$I$3=Basisdaten!$E$2,'1 Private Kosten|Costs'!CZ97,'1 Private Kosten|Costs'!CY97)</f>
        <v>Gründer</v>
      </c>
      <c r="CY97" s="406" t="s">
        <v>138</v>
      </c>
      <c r="CZ97" s="406" t="s">
        <v>235</v>
      </c>
    </row>
    <row r="98" spans="1:106" s="30" customFormat="1">
      <c r="B98" s="37"/>
      <c r="C98" s="407" t="s">
        <v>127</v>
      </c>
      <c r="D98" s="408"/>
      <c r="E98" s="404"/>
      <c r="F98" s="404"/>
      <c r="G98" s="404"/>
      <c r="H98" s="404"/>
      <c r="I98" s="404"/>
      <c r="K98" s="37"/>
      <c r="L98" s="37"/>
      <c r="M98" s="37"/>
      <c r="N98" s="37"/>
      <c r="O98" s="37"/>
      <c r="P98" s="37"/>
      <c r="Q98" s="37"/>
      <c r="R98" s="37"/>
      <c r="S98" s="1582"/>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135"/>
      <c r="BH98" s="135"/>
      <c r="BI98" s="135"/>
      <c r="BJ98" s="135"/>
      <c r="BK98" s="135"/>
      <c r="BL98" s="135"/>
      <c r="BM98" s="135"/>
      <c r="BN98" s="135"/>
      <c r="BO98" s="135"/>
      <c r="BP98" s="135"/>
      <c r="BQ98" s="135"/>
      <c r="BR98" s="135"/>
      <c r="BS98" s="135"/>
      <c r="BT98" s="135"/>
      <c r="BU98" s="135"/>
      <c r="BV98" s="135"/>
      <c r="BW98" s="135"/>
      <c r="BX98" s="135"/>
      <c r="BY98" s="135"/>
      <c r="CX98" s="296"/>
      <c r="CY98" s="406"/>
      <c r="CZ98" s="406"/>
    </row>
    <row r="99" spans="1:106" s="30" customFormat="1">
      <c r="B99" s="37"/>
      <c r="C99" s="407" t="s">
        <v>128</v>
      </c>
      <c r="D99" s="408"/>
      <c r="E99" s="404"/>
      <c r="F99" s="404"/>
      <c r="G99" s="404"/>
      <c r="H99" s="404"/>
      <c r="I99" s="404"/>
      <c r="J99" s="68"/>
      <c r="K99" s="37"/>
      <c r="L99" s="37"/>
      <c r="M99" s="37"/>
      <c r="N99" s="37"/>
      <c r="O99" s="37"/>
      <c r="P99" s="37"/>
      <c r="Q99" s="37"/>
      <c r="R99" s="37"/>
      <c r="S99" s="1582"/>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135"/>
      <c r="BH99" s="135"/>
      <c r="BI99" s="135"/>
      <c r="BJ99" s="135"/>
      <c r="BK99" s="135"/>
      <c r="BL99" s="135"/>
      <c r="BM99" s="135"/>
      <c r="BN99" s="135"/>
      <c r="BO99" s="135"/>
      <c r="BP99" s="135"/>
      <c r="BQ99" s="135"/>
      <c r="BR99" s="135"/>
      <c r="BS99" s="135"/>
      <c r="BT99" s="135"/>
      <c r="BU99" s="135"/>
      <c r="BV99" s="135"/>
      <c r="BW99" s="135"/>
      <c r="BX99" s="135"/>
      <c r="BY99" s="135"/>
      <c r="CX99" s="296"/>
      <c r="CY99" s="406"/>
      <c r="CZ99" s="406"/>
    </row>
    <row r="100" spans="1:106" s="30" customFormat="1">
      <c r="B100" s="37"/>
      <c r="C100" s="407" t="s">
        <v>129</v>
      </c>
      <c r="D100" s="408"/>
      <c r="E100" s="404"/>
      <c r="F100" s="404"/>
      <c r="G100" s="404"/>
      <c r="H100" s="404"/>
      <c r="I100" s="404"/>
      <c r="J100" s="68"/>
      <c r="K100" s="37"/>
      <c r="L100" s="37"/>
      <c r="M100" s="37"/>
      <c r="N100" s="37"/>
      <c r="O100" s="37"/>
      <c r="P100" s="37"/>
      <c r="Q100" s="37"/>
      <c r="R100" s="37"/>
      <c r="S100" s="1582"/>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135"/>
      <c r="BH100" s="135"/>
      <c r="BI100" s="135"/>
      <c r="BJ100" s="135"/>
      <c r="BK100" s="135"/>
      <c r="BL100" s="135"/>
      <c r="BM100" s="135"/>
      <c r="BN100" s="135"/>
      <c r="BO100" s="135"/>
      <c r="BP100" s="135"/>
      <c r="BQ100" s="135"/>
      <c r="BR100" s="135"/>
      <c r="BS100" s="135"/>
      <c r="BT100" s="135"/>
      <c r="BU100" s="135"/>
      <c r="BV100" s="135"/>
      <c r="BW100" s="135"/>
      <c r="BX100" s="135"/>
      <c r="BY100" s="135"/>
      <c r="CX100" s="296"/>
      <c r="CY100" s="406"/>
      <c r="CZ100" s="406"/>
    </row>
    <row r="101" spans="1:106" s="30" customFormat="1">
      <c r="B101" s="37"/>
      <c r="C101" s="409" t="s">
        <v>130</v>
      </c>
      <c r="D101" s="410"/>
      <c r="E101" s="411"/>
      <c r="F101" s="411"/>
      <c r="G101" s="411"/>
      <c r="H101" s="411"/>
      <c r="I101" s="411"/>
      <c r="J101" s="68"/>
      <c r="K101" s="37"/>
      <c r="L101" s="37"/>
      <c r="M101" s="37"/>
      <c r="N101" s="37"/>
      <c r="O101" s="37"/>
      <c r="P101" s="37"/>
      <c r="Q101" s="37"/>
      <c r="R101" s="37"/>
      <c r="S101" s="1582"/>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135"/>
      <c r="BH101" s="135"/>
      <c r="BI101" s="135"/>
      <c r="BJ101" s="135"/>
      <c r="BK101" s="135"/>
      <c r="BL101" s="135"/>
      <c r="BM101" s="135"/>
      <c r="BN101" s="135"/>
      <c r="BO101" s="135"/>
      <c r="BP101" s="135"/>
      <c r="BQ101" s="135"/>
      <c r="BR101" s="135"/>
      <c r="BS101" s="135"/>
      <c r="BT101" s="135"/>
      <c r="BU101" s="135"/>
      <c r="BV101" s="135"/>
      <c r="BW101" s="135"/>
      <c r="BX101" s="135"/>
      <c r="BY101" s="135"/>
      <c r="CX101" s="296"/>
      <c r="CY101" s="406"/>
      <c r="CZ101" s="406" t="s">
        <v>534</v>
      </c>
    </row>
    <row r="102" spans="1:106" s="30" customFormat="1">
      <c r="B102" s="37"/>
      <c r="C102" s="37"/>
      <c r="D102" s="412" t="str">
        <f>CX102</f>
        <v>Gesamtentnahmen aller Gründer:innen</v>
      </c>
      <c r="E102" s="413">
        <f>SUM(E97:E101)</f>
        <v>0</v>
      </c>
      <c r="F102" s="413">
        <f>SUM(F97:F101)</f>
        <v>0</v>
      </c>
      <c r="G102" s="413">
        <f>SUM(G97:G101)</f>
        <v>0</v>
      </c>
      <c r="H102" s="413">
        <f>SUM(H97:H101)</f>
        <v>0</v>
      </c>
      <c r="I102" s="413">
        <f>SUM(I97:I101)</f>
        <v>0</v>
      </c>
      <c r="J102" s="68"/>
      <c r="K102" s="37"/>
      <c r="L102" s="37"/>
      <c r="M102" s="37"/>
      <c r="N102" s="37"/>
      <c r="O102" s="37"/>
      <c r="P102" s="37"/>
      <c r="Q102" s="37"/>
      <c r="R102" s="37"/>
      <c r="S102" s="19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135"/>
      <c r="BH102" s="135"/>
      <c r="BI102" s="135"/>
      <c r="BJ102" s="135"/>
      <c r="BK102" s="135"/>
      <c r="BL102" s="135"/>
      <c r="BM102" s="135"/>
      <c r="BN102" s="135"/>
      <c r="BO102" s="135"/>
      <c r="BP102" s="135"/>
      <c r="BQ102" s="135"/>
      <c r="BR102" s="135"/>
      <c r="BS102" s="135"/>
      <c r="BT102" s="135"/>
      <c r="BU102" s="135"/>
      <c r="BV102" s="135"/>
      <c r="BW102" s="135"/>
      <c r="BX102" s="135"/>
      <c r="BY102" s="135"/>
      <c r="CX102" s="296" t="str">
        <f>IF('Deckblatt|Cover'!$I$3=Basisdaten!$E$2,'1 Private Kosten|Costs'!CZ102,'1 Private Kosten|Costs'!CY102)</f>
        <v>Gesamtentnahmen aller Gründer:innen</v>
      </c>
      <c r="CY102" s="414" t="s">
        <v>535</v>
      </c>
      <c r="CZ102" s="414" t="s">
        <v>536</v>
      </c>
    </row>
    <row r="103" spans="1:106" s="30" customFormat="1">
      <c r="B103" s="37"/>
      <c r="D103" s="274"/>
      <c r="E103" s="275"/>
      <c r="F103" s="275"/>
      <c r="G103" s="275"/>
      <c r="H103" s="275"/>
      <c r="I103" s="275"/>
      <c r="J103" s="90"/>
      <c r="K103" s="37"/>
      <c r="L103" s="37"/>
      <c r="M103" s="37"/>
      <c r="N103" s="37"/>
      <c r="O103" s="37"/>
      <c r="P103" s="37"/>
      <c r="Q103" s="37"/>
      <c r="R103" s="37"/>
      <c r="S103" s="19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135"/>
      <c r="BH103" s="135"/>
      <c r="BI103" s="135"/>
      <c r="BJ103" s="135"/>
      <c r="BK103" s="135"/>
      <c r="BL103" s="135"/>
      <c r="BM103" s="135"/>
      <c r="BN103" s="135"/>
      <c r="BO103" s="135"/>
      <c r="BP103" s="135"/>
      <c r="BQ103" s="135"/>
      <c r="BR103" s="135"/>
      <c r="BS103" s="135"/>
      <c r="BT103" s="135"/>
      <c r="BU103" s="135"/>
      <c r="BV103" s="135"/>
      <c r="BW103" s="135"/>
      <c r="BX103" s="135"/>
      <c r="BY103" s="135"/>
      <c r="CX103" s="296" t="str">
        <f>IF('Deckblatt|Cover'!$I$3=Basisdaten!$E$2,'1 Private Kosten|Costs'!CZ103,'1 Private Kosten|Costs'!CY103)</f>
        <v xml:space="preserve"> Einzelunternehmer (gem..Tabelle "0 Daten|Data") tragen in Tabelle 1.3 ihre Privatentnahme ein (Mindestentnahme s.Zeile 90). Werte aus Zeile 102 werden in Tab "6 Liquidität| Liquidity" übenrnommen</v>
      </c>
      <c r="CY103" s="296" t="s">
        <v>537</v>
      </c>
      <c r="CZ103" s="296" t="s">
        <v>538</v>
      </c>
      <c r="DB103" s="37"/>
    </row>
    <row r="104" spans="1:106" s="30" customFormat="1">
      <c r="B104" s="37"/>
      <c r="C104" s="295" t="str">
        <f>CX103</f>
        <v xml:space="preserve"> Einzelunternehmer (gem..Tabelle "0 Daten|Data") tragen in Tabelle 1.3 ihre Privatentnahme ein (Mindestentnahme s.Zeile 90). Werte aus Zeile 102 werden in Tab "6 Liquidität| Liquidity" übenrnommen</v>
      </c>
      <c r="D104" s="274"/>
      <c r="E104" s="275"/>
      <c r="F104" s="275"/>
      <c r="G104" s="275"/>
      <c r="H104" s="275"/>
      <c r="I104" s="275"/>
      <c r="J104" s="90"/>
      <c r="K104" s="37"/>
      <c r="L104" s="37"/>
      <c r="M104" s="37"/>
      <c r="N104" s="37"/>
      <c r="O104" s="37"/>
      <c r="P104" s="37"/>
      <c r="Q104" s="37"/>
      <c r="R104" s="37"/>
      <c r="S104" s="19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135"/>
      <c r="BH104" s="135"/>
      <c r="BI104" s="135"/>
      <c r="BJ104" s="135"/>
      <c r="BK104" s="135"/>
      <c r="BL104" s="135"/>
      <c r="BM104" s="135"/>
      <c r="BN104" s="135"/>
      <c r="BO104" s="135"/>
      <c r="BP104" s="135"/>
      <c r="BQ104" s="135"/>
      <c r="BR104" s="135"/>
      <c r="BS104" s="135"/>
      <c r="BT104" s="135"/>
      <c r="BU104" s="135"/>
      <c r="BV104" s="135"/>
      <c r="BW104" s="135"/>
      <c r="BX104" s="135"/>
      <c r="BY104" s="135"/>
      <c r="CX104" s="296" t="str">
        <f>IF('Deckblatt|Cover'!$I$3=Basisdaten!$E$2,'1 Private Kosten|Costs'!CZ104,'1 Private Kosten|Costs'!CY104)</f>
        <v xml:space="preserve">    Dazu müssen Sie die in Zeile 90 stehenden Werte in die Tabelle 1c händisch übertragen. In die Liquiditätstabelle wird der Wert aus Zeile 104 übernommen.</v>
      </c>
      <c r="CY104" s="296" t="s">
        <v>539</v>
      </c>
      <c r="CZ104" s="296" t="s">
        <v>540</v>
      </c>
      <c r="DB104" s="37"/>
    </row>
    <row r="105" spans="1:106" s="30" customFormat="1">
      <c r="B105" s="37"/>
      <c r="C105" s="295"/>
      <c r="D105" s="274"/>
      <c r="E105" s="275"/>
      <c r="F105" s="275"/>
      <c r="G105" s="275"/>
      <c r="H105" s="275"/>
      <c r="I105" s="275"/>
      <c r="J105" s="90"/>
      <c r="K105" s="37"/>
      <c r="L105" s="37"/>
      <c r="M105" s="37"/>
      <c r="N105" s="37"/>
      <c r="O105" s="37"/>
      <c r="P105" s="37"/>
      <c r="Q105" s="37"/>
      <c r="R105" s="37"/>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135"/>
      <c r="BH105" s="135"/>
      <c r="BI105" s="135"/>
      <c r="BJ105" s="135"/>
      <c r="BK105" s="135"/>
      <c r="BL105" s="135"/>
      <c r="BM105" s="135"/>
      <c r="BN105" s="135"/>
      <c r="BO105" s="135"/>
      <c r="BP105" s="135"/>
      <c r="BQ105" s="135"/>
      <c r="BR105" s="135"/>
      <c r="BS105" s="135"/>
      <c r="BT105" s="135"/>
      <c r="BU105" s="135"/>
      <c r="BV105" s="135"/>
      <c r="BW105" s="135"/>
      <c r="BX105" s="135"/>
      <c r="BY105" s="135"/>
      <c r="CX105" s="296" t="str">
        <f>IF('Deckblatt|Cover'!$I$3=Basisdaten!$E$2,'1 Private Kosten|Costs'!CZ105,'1 Private Kosten|Costs'!CY105)</f>
        <v xml:space="preserve">      - Bei mehreren Gründern kann über Tabelle 1.3 eine Gesamtschau entwickelt und daraus eine "Aufteilung der Privatentnahmen" erzeugt werden</v>
      </c>
      <c r="CY105" s="296" t="s">
        <v>541</v>
      </c>
      <c r="CZ105" s="296" t="s">
        <v>542</v>
      </c>
      <c r="DB105" s="37"/>
    </row>
    <row r="106" spans="1:106" s="30" customFormat="1">
      <c r="B106" s="37"/>
      <c r="C106" s="295"/>
      <c r="D106" s="277"/>
      <c r="E106" s="276"/>
      <c r="F106" s="276"/>
      <c r="G106" s="276"/>
      <c r="H106" s="276"/>
      <c r="I106" s="276"/>
      <c r="J106" s="276"/>
      <c r="K106" s="37"/>
      <c r="L106" s="37"/>
      <c r="M106" s="37"/>
      <c r="N106" s="37"/>
      <c r="O106" s="37"/>
      <c r="P106" s="37"/>
      <c r="Q106" s="37"/>
      <c r="R106" s="37"/>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135"/>
      <c r="BH106" s="135"/>
      <c r="BI106" s="135"/>
      <c r="BJ106" s="135"/>
      <c r="BK106" s="135"/>
      <c r="BL106" s="135"/>
      <c r="BM106" s="135"/>
      <c r="BN106" s="135"/>
      <c r="BO106" s="135"/>
      <c r="BP106" s="135"/>
      <c r="BQ106" s="135"/>
      <c r="BR106" s="135"/>
      <c r="BS106" s="135"/>
      <c r="BT106" s="135"/>
      <c r="BU106" s="135"/>
      <c r="BV106" s="135"/>
      <c r="BW106" s="135"/>
      <c r="BX106" s="135"/>
      <c r="BY106" s="135"/>
      <c r="CX106" s="296"/>
      <c r="CY106" s="296"/>
      <c r="CZ106" s="296"/>
      <c r="DB106" s="37"/>
    </row>
    <row r="107" spans="1:106">
      <c r="CX107" s="296"/>
    </row>
    <row r="108" spans="1:106">
      <c r="CX108" s="296"/>
    </row>
    <row r="109" spans="1:106">
      <c r="CX109" s="296"/>
    </row>
    <row r="110" spans="1:106" s="30" customFormat="1">
      <c r="B110" s="37"/>
      <c r="J110" s="37"/>
      <c r="K110" s="37"/>
      <c r="L110" s="37"/>
      <c r="M110" s="37"/>
      <c r="N110" s="37"/>
      <c r="O110" s="37"/>
      <c r="P110" s="37"/>
      <c r="Q110" s="37"/>
      <c r="R110" s="37"/>
      <c r="S110" s="74"/>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135"/>
      <c r="BH110" s="135"/>
      <c r="BI110" s="135"/>
      <c r="BJ110" s="135"/>
      <c r="BK110" s="135"/>
      <c r="BL110" s="135"/>
      <c r="BM110" s="135"/>
      <c r="BN110" s="135"/>
      <c r="BO110" s="135"/>
      <c r="BP110" s="135"/>
      <c r="BQ110" s="135"/>
      <c r="BR110" s="135"/>
      <c r="BS110" s="135"/>
      <c r="BT110" s="135"/>
      <c r="BU110" s="135"/>
      <c r="BV110" s="135"/>
      <c r="BW110" s="135"/>
      <c r="BX110" s="135"/>
      <c r="BY110" s="135"/>
      <c r="CX110" s="296" t="str">
        <f>IF('Deckblatt|Cover'!$I$3=Basisdaten!$E$2,'1 Private Kosten|Costs'!CZ110,'1 Private Kosten|Costs'!CY110)</f>
        <v>Grundlage dafür ist der unterrnehmerische Gewinn</v>
      </c>
      <c r="CY110" s="415" t="s">
        <v>543</v>
      </c>
      <c r="CZ110" s="415" t="s">
        <v>234</v>
      </c>
    </row>
    <row r="111" spans="1:106" s="30" customFormat="1">
      <c r="B111" s="37"/>
      <c r="D111" s="115"/>
      <c r="J111" s="37"/>
      <c r="K111" s="37"/>
      <c r="L111" s="37"/>
      <c r="M111" s="37"/>
      <c r="N111" s="37"/>
      <c r="O111" s="37"/>
      <c r="P111" s="37"/>
      <c r="Q111" s="37"/>
      <c r="R111" s="37"/>
      <c r="S111" s="74"/>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135"/>
      <c r="BH111" s="135"/>
      <c r="BI111" s="135"/>
      <c r="BJ111" s="135"/>
      <c r="BK111" s="135"/>
      <c r="BL111" s="135"/>
      <c r="BM111" s="135"/>
      <c r="BN111" s="135"/>
      <c r="BO111" s="135"/>
      <c r="BP111" s="135"/>
      <c r="BQ111" s="135"/>
      <c r="BR111" s="135"/>
      <c r="BS111" s="135"/>
      <c r="BT111" s="135"/>
      <c r="BU111" s="135"/>
      <c r="BV111" s="135"/>
      <c r="BW111" s="135"/>
      <c r="BX111" s="135"/>
      <c r="BY111" s="135"/>
      <c r="CX111" s="296"/>
      <c r="CY111" s="415"/>
      <c r="CZ111" s="415"/>
    </row>
    <row r="112" spans="1:106" s="68" customFormat="1">
      <c r="R112" s="37"/>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CX112" s="296"/>
      <c r="CY112" s="305"/>
      <c r="CZ112" s="305"/>
    </row>
    <row r="113" spans="6:104" s="68" customFormat="1">
      <c r="R113" s="37"/>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CX113" s="296"/>
      <c r="CY113" s="305"/>
      <c r="CZ113" s="305"/>
    </row>
    <row r="114" spans="6:104" s="68" customFormat="1">
      <c r="R114" s="37"/>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CX114" s="296"/>
      <c r="CY114" s="416"/>
      <c r="CZ114" s="416"/>
    </row>
    <row r="115" spans="6:104" s="68" customFormat="1">
      <c r="R115" s="37"/>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CX115" s="296"/>
      <c r="CY115" s="296"/>
      <c r="CZ115" s="296"/>
    </row>
    <row r="116" spans="6:104" s="69" customFormat="1">
      <c r="F116" s="119">
        <v>0.5</v>
      </c>
      <c r="G116" s="119">
        <v>0.6</v>
      </c>
      <c r="H116" s="119"/>
      <c r="I116" s="119"/>
      <c r="J116" s="119"/>
      <c r="K116" s="119"/>
      <c r="L116" s="119"/>
      <c r="M116" s="119"/>
      <c r="N116" s="119"/>
      <c r="O116" s="119"/>
      <c r="P116" s="119"/>
      <c r="Q116" s="120"/>
      <c r="R116" s="45"/>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c r="BI116" s="72"/>
      <c r="BJ116" s="72"/>
      <c r="BK116" s="72"/>
      <c r="BL116" s="72"/>
      <c r="BM116" s="72"/>
      <c r="BN116" s="72"/>
      <c r="BO116" s="72"/>
      <c r="BP116" s="72"/>
      <c r="BQ116" s="72"/>
      <c r="BR116" s="72"/>
      <c r="BS116" s="72"/>
      <c r="BT116" s="72"/>
      <c r="BU116" s="72"/>
      <c r="BV116" s="72"/>
      <c r="BW116" s="72"/>
      <c r="BX116" s="72"/>
      <c r="BY116" s="72"/>
      <c r="CX116" s="296"/>
      <c r="CY116" s="296"/>
      <c r="CZ116" s="296"/>
    </row>
    <row r="117" spans="6:104" s="68" customFormat="1">
      <c r="H117" s="119"/>
      <c r="Q117" s="70"/>
      <c r="R117" s="37"/>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CX117" s="341"/>
      <c r="CY117" s="296"/>
      <c r="CZ117" s="296"/>
    </row>
    <row r="118" spans="6:104" s="68" customFormat="1">
      <c r="H118" s="119"/>
      <c r="Q118" s="70"/>
      <c r="R118" s="37"/>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CX118" s="341"/>
      <c r="CY118" s="296"/>
      <c r="CZ118" s="296"/>
    </row>
    <row r="119" spans="6:104" s="68" customFormat="1">
      <c r="H119" s="119"/>
      <c r="Q119" s="70"/>
      <c r="R119" s="37"/>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CX119" s="341"/>
      <c r="CY119" s="296"/>
      <c r="CZ119" s="296"/>
    </row>
    <row r="120" spans="6:104" s="68" customFormat="1">
      <c r="H120" s="119"/>
      <c r="Q120" s="70"/>
      <c r="R120" s="37"/>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CX120" s="341"/>
      <c r="CY120" s="296"/>
      <c r="CZ120" s="296"/>
    </row>
    <row r="121" spans="6:104" s="68" customFormat="1">
      <c r="H121" s="119"/>
      <c r="Q121" s="70"/>
      <c r="R121" s="37"/>
      <c r="T121" s="74"/>
      <c r="U121" s="74"/>
      <c r="V121" s="74"/>
      <c r="W121" s="74"/>
      <c r="X121" s="74"/>
      <c r="Y121" s="74"/>
      <c r="Z121" s="74"/>
      <c r="AA121" s="74"/>
      <c r="AB121" s="7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c r="BG121" s="74"/>
      <c r="BH121" s="74"/>
      <c r="BI121" s="74"/>
      <c r="BJ121" s="74"/>
      <c r="BK121" s="74"/>
      <c r="BL121" s="74"/>
      <c r="BM121" s="74"/>
      <c r="BN121" s="74"/>
      <c r="BO121" s="74"/>
      <c r="BP121" s="74"/>
      <c r="BQ121" s="74"/>
      <c r="BR121" s="74"/>
      <c r="BS121" s="74"/>
      <c r="BT121" s="74"/>
      <c r="BU121" s="74"/>
      <c r="BV121" s="74"/>
      <c r="BW121" s="74"/>
      <c r="BX121" s="74"/>
      <c r="BY121" s="74"/>
      <c r="CX121" s="341"/>
      <c r="CY121" s="296"/>
      <c r="CZ121" s="296"/>
    </row>
    <row r="122" spans="6:104" s="68" customFormat="1">
      <c r="Q122" s="70"/>
      <c r="R122" s="37"/>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CX122" s="341"/>
      <c r="CY122" s="296"/>
      <c r="CZ122" s="296"/>
    </row>
    <row r="123" spans="6:104" s="68" customFormat="1">
      <c r="Q123" s="70"/>
      <c r="R123" s="37"/>
      <c r="T123" s="74"/>
      <c r="U123" s="74"/>
      <c r="V123" s="74"/>
      <c r="W123" s="74"/>
      <c r="X123" s="74"/>
      <c r="Y123" s="74"/>
      <c r="Z123" s="74"/>
      <c r="AA123" s="74"/>
      <c r="AB123" s="7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c r="BY123" s="74"/>
      <c r="CX123" s="341"/>
      <c r="CY123" s="296"/>
      <c r="CZ123" s="296"/>
    </row>
    <row r="124" spans="6:104" s="68" customFormat="1">
      <c r="Q124" s="70"/>
      <c r="R124" s="37"/>
      <c r="T124" s="74"/>
      <c r="U124" s="74"/>
      <c r="V124" s="74"/>
      <c r="W124" s="74"/>
      <c r="X124" s="74"/>
      <c r="Y124" s="74"/>
      <c r="Z124" s="74"/>
      <c r="AA124" s="74"/>
      <c r="AB124" s="7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c r="BG124" s="74"/>
      <c r="BH124" s="74"/>
      <c r="BI124" s="74"/>
      <c r="BJ124" s="74"/>
      <c r="BK124" s="74"/>
      <c r="BL124" s="74"/>
      <c r="BM124" s="74"/>
      <c r="BN124" s="74"/>
      <c r="BO124" s="74"/>
      <c r="BP124" s="74"/>
      <c r="BQ124" s="74"/>
      <c r="BR124" s="74"/>
      <c r="BS124" s="74"/>
      <c r="BT124" s="74"/>
      <c r="BU124" s="74"/>
      <c r="BV124" s="74"/>
      <c r="BW124" s="74"/>
      <c r="BX124" s="74"/>
      <c r="BY124" s="74"/>
      <c r="CX124" s="341"/>
      <c r="CY124" s="296"/>
      <c r="CZ124" s="296"/>
    </row>
    <row r="125" spans="6:104" s="68" customFormat="1">
      <c r="Q125" s="70"/>
      <c r="R125" s="37"/>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CX125" s="341"/>
      <c r="CY125" s="296"/>
      <c r="CZ125" s="296"/>
    </row>
    <row r="126" spans="6:104" s="68" customFormat="1">
      <c r="Q126" s="70"/>
      <c r="R126" s="37"/>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CX126" s="341"/>
      <c r="CY126" s="296"/>
      <c r="CZ126" s="296"/>
    </row>
    <row r="127" spans="6:104" s="68" customFormat="1">
      <c r="Q127" s="70"/>
      <c r="R127" s="37"/>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CX127" s="341"/>
      <c r="CY127" s="296"/>
      <c r="CZ127" s="296"/>
    </row>
    <row r="128" spans="6:104" s="68" customFormat="1">
      <c r="Q128" s="70"/>
      <c r="R128" s="37"/>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CX128" s="341"/>
      <c r="CY128" s="296"/>
      <c r="CZ128" s="296"/>
    </row>
    <row r="129" spans="17:104" s="68" customFormat="1">
      <c r="Q129" s="70"/>
      <c r="R129" s="37"/>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CX129" s="341"/>
      <c r="CY129" s="296"/>
      <c r="CZ129" s="296"/>
    </row>
    <row r="130" spans="17:104" s="68" customFormat="1">
      <c r="Q130" s="70"/>
      <c r="R130" s="37"/>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CX130" s="341"/>
      <c r="CY130" s="296"/>
      <c r="CZ130" s="296"/>
    </row>
    <row r="131" spans="17:104" s="68" customFormat="1">
      <c r="Q131" s="70"/>
      <c r="R131" s="37"/>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CX131" s="341"/>
      <c r="CY131" s="296"/>
      <c r="CZ131" s="296"/>
    </row>
    <row r="132" spans="17:104" s="68" customFormat="1">
      <c r="Q132" s="70"/>
      <c r="R132" s="37"/>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CX132" s="341"/>
      <c r="CY132" s="296"/>
      <c r="CZ132" s="296"/>
    </row>
    <row r="133" spans="17:104" s="68" customFormat="1">
      <c r="Q133" s="70"/>
      <c r="R133" s="37"/>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CX133" s="341"/>
      <c r="CY133" s="296"/>
      <c r="CZ133" s="296"/>
    </row>
    <row r="134" spans="17:104" s="68" customFormat="1">
      <c r="Q134" s="70"/>
      <c r="R134" s="37"/>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CX134" s="341"/>
      <c r="CY134" s="296"/>
      <c r="CZ134" s="296"/>
    </row>
    <row r="135" spans="17:104" s="68" customFormat="1">
      <c r="Q135" s="70"/>
      <c r="R135" s="37"/>
      <c r="T135" s="74"/>
      <c r="U135" s="74"/>
      <c r="V135" s="74"/>
      <c r="W135" s="74"/>
      <c r="X135" s="74"/>
      <c r="Y135" s="74"/>
      <c r="Z135" s="74"/>
      <c r="AA135" s="74"/>
      <c r="AB135" s="7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CX135" s="341"/>
      <c r="CY135" s="296"/>
      <c r="CZ135" s="296"/>
    </row>
    <row r="136" spans="17:104" s="68" customFormat="1">
      <c r="Q136" s="70"/>
      <c r="R136" s="37"/>
      <c r="T136" s="74"/>
      <c r="U136" s="74"/>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CX136" s="341"/>
      <c r="CY136" s="296"/>
      <c r="CZ136" s="296"/>
    </row>
    <row r="137" spans="17:104" s="68" customFormat="1">
      <c r="Q137" s="70"/>
      <c r="R137" s="37"/>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CX137" s="341"/>
      <c r="CY137" s="296"/>
      <c r="CZ137" s="296"/>
    </row>
    <row r="138" spans="17:104" s="68" customFormat="1">
      <c r="Q138" s="70"/>
      <c r="R138" s="37"/>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CX138" s="341"/>
      <c r="CY138" s="296"/>
      <c r="CZ138" s="296"/>
    </row>
    <row r="139" spans="17:104" s="68" customFormat="1">
      <c r="Q139" s="70"/>
      <c r="R139" s="37"/>
      <c r="T139" s="74"/>
      <c r="U139" s="74"/>
      <c r="V139" s="74"/>
      <c r="W139" s="74"/>
      <c r="X139" s="74"/>
      <c r="Y139" s="74"/>
      <c r="Z139" s="74"/>
      <c r="AA139" s="74"/>
      <c r="AB139" s="7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CX139" s="341"/>
      <c r="CY139" s="296"/>
      <c r="CZ139" s="296"/>
    </row>
    <row r="140" spans="17:104" s="68" customFormat="1">
      <c r="Q140" s="70"/>
      <c r="R140" s="37"/>
      <c r="T140" s="74"/>
      <c r="U140" s="74"/>
      <c r="V140" s="74"/>
      <c r="W140" s="74"/>
      <c r="X140" s="74"/>
      <c r="Y140" s="74"/>
      <c r="Z140" s="74"/>
      <c r="AA140" s="74"/>
      <c r="AB140" s="7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CX140" s="341"/>
      <c r="CY140" s="296"/>
      <c r="CZ140" s="296"/>
    </row>
    <row r="141" spans="17:104" s="68" customFormat="1">
      <c r="Q141" s="70"/>
      <c r="R141" s="37"/>
      <c r="T141" s="74"/>
      <c r="U141" s="74"/>
      <c r="V141" s="74"/>
      <c r="W141" s="74"/>
      <c r="X141" s="74"/>
      <c r="Y141" s="74"/>
      <c r="Z141" s="74"/>
      <c r="AA141" s="74"/>
      <c r="AB141" s="7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CX141" s="341"/>
      <c r="CY141" s="296"/>
      <c r="CZ141" s="296"/>
    </row>
    <row r="142" spans="17:104" s="68" customFormat="1">
      <c r="Q142" s="70"/>
      <c r="R142" s="37"/>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CX142" s="341"/>
      <c r="CY142" s="296"/>
      <c r="CZ142" s="296"/>
    </row>
    <row r="143" spans="17:104" s="68" customFormat="1">
      <c r="Q143" s="70"/>
      <c r="R143" s="37"/>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CX143" s="341"/>
      <c r="CY143" s="296"/>
      <c r="CZ143" s="296"/>
    </row>
    <row r="144" spans="17:104" s="68" customFormat="1">
      <c r="Q144" s="70"/>
      <c r="R144" s="37"/>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c r="BY144" s="74"/>
      <c r="CX144" s="341"/>
      <c r="CY144" s="296"/>
      <c r="CZ144" s="296"/>
    </row>
    <row r="145" spans="17:104" s="68" customFormat="1">
      <c r="Q145" s="70"/>
      <c r="R145" s="37"/>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CX145" s="341"/>
      <c r="CY145" s="296"/>
      <c r="CZ145" s="296"/>
    </row>
    <row r="146" spans="17:104" s="68" customFormat="1">
      <c r="Q146" s="70"/>
      <c r="R146" s="37"/>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CX146" s="341"/>
      <c r="CY146" s="296"/>
      <c r="CZ146" s="296"/>
    </row>
    <row r="147" spans="17:104" s="68" customFormat="1">
      <c r="Q147" s="70"/>
      <c r="R147" s="37"/>
      <c r="T147" s="74"/>
      <c r="U147" s="74"/>
      <c r="V147" s="74"/>
      <c r="W147" s="74"/>
      <c r="X147" s="74"/>
      <c r="Y147" s="74"/>
      <c r="Z147" s="74"/>
      <c r="AA147" s="74"/>
      <c r="AB147" s="7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CX147" s="341"/>
      <c r="CY147" s="296"/>
      <c r="CZ147" s="296"/>
    </row>
    <row r="148" spans="17:104" s="68" customFormat="1">
      <c r="Q148" s="70"/>
      <c r="R148" s="37"/>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CX148" s="341"/>
      <c r="CY148" s="296"/>
      <c r="CZ148" s="296"/>
    </row>
    <row r="149" spans="17:104" s="68" customFormat="1">
      <c r="Q149" s="70"/>
      <c r="R149" s="37"/>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CX149" s="341"/>
      <c r="CY149" s="296"/>
      <c r="CZ149" s="296"/>
    </row>
    <row r="150" spans="17:104" s="68" customFormat="1">
      <c r="Q150" s="70"/>
      <c r="R150" s="37"/>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CX150" s="341"/>
      <c r="CY150" s="296"/>
      <c r="CZ150" s="296"/>
    </row>
    <row r="151" spans="17:104" s="68" customFormat="1">
      <c r="Q151" s="70"/>
      <c r="R151" s="37"/>
      <c r="T151" s="74"/>
      <c r="U151" s="74"/>
      <c r="V151" s="74"/>
      <c r="W151" s="74"/>
      <c r="X151" s="74"/>
      <c r="Y151" s="74"/>
      <c r="Z151" s="74"/>
      <c r="AA151" s="74"/>
      <c r="AB151" s="7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CX151" s="341"/>
      <c r="CY151" s="296"/>
      <c r="CZ151" s="296"/>
    </row>
    <row r="152" spans="17:104" s="68" customFormat="1">
      <c r="Q152" s="70"/>
      <c r="R152" s="37"/>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CX152" s="341"/>
      <c r="CY152" s="296"/>
      <c r="CZ152" s="296"/>
    </row>
    <row r="153" spans="17:104" s="68" customFormat="1">
      <c r="Q153" s="70"/>
      <c r="R153" s="37"/>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CX153" s="341"/>
      <c r="CY153" s="296"/>
      <c r="CZ153" s="296"/>
    </row>
    <row r="154" spans="17:104" s="68" customFormat="1">
      <c r="Q154" s="70"/>
      <c r="R154" s="37"/>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CX154" s="341"/>
      <c r="CY154" s="296"/>
      <c r="CZ154" s="296"/>
    </row>
    <row r="155" spans="17:104" s="68" customFormat="1">
      <c r="Q155" s="70"/>
      <c r="R155" s="37"/>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CX155" s="341"/>
      <c r="CY155" s="296"/>
      <c r="CZ155" s="296"/>
    </row>
    <row r="156" spans="17:104" s="68" customFormat="1">
      <c r="Q156" s="70"/>
      <c r="R156" s="37"/>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CX156" s="341"/>
      <c r="CY156" s="296"/>
      <c r="CZ156" s="296"/>
    </row>
    <row r="157" spans="17:104" s="68" customFormat="1">
      <c r="Q157" s="70"/>
      <c r="R157" s="37"/>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CX157" s="341"/>
      <c r="CY157" s="296"/>
      <c r="CZ157" s="296"/>
    </row>
    <row r="158" spans="17:104" s="68" customFormat="1">
      <c r="Q158" s="70"/>
      <c r="R158" s="37"/>
      <c r="T158" s="74"/>
      <c r="U158" s="74"/>
      <c r="V158" s="74"/>
      <c r="W158" s="74"/>
      <c r="X158" s="74"/>
      <c r="Y158" s="74"/>
      <c r="Z158" s="74"/>
      <c r="AA158" s="74"/>
      <c r="AB158" s="7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CX158" s="341"/>
      <c r="CY158" s="296"/>
      <c r="CZ158" s="296"/>
    </row>
    <row r="159" spans="17:104" s="68" customFormat="1">
      <c r="Q159" s="70"/>
      <c r="R159" s="37"/>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CX159" s="341"/>
      <c r="CY159" s="296"/>
      <c r="CZ159" s="296"/>
    </row>
    <row r="160" spans="17:104" s="68" customFormat="1">
      <c r="Q160" s="70"/>
      <c r="R160" s="37"/>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CX160" s="341"/>
      <c r="CY160" s="296"/>
      <c r="CZ160" s="296"/>
    </row>
    <row r="161" spans="17:104" s="68" customFormat="1">
      <c r="Q161" s="70"/>
      <c r="R161" s="37"/>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CX161" s="341"/>
      <c r="CY161" s="296"/>
      <c r="CZ161" s="296"/>
    </row>
    <row r="162" spans="17:104" s="68" customFormat="1">
      <c r="Q162" s="70"/>
      <c r="R162" s="37"/>
      <c r="T162" s="74"/>
      <c r="U162" s="74"/>
      <c r="V162" s="74"/>
      <c r="W162" s="74"/>
      <c r="X162" s="74"/>
      <c r="Y162" s="74"/>
      <c r="Z162" s="74"/>
      <c r="AA162" s="74"/>
      <c r="AB162" s="7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CX162" s="341"/>
      <c r="CY162" s="296"/>
      <c r="CZ162" s="296"/>
    </row>
    <row r="163" spans="17:104" s="68" customFormat="1">
      <c r="Q163" s="70"/>
      <c r="R163" s="37"/>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CX163" s="341"/>
      <c r="CY163" s="296"/>
      <c r="CZ163" s="296"/>
    </row>
    <row r="164" spans="17:104" s="68" customFormat="1">
      <c r="Q164" s="70"/>
      <c r="R164" s="37"/>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CX164" s="341"/>
      <c r="CY164" s="296"/>
      <c r="CZ164" s="296"/>
    </row>
    <row r="165" spans="17:104" s="68" customFormat="1">
      <c r="Q165" s="70"/>
      <c r="R165" s="37"/>
      <c r="T165" s="74"/>
      <c r="U165" s="74"/>
      <c r="V165" s="74"/>
      <c r="W165" s="74"/>
      <c r="X165" s="74"/>
      <c r="Y165" s="74"/>
      <c r="Z165" s="74"/>
      <c r="AA165" s="74"/>
      <c r="AB165" s="7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CX165" s="341"/>
      <c r="CY165" s="296"/>
      <c r="CZ165" s="296"/>
    </row>
    <row r="166" spans="17:104" s="68" customFormat="1">
      <c r="Q166" s="70"/>
      <c r="R166" s="37"/>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CX166" s="341"/>
      <c r="CY166" s="296"/>
      <c r="CZ166" s="296"/>
    </row>
    <row r="167" spans="17:104" s="68" customFormat="1">
      <c r="Q167" s="70"/>
      <c r="R167" s="37"/>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CX167" s="341"/>
      <c r="CY167" s="296"/>
      <c r="CZ167" s="296"/>
    </row>
    <row r="168" spans="17:104" s="68" customFormat="1">
      <c r="Q168" s="70"/>
      <c r="R168" s="37"/>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CX168" s="341"/>
      <c r="CY168" s="296"/>
      <c r="CZ168" s="296"/>
    </row>
    <row r="169" spans="17:104" s="68" customFormat="1">
      <c r="Q169" s="70"/>
      <c r="R169" s="37"/>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CX169" s="341"/>
      <c r="CY169" s="296"/>
      <c r="CZ169" s="296"/>
    </row>
    <row r="170" spans="17:104" s="68" customFormat="1">
      <c r="Q170" s="70"/>
      <c r="R170" s="37"/>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CX170" s="341"/>
      <c r="CY170" s="296"/>
      <c r="CZ170" s="296"/>
    </row>
    <row r="171" spans="17:104" s="68" customFormat="1">
      <c r="Q171" s="70"/>
      <c r="R171" s="37"/>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CX171" s="341"/>
      <c r="CY171" s="296"/>
      <c r="CZ171" s="296"/>
    </row>
    <row r="172" spans="17:104" s="68" customFormat="1">
      <c r="Q172" s="70"/>
      <c r="R172" s="37"/>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CX172" s="341"/>
      <c r="CY172" s="296"/>
      <c r="CZ172" s="296"/>
    </row>
    <row r="173" spans="17:104" s="68" customFormat="1">
      <c r="Q173" s="70"/>
      <c r="R173" s="37"/>
      <c r="T173" s="74"/>
      <c r="U173" s="74"/>
      <c r="V173" s="74"/>
      <c r="W173" s="74"/>
      <c r="X173" s="74"/>
      <c r="Y173" s="74"/>
      <c r="Z173" s="74"/>
      <c r="AA173" s="74"/>
      <c r="AB173" s="7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CX173" s="341"/>
      <c r="CY173" s="296"/>
      <c r="CZ173" s="296"/>
    </row>
    <row r="174" spans="17:104" s="68" customFormat="1">
      <c r="Q174" s="70"/>
      <c r="R174" s="37"/>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CX174" s="341"/>
      <c r="CY174" s="296"/>
      <c r="CZ174" s="296"/>
    </row>
    <row r="175" spans="17:104" s="68" customFormat="1">
      <c r="Q175" s="70"/>
      <c r="R175" s="37"/>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CX175" s="341"/>
      <c r="CY175" s="296"/>
      <c r="CZ175" s="296"/>
    </row>
    <row r="176" spans="17:104" s="68" customFormat="1">
      <c r="Q176" s="70"/>
      <c r="R176" s="37"/>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CX176" s="341"/>
      <c r="CY176" s="296"/>
      <c r="CZ176" s="296"/>
    </row>
    <row r="177" spans="17:104" s="68" customFormat="1">
      <c r="Q177" s="70"/>
      <c r="R177" s="37"/>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CX177" s="341"/>
      <c r="CY177" s="296"/>
      <c r="CZ177" s="296"/>
    </row>
    <row r="178" spans="17:104" s="68" customFormat="1">
      <c r="Q178" s="70"/>
      <c r="R178" s="37"/>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CX178" s="341"/>
      <c r="CY178" s="296"/>
      <c r="CZ178" s="296"/>
    </row>
    <row r="179" spans="17:104" s="68" customFormat="1">
      <c r="Q179" s="70"/>
      <c r="R179" s="37"/>
      <c r="T179" s="74"/>
      <c r="U179" s="74"/>
      <c r="V179" s="74"/>
      <c r="W179" s="74"/>
      <c r="X179" s="74"/>
      <c r="Y179" s="74"/>
      <c r="Z179" s="74"/>
      <c r="AA179" s="74"/>
      <c r="AB179" s="7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CX179" s="341"/>
      <c r="CY179" s="296"/>
      <c r="CZ179" s="296"/>
    </row>
    <row r="180" spans="17:104" s="68" customFormat="1">
      <c r="Q180" s="70"/>
      <c r="R180" s="37"/>
      <c r="T180" s="74"/>
      <c r="U180" s="74"/>
      <c r="V180" s="74"/>
      <c r="W180" s="74"/>
      <c r="X180" s="74"/>
      <c r="Y180" s="74"/>
      <c r="Z180" s="74"/>
      <c r="AA180" s="74"/>
      <c r="AB180" s="7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CX180" s="341"/>
      <c r="CY180" s="296"/>
      <c r="CZ180" s="296"/>
    </row>
    <row r="181" spans="17:104" s="68" customFormat="1">
      <c r="Q181" s="70"/>
      <c r="R181" s="37"/>
      <c r="T181" s="74"/>
      <c r="U181" s="74"/>
      <c r="V181" s="74"/>
      <c r="W181" s="74"/>
      <c r="X181" s="74"/>
      <c r="Y181" s="74"/>
      <c r="Z181" s="74"/>
      <c r="AA181" s="74"/>
      <c r="AB181" s="7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CX181" s="341"/>
      <c r="CY181" s="296"/>
      <c r="CZ181" s="296"/>
    </row>
    <row r="182" spans="17:104" s="68" customFormat="1">
      <c r="Q182" s="70"/>
      <c r="R182" s="37"/>
      <c r="T182" s="74"/>
      <c r="U182" s="74"/>
      <c r="V182" s="74"/>
      <c r="W182" s="74"/>
      <c r="X182" s="74"/>
      <c r="Y182" s="74"/>
      <c r="Z182" s="74"/>
      <c r="AA182" s="74"/>
      <c r="AB182" s="7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CX182" s="341"/>
      <c r="CY182" s="296"/>
      <c r="CZ182" s="296"/>
    </row>
    <row r="183" spans="17:104" s="68" customFormat="1">
      <c r="Q183" s="70"/>
      <c r="R183" s="37"/>
      <c r="T183" s="74"/>
      <c r="U183" s="74"/>
      <c r="V183" s="74"/>
      <c r="W183" s="74"/>
      <c r="X183" s="74"/>
      <c r="Y183" s="74"/>
      <c r="Z183" s="74"/>
      <c r="AA183" s="74"/>
      <c r="AB183" s="7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CX183" s="341"/>
      <c r="CY183" s="296"/>
      <c r="CZ183" s="296"/>
    </row>
    <row r="184" spans="17:104" s="68" customFormat="1">
      <c r="Q184" s="70"/>
      <c r="R184" s="37"/>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CX184" s="341"/>
      <c r="CY184" s="296"/>
      <c r="CZ184" s="296"/>
    </row>
    <row r="185" spans="17:104" s="68" customFormat="1">
      <c r="Q185" s="70"/>
      <c r="R185" s="37"/>
      <c r="T185" s="74"/>
      <c r="U185" s="74"/>
      <c r="V185" s="74"/>
      <c r="W185" s="74"/>
      <c r="X185" s="74"/>
      <c r="Y185" s="74"/>
      <c r="Z185" s="74"/>
      <c r="AA185" s="74"/>
      <c r="AB185" s="7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CX185" s="341"/>
      <c r="CY185" s="296"/>
      <c r="CZ185" s="296"/>
    </row>
    <row r="186" spans="17:104" s="68" customFormat="1">
      <c r="Q186" s="70"/>
      <c r="R186" s="37"/>
      <c r="T186" s="74"/>
      <c r="U186" s="74"/>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CX186" s="341"/>
      <c r="CY186" s="296"/>
      <c r="CZ186" s="296"/>
    </row>
    <row r="187" spans="17:104" s="68" customFormat="1">
      <c r="Q187" s="70"/>
      <c r="R187" s="37"/>
      <c r="T187" s="74"/>
      <c r="U187" s="74"/>
      <c r="V187" s="74"/>
      <c r="W187" s="74"/>
      <c r="X187" s="74"/>
      <c r="Y187" s="74"/>
      <c r="Z187" s="74"/>
      <c r="AA187" s="74"/>
      <c r="AB187" s="7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c r="BY187" s="74"/>
      <c r="CX187" s="341"/>
      <c r="CY187" s="296"/>
      <c r="CZ187" s="296"/>
    </row>
    <row r="188" spans="17:104" s="68" customFormat="1">
      <c r="Q188" s="70"/>
      <c r="R188" s="37"/>
      <c r="T188" s="74"/>
      <c r="U188" s="74"/>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CX188" s="341"/>
      <c r="CY188" s="296"/>
      <c r="CZ188" s="296"/>
    </row>
    <row r="189" spans="17:104" s="68" customFormat="1">
      <c r="Q189" s="70"/>
      <c r="R189" s="37"/>
      <c r="T189" s="74"/>
      <c r="U189" s="74"/>
      <c r="V189" s="74"/>
      <c r="W189" s="74"/>
      <c r="X189" s="74"/>
      <c r="Y189" s="74"/>
      <c r="Z189" s="74"/>
      <c r="AA189" s="74"/>
      <c r="AB189" s="7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c r="BY189" s="74"/>
      <c r="CX189" s="341"/>
      <c r="CY189" s="296"/>
      <c r="CZ189" s="296"/>
    </row>
    <row r="190" spans="17:104" s="68" customFormat="1">
      <c r="Q190" s="70"/>
      <c r="R190" s="37"/>
      <c r="T190" s="74"/>
      <c r="U190" s="74"/>
      <c r="V190" s="74"/>
      <c r="W190" s="74"/>
      <c r="X190" s="74"/>
      <c r="Y190" s="74"/>
      <c r="Z190" s="74"/>
      <c r="AA190" s="74"/>
      <c r="AB190" s="7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CX190" s="341"/>
      <c r="CY190" s="296"/>
      <c r="CZ190" s="296"/>
    </row>
    <row r="191" spans="17:104" s="68" customFormat="1">
      <c r="Q191" s="70"/>
      <c r="R191" s="37"/>
      <c r="T191" s="74"/>
      <c r="U191" s="74"/>
      <c r="V191" s="74"/>
      <c r="W191" s="74"/>
      <c r="X191" s="74"/>
      <c r="Y191" s="74"/>
      <c r="Z191" s="74"/>
      <c r="AA191" s="74"/>
      <c r="AB191" s="7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CX191" s="341"/>
      <c r="CY191" s="296"/>
      <c r="CZ191" s="296"/>
    </row>
    <row r="192" spans="17:104" s="68" customFormat="1">
      <c r="Q192" s="70"/>
      <c r="R192" s="37"/>
      <c r="T192" s="74"/>
      <c r="U192" s="74"/>
      <c r="V192" s="74"/>
      <c r="W192" s="74"/>
      <c r="X192" s="74"/>
      <c r="Y192" s="74"/>
      <c r="Z192" s="74"/>
      <c r="AA192" s="74"/>
      <c r="AB192" s="7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CX192" s="341"/>
      <c r="CY192" s="296"/>
      <c r="CZ192" s="296"/>
    </row>
    <row r="193" spans="17:104" s="68" customFormat="1">
      <c r="Q193" s="70"/>
      <c r="R193" s="37"/>
      <c r="T193" s="74"/>
      <c r="U193" s="74"/>
      <c r="V193" s="74"/>
      <c r="W193" s="74"/>
      <c r="X193" s="74"/>
      <c r="Y193" s="74"/>
      <c r="Z193" s="74"/>
      <c r="AA193" s="74"/>
      <c r="AB193" s="7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CX193" s="341"/>
      <c r="CY193" s="296"/>
      <c r="CZ193" s="296"/>
    </row>
    <row r="194" spans="17:104" s="68" customFormat="1">
      <c r="Q194" s="70"/>
      <c r="R194" s="37"/>
      <c r="T194" s="74"/>
      <c r="U194" s="74"/>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CX194" s="341"/>
      <c r="CY194" s="296"/>
      <c r="CZ194" s="296"/>
    </row>
    <row r="195" spans="17:104" s="68" customFormat="1">
      <c r="Q195" s="70"/>
      <c r="R195" s="37"/>
      <c r="T195" s="74"/>
      <c r="U195" s="74"/>
      <c r="V195" s="74"/>
      <c r="W195" s="74"/>
      <c r="X195" s="74"/>
      <c r="Y195" s="74"/>
      <c r="Z195" s="74"/>
      <c r="AA195" s="74"/>
      <c r="AB195" s="7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CX195" s="341"/>
      <c r="CY195" s="296"/>
      <c r="CZ195" s="296"/>
    </row>
    <row r="196" spans="17:104" s="68" customFormat="1">
      <c r="Q196" s="70"/>
      <c r="R196" s="37"/>
      <c r="T196" s="74"/>
      <c r="U196" s="74"/>
      <c r="V196" s="74"/>
      <c r="W196" s="74"/>
      <c r="X196" s="74"/>
      <c r="Y196" s="74"/>
      <c r="Z196" s="74"/>
      <c r="AA196" s="74"/>
      <c r="AB196" s="7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CX196" s="341"/>
      <c r="CY196" s="296"/>
      <c r="CZ196" s="296"/>
    </row>
    <row r="197" spans="17:104" s="68" customFormat="1">
      <c r="Q197" s="70"/>
      <c r="R197" s="37"/>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CX197" s="341"/>
      <c r="CY197" s="296"/>
      <c r="CZ197" s="296"/>
    </row>
    <row r="198" spans="17:104" s="68" customFormat="1">
      <c r="Q198" s="70"/>
      <c r="R198" s="37"/>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CX198" s="341"/>
      <c r="CY198" s="296"/>
      <c r="CZ198" s="296"/>
    </row>
    <row r="199" spans="17:104" s="68" customFormat="1">
      <c r="Q199" s="70"/>
      <c r="R199" s="37"/>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CX199" s="341"/>
      <c r="CY199" s="296"/>
      <c r="CZ199" s="296"/>
    </row>
    <row r="200" spans="17:104" s="68" customFormat="1">
      <c r="Q200" s="70"/>
      <c r="R200" s="37"/>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CX200" s="341"/>
      <c r="CY200" s="296"/>
      <c r="CZ200" s="296"/>
    </row>
    <row r="201" spans="17:104" s="68" customFormat="1">
      <c r="Q201" s="70"/>
      <c r="R201" s="37"/>
      <c r="T201" s="74"/>
      <c r="U201" s="74"/>
      <c r="V201" s="74"/>
      <c r="W201" s="74"/>
      <c r="X201" s="74"/>
      <c r="Y201" s="74"/>
      <c r="Z201" s="74"/>
      <c r="AA201" s="74"/>
      <c r="AB201" s="7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CX201" s="341"/>
      <c r="CY201" s="296"/>
      <c r="CZ201" s="296"/>
    </row>
    <row r="202" spans="17:104" s="68" customFormat="1">
      <c r="Q202" s="70"/>
      <c r="R202" s="37"/>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CX202" s="341"/>
      <c r="CY202" s="296"/>
      <c r="CZ202" s="296"/>
    </row>
    <row r="203" spans="17:104" s="68" customFormat="1">
      <c r="Q203" s="70"/>
      <c r="R203" s="37"/>
      <c r="T203" s="74"/>
      <c r="U203" s="74"/>
      <c r="V203" s="74"/>
      <c r="W203" s="74"/>
      <c r="X203" s="74"/>
      <c r="Y203" s="74"/>
      <c r="Z203" s="74"/>
      <c r="AA203" s="74"/>
      <c r="AB203" s="7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CX203" s="341"/>
      <c r="CY203" s="296"/>
      <c r="CZ203" s="296"/>
    </row>
    <row r="204" spans="17:104" s="68" customFormat="1">
      <c r="Q204" s="70"/>
      <c r="R204" s="37"/>
      <c r="T204" s="74"/>
      <c r="U204" s="74"/>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CX204" s="341"/>
      <c r="CY204" s="296"/>
      <c r="CZ204" s="296"/>
    </row>
    <row r="205" spans="17:104" s="68" customFormat="1">
      <c r="Q205" s="70"/>
      <c r="R205" s="37"/>
      <c r="T205" s="74"/>
      <c r="U205" s="74"/>
      <c r="V205" s="74"/>
      <c r="W205" s="74"/>
      <c r="X205" s="74"/>
      <c r="Y205" s="74"/>
      <c r="Z205" s="74"/>
      <c r="AA205" s="74"/>
      <c r="AB205" s="7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CX205" s="341"/>
      <c r="CY205" s="296"/>
      <c r="CZ205" s="296"/>
    </row>
    <row r="206" spans="17:104" s="68" customFormat="1">
      <c r="Q206" s="70"/>
      <c r="R206" s="37"/>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CX206" s="341"/>
      <c r="CY206" s="296"/>
      <c r="CZ206" s="296"/>
    </row>
    <row r="207" spans="17:104" s="68" customFormat="1">
      <c r="Q207" s="70"/>
      <c r="R207" s="37"/>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CX207" s="341"/>
      <c r="CY207" s="296"/>
      <c r="CZ207" s="296"/>
    </row>
    <row r="208" spans="17:104" s="68" customFormat="1">
      <c r="Q208" s="70"/>
      <c r="R208" s="37"/>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CX208" s="341"/>
      <c r="CY208" s="296"/>
      <c r="CZ208" s="296"/>
    </row>
    <row r="209" spans="10:104" s="68" customFormat="1">
      <c r="Q209" s="70"/>
      <c r="R209" s="37"/>
      <c r="T209" s="74"/>
      <c r="U209" s="74"/>
      <c r="V209" s="74"/>
      <c r="W209" s="74"/>
      <c r="X209" s="74"/>
      <c r="Y209" s="74"/>
      <c r="Z209" s="74"/>
      <c r="AA209" s="74"/>
      <c r="AB209" s="7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CX209" s="341"/>
      <c r="CY209" s="296"/>
      <c r="CZ209" s="296"/>
    </row>
    <row r="210" spans="10:104" s="68" customFormat="1">
      <c r="Q210" s="70"/>
      <c r="R210" s="37"/>
      <c r="T210" s="74"/>
      <c r="U210" s="74"/>
      <c r="V210" s="74"/>
      <c r="W210" s="74"/>
      <c r="X210" s="74"/>
      <c r="Y210" s="74"/>
      <c r="Z210" s="74"/>
      <c r="AA210" s="74"/>
      <c r="AB210" s="7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CX210" s="341"/>
      <c r="CY210" s="296"/>
      <c r="CZ210" s="296"/>
    </row>
    <row r="211" spans="10:104" s="68" customFormat="1">
      <c r="Q211" s="70"/>
      <c r="R211" s="37"/>
      <c r="T211" s="74"/>
      <c r="U211" s="74"/>
      <c r="V211" s="74"/>
      <c r="W211" s="74"/>
      <c r="X211" s="74"/>
      <c r="Y211" s="74"/>
      <c r="Z211" s="74"/>
      <c r="AA211" s="74"/>
      <c r="AB211" s="7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CX211" s="341"/>
      <c r="CY211" s="296"/>
      <c r="CZ211" s="296"/>
    </row>
    <row r="212" spans="10:104" s="68" customFormat="1">
      <c r="Q212" s="70"/>
      <c r="R212" s="37"/>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CX212" s="341"/>
      <c r="CY212" s="296"/>
      <c r="CZ212" s="296"/>
    </row>
    <row r="213" spans="10:104" s="68" customFormat="1">
      <c r="Q213" s="70"/>
      <c r="R213" s="37"/>
      <c r="T213" s="74"/>
      <c r="U213" s="74"/>
      <c r="V213" s="74"/>
      <c r="W213" s="74"/>
      <c r="X213" s="74"/>
      <c r="Y213" s="74"/>
      <c r="Z213" s="74"/>
      <c r="AA213" s="74"/>
      <c r="AB213" s="7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CX213" s="341"/>
      <c r="CY213" s="296"/>
      <c r="CZ213" s="296"/>
    </row>
    <row r="214" spans="10:104" s="68" customFormat="1">
      <c r="Q214" s="70"/>
      <c r="R214" s="37"/>
      <c r="T214" s="74"/>
      <c r="U214" s="74"/>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CX214" s="341"/>
      <c r="CY214" s="296"/>
      <c r="CZ214" s="296"/>
    </row>
    <row r="215" spans="10:104" s="68" customFormat="1">
      <c r="Q215" s="70"/>
      <c r="R215" s="37"/>
      <c r="T215" s="74"/>
      <c r="U215" s="74"/>
      <c r="V215" s="74"/>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CX215" s="341"/>
      <c r="CY215" s="296"/>
      <c r="CZ215" s="296"/>
    </row>
    <row r="216" spans="10:104" s="68" customFormat="1">
      <c r="Q216" s="70"/>
      <c r="R216" s="37"/>
      <c r="T216" s="74"/>
      <c r="U216" s="74"/>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CX216" s="341"/>
      <c r="CY216" s="296"/>
      <c r="CZ216" s="296"/>
    </row>
    <row r="217" spans="10:104" s="68" customFormat="1">
      <c r="Q217" s="70"/>
      <c r="R217" s="37"/>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CX217" s="341"/>
      <c r="CY217" s="296"/>
      <c r="CZ217" s="296"/>
    </row>
    <row r="218" spans="10:104">
      <c r="J218" s="68"/>
      <c r="K218" s="68"/>
      <c r="L218" s="68"/>
      <c r="M218" s="68"/>
      <c r="N218" s="68"/>
      <c r="O218" s="68"/>
      <c r="P218" s="68"/>
      <c r="Q218" s="70"/>
      <c r="S218" s="68"/>
    </row>
    <row r="219" spans="10:104">
      <c r="J219" s="68"/>
      <c r="K219" s="68"/>
      <c r="L219" s="68"/>
      <c r="M219" s="68"/>
      <c r="N219" s="68"/>
      <c r="O219" s="68"/>
      <c r="P219" s="68"/>
      <c r="Q219" s="70"/>
      <c r="S219" s="68"/>
    </row>
    <row r="220" spans="10:104">
      <c r="J220" s="68"/>
      <c r="K220" s="68"/>
      <c r="L220" s="68"/>
      <c r="M220" s="68"/>
      <c r="N220" s="68"/>
      <c r="O220" s="68"/>
      <c r="P220" s="68"/>
      <c r="Q220" s="70"/>
      <c r="S220" s="68"/>
    </row>
    <row r="221" spans="10:104">
      <c r="J221" s="68"/>
      <c r="K221" s="68"/>
      <c r="L221" s="68"/>
      <c r="M221" s="68"/>
      <c r="N221" s="68"/>
      <c r="O221" s="68"/>
      <c r="P221" s="68"/>
      <c r="Q221" s="70"/>
      <c r="S221" s="68"/>
    </row>
    <row r="222" spans="10:104">
      <c r="J222" s="68"/>
      <c r="K222" s="68"/>
      <c r="L222" s="68"/>
      <c r="M222" s="68"/>
      <c r="N222" s="68"/>
      <c r="O222" s="68"/>
      <c r="P222" s="68"/>
      <c r="Q222" s="70"/>
      <c r="S222" s="68"/>
    </row>
    <row r="223" spans="10:104">
      <c r="J223" s="68"/>
      <c r="K223" s="68"/>
      <c r="L223" s="68"/>
      <c r="M223" s="68"/>
      <c r="N223" s="68"/>
      <c r="O223" s="68"/>
      <c r="P223" s="68"/>
      <c r="Q223" s="70"/>
      <c r="S223" s="68"/>
    </row>
    <row r="224" spans="10:104">
      <c r="J224" s="68"/>
      <c r="K224" s="68"/>
      <c r="L224" s="68"/>
      <c r="M224" s="68"/>
      <c r="N224" s="68"/>
      <c r="O224" s="68"/>
      <c r="P224" s="68"/>
      <c r="Q224" s="70"/>
      <c r="S224" s="68"/>
    </row>
    <row r="225" spans="10:19">
      <c r="J225" s="68"/>
      <c r="K225" s="68"/>
      <c r="L225" s="68"/>
      <c r="M225" s="68"/>
      <c r="N225" s="68"/>
      <c r="O225" s="68"/>
      <c r="P225" s="68"/>
      <c r="Q225" s="70"/>
      <c r="S225" s="68"/>
    </row>
    <row r="226" spans="10:19">
      <c r="J226" s="68"/>
      <c r="K226" s="68"/>
      <c r="L226" s="68"/>
      <c r="M226" s="68"/>
      <c r="N226" s="68"/>
      <c r="O226" s="68"/>
      <c r="P226" s="68"/>
      <c r="Q226" s="70"/>
      <c r="S226" s="68"/>
    </row>
    <row r="227" spans="10:19">
      <c r="J227" s="68"/>
      <c r="K227" s="68"/>
      <c r="L227" s="68"/>
      <c r="M227" s="68"/>
      <c r="N227" s="68"/>
      <c r="O227" s="68"/>
      <c r="P227" s="68"/>
      <c r="Q227" s="70"/>
      <c r="S227" s="68"/>
    </row>
    <row r="228" spans="10:19">
      <c r="J228" s="68"/>
      <c r="K228" s="68"/>
      <c r="L228" s="68"/>
      <c r="M228" s="68"/>
      <c r="N228" s="68"/>
      <c r="O228" s="68"/>
      <c r="P228" s="68"/>
      <c r="Q228" s="70"/>
      <c r="S228" s="68"/>
    </row>
    <row r="229" spans="10:19">
      <c r="J229" s="68"/>
      <c r="K229" s="68"/>
      <c r="L229" s="68"/>
      <c r="M229" s="68"/>
      <c r="N229" s="68"/>
      <c r="O229" s="68"/>
      <c r="P229" s="68"/>
      <c r="Q229" s="70"/>
      <c r="S229" s="68"/>
    </row>
    <row r="230" spans="10:19">
      <c r="J230" s="68"/>
      <c r="K230" s="68"/>
      <c r="L230" s="68"/>
      <c r="M230" s="68"/>
      <c r="N230" s="68"/>
      <c r="O230" s="68"/>
      <c r="P230" s="68"/>
      <c r="Q230" s="70"/>
      <c r="S230" s="68"/>
    </row>
    <row r="231" spans="10:19">
      <c r="J231" s="68"/>
      <c r="K231" s="68"/>
      <c r="L231" s="68"/>
      <c r="M231" s="68"/>
      <c r="N231" s="68"/>
      <c r="O231" s="68"/>
      <c r="P231" s="68"/>
      <c r="Q231" s="70"/>
      <c r="S231" s="68"/>
    </row>
    <row r="232" spans="10:19">
      <c r="J232" s="68"/>
      <c r="K232" s="68"/>
      <c r="L232" s="68"/>
      <c r="M232" s="68"/>
      <c r="N232" s="68"/>
      <c r="O232" s="68"/>
      <c r="P232" s="68"/>
      <c r="Q232" s="70"/>
      <c r="S232" s="68"/>
    </row>
    <row r="233" spans="10:19">
      <c r="J233" s="68"/>
      <c r="K233" s="68"/>
      <c r="L233" s="68"/>
      <c r="M233" s="68"/>
      <c r="N233" s="68"/>
      <c r="O233" s="68"/>
      <c r="P233" s="68"/>
      <c r="Q233" s="70"/>
      <c r="S233" s="68"/>
    </row>
    <row r="234" spans="10:19">
      <c r="J234" s="68"/>
      <c r="K234" s="68"/>
      <c r="L234" s="68"/>
      <c r="M234" s="68"/>
      <c r="N234" s="68"/>
      <c r="O234" s="68"/>
      <c r="P234" s="68"/>
      <c r="Q234" s="70"/>
      <c r="S234" s="68"/>
    </row>
    <row r="235" spans="10:19">
      <c r="J235" s="68"/>
      <c r="K235" s="68"/>
      <c r="L235" s="68"/>
      <c r="M235" s="68"/>
      <c r="N235" s="68"/>
      <c r="O235" s="68"/>
      <c r="P235" s="68"/>
      <c r="Q235" s="70"/>
      <c r="S235" s="68"/>
    </row>
    <row r="236" spans="10:19">
      <c r="J236" s="68"/>
      <c r="K236" s="68"/>
      <c r="L236" s="68"/>
      <c r="M236" s="68"/>
      <c r="N236" s="68"/>
      <c r="O236" s="68"/>
      <c r="P236" s="68"/>
      <c r="Q236" s="70"/>
      <c r="S236" s="68"/>
    </row>
    <row r="237" spans="10:19">
      <c r="J237" s="68"/>
      <c r="K237" s="68"/>
      <c r="L237" s="68"/>
      <c r="M237" s="68"/>
      <c r="N237" s="68"/>
      <c r="O237" s="68"/>
      <c r="P237" s="68"/>
      <c r="Q237" s="70"/>
      <c r="S237" s="68"/>
    </row>
    <row r="238" spans="10:19">
      <c r="J238" s="68"/>
      <c r="K238" s="68"/>
      <c r="L238" s="68"/>
      <c r="M238" s="68"/>
      <c r="N238" s="68"/>
      <c r="O238" s="68"/>
      <c r="P238" s="68"/>
      <c r="Q238" s="70"/>
      <c r="S238" s="68"/>
    </row>
    <row r="239" spans="10:19">
      <c r="J239" s="68"/>
      <c r="K239" s="68"/>
      <c r="L239" s="68"/>
      <c r="M239" s="68"/>
      <c r="N239" s="68"/>
      <c r="O239" s="68"/>
      <c r="P239" s="68"/>
      <c r="Q239" s="70"/>
      <c r="S239" s="68"/>
    </row>
    <row r="240" spans="10:19">
      <c r="J240" s="68"/>
      <c r="K240" s="68"/>
      <c r="L240" s="68"/>
      <c r="M240" s="68"/>
      <c r="N240" s="68"/>
      <c r="O240" s="68"/>
      <c r="P240" s="68"/>
      <c r="Q240" s="70"/>
      <c r="S240" s="68"/>
    </row>
    <row r="241" spans="10:19">
      <c r="J241" s="68"/>
      <c r="K241" s="68"/>
      <c r="L241" s="68"/>
      <c r="M241" s="68"/>
      <c r="N241" s="68"/>
      <c r="O241" s="68"/>
      <c r="P241" s="68"/>
      <c r="Q241" s="70"/>
      <c r="S241" s="68"/>
    </row>
    <row r="242" spans="10:19">
      <c r="J242" s="68"/>
      <c r="K242" s="68"/>
      <c r="L242" s="68"/>
      <c r="M242" s="68"/>
      <c r="N242" s="68"/>
      <c r="O242" s="68"/>
      <c r="P242" s="68"/>
      <c r="Q242" s="70"/>
      <c r="S242" s="68"/>
    </row>
    <row r="243" spans="10:19">
      <c r="J243" s="68"/>
      <c r="K243" s="68"/>
      <c r="L243" s="68"/>
      <c r="M243" s="68"/>
      <c r="N243" s="68"/>
      <c r="O243" s="68"/>
      <c r="P243" s="68"/>
      <c r="Q243" s="70"/>
      <c r="S243" s="68"/>
    </row>
    <row r="244" spans="10:19">
      <c r="J244" s="68"/>
      <c r="K244" s="68"/>
      <c r="L244" s="68"/>
      <c r="M244" s="68"/>
      <c r="N244" s="68"/>
      <c r="O244" s="68"/>
      <c r="P244" s="68"/>
      <c r="Q244" s="70"/>
      <c r="S244" s="68"/>
    </row>
    <row r="245" spans="10:19">
      <c r="J245" s="68"/>
      <c r="K245" s="68"/>
      <c r="L245" s="68"/>
      <c r="M245" s="68"/>
      <c r="N245" s="68"/>
      <c r="O245" s="68"/>
      <c r="P245" s="68"/>
      <c r="Q245" s="70"/>
      <c r="S245" s="68"/>
    </row>
    <row r="246" spans="10:19">
      <c r="J246" s="68"/>
      <c r="K246" s="68"/>
      <c r="L246" s="68"/>
      <c r="M246" s="68"/>
      <c r="N246" s="68"/>
      <c r="O246" s="68"/>
      <c r="P246" s="68"/>
      <c r="Q246" s="70"/>
      <c r="S246" s="68"/>
    </row>
    <row r="247" spans="10:19">
      <c r="J247" s="68"/>
      <c r="K247" s="68"/>
      <c r="L247" s="68"/>
      <c r="M247" s="68"/>
      <c r="N247" s="68"/>
      <c r="O247" s="68"/>
      <c r="P247" s="68"/>
      <c r="Q247" s="70"/>
      <c r="S247" s="68"/>
    </row>
    <row r="248" spans="10:19">
      <c r="J248" s="68"/>
      <c r="K248" s="68"/>
      <c r="L248" s="68"/>
      <c r="M248" s="68"/>
      <c r="N248" s="68"/>
      <c r="O248" s="68"/>
      <c r="P248" s="68"/>
      <c r="Q248" s="70"/>
      <c r="S248" s="68"/>
    </row>
    <row r="249" spans="10:19">
      <c r="J249" s="68"/>
      <c r="K249" s="68"/>
      <c r="L249" s="68"/>
      <c r="M249" s="68"/>
      <c r="N249" s="68"/>
      <c r="O249" s="68"/>
      <c r="P249" s="68"/>
      <c r="Q249" s="70"/>
      <c r="S249" s="68"/>
    </row>
    <row r="250" spans="10:19">
      <c r="J250" s="68"/>
      <c r="K250" s="68"/>
      <c r="L250" s="68"/>
      <c r="M250" s="68"/>
      <c r="N250" s="68"/>
      <c r="O250" s="68"/>
      <c r="P250" s="68"/>
      <c r="Q250" s="70"/>
      <c r="S250" s="68"/>
    </row>
    <row r="251" spans="10:19">
      <c r="J251" s="68"/>
      <c r="K251" s="68"/>
      <c r="L251" s="68"/>
      <c r="M251" s="68"/>
      <c r="N251" s="68"/>
      <c r="O251" s="68"/>
      <c r="P251" s="68"/>
      <c r="Q251" s="70"/>
      <c r="S251" s="68"/>
    </row>
    <row r="252" spans="10:19">
      <c r="J252" s="68"/>
      <c r="K252" s="68"/>
      <c r="L252" s="68"/>
      <c r="M252" s="68"/>
      <c r="N252" s="68"/>
      <c r="O252" s="68"/>
      <c r="P252" s="68"/>
      <c r="Q252" s="70"/>
      <c r="S252" s="68"/>
    </row>
    <row r="253" spans="10:19">
      <c r="J253" s="68"/>
      <c r="K253" s="68"/>
      <c r="L253" s="68"/>
      <c r="M253" s="68"/>
      <c r="N253" s="68"/>
      <c r="O253" s="68"/>
      <c r="P253" s="68"/>
      <c r="Q253" s="70"/>
      <c r="S253" s="68"/>
    </row>
    <row r="254" spans="10:19">
      <c r="J254" s="68"/>
      <c r="K254" s="68"/>
      <c r="L254" s="68"/>
      <c r="M254" s="68"/>
      <c r="N254" s="68"/>
      <c r="O254" s="68"/>
      <c r="P254" s="68"/>
      <c r="Q254" s="70"/>
      <c r="S254" s="68"/>
    </row>
    <row r="255" spans="10:19">
      <c r="J255" s="68"/>
      <c r="K255" s="68"/>
      <c r="L255" s="68"/>
      <c r="M255" s="68"/>
      <c r="N255" s="68"/>
      <c r="O255" s="68"/>
      <c r="P255" s="68"/>
      <c r="Q255" s="70"/>
      <c r="S255" s="68"/>
    </row>
    <row r="256" spans="10:19">
      <c r="J256" s="68"/>
      <c r="K256" s="68"/>
      <c r="L256" s="68"/>
      <c r="M256" s="68"/>
      <c r="N256" s="68"/>
      <c r="O256" s="68"/>
      <c r="P256" s="68"/>
      <c r="Q256" s="70"/>
      <c r="S256" s="68"/>
    </row>
    <row r="257" spans="10:19">
      <c r="J257" s="68"/>
      <c r="K257" s="68"/>
      <c r="L257" s="68"/>
      <c r="M257" s="68"/>
      <c r="N257" s="68"/>
      <c r="O257" s="68"/>
      <c r="P257" s="68"/>
      <c r="Q257" s="70"/>
      <c r="S257" s="68"/>
    </row>
    <row r="258" spans="10:19">
      <c r="J258" s="68"/>
      <c r="K258" s="68"/>
      <c r="L258" s="68"/>
      <c r="M258" s="68"/>
      <c r="N258" s="68"/>
      <c r="O258" s="68"/>
      <c r="P258" s="68"/>
      <c r="Q258" s="70"/>
      <c r="S258" s="68"/>
    </row>
    <row r="259" spans="10:19">
      <c r="J259" s="68"/>
      <c r="K259" s="68"/>
      <c r="L259" s="68"/>
      <c r="M259" s="68"/>
      <c r="N259" s="68"/>
      <c r="O259" s="68"/>
      <c r="P259" s="68"/>
      <c r="Q259" s="70"/>
      <c r="S259" s="68"/>
    </row>
    <row r="260" spans="10:19">
      <c r="J260" s="68"/>
      <c r="K260" s="68"/>
      <c r="L260" s="68"/>
      <c r="M260" s="68"/>
      <c r="N260" s="68"/>
      <c r="O260" s="68"/>
      <c r="P260" s="68"/>
      <c r="Q260" s="70"/>
      <c r="S260" s="68"/>
    </row>
    <row r="261" spans="10:19">
      <c r="J261" s="68"/>
      <c r="K261" s="68"/>
      <c r="L261" s="68"/>
      <c r="M261" s="68"/>
      <c r="N261" s="68"/>
      <c r="O261" s="68"/>
      <c r="P261" s="68"/>
      <c r="Q261" s="70"/>
      <c r="S261" s="68"/>
    </row>
    <row r="262" spans="10:19">
      <c r="J262" s="68"/>
      <c r="K262" s="68"/>
      <c r="L262" s="68"/>
      <c r="M262" s="68"/>
      <c r="N262" s="68"/>
      <c r="O262" s="68"/>
      <c r="P262" s="68"/>
      <c r="Q262" s="70"/>
      <c r="S262" s="68"/>
    </row>
    <row r="263" spans="10:19">
      <c r="J263" s="68"/>
      <c r="K263" s="68"/>
      <c r="L263" s="68"/>
      <c r="M263" s="68"/>
      <c r="N263" s="68"/>
      <c r="O263" s="68"/>
      <c r="P263" s="68"/>
      <c r="Q263" s="70"/>
      <c r="S263" s="68"/>
    </row>
    <row r="264" spans="10:19">
      <c r="J264" s="68"/>
      <c r="K264" s="68"/>
      <c r="L264" s="68"/>
      <c r="M264" s="68"/>
      <c r="N264" s="68"/>
      <c r="O264" s="68"/>
      <c r="P264" s="68"/>
      <c r="Q264" s="70"/>
      <c r="S264" s="68"/>
    </row>
    <row r="265" spans="10:19">
      <c r="J265" s="68"/>
      <c r="K265" s="68"/>
      <c r="L265" s="68"/>
      <c r="M265" s="68"/>
      <c r="N265" s="68"/>
      <c r="O265" s="68"/>
      <c r="P265" s="68"/>
      <c r="Q265" s="70"/>
      <c r="S265" s="68"/>
    </row>
    <row r="266" spans="10:19">
      <c r="J266" s="68"/>
      <c r="K266" s="68"/>
      <c r="L266" s="68"/>
      <c r="M266" s="68"/>
      <c r="N266" s="68"/>
      <c r="O266" s="68"/>
      <c r="P266" s="68"/>
      <c r="Q266" s="70"/>
      <c r="S266" s="68"/>
    </row>
    <row r="267" spans="10:19">
      <c r="J267" s="68"/>
      <c r="K267" s="68"/>
      <c r="L267" s="68"/>
      <c r="M267" s="68"/>
      <c r="N267" s="68"/>
      <c r="O267" s="68"/>
      <c r="P267" s="68"/>
      <c r="Q267" s="70"/>
      <c r="S267" s="68"/>
    </row>
    <row r="268" spans="10:19">
      <c r="J268" s="68"/>
      <c r="K268" s="68"/>
      <c r="L268" s="68"/>
      <c r="M268" s="68"/>
      <c r="N268" s="68"/>
      <c r="O268" s="68"/>
      <c r="P268" s="68"/>
      <c r="Q268" s="70"/>
      <c r="S268" s="68"/>
    </row>
    <row r="269" spans="10:19">
      <c r="J269" s="68"/>
      <c r="K269" s="68"/>
      <c r="L269" s="68"/>
      <c r="M269" s="68"/>
      <c r="N269" s="68"/>
      <c r="O269" s="68"/>
      <c r="P269" s="68"/>
      <c r="Q269" s="70"/>
      <c r="S269" s="68"/>
    </row>
    <row r="270" spans="10:19">
      <c r="J270" s="68"/>
      <c r="K270" s="68"/>
      <c r="L270" s="68"/>
      <c r="M270" s="68"/>
      <c r="N270" s="68"/>
      <c r="O270" s="68"/>
      <c r="P270" s="68"/>
      <c r="Q270" s="70"/>
      <c r="S270" s="68"/>
    </row>
    <row r="271" spans="10:19">
      <c r="J271" s="68"/>
      <c r="K271" s="68"/>
      <c r="L271" s="68"/>
      <c r="M271" s="68"/>
      <c r="N271" s="68"/>
      <c r="O271" s="68"/>
      <c r="P271" s="68"/>
      <c r="Q271" s="70"/>
      <c r="S271" s="68"/>
    </row>
    <row r="272" spans="10:19">
      <c r="J272" s="68"/>
      <c r="K272" s="68"/>
      <c r="L272" s="68"/>
      <c r="M272" s="68"/>
      <c r="N272" s="68"/>
      <c r="O272" s="68"/>
      <c r="P272" s="68"/>
      <c r="Q272" s="70"/>
      <c r="S272" s="68"/>
    </row>
    <row r="273" spans="10:19">
      <c r="J273" s="68"/>
      <c r="K273" s="68"/>
      <c r="L273" s="68"/>
      <c r="M273" s="68"/>
      <c r="N273" s="68"/>
      <c r="O273" s="68"/>
      <c r="P273" s="68"/>
      <c r="Q273" s="70"/>
      <c r="S273" s="68"/>
    </row>
    <row r="274" spans="10:19">
      <c r="J274" s="68"/>
      <c r="K274" s="68"/>
      <c r="L274" s="68"/>
      <c r="M274" s="68"/>
      <c r="N274" s="68"/>
      <c r="O274" s="68"/>
      <c r="P274" s="68"/>
      <c r="Q274" s="70"/>
      <c r="S274" s="68"/>
    </row>
    <row r="275" spans="10:19">
      <c r="J275" s="68"/>
      <c r="K275" s="68"/>
      <c r="L275" s="68"/>
      <c r="M275" s="68"/>
      <c r="N275" s="68"/>
      <c r="O275" s="68"/>
      <c r="P275" s="68"/>
      <c r="Q275" s="70"/>
      <c r="S275" s="68"/>
    </row>
    <row r="276" spans="10:19">
      <c r="J276" s="68"/>
      <c r="K276" s="68"/>
      <c r="L276" s="68"/>
      <c r="M276" s="68"/>
      <c r="N276" s="68"/>
      <c r="O276" s="68"/>
      <c r="P276" s="68"/>
      <c r="Q276" s="70"/>
      <c r="S276" s="68"/>
    </row>
    <row r="277" spans="10:19">
      <c r="J277" s="68"/>
      <c r="K277" s="68"/>
      <c r="L277" s="68"/>
      <c r="M277" s="68"/>
      <c r="N277" s="68"/>
      <c r="O277" s="68"/>
      <c r="P277" s="68"/>
      <c r="Q277" s="70"/>
      <c r="S277" s="68"/>
    </row>
    <row r="278" spans="10:19">
      <c r="J278" s="68"/>
      <c r="K278" s="68"/>
      <c r="L278" s="68"/>
      <c r="M278" s="68"/>
      <c r="N278" s="68"/>
      <c r="O278" s="68"/>
      <c r="P278" s="68"/>
      <c r="Q278" s="70"/>
      <c r="S278" s="68"/>
    </row>
    <row r="279" spans="10:19">
      <c r="J279" s="68"/>
      <c r="K279" s="68"/>
      <c r="L279" s="68"/>
      <c r="M279" s="68"/>
      <c r="N279" s="68"/>
      <c r="O279" s="68"/>
      <c r="P279" s="68"/>
      <c r="Q279" s="70"/>
      <c r="S279" s="68"/>
    </row>
    <row r="280" spans="10:19">
      <c r="J280" s="68"/>
      <c r="K280" s="68"/>
      <c r="L280" s="68"/>
      <c r="M280" s="68"/>
      <c r="N280" s="68"/>
      <c r="O280" s="68"/>
      <c r="P280" s="68"/>
      <c r="Q280" s="70"/>
      <c r="S280" s="68"/>
    </row>
    <row r="281" spans="10:19">
      <c r="J281" s="68"/>
      <c r="K281" s="68"/>
      <c r="L281" s="68"/>
      <c r="M281" s="68"/>
      <c r="N281" s="68"/>
      <c r="O281" s="68"/>
      <c r="P281" s="68"/>
      <c r="Q281" s="70"/>
      <c r="S281" s="68"/>
    </row>
    <row r="282" spans="10:19">
      <c r="J282" s="68"/>
      <c r="K282" s="68"/>
      <c r="L282" s="68"/>
      <c r="M282" s="68"/>
      <c r="N282" s="68"/>
      <c r="O282" s="68"/>
      <c r="P282" s="68"/>
      <c r="Q282" s="70"/>
      <c r="S282" s="68"/>
    </row>
    <row r="283" spans="10:19">
      <c r="J283" s="68"/>
      <c r="K283" s="68"/>
      <c r="L283" s="68"/>
      <c r="M283" s="68"/>
      <c r="N283" s="68"/>
      <c r="O283" s="68"/>
      <c r="P283" s="68"/>
      <c r="Q283" s="70"/>
      <c r="S283" s="68"/>
    </row>
    <row r="284" spans="10:19">
      <c r="J284" s="68"/>
      <c r="K284" s="68"/>
      <c r="L284" s="68"/>
      <c r="M284" s="68"/>
      <c r="N284" s="68"/>
      <c r="O284" s="68"/>
      <c r="P284" s="68"/>
      <c r="Q284" s="70"/>
      <c r="S284" s="68"/>
    </row>
    <row r="285" spans="10:19">
      <c r="J285" s="68"/>
      <c r="K285" s="68"/>
      <c r="L285" s="68"/>
      <c r="M285" s="68"/>
      <c r="N285" s="68"/>
      <c r="O285" s="68"/>
      <c r="P285" s="68"/>
      <c r="Q285" s="70"/>
      <c r="S285" s="68"/>
    </row>
    <row r="286" spans="10:19">
      <c r="J286" s="68"/>
      <c r="K286" s="68"/>
      <c r="L286" s="68"/>
      <c r="M286" s="68"/>
      <c r="N286" s="68"/>
      <c r="O286" s="68"/>
      <c r="P286" s="68"/>
      <c r="Q286" s="70"/>
      <c r="S286" s="68"/>
    </row>
    <row r="287" spans="10:19">
      <c r="J287" s="68"/>
      <c r="K287" s="68"/>
      <c r="L287" s="68"/>
      <c r="M287" s="68"/>
      <c r="N287" s="68"/>
      <c r="O287" s="68"/>
      <c r="P287" s="68"/>
      <c r="Q287" s="70"/>
      <c r="S287" s="68"/>
    </row>
    <row r="288" spans="10:19">
      <c r="J288" s="68"/>
      <c r="K288" s="68"/>
      <c r="L288" s="68"/>
      <c r="M288" s="68"/>
      <c r="N288" s="68"/>
      <c r="O288" s="68"/>
      <c r="P288" s="68"/>
      <c r="Q288" s="70"/>
      <c r="S288" s="68"/>
    </row>
    <row r="289" spans="10:19">
      <c r="J289" s="68"/>
      <c r="K289" s="68"/>
      <c r="L289" s="68"/>
      <c r="M289" s="68"/>
      <c r="N289" s="68"/>
      <c r="O289" s="68"/>
      <c r="P289" s="68"/>
      <c r="Q289" s="70"/>
      <c r="S289" s="68"/>
    </row>
    <row r="290" spans="10:19">
      <c r="J290" s="68"/>
      <c r="K290" s="68"/>
      <c r="L290" s="68"/>
      <c r="M290" s="68"/>
      <c r="N290" s="68"/>
      <c r="O290" s="68"/>
      <c r="P290" s="68"/>
      <c r="Q290" s="70"/>
      <c r="S290" s="68"/>
    </row>
    <row r="291" spans="10:19">
      <c r="J291" s="68"/>
      <c r="K291" s="68"/>
      <c r="L291" s="68"/>
      <c r="M291" s="68"/>
      <c r="N291" s="68"/>
      <c r="O291" s="68"/>
      <c r="P291" s="68"/>
      <c r="Q291" s="70"/>
      <c r="S291" s="68"/>
    </row>
    <row r="292" spans="10:19">
      <c r="J292" s="68"/>
      <c r="K292" s="68"/>
      <c r="L292" s="68"/>
      <c r="M292" s="68"/>
      <c r="N292" s="68"/>
      <c r="O292" s="68"/>
      <c r="P292" s="68"/>
      <c r="Q292" s="70"/>
      <c r="S292" s="68"/>
    </row>
    <row r="293" spans="10:19">
      <c r="J293" s="68"/>
      <c r="K293" s="68"/>
      <c r="L293" s="68"/>
      <c r="M293" s="68"/>
      <c r="N293" s="68"/>
      <c r="O293" s="68"/>
      <c r="P293" s="68"/>
      <c r="Q293" s="70"/>
      <c r="S293" s="68"/>
    </row>
    <row r="294" spans="10:19">
      <c r="J294" s="68"/>
      <c r="K294" s="68"/>
      <c r="L294" s="68"/>
      <c r="M294" s="68"/>
      <c r="N294" s="68"/>
      <c r="O294" s="68"/>
      <c r="P294" s="68"/>
      <c r="Q294" s="70"/>
      <c r="S294" s="68"/>
    </row>
    <row r="295" spans="10:19">
      <c r="J295" s="68"/>
      <c r="K295" s="68"/>
      <c r="L295" s="68"/>
      <c r="M295" s="68"/>
      <c r="N295" s="68"/>
      <c r="O295" s="68"/>
      <c r="P295" s="68"/>
      <c r="Q295" s="70"/>
      <c r="S295" s="68"/>
    </row>
    <row r="296" spans="10:19">
      <c r="J296" s="68"/>
      <c r="K296" s="68"/>
      <c r="L296" s="68"/>
      <c r="M296" s="68"/>
      <c r="N296" s="68"/>
      <c r="O296" s="68"/>
      <c r="P296" s="68"/>
      <c r="Q296" s="70"/>
      <c r="S296" s="68"/>
    </row>
    <row r="297" spans="10:19">
      <c r="J297" s="68"/>
      <c r="K297" s="68"/>
      <c r="L297" s="68"/>
      <c r="M297" s="68"/>
      <c r="N297" s="68"/>
      <c r="O297" s="68"/>
      <c r="P297" s="68"/>
      <c r="Q297" s="70"/>
      <c r="S297" s="68"/>
    </row>
    <row r="298" spans="10:19">
      <c r="J298" s="68"/>
      <c r="K298" s="68"/>
      <c r="L298" s="68"/>
      <c r="M298" s="68"/>
      <c r="N298" s="68"/>
      <c r="O298" s="68"/>
      <c r="P298" s="68"/>
      <c r="Q298" s="70"/>
      <c r="S298" s="68"/>
    </row>
    <row r="299" spans="10:19">
      <c r="J299" s="68"/>
      <c r="K299" s="68"/>
      <c r="L299" s="68"/>
      <c r="M299" s="68"/>
      <c r="N299" s="68"/>
      <c r="O299" s="68"/>
      <c r="P299" s="68"/>
      <c r="Q299" s="70"/>
      <c r="S299" s="68"/>
    </row>
    <row r="300" spans="10:19">
      <c r="J300" s="68"/>
      <c r="K300" s="68"/>
      <c r="L300" s="68"/>
      <c r="M300" s="68"/>
      <c r="N300" s="68"/>
      <c r="O300" s="68"/>
      <c r="P300" s="68"/>
      <c r="Q300" s="70"/>
      <c r="S300" s="68"/>
    </row>
    <row r="301" spans="10:19">
      <c r="J301" s="68"/>
      <c r="K301" s="68"/>
      <c r="L301" s="68"/>
      <c r="M301" s="68"/>
      <c r="N301" s="68"/>
      <c r="O301" s="68"/>
      <c r="P301" s="68"/>
      <c r="Q301" s="70"/>
      <c r="S301" s="68"/>
    </row>
    <row r="302" spans="10:19">
      <c r="J302" s="68"/>
      <c r="K302" s="68"/>
      <c r="L302" s="68"/>
      <c r="M302" s="68"/>
      <c r="N302" s="68"/>
      <c r="O302" s="68"/>
      <c r="P302" s="68"/>
      <c r="Q302" s="70"/>
      <c r="S302" s="68"/>
    </row>
    <row r="303" spans="10:19">
      <c r="J303" s="68"/>
      <c r="K303" s="68"/>
      <c r="L303" s="68"/>
      <c r="M303" s="68"/>
      <c r="N303" s="68"/>
      <c r="O303" s="68"/>
      <c r="P303" s="68"/>
      <c r="Q303" s="70"/>
      <c r="S303" s="68"/>
    </row>
    <row r="304" spans="10:19">
      <c r="J304" s="68"/>
      <c r="K304" s="68"/>
      <c r="L304" s="68"/>
      <c r="M304" s="68"/>
      <c r="N304" s="68"/>
      <c r="O304" s="68"/>
      <c r="P304" s="68"/>
      <c r="Q304" s="70"/>
      <c r="S304" s="68"/>
    </row>
    <row r="305" spans="10:19">
      <c r="J305" s="68"/>
      <c r="K305" s="68"/>
      <c r="L305" s="68"/>
      <c r="M305" s="68"/>
      <c r="N305" s="68"/>
      <c r="O305" s="68"/>
      <c r="P305" s="68"/>
      <c r="Q305" s="70"/>
      <c r="S305" s="68"/>
    </row>
    <row r="306" spans="10:19">
      <c r="J306" s="68"/>
      <c r="K306" s="68"/>
      <c r="L306" s="68"/>
      <c r="M306" s="68"/>
      <c r="N306" s="68"/>
      <c r="O306" s="68"/>
      <c r="P306" s="68"/>
      <c r="Q306" s="70"/>
      <c r="S306" s="68"/>
    </row>
    <row r="307" spans="10:19">
      <c r="J307" s="68"/>
      <c r="K307" s="68"/>
      <c r="L307" s="68"/>
      <c r="M307" s="68"/>
      <c r="N307" s="68"/>
      <c r="O307" s="68"/>
      <c r="P307" s="68"/>
      <c r="Q307" s="70"/>
      <c r="S307" s="68"/>
    </row>
    <row r="308" spans="10:19">
      <c r="J308" s="68"/>
      <c r="K308" s="68"/>
      <c r="L308" s="68"/>
      <c r="M308" s="68"/>
      <c r="N308" s="68"/>
      <c r="O308" s="68"/>
      <c r="P308" s="68"/>
      <c r="Q308" s="70"/>
      <c r="S308" s="68"/>
    </row>
    <row r="309" spans="10:19">
      <c r="J309" s="68"/>
      <c r="K309" s="68"/>
      <c r="L309" s="68"/>
      <c r="M309" s="68"/>
      <c r="N309" s="68"/>
      <c r="O309" s="68"/>
      <c r="P309" s="68"/>
      <c r="Q309" s="70"/>
      <c r="S309" s="68"/>
    </row>
    <row r="310" spans="10:19">
      <c r="J310" s="68"/>
      <c r="K310" s="68"/>
      <c r="L310" s="68"/>
      <c r="M310" s="68"/>
      <c r="N310" s="68"/>
      <c r="O310" s="68"/>
      <c r="P310" s="68"/>
      <c r="Q310" s="70"/>
      <c r="S310" s="68"/>
    </row>
    <row r="311" spans="10:19">
      <c r="J311" s="68"/>
      <c r="K311" s="68"/>
      <c r="L311" s="68"/>
      <c r="M311" s="68"/>
      <c r="N311" s="68"/>
      <c r="O311" s="68"/>
      <c r="P311" s="68"/>
      <c r="Q311" s="70"/>
      <c r="S311" s="68"/>
    </row>
    <row r="312" spans="10:19">
      <c r="J312" s="68"/>
      <c r="K312" s="68"/>
      <c r="L312" s="68"/>
      <c r="M312" s="68"/>
      <c r="N312" s="68"/>
      <c r="O312" s="68"/>
      <c r="P312" s="68"/>
      <c r="Q312" s="70"/>
      <c r="S312" s="68"/>
    </row>
    <row r="313" spans="10:19">
      <c r="J313" s="68"/>
      <c r="K313" s="68"/>
      <c r="L313" s="68"/>
      <c r="M313" s="68"/>
      <c r="N313" s="68"/>
      <c r="O313" s="68"/>
      <c r="P313" s="68"/>
      <c r="Q313" s="70"/>
      <c r="S313" s="68"/>
    </row>
    <row r="314" spans="10:19">
      <c r="J314" s="68"/>
      <c r="K314" s="68"/>
      <c r="L314" s="68"/>
      <c r="M314" s="68"/>
      <c r="N314" s="68"/>
      <c r="O314" s="68"/>
      <c r="P314" s="68"/>
      <c r="Q314" s="70"/>
      <c r="S314" s="68"/>
    </row>
    <row r="315" spans="10:19">
      <c r="J315" s="68"/>
      <c r="K315" s="68"/>
      <c r="L315" s="68"/>
      <c r="M315" s="68"/>
      <c r="N315" s="68"/>
      <c r="O315" s="68"/>
      <c r="P315" s="68"/>
      <c r="Q315" s="70"/>
      <c r="S315" s="68"/>
    </row>
    <row r="316" spans="10:19">
      <c r="J316" s="68"/>
      <c r="K316" s="68"/>
      <c r="L316" s="68"/>
      <c r="M316" s="68"/>
      <c r="N316" s="68"/>
      <c r="O316" s="68"/>
      <c r="P316" s="68"/>
      <c r="Q316" s="70"/>
      <c r="S316" s="68"/>
    </row>
    <row r="317" spans="10:19">
      <c r="J317" s="68"/>
      <c r="K317" s="68"/>
      <c r="L317" s="68"/>
      <c r="M317" s="68"/>
      <c r="N317" s="68"/>
      <c r="O317" s="68"/>
      <c r="P317" s="68"/>
      <c r="Q317" s="70"/>
      <c r="S317" s="68"/>
    </row>
    <row r="318" spans="10:19">
      <c r="J318" s="68"/>
      <c r="K318" s="68"/>
      <c r="L318" s="68"/>
      <c r="M318" s="68"/>
      <c r="N318" s="68"/>
      <c r="O318" s="68"/>
      <c r="P318" s="68"/>
      <c r="Q318" s="70"/>
    </row>
    <row r="319" spans="10:19">
      <c r="J319" s="68"/>
      <c r="K319" s="68"/>
      <c r="L319" s="68"/>
      <c r="M319" s="68"/>
      <c r="N319" s="68"/>
      <c r="O319" s="68"/>
      <c r="P319" s="68"/>
      <c r="Q319" s="70"/>
    </row>
    <row r="320" spans="10:19">
      <c r="J320" s="68"/>
      <c r="K320" s="68"/>
      <c r="L320" s="68"/>
      <c r="M320" s="68"/>
      <c r="N320" s="68"/>
      <c r="O320" s="68"/>
      <c r="P320" s="68"/>
      <c r="Q320" s="70"/>
    </row>
    <row r="321" spans="10:17">
      <c r="J321" s="68"/>
      <c r="K321" s="68"/>
      <c r="L321" s="68"/>
      <c r="M321" s="68"/>
      <c r="N321" s="68"/>
      <c r="O321" s="68"/>
      <c r="P321" s="68"/>
      <c r="Q321" s="70"/>
    </row>
    <row r="322" spans="10:17">
      <c r="J322" s="68"/>
      <c r="K322" s="68"/>
      <c r="L322" s="68"/>
      <c r="M322" s="68"/>
      <c r="N322" s="68"/>
      <c r="O322" s="68"/>
      <c r="P322" s="68"/>
      <c r="Q322" s="70"/>
    </row>
    <row r="323" spans="10:17">
      <c r="J323" s="68"/>
      <c r="K323" s="68"/>
      <c r="L323" s="68"/>
      <c r="M323" s="68"/>
      <c r="N323" s="68"/>
      <c r="O323" s="68"/>
      <c r="P323" s="68"/>
      <c r="Q323" s="70"/>
    </row>
    <row r="324" spans="10:17">
      <c r="J324" s="68"/>
      <c r="K324" s="68"/>
      <c r="L324" s="68"/>
      <c r="M324" s="68"/>
      <c r="N324" s="68"/>
      <c r="O324" s="68"/>
      <c r="P324" s="68"/>
      <c r="Q324" s="70"/>
    </row>
    <row r="325" spans="10:17">
      <c r="J325" s="68"/>
      <c r="K325" s="68"/>
      <c r="L325" s="68"/>
      <c r="M325" s="68"/>
      <c r="N325" s="68"/>
      <c r="O325" s="68"/>
      <c r="P325" s="68"/>
      <c r="Q325" s="70"/>
    </row>
    <row r="326" spans="10:17">
      <c r="J326" s="68"/>
      <c r="K326" s="68"/>
      <c r="L326" s="68"/>
      <c r="M326" s="68"/>
      <c r="N326" s="68"/>
      <c r="O326" s="68"/>
      <c r="P326" s="68"/>
      <c r="Q326" s="70"/>
    </row>
    <row r="327" spans="10:17">
      <c r="J327" s="68"/>
      <c r="K327" s="68"/>
      <c r="L327" s="68"/>
      <c r="M327" s="68"/>
      <c r="N327" s="68"/>
      <c r="O327" s="68"/>
      <c r="P327" s="68"/>
      <c r="Q327" s="70"/>
    </row>
    <row r="328" spans="10:17">
      <c r="J328" s="68"/>
      <c r="K328" s="68"/>
      <c r="L328" s="68"/>
      <c r="M328" s="68"/>
      <c r="N328" s="68"/>
      <c r="O328" s="68"/>
      <c r="P328" s="68"/>
      <c r="Q328" s="70"/>
    </row>
    <row r="329" spans="10:17">
      <c r="J329" s="68"/>
      <c r="K329" s="68"/>
      <c r="L329" s="68"/>
      <c r="M329" s="68"/>
      <c r="N329" s="68"/>
      <c r="O329" s="68"/>
      <c r="P329" s="68"/>
      <c r="Q329" s="70"/>
    </row>
    <row r="330" spans="10:17">
      <c r="J330" s="68"/>
      <c r="K330" s="68"/>
      <c r="L330" s="68"/>
      <c r="M330" s="68"/>
      <c r="N330" s="68"/>
      <c r="O330" s="68"/>
      <c r="P330" s="68"/>
      <c r="Q330" s="70"/>
    </row>
    <row r="331" spans="10:17">
      <c r="J331" s="68"/>
      <c r="K331" s="68"/>
      <c r="L331" s="68"/>
      <c r="M331" s="68"/>
      <c r="N331" s="68"/>
      <c r="O331" s="68"/>
      <c r="P331" s="68"/>
      <c r="Q331" s="70"/>
    </row>
    <row r="332" spans="10:17">
      <c r="J332" s="68"/>
      <c r="K332" s="68"/>
      <c r="L332" s="68"/>
      <c r="M332" s="68"/>
      <c r="N332" s="68"/>
      <c r="O332" s="68"/>
      <c r="P332" s="68"/>
      <c r="Q332" s="70"/>
    </row>
    <row r="333" spans="10:17">
      <c r="J333" s="68"/>
      <c r="K333" s="68"/>
      <c r="L333" s="68"/>
      <c r="M333" s="68"/>
      <c r="N333" s="68"/>
      <c r="O333" s="68"/>
      <c r="P333" s="68"/>
      <c r="Q333" s="70"/>
    </row>
    <row r="334" spans="10:17">
      <c r="J334" s="68"/>
      <c r="K334" s="68"/>
      <c r="L334" s="68"/>
      <c r="M334" s="68"/>
      <c r="N334" s="68"/>
      <c r="O334" s="68"/>
      <c r="P334" s="68"/>
      <c r="Q334" s="70"/>
    </row>
    <row r="335" spans="10:17">
      <c r="J335" s="68"/>
      <c r="K335" s="68"/>
      <c r="L335" s="68"/>
      <c r="M335" s="68"/>
      <c r="N335" s="68"/>
      <c r="O335" s="68"/>
      <c r="P335" s="68"/>
      <c r="Q335" s="70"/>
    </row>
    <row r="336" spans="10:17">
      <c r="J336" s="68"/>
      <c r="K336" s="68"/>
      <c r="L336" s="68"/>
      <c r="M336" s="68"/>
      <c r="N336" s="68"/>
      <c r="O336" s="68"/>
      <c r="P336" s="68"/>
      <c r="Q336" s="70"/>
    </row>
    <row r="337" spans="10:17">
      <c r="J337" s="68"/>
      <c r="K337" s="68"/>
      <c r="L337" s="68"/>
      <c r="M337" s="68"/>
      <c r="N337" s="68"/>
      <c r="O337" s="68"/>
      <c r="P337" s="68"/>
      <c r="Q337" s="70"/>
    </row>
    <row r="338" spans="10:17">
      <c r="J338" s="68"/>
      <c r="K338" s="68"/>
      <c r="L338" s="68"/>
      <c r="M338" s="68"/>
      <c r="N338" s="68"/>
      <c r="O338" s="68"/>
      <c r="P338" s="68"/>
      <c r="Q338" s="70"/>
    </row>
    <row r="339" spans="10:17">
      <c r="J339" s="68"/>
      <c r="K339" s="68"/>
      <c r="L339" s="68"/>
      <c r="M339" s="68"/>
      <c r="N339" s="68"/>
      <c r="O339" s="68"/>
      <c r="P339" s="68"/>
      <c r="Q339" s="70"/>
    </row>
    <row r="340" spans="10:17">
      <c r="J340" s="68"/>
      <c r="K340" s="68"/>
      <c r="L340" s="68"/>
      <c r="M340" s="68"/>
      <c r="N340" s="68"/>
      <c r="O340" s="68"/>
      <c r="P340" s="68"/>
      <c r="Q340" s="70"/>
    </row>
    <row r="341" spans="10:17">
      <c r="J341" s="68"/>
      <c r="K341" s="68"/>
      <c r="L341" s="68"/>
      <c r="M341" s="68"/>
      <c r="N341" s="68"/>
      <c r="O341" s="68"/>
      <c r="P341" s="68"/>
      <c r="Q341" s="70"/>
    </row>
    <row r="342" spans="10:17">
      <c r="J342" s="68"/>
      <c r="K342" s="68"/>
      <c r="L342" s="68"/>
      <c r="M342" s="68"/>
      <c r="N342" s="68"/>
      <c r="O342" s="68"/>
      <c r="P342" s="68"/>
      <c r="Q342" s="70"/>
    </row>
    <row r="343" spans="10:17">
      <c r="J343" s="68"/>
      <c r="K343" s="68"/>
      <c r="L343" s="68"/>
      <c r="M343" s="68"/>
      <c r="N343" s="68"/>
      <c r="O343" s="68"/>
      <c r="P343" s="68"/>
      <c r="Q343" s="70"/>
    </row>
    <row r="344" spans="10:17">
      <c r="J344" s="68"/>
      <c r="K344" s="68"/>
      <c r="L344" s="68"/>
      <c r="M344" s="68"/>
      <c r="N344" s="68"/>
      <c r="O344" s="68"/>
      <c r="P344" s="68"/>
      <c r="Q344" s="70"/>
    </row>
    <row r="345" spans="10:17">
      <c r="J345" s="68"/>
      <c r="K345" s="68"/>
      <c r="L345" s="68"/>
      <c r="M345" s="68"/>
      <c r="N345" s="68"/>
      <c r="O345" s="68"/>
      <c r="P345" s="68"/>
      <c r="Q345" s="70"/>
    </row>
    <row r="346" spans="10:17">
      <c r="J346" s="68"/>
      <c r="K346" s="68"/>
      <c r="L346" s="68"/>
      <c r="M346" s="68"/>
      <c r="N346" s="68"/>
      <c r="O346" s="68"/>
      <c r="P346" s="68"/>
      <c r="Q346" s="70"/>
    </row>
    <row r="347" spans="10:17">
      <c r="J347" s="68"/>
      <c r="K347" s="68"/>
      <c r="L347" s="68"/>
      <c r="M347" s="68"/>
      <c r="N347" s="68"/>
      <c r="O347" s="68"/>
      <c r="P347" s="68"/>
      <c r="Q347" s="70"/>
    </row>
    <row r="348" spans="10:17">
      <c r="J348" s="68"/>
      <c r="K348" s="68"/>
      <c r="L348" s="68"/>
      <c r="M348" s="68"/>
      <c r="N348" s="68"/>
      <c r="O348" s="68"/>
      <c r="P348" s="68"/>
      <c r="Q348" s="70"/>
    </row>
    <row r="349" spans="10:17">
      <c r="J349" s="68"/>
      <c r="K349" s="68"/>
      <c r="L349" s="68"/>
      <c r="M349" s="68"/>
      <c r="N349" s="68"/>
      <c r="O349" s="68"/>
      <c r="P349" s="68"/>
      <c r="Q349" s="70"/>
    </row>
    <row r="350" spans="10:17">
      <c r="J350" s="68"/>
      <c r="K350" s="68"/>
      <c r="L350" s="68"/>
      <c r="M350" s="68"/>
      <c r="N350" s="68"/>
      <c r="O350" s="68"/>
      <c r="P350" s="68"/>
      <c r="Q350" s="70"/>
    </row>
    <row r="351" spans="10:17">
      <c r="J351" s="68"/>
      <c r="K351" s="68"/>
      <c r="L351" s="68"/>
      <c r="M351" s="68"/>
      <c r="N351" s="68"/>
      <c r="O351" s="68"/>
      <c r="P351" s="68"/>
      <c r="Q351" s="70"/>
    </row>
    <row r="352" spans="10:17">
      <c r="J352" s="68"/>
      <c r="K352" s="68"/>
      <c r="L352" s="68"/>
      <c r="M352" s="68"/>
      <c r="N352" s="68"/>
      <c r="O352" s="68"/>
      <c r="P352" s="68"/>
      <c r="Q352" s="70"/>
    </row>
    <row r="353" spans="10:17">
      <c r="J353" s="68"/>
      <c r="K353" s="68"/>
      <c r="L353" s="68"/>
      <c r="M353" s="68"/>
      <c r="N353" s="68"/>
      <c r="O353" s="68"/>
      <c r="P353" s="68"/>
      <c r="Q353" s="70"/>
    </row>
    <row r="354" spans="10:17">
      <c r="J354" s="68"/>
      <c r="K354" s="68"/>
      <c r="L354" s="68"/>
      <c r="M354" s="68"/>
      <c r="N354" s="68"/>
      <c r="O354" s="68"/>
      <c r="P354" s="68"/>
      <c r="Q354" s="70"/>
    </row>
    <row r="355" spans="10:17">
      <c r="J355" s="68"/>
      <c r="K355" s="68"/>
      <c r="L355" s="68"/>
      <c r="M355" s="68"/>
      <c r="N355" s="68"/>
      <c r="O355" s="68"/>
      <c r="P355" s="68"/>
      <c r="Q355" s="70"/>
    </row>
    <row r="356" spans="10:17">
      <c r="J356" s="68"/>
      <c r="K356" s="68"/>
      <c r="L356" s="68"/>
      <c r="M356" s="68"/>
      <c r="N356" s="68"/>
      <c r="O356" s="68"/>
      <c r="P356" s="68"/>
      <c r="Q356" s="70"/>
    </row>
    <row r="357" spans="10:17">
      <c r="J357" s="68"/>
      <c r="K357" s="68"/>
      <c r="L357" s="68"/>
      <c r="M357" s="68"/>
      <c r="N357" s="68"/>
      <c r="O357" s="68"/>
      <c r="P357" s="68"/>
      <c r="Q357" s="70"/>
    </row>
    <row r="358" spans="10:17">
      <c r="J358" s="68"/>
      <c r="K358" s="68"/>
      <c r="L358" s="68"/>
      <c r="M358" s="68"/>
      <c r="N358" s="68"/>
      <c r="O358" s="68"/>
      <c r="P358" s="68"/>
      <c r="Q358" s="70"/>
    </row>
    <row r="359" spans="10:17">
      <c r="J359" s="68"/>
      <c r="K359" s="68"/>
      <c r="L359" s="68"/>
      <c r="M359" s="68"/>
      <c r="N359" s="68"/>
      <c r="O359" s="68"/>
      <c r="P359" s="68"/>
      <c r="Q359" s="70"/>
    </row>
    <row r="360" spans="10:17">
      <c r="J360" s="68"/>
      <c r="K360" s="68"/>
      <c r="L360" s="68"/>
      <c r="M360" s="68"/>
      <c r="N360" s="68"/>
      <c r="O360" s="68"/>
      <c r="P360" s="68"/>
      <c r="Q360" s="70"/>
    </row>
    <row r="361" spans="10:17">
      <c r="J361" s="68"/>
      <c r="K361" s="68"/>
      <c r="L361" s="68"/>
      <c r="M361" s="68"/>
      <c r="N361" s="68"/>
      <c r="O361" s="68"/>
      <c r="P361" s="68"/>
      <c r="Q361" s="70"/>
    </row>
    <row r="362" spans="10:17">
      <c r="J362" s="68"/>
      <c r="K362" s="68"/>
      <c r="L362" s="68"/>
      <c r="M362" s="68"/>
      <c r="N362" s="68"/>
      <c r="O362" s="68"/>
      <c r="P362" s="68"/>
      <c r="Q362" s="70"/>
    </row>
    <row r="363" spans="10:17">
      <c r="J363" s="68"/>
      <c r="K363" s="68"/>
      <c r="L363" s="68"/>
      <c r="M363" s="68"/>
      <c r="N363" s="68"/>
      <c r="O363" s="68"/>
      <c r="P363" s="68"/>
      <c r="Q363" s="70"/>
    </row>
    <row r="364" spans="10:17">
      <c r="J364" s="68"/>
      <c r="K364" s="68"/>
      <c r="L364" s="68"/>
      <c r="M364" s="68"/>
      <c r="N364" s="68"/>
      <c r="O364" s="68"/>
      <c r="P364" s="68"/>
      <c r="Q364" s="70"/>
    </row>
    <row r="365" spans="10:17">
      <c r="J365" s="68"/>
      <c r="K365" s="68"/>
      <c r="L365" s="68"/>
      <c r="M365" s="68"/>
      <c r="N365" s="68"/>
      <c r="O365" s="68"/>
      <c r="P365" s="68"/>
      <c r="Q365" s="70"/>
    </row>
    <row r="366" spans="10:17">
      <c r="J366" s="68"/>
      <c r="K366" s="68"/>
      <c r="L366" s="68"/>
      <c r="M366" s="68"/>
      <c r="N366" s="68"/>
      <c r="O366" s="68"/>
      <c r="P366" s="68"/>
      <c r="Q366" s="70"/>
    </row>
    <row r="367" spans="10:17">
      <c r="J367" s="68"/>
      <c r="K367" s="68"/>
      <c r="L367" s="68"/>
      <c r="M367" s="68"/>
      <c r="N367" s="68"/>
      <c r="O367" s="68"/>
      <c r="P367" s="68"/>
      <c r="Q367" s="70"/>
    </row>
    <row r="368" spans="10:17">
      <c r="J368" s="68"/>
      <c r="K368" s="68"/>
      <c r="L368" s="68"/>
      <c r="M368" s="68"/>
      <c r="N368" s="68"/>
      <c r="O368" s="68"/>
      <c r="P368" s="68"/>
      <c r="Q368" s="70"/>
    </row>
    <row r="369" spans="10:17">
      <c r="J369" s="68"/>
      <c r="K369" s="68"/>
      <c r="L369" s="68"/>
      <c r="M369" s="68"/>
      <c r="N369" s="68"/>
      <c r="O369" s="68"/>
      <c r="P369" s="68"/>
      <c r="Q369" s="70"/>
    </row>
    <row r="370" spans="10:17">
      <c r="J370" s="68"/>
      <c r="K370" s="68"/>
      <c r="L370" s="68"/>
      <c r="M370" s="68"/>
      <c r="N370" s="68"/>
      <c r="O370" s="68"/>
      <c r="P370" s="68"/>
      <c r="Q370" s="70"/>
    </row>
    <row r="371" spans="10:17">
      <c r="J371" s="68"/>
      <c r="K371" s="68"/>
      <c r="L371" s="68"/>
      <c r="M371" s="68"/>
      <c r="N371" s="68"/>
      <c r="O371" s="68"/>
      <c r="P371" s="68"/>
      <c r="Q371" s="70"/>
    </row>
    <row r="372" spans="10:17">
      <c r="J372" s="68"/>
      <c r="K372" s="68"/>
      <c r="L372" s="68"/>
      <c r="M372" s="68"/>
      <c r="N372" s="68"/>
      <c r="O372" s="68"/>
      <c r="P372" s="68"/>
      <c r="Q372" s="70"/>
    </row>
    <row r="373" spans="10:17">
      <c r="J373" s="68"/>
      <c r="K373" s="68"/>
      <c r="L373" s="68"/>
      <c r="M373" s="68"/>
      <c r="N373" s="68"/>
      <c r="O373" s="68"/>
      <c r="P373" s="68"/>
      <c r="Q373" s="70"/>
    </row>
    <row r="374" spans="10:17">
      <c r="J374" s="68"/>
      <c r="K374" s="68"/>
      <c r="L374" s="68"/>
      <c r="M374" s="68"/>
      <c r="N374" s="68"/>
      <c r="O374" s="68"/>
      <c r="P374" s="68"/>
      <c r="Q374" s="70"/>
    </row>
    <row r="375" spans="10:17">
      <c r="J375" s="68"/>
      <c r="K375" s="68"/>
      <c r="L375" s="68"/>
      <c r="M375" s="68"/>
      <c r="N375" s="68"/>
      <c r="O375" s="68"/>
      <c r="P375" s="68"/>
      <c r="Q375" s="70"/>
    </row>
    <row r="376" spans="10:17">
      <c r="J376" s="68"/>
      <c r="K376" s="68"/>
      <c r="L376" s="68"/>
      <c r="M376" s="68"/>
      <c r="N376" s="68"/>
      <c r="O376" s="68"/>
      <c r="P376" s="68"/>
      <c r="Q376" s="70"/>
    </row>
    <row r="377" spans="10:17">
      <c r="J377" s="68"/>
      <c r="K377" s="68"/>
      <c r="L377" s="68"/>
      <c r="M377" s="68"/>
      <c r="N377" s="68"/>
      <c r="O377" s="68"/>
      <c r="P377" s="68"/>
      <c r="Q377" s="70"/>
    </row>
    <row r="378" spans="10:17">
      <c r="J378" s="68"/>
      <c r="K378" s="68"/>
      <c r="L378" s="68"/>
      <c r="M378" s="68"/>
      <c r="N378" s="68"/>
      <c r="O378" s="68"/>
      <c r="P378" s="68"/>
      <c r="Q378" s="70"/>
    </row>
    <row r="379" spans="10:17">
      <c r="J379" s="68"/>
      <c r="K379" s="68"/>
      <c r="L379" s="68"/>
      <c r="M379" s="68"/>
      <c r="N379" s="68"/>
      <c r="O379" s="68"/>
      <c r="P379" s="68"/>
      <c r="Q379" s="70"/>
    </row>
    <row r="380" spans="10:17">
      <c r="J380" s="68"/>
      <c r="K380" s="68"/>
      <c r="L380" s="68"/>
      <c r="M380" s="68"/>
      <c r="N380" s="68"/>
      <c r="O380" s="68"/>
      <c r="P380" s="68"/>
      <c r="Q380" s="70"/>
    </row>
    <row r="381" spans="10:17">
      <c r="J381" s="68"/>
      <c r="K381" s="68"/>
      <c r="L381" s="68"/>
      <c r="M381" s="68"/>
      <c r="N381" s="68"/>
      <c r="O381" s="68"/>
      <c r="P381" s="68"/>
      <c r="Q381" s="70"/>
    </row>
    <row r="382" spans="10:17">
      <c r="J382" s="68"/>
      <c r="K382" s="68"/>
      <c r="L382" s="68"/>
      <c r="M382" s="68"/>
      <c r="N382" s="68"/>
      <c r="O382" s="68"/>
      <c r="P382" s="68"/>
      <c r="Q382" s="70"/>
    </row>
    <row r="383" spans="10:17">
      <c r="J383" s="68"/>
      <c r="K383" s="68"/>
      <c r="L383" s="68"/>
      <c r="M383" s="68"/>
      <c r="N383" s="68"/>
      <c r="O383" s="68"/>
      <c r="P383" s="68"/>
      <c r="Q383" s="70"/>
    </row>
    <row r="384" spans="10:17">
      <c r="J384" s="68"/>
      <c r="K384" s="68"/>
      <c r="L384" s="68"/>
      <c r="M384" s="68"/>
      <c r="N384" s="68"/>
      <c r="O384" s="68"/>
      <c r="P384" s="68"/>
      <c r="Q384" s="70"/>
    </row>
    <row r="385" spans="10:17">
      <c r="J385" s="68"/>
      <c r="K385" s="68"/>
      <c r="L385" s="68"/>
      <c r="M385" s="68"/>
      <c r="N385" s="68"/>
      <c r="O385" s="68"/>
      <c r="P385" s="68"/>
      <c r="Q385" s="70"/>
    </row>
    <row r="386" spans="10:17">
      <c r="J386" s="68"/>
      <c r="K386" s="68"/>
      <c r="L386" s="68"/>
      <c r="M386" s="68"/>
      <c r="N386" s="68"/>
      <c r="O386" s="68"/>
      <c r="P386" s="68"/>
      <c r="Q386" s="70"/>
    </row>
    <row r="387" spans="10:17">
      <c r="J387" s="68"/>
      <c r="K387" s="68"/>
      <c r="L387" s="68"/>
      <c r="M387" s="68"/>
      <c r="N387" s="68"/>
      <c r="O387" s="68"/>
      <c r="P387" s="68"/>
      <c r="Q387" s="70"/>
    </row>
    <row r="388" spans="10:17">
      <c r="J388" s="68"/>
      <c r="K388" s="68"/>
      <c r="L388" s="68"/>
      <c r="M388" s="68"/>
      <c r="N388" s="68"/>
      <c r="O388" s="68"/>
      <c r="P388" s="68"/>
      <c r="Q388" s="70"/>
    </row>
    <row r="389" spans="10:17">
      <c r="J389" s="68"/>
      <c r="K389" s="68"/>
      <c r="L389" s="68"/>
      <c r="M389" s="68"/>
      <c r="N389" s="68"/>
      <c r="O389" s="68"/>
      <c r="P389" s="68"/>
      <c r="Q389" s="70"/>
    </row>
    <row r="390" spans="10:17">
      <c r="J390" s="68"/>
      <c r="K390" s="68"/>
      <c r="L390" s="68"/>
      <c r="M390" s="68"/>
      <c r="N390" s="68"/>
      <c r="O390" s="68"/>
      <c r="P390" s="68"/>
      <c r="Q390" s="70"/>
    </row>
    <row r="391" spans="10:17">
      <c r="J391" s="68"/>
      <c r="K391" s="68"/>
      <c r="L391" s="68"/>
      <c r="M391" s="68"/>
      <c r="N391" s="68"/>
      <c r="O391" s="68"/>
      <c r="P391" s="68"/>
      <c r="Q391" s="70"/>
    </row>
    <row r="392" spans="10:17">
      <c r="J392" s="68"/>
      <c r="K392" s="68"/>
      <c r="L392" s="68"/>
      <c r="M392" s="68"/>
      <c r="N392" s="68"/>
      <c r="O392" s="68"/>
      <c r="P392" s="68"/>
      <c r="Q392" s="70"/>
    </row>
    <row r="393" spans="10:17">
      <c r="J393" s="68"/>
      <c r="K393" s="68"/>
      <c r="L393" s="68"/>
      <c r="M393" s="68"/>
      <c r="N393" s="68"/>
      <c r="O393" s="68"/>
      <c r="P393" s="68"/>
      <c r="Q393" s="70"/>
    </row>
    <row r="394" spans="10:17">
      <c r="J394" s="68"/>
      <c r="K394" s="68"/>
      <c r="L394" s="68"/>
      <c r="M394" s="68"/>
      <c r="N394" s="68"/>
      <c r="O394" s="68"/>
      <c r="P394" s="68"/>
      <c r="Q394" s="70"/>
    </row>
    <row r="395" spans="10:17">
      <c r="J395" s="68"/>
      <c r="K395" s="68"/>
      <c r="L395" s="68"/>
      <c r="M395" s="68"/>
      <c r="N395" s="68"/>
      <c r="O395" s="68"/>
      <c r="P395" s="68"/>
      <c r="Q395" s="70"/>
    </row>
    <row r="396" spans="10:17">
      <c r="J396" s="68"/>
      <c r="K396" s="68"/>
      <c r="L396" s="68"/>
      <c r="M396" s="68"/>
      <c r="N396" s="68"/>
      <c r="O396" s="68"/>
      <c r="P396" s="68"/>
      <c r="Q396" s="70"/>
    </row>
    <row r="397" spans="10:17">
      <c r="J397" s="68"/>
      <c r="K397" s="68"/>
      <c r="L397" s="68"/>
      <c r="M397" s="68"/>
      <c r="N397" s="68"/>
      <c r="O397" s="68"/>
      <c r="P397" s="68"/>
      <c r="Q397" s="70"/>
    </row>
    <row r="398" spans="10:17">
      <c r="J398" s="68"/>
      <c r="K398" s="68"/>
      <c r="L398" s="68"/>
      <c r="M398" s="68"/>
      <c r="N398" s="68"/>
      <c r="O398" s="68"/>
      <c r="P398" s="68"/>
      <c r="Q398" s="70"/>
    </row>
    <row r="399" spans="10:17">
      <c r="J399" s="68"/>
      <c r="K399" s="68"/>
      <c r="L399" s="68"/>
      <c r="M399" s="68"/>
      <c r="N399" s="68"/>
      <c r="O399" s="68"/>
      <c r="P399" s="68"/>
      <c r="Q399" s="70"/>
    </row>
    <row r="400" spans="10:17">
      <c r="J400" s="68"/>
      <c r="K400" s="68"/>
      <c r="L400" s="68"/>
      <c r="M400" s="68"/>
      <c r="N400" s="68"/>
      <c r="O400" s="68"/>
      <c r="P400" s="68"/>
      <c r="Q400" s="70"/>
    </row>
    <row r="401" spans="10:17">
      <c r="J401" s="68"/>
      <c r="K401" s="68"/>
      <c r="L401" s="68"/>
      <c r="M401" s="68"/>
      <c r="N401" s="68"/>
      <c r="O401" s="68"/>
      <c r="P401" s="68"/>
      <c r="Q401" s="70"/>
    </row>
    <row r="402" spans="10:17">
      <c r="J402" s="68"/>
      <c r="K402" s="68"/>
      <c r="L402" s="68"/>
      <c r="M402" s="68"/>
      <c r="N402" s="68"/>
      <c r="O402" s="68"/>
      <c r="P402" s="68"/>
      <c r="Q402" s="70"/>
    </row>
    <row r="403" spans="10:17">
      <c r="J403" s="68"/>
      <c r="K403" s="68"/>
      <c r="L403" s="68"/>
      <c r="M403" s="68"/>
      <c r="N403" s="68"/>
      <c r="O403" s="68"/>
      <c r="P403" s="68"/>
      <c r="Q403" s="70"/>
    </row>
    <row r="404" spans="10:17">
      <c r="J404" s="68"/>
      <c r="K404" s="68"/>
      <c r="L404" s="68"/>
      <c r="M404" s="68"/>
      <c r="N404" s="68"/>
      <c r="O404" s="68"/>
      <c r="P404" s="68"/>
      <c r="Q404" s="70"/>
    </row>
    <row r="405" spans="10:17">
      <c r="J405" s="68"/>
      <c r="K405" s="68"/>
      <c r="L405" s="68"/>
      <c r="M405" s="68"/>
      <c r="N405" s="68"/>
      <c r="O405" s="68"/>
      <c r="P405" s="68"/>
      <c r="Q405" s="70"/>
    </row>
    <row r="406" spans="10:17">
      <c r="J406" s="68"/>
      <c r="K406" s="68"/>
      <c r="L406" s="68"/>
      <c r="M406" s="68"/>
      <c r="N406" s="68"/>
      <c r="O406" s="68"/>
      <c r="P406" s="68"/>
      <c r="Q406" s="70"/>
    </row>
    <row r="407" spans="10:17">
      <c r="J407" s="68"/>
      <c r="K407" s="68"/>
      <c r="L407" s="68"/>
      <c r="M407" s="68"/>
      <c r="N407" s="68"/>
      <c r="O407" s="68"/>
      <c r="P407" s="68"/>
      <c r="Q407" s="70"/>
    </row>
    <row r="408" spans="10:17">
      <c r="J408" s="68"/>
      <c r="K408" s="68"/>
      <c r="L408" s="68"/>
      <c r="M408" s="68"/>
      <c r="N408" s="68"/>
      <c r="O408" s="68"/>
      <c r="P408" s="68"/>
      <c r="Q408" s="70"/>
    </row>
    <row r="409" spans="10:17">
      <c r="J409" s="68"/>
      <c r="K409" s="68"/>
      <c r="L409" s="68"/>
      <c r="M409" s="68"/>
      <c r="N409" s="68"/>
      <c r="O409" s="68"/>
      <c r="P409" s="68"/>
      <c r="Q409" s="70"/>
    </row>
    <row r="410" spans="10:17">
      <c r="J410" s="68"/>
      <c r="K410" s="68"/>
      <c r="L410" s="68"/>
      <c r="M410" s="68"/>
      <c r="N410" s="68"/>
      <c r="O410" s="68"/>
      <c r="P410" s="68"/>
      <c r="Q410" s="70"/>
    </row>
    <row r="411" spans="10:17">
      <c r="J411" s="68"/>
      <c r="K411" s="68"/>
      <c r="L411" s="68"/>
      <c r="M411" s="68"/>
      <c r="N411" s="68"/>
      <c r="O411" s="68"/>
      <c r="P411" s="68"/>
      <c r="Q411" s="70"/>
    </row>
    <row r="412" spans="10:17">
      <c r="J412" s="68"/>
      <c r="K412" s="68"/>
      <c r="L412" s="68"/>
      <c r="M412" s="68"/>
      <c r="N412" s="68"/>
      <c r="O412" s="68"/>
      <c r="P412" s="68"/>
      <c r="Q412" s="70"/>
    </row>
    <row r="413" spans="10:17">
      <c r="J413" s="68"/>
      <c r="K413" s="68"/>
      <c r="L413" s="68"/>
      <c r="M413" s="68"/>
      <c r="N413" s="68"/>
      <c r="O413" s="68"/>
      <c r="P413" s="68"/>
      <c r="Q413" s="70"/>
    </row>
    <row r="414" spans="10:17">
      <c r="J414" s="68"/>
      <c r="K414" s="68"/>
      <c r="L414" s="68"/>
      <c r="M414" s="68"/>
      <c r="N414" s="68"/>
      <c r="O414" s="68"/>
      <c r="P414" s="68"/>
      <c r="Q414" s="70"/>
    </row>
    <row r="415" spans="10:17">
      <c r="J415" s="68"/>
      <c r="K415" s="68"/>
      <c r="L415" s="68"/>
      <c r="M415" s="68"/>
      <c r="N415" s="68"/>
      <c r="O415" s="68"/>
      <c r="P415" s="68"/>
      <c r="Q415" s="70"/>
    </row>
    <row r="416" spans="10:17">
      <c r="J416" s="68"/>
      <c r="K416" s="68"/>
      <c r="L416" s="68"/>
      <c r="M416" s="68"/>
      <c r="N416" s="68"/>
      <c r="O416" s="68"/>
      <c r="P416" s="68"/>
      <c r="Q416" s="70"/>
    </row>
    <row r="417" spans="10:17">
      <c r="J417" s="68"/>
      <c r="K417" s="68"/>
      <c r="L417" s="68"/>
      <c r="M417" s="68"/>
      <c r="N417" s="68"/>
      <c r="O417" s="68"/>
      <c r="P417" s="68"/>
      <c r="Q417" s="70"/>
    </row>
    <row r="418" spans="10:17">
      <c r="J418" s="68"/>
      <c r="K418" s="68"/>
      <c r="L418" s="68"/>
      <c r="M418" s="68"/>
      <c r="N418" s="68"/>
      <c r="O418" s="68"/>
      <c r="P418" s="68"/>
      <c r="Q418" s="70"/>
    </row>
    <row r="419" spans="10:17">
      <c r="J419" s="68"/>
      <c r="K419" s="68"/>
      <c r="L419" s="68"/>
      <c r="M419" s="68"/>
      <c r="N419" s="68"/>
      <c r="O419" s="68"/>
      <c r="P419" s="68"/>
      <c r="Q419" s="70"/>
    </row>
    <row r="420" spans="10:17">
      <c r="J420" s="68"/>
      <c r="K420" s="68"/>
      <c r="L420" s="68"/>
      <c r="M420" s="68"/>
      <c r="N420" s="68"/>
      <c r="O420" s="68"/>
      <c r="P420" s="68"/>
      <c r="Q420" s="70"/>
    </row>
    <row r="421" spans="10:17">
      <c r="J421" s="68"/>
      <c r="K421" s="68"/>
      <c r="L421" s="68"/>
      <c r="M421" s="68"/>
      <c r="N421" s="68"/>
      <c r="O421" s="68"/>
      <c r="P421" s="68"/>
      <c r="Q421" s="70"/>
    </row>
    <row r="422" spans="10:17">
      <c r="J422" s="68"/>
      <c r="K422" s="68"/>
      <c r="L422" s="68"/>
      <c r="M422" s="68"/>
      <c r="N422" s="68"/>
      <c r="O422" s="68"/>
      <c r="P422" s="68"/>
      <c r="Q422" s="70"/>
    </row>
    <row r="423" spans="10:17">
      <c r="J423" s="68"/>
      <c r="K423" s="68"/>
      <c r="L423" s="68"/>
      <c r="M423" s="68"/>
      <c r="N423" s="68"/>
      <c r="O423" s="68"/>
      <c r="P423" s="68"/>
      <c r="Q423" s="70"/>
    </row>
    <row r="424" spans="10:17">
      <c r="J424" s="68"/>
      <c r="K424" s="68"/>
      <c r="L424" s="68"/>
      <c r="M424" s="68"/>
      <c r="N424" s="68"/>
      <c r="O424" s="68"/>
      <c r="P424" s="68"/>
      <c r="Q424" s="70"/>
    </row>
    <row r="425" spans="10:17">
      <c r="J425" s="68"/>
      <c r="K425" s="68"/>
      <c r="L425" s="68"/>
      <c r="M425" s="68"/>
      <c r="N425" s="68"/>
      <c r="O425" s="68"/>
      <c r="P425" s="68"/>
      <c r="Q425" s="70"/>
    </row>
    <row r="426" spans="10:17">
      <c r="J426" s="68"/>
      <c r="K426" s="68"/>
      <c r="L426" s="68"/>
      <c r="M426" s="68"/>
      <c r="N426" s="68"/>
      <c r="O426" s="68"/>
      <c r="P426" s="68"/>
      <c r="Q426" s="70"/>
    </row>
    <row r="427" spans="10:17">
      <c r="J427" s="68"/>
      <c r="K427" s="68"/>
      <c r="L427" s="68"/>
      <c r="M427" s="68"/>
      <c r="N427" s="68"/>
      <c r="O427" s="68"/>
      <c r="P427" s="68"/>
      <c r="Q427" s="70"/>
    </row>
    <row r="428" spans="10:17">
      <c r="J428" s="68"/>
      <c r="K428" s="68"/>
      <c r="L428" s="68"/>
      <c r="M428" s="68"/>
      <c r="N428" s="68"/>
      <c r="O428" s="68"/>
      <c r="P428" s="68"/>
      <c r="Q428" s="70"/>
    </row>
    <row r="429" spans="10:17">
      <c r="J429" s="68"/>
      <c r="K429" s="68"/>
      <c r="L429" s="68"/>
      <c r="M429" s="68"/>
      <c r="N429" s="68"/>
      <c r="O429" s="68"/>
      <c r="P429" s="68"/>
      <c r="Q429" s="70"/>
    </row>
    <row r="430" spans="10:17">
      <c r="J430" s="68"/>
      <c r="K430" s="68"/>
      <c r="L430" s="68"/>
      <c r="M430" s="68"/>
      <c r="N430" s="68"/>
      <c r="O430" s="68"/>
      <c r="P430" s="68"/>
      <c r="Q430" s="70"/>
    </row>
    <row r="431" spans="10:17">
      <c r="J431" s="68"/>
      <c r="K431" s="68"/>
      <c r="L431" s="68"/>
      <c r="M431" s="68"/>
      <c r="N431" s="68"/>
      <c r="O431" s="68"/>
      <c r="P431" s="68"/>
      <c r="Q431" s="70"/>
    </row>
    <row r="432" spans="10:17">
      <c r="J432" s="68"/>
      <c r="K432" s="68"/>
      <c r="L432" s="68"/>
      <c r="M432" s="68"/>
      <c r="N432" s="68"/>
      <c r="O432" s="68"/>
      <c r="P432" s="68"/>
      <c r="Q432" s="70"/>
    </row>
    <row r="433" spans="10:17">
      <c r="J433" s="68"/>
      <c r="K433" s="68"/>
      <c r="L433" s="68"/>
      <c r="M433" s="68"/>
      <c r="N433" s="68"/>
      <c r="O433" s="68"/>
      <c r="P433" s="68"/>
      <c r="Q433" s="70"/>
    </row>
    <row r="434" spans="10:17">
      <c r="J434" s="68"/>
      <c r="K434" s="68"/>
      <c r="L434" s="68"/>
      <c r="M434" s="68"/>
      <c r="N434" s="68"/>
      <c r="O434" s="68"/>
      <c r="P434" s="68"/>
      <c r="Q434" s="70"/>
    </row>
    <row r="435" spans="10:17">
      <c r="J435" s="68"/>
      <c r="K435" s="68"/>
      <c r="L435" s="68"/>
      <c r="M435" s="68"/>
      <c r="N435" s="68"/>
      <c r="O435" s="68"/>
      <c r="P435" s="68"/>
      <c r="Q435" s="70"/>
    </row>
    <row r="436" spans="10:17">
      <c r="J436" s="68"/>
      <c r="K436" s="68"/>
      <c r="L436" s="68"/>
      <c r="M436" s="68"/>
      <c r="N436" s="68"/>
      <c r="O436" s="68"/>
      <c r="P436" s="68"/>
      <c r="Q436" s="70"/>
    </row>
    <row r="437" spans="10:17">
      <c r="J437" s="68"/>
      <c r="K437" s="68"/>
      <c r="L437" s="68"/>
      <c r="M437" s="68"/>
      <c r="N437" s="68"/>
      <c r="O437" s="68"/>
      <c r="P437" s="68"/>
      <c r="Q437" s="70"/>
    </row>
    <row r="438" spans="10:17">
      <c r="J438" s="68"/>
      <c r="K438" s="68"/>
      <c r="L438" s="68"/>
      <c r="M438" s="68"/>
      <c r="N438" s="68"/>
      <c r="O438" s="68"/>
      <c r="P438" s="68"/>
      <c r="Q438" s="70"/>
    </row>
    <row r="439" spans="10:17">
      <c r="J439" s="68"/>
      <c r="K439" s="68"/>
      <c r="L439" s="68"/>
      <c r="M439" s="68"/>
      <c r="N439" s="68"/>
      <c r="O439" s="68"/>
      <c r="P439" s="68"/>
      <c r="Q439" s="70"/>
    </row>
    <row r="440" spans="10:17">
      <c r="J440" s="68"/>
      <c r="K440" s="68"/>
      <c r="L440" s="68"/>
      <c r="M440" s="68"/>
      <c r="N440" s="68"/>
      <c r="O440" s="68"/>
      <c r="P440" s="68"/>
      <c r="Q440" s="70"/>
    </row>
    <row r="441" spans="10:17">
      <c r="J441" s="68"/>
      <c r="K441" s="68"/>
      <c r="L441" s="68"/>
      <c r="M441" s="68"/>
      <c r="N441" s="68"/>
      <c r="O441" s="68"/>
      <c r="P441" s="68"/>
      <c r="Q441" s="70"/>
    </row>
    <row r="442" spans="10:17">
      <c r="J442" s="68"/>
      <c r="K442" s="68"/>
      <c r="L442" s="68"/>
      <c r="M442" s="68"/>
      <c r="N442" s="68"/>
      <c r="O442" s="68"/>
      <c r="P442" s="68"/>
      <c r="Q442" s="70"/>
    </row>
    <row r="443" spans="10:17">
      <c r="J443" s="68"/>
      <c r="K443" s="68"/>
      <c r="L443" s="68"/>
      <c r="M443" s="68"/>
      <c r="N443" s="68"/>
      <c r="O443" s="68"/>
      <c r="P443" s="68"/>
      <c r="Q443" s="70"/>
    </row>
    <row r="444" spans="10:17">
      <c r="J444" s="68"/>
      <c r="K444" s="68"/>
      <c r="L444" s="68"/>
      <c r="M444" s="68"/>
      <c r="N444" s="68"/>
      <c r="O444" s="68"/>
      <c r="P444" s="68"/>
      <c r="Q444" s="70"/>
    </row>
    <row r="445" spans="10:17">
      <c r="J445" s="68"/>
      <c r="K445" s="68"/>
      <c r="L445" s="68"/>
      <c r="M445" s="68"/>
      <c r="N445" s="68"/>
      <c r="O445" s="68"/>
      <c r="P445" s="68"/>
      <c r="Q445" s="70"/>
    </row>
    <row r="446" spans="10:17">
      <c r="J446" s="68"/>
      <c r="K446" s="68"/>
      <c r="L446" s="68"/>
      <c r="M446" s="68"/>
      <c r="N446" s="68"/>
      <c r="O446" s="68"/>
      <c r="P446" s="68"/>
      <c r="Q446" s="70"/>
    </row>
    <row r="447" spans="10:17">
      <c r="J447" s="68"/>
      <c r="K447" s="68"/>
      <c r="L447" s="68"/>
      <c r="M447" s="68"/>
      <c r="N447" s="68"/>
      <c r="O447" s="68"/>
      <c r="P447" s="68"/>
      <c r="Q447" s="70"/>
    </row>
    <row r="448" spans="10:17">
      <c r="J448" s="68"/>
      <c r="K448" s="68"/>
      <c r="L448" s="68"/>
      <c r="M448" s="68"/>
      <c r="N448" s="68"/>
      <c r="O448" s="68"/>
      <c r="P448" s="68"/>
      <c r="Q448" s="70"/>
    </row>
    <row r="449" spans="10:17">
      <c r="J449" s="68"/>
      <c r="K449" s="68"/>
      <c r="L449" s="68"/>
      <c r="M449" s="68"/>
      <c r="N449" s="68"/>
      <c r="O449" s="68"/>
      <c r="P449" s="68"/>
      <c r="Q449" s="70"/>
    </row>
    <row r="450" spans="10:17">
      <c r="J450" s="68"/>
      <c r="K450" s="68"/>
      <c r="L450" s="68"/>
      <c r="M450" s="68"/>
      <c r="N450" s="68"/>
      <c r="O450" s="68"/>
      <c r="P450" s="68"/>
      <c r="Q450" s="70"/>
    </row>
    <row r="451" spans="10:17">
      <c r="J451" s="68"/>
      <c r="K451" s="68"/>
      <c r="L451" s="68"/>
      <c r="M451" s="68"/>
      <c r="N451" s="68"/>
      <c r="O451" s="68"/>
      <c r="P451" s="68"/>
      <c r="Q451" s="70"/>
    </row>
    <row r="452" spans="10:17">
      <c r="J452" s="68"/>
      <c r="K452" s="68"/>
      <c r="L452" s="68"/>
      <c r="M452" s="68"/>
      <c r="N452" s="68"/>
      <c r="O452" s="68"/>
      <c r="P452" s="68"/>
      <c r="Q452" s="70"/>
    </row>
    <row r="453" spans="10:17">
      <c r="J453" s="68"/>
      <c r="K453" s="68"/>
      <c r="L453" s="68"/>
      <c r="M453" s="68"/>
      <c r="N453" s="68"/>
      <c r="O453" s="68"/>
      <c r="P453" s="68"/>
      <c r="Q453" s="70"/>
    </row>
    <row r="454" spans="10:17">
      <c r="J454" s="68"/>
      <c r="K454" s="68"/>
      <c r="L454" s="68"/>
      <c r="M454" s="68"/>
      <c r="N454" s="68"/>
      <c r="O454" s="68"/>
      <c r="P454" s="68"/>
      <c r="Q454" s="70"/>
    </row>
    <row r="455" spans="10:17">
      <c r="J455" s="68"/>
      <c r="K455" s="68"/>
      <c r="L455" s="68"/>
      <c r="M455" s="68"/>
      <c r="N455" s="68"/>
      <c r="O455" s="68"/>
      <c r="P455" s="68"/>
      <c r="Q455" s="70"/>
    </row>
    <row r="456" spans="10:17">
      <c r="J456" s="68"/>
      <c r="K456" s="68"/>
      <c r="L456" s="68"/>
      <c r="M456" s="68"/>
      <c r="N456" s="68"/>
      <c r="O456" s="68"/>
      <c r="P456" s="68"/>
      <c r="Q456" s="70"/>
    </row>
    <row r="457" spans="10:17">
      <c r="J457" s="68"/>
      <c r="K457" s="68"/>
      <c r="L457" s="68"/>
      <c r="M457" s="68"/>
      <c r="N457" s="68"/>
      <c r="O457" s="68"/>
      <c r="P457" s="68"/>
      <c r="Q457" s="70"/>
    </row>
    <row r="458" spans="10:17">
      <c r="J458" s="68"/>
      <c r="K458" s="68"/>
      <c r="L458" s="68"/>
      <c r="M458" s="68"/>
      <c r="N458" s="68"/>
      <c r="O458" s="68"/>
      <c r="P458" s="68"/>
      <c r="Q458" s="70"/>
    </row>
    <row r="459" spans="10:17">
      <c r="J459" s="68"/>
      <c r="K459" s="68"/>
      <c r="L459" s="68"/>
      <c r="M459" s="68"/>
      <c r="N459" s="68"/>
      <c r="O459" s="68"/>
      <c r="P459" s="68"/>
      <c r="Q459" s="70"/>
    </row>
    <row r="460" spans="10:17">
      <c r="J460" s="68"/>
      <c r="K460" s="68"/>
      <c r="L460" s="68"/>
      <c r="M460" s="68"/>
      <c r="N460" s="68"/>
      <c r="O460" s="68"/>
      <c r="P460" s="68"/>
      <c r="Q460" s="70"/>
    </row>
    <row r="461" spans="10:17">
      <c r="J461" s="68"/>
      <c r="K461" s="68"/>
      <c r="L461" s="68"/>
      <c r="M461" s="68"/>
      <c r="N461" s="68"/>
      <c r="O461" s="68"/>
      <c r="P461" s="68"/>
      <c r="Q461" s="70"/>
    </row>
    <row r="462" spans="10:17">
      <c r="J462" s="68"/>
      <c r="K462" s="68"/>
      <c r="L462" s="68"/>
      <c r="M462" s="68"/>
      <c r="N462" s="68"/>
      <c r="O462" s="68"/>
      <c r="P462" s="68"/>
      <c r="Q462" s="70"/>
    </row>
    <row r="463" spans="10:17">
      <c r="J463" s="68"/>
      <c r="K463" s="68"/>
      <c r="L463" s="68"/>
      <c r="M463" s="68"/>
      <c r="N463" s="68"/>
      <c r="O463" s="68"/>
      <c r="P463" s="68"/>
      <c r="Q463" s="70"/>
    </row>
    <row r="464" spans="10:17">
      <c r="J464" s="68"/>
      <c r="K464" s="68"/>
      <c r="L464" s="68"/>
      <c r="M464" s="68"/>
      <c r="N464" s="68"/>
      <c r="O464" s="68"/>
      <c r="P464" s="68"/>
      <c r="Q464" s="70"/>
    </row>
    <row r="465" spans="10:17">
      <c r="J465" s="68"/>
      <c r="K465" s="68"/>
      <c r="L465" s="68"/>
      <c r="M465" s="68"/>
      <c r="N465" s="68"/>
      <c r="O465" s="68"/>
      <c r="P465" s="68"/>
      <c r="Q465" s="70"/>
    </row>
    <row r="466" spans="10:17">
      <c r="J466" s="68"/>
      <c r="K466" s="68"/>
      <c r="L466" s="68"/>
      <c r="M466" s="68"/>
      <c r="N466" s="68"/>
      <c r="O466" s="68"/>
      <c r="P466" s="68"/>
      <c r="Q466" s="70"/>
    </row>
    <row r="467" spans="10:17">
      <c r="J467" s="68"/>
      <c r="K467" s="68"/>
      <c r="L467" s="68"/>
      <c r="M467" s="68"/>
      <c r="N467" s="68"/>
      <c r="O467" s="68"/>
      <c r="P467" s="68"/>
      <c r="Q467" s="70"/>
    </row>
    <row r="468" spans="10:17">
      <c r="J468" s="68"/>
      <c r="K468" s="68"/>
      <c r="L468" s="68"/>
      <c r="M468" s="68"/>
      <c r="N468" s="68"/>
      <c r="O468" s="68"/>
      <c r="P468" s="68"/>
      <c r="Q468" s="70"/>
    </row>
    <row r="469" spans="10:17">
      <c r="J469" s="68"/>
      <c r="K469" s="68"/>
      <c r="L469" s="68"/>
      <c r="M469" s="68"/>
      <c r="N469" s="68"/>
      <c r="O469" s="68"/>
      <c r="P469" s="68"/>
      <c r="Q469" s="70"/>
    </row>
    <row r="470" spans="10:17">
      <c r="J470" s="68"/>
      <c r="K470" s="68"/>
      <c r="L470" s="68"/>
      <c r="M470" s="68"/>
      <c r="N470" s="68"/>
      <c r="O470" s="68"/>
      <c r="P470" s="68"/>
      <c r="Q470" s="70"/>
    </row>
    <row r="471" spans="10:17">
      <c r="J471" s="68"/>
      <c r="K471" s="68"/>
      <c r="L471" s="68"/>
      <c r="M471" s="68"/>
      <c r="N471" s="68"/>
      <c r="O471" s="68"/>
      <c r="P471" s="68"/>
      <c r="Q471" s="70"/>
    </row>
    <row r="472" spans="10:17">
      <c r="J472" s="68"/>
      <c r="K472" s="68"/>
      <c r="L472" s="68"/>
      <c r="M472" s="68"/>
      <c r="N472" s="68"/>
      <c r="O472" s="68"/>
      <c r="P472" s="68"/>
      <c r="Q472" s="70"/>
    </row>
    <row r="473" spans="10:17">
      <c r="J473" s="68"/>
      <c r="K473" s="68"/>
      <c r="L473" s="68"/>
      <c r="M473" s="68"/>
      <c r="N473" s="68"/>
      <c r="O473" s="68"/>
      <c r="P473" s="68"/>
      <c r="Q473" s="70"/>
    </row>
    <row r="474" spans="10:17">
      <c r="J474" s="68"/>
      <c r="K474" s="68"/>
      <c r="L474" s="68"/>
      <c r="M474" s="68"/>
      <c r="N474" s="68"/>
      <c r="O474" s="68"/>
      <c r="P474" s="68"/>
      <c r="Q474" s="70"/>
    </row>
    <row r="475" spans="10:17">
      <c r="J475" s="68"/>
      <c r="K475" s="68"/>
      <c r="L475" s="68"/>
      <c r="M475" s="68"/>
      <c r="N475" s="68"/>
      <c r="O475" s="68"/>
      <c r="P475" s="68"/>
      <c r="Q475" s="70"/>
    </row>
    <row r="476" spans="10:17">
      <c r="J476" s="68"/>
      <c r="K476" s="68"/>
      <c r="L476" s="68"/>
      <c r="M476" s="68"/>
      <c r="N476" s="68"/>
      <c r="O476" s="68"/>
      <c r="P476" s="68"/>
      <c r="Q476" s="70"/>
    </row>
    <row r="477" spans="10:17">
      <c r="J477" s="68"/>
      <c r="K477" s="68"/>
      <c r="L477" s="68"/>
      <c r="M477" s="68"/>
      <c r="N477" s="68"/>
      <c r="O477" s="68"/>
      <c r="P477" s="68"/>
      <c r="Q477" s="70"/>
    </row>
    <row r="1000" spans="1:1">
      <c r="A1000" s="68">
        <v>80</v>
      </c>
    </row>
  </sheetData>
  <sheetProtection algorithmName="SHA-512" hashValue="scuGzo1fwmutQ1Z8jMPBh11FuaQj60vTl0VxR/kZYRDWWIdDt+/8LQ+ibHAHNluke92xs/sIzdLHg9rQTp3jYw==" saltValue="fi0HWSVMdYyK1Q6edTuWng==" spinCount="100000" sheet="1" objects="1" scenarios="1"/>
  <mergeCells count="3">
    <mergeCell ref="B12:B25"/>
    <mergeCell ref="B26:B39"/>
    <mergeCell ref="J95:J96"/>
  </mergeCells>
  <conditionalFormatting sqref="B12">
    <cfRule type="expression" dxfId="689" priority="100">
      <formula>IF(CW51=1,1,0)</formula>
    </cfRule>
  </conditionalFormatting>
  <conditionalFormatting sqref="B26">
    <cfRule type="expression" dxfId="688" priority="39">
      <formula>IF(CW53=1,1,0)</formula>
    </cfRule>
  </conditionalFormatting>
  <conditionalFormatting sqref="C25">
    <cfRule type="expression" dxfId="687" priority="37">
      <formula>IF(CW51=1,0,1)</formula>
    </cfRule>
  </conditionalFormatting>
  <conditionalFormatting sqref="C26">
    <cfRule type="expression" dxfId="686" priority="38">
      <formula>IF(CW53=1,0,1)</formula>
    </cfRule>
  </conditionalFormatting>
  <conditionalFormatting sqref="D13">
    <cfRule type="expression" dxfId="685" priority="86">
      <formula>IF(RIGHT(D13,2)="  ",1,0)</formula>
    </cfRule>
  </conditionalFormatting>
  <conditionalFormatting sqref="D25">
    <cfRule type="expression" dxfId="684" priority="40">
      <formula>IF(CW51=1,1,0)</formula>
    </cfRule>
  </conditionalFormatting>
  <conditionalFormatting sqref="D26">
    <cfRule type="expression" dxfId="683" priority="36">
      <formula>IF(CW51=1,1,0)</formula>
    </cfRule>
  </conditionalFormatting>
  <conditionalFormatting sqref="D29">
    <cfRule type="expression" dxfId="682" priority="87">
      <formula>IF(RIGHT(D29,2)="  ",1,0)</formula>
    </cfRule>
  </conditionalFormatting>
  <conditionalFormatting sqref="D37">
    <cfRule type="expression" dxfId="681" priority="89">
      <formula>IF(RIGHT(D37,2)="  ",1,0)</formula>
    </cfRule>
  </conditionalFormatting>
  <conditionalFormatting sqref="D43">
    <cfRule type="expression" dxfId="680" priority="88">
      <formula>IF(RIGHT(D43,2)="  ",1,0)</formula>
    </cfRule>
  </conditionalFormatting>
  <conditionalFormatting sqref="D97:D101">
    <cfRule type="expression" dxfId="679" priority="85" stopIfTrue="1">
      <formula>IF(D97&lt;&gt;"",1,0)=1</formula>
    </cfRule>
  </conditionalFormatting>
  <conditionalFormatting sqref="E97">
    <cfRule type="expression" dxfId="678" priority="1">
      <formula>IF($E$97=0,1,0)</formula>
    </cfRule>
  </conditionalFormatting>
  <conditionalFormatting sqref="E88:I88">
    <cfRule type="expression" dxfId="677" priority="83">
      <formula>IF(RIGHT($D$42,5)="Tab 5",1,0)</formula>
    </cfRule>
    <cfRule type="expression" dxfId="676" priority="82">
      <formula>IF(AND(SUM($F$88:$I$88)&gt;0,RIGHT($D$42,4)="Tab 5"),1,0)</formula>
    </cfRule>
  </conditionalFormatting>
  <conditionalFormatting sqref="E103:I105">
    <cfRule type="cellIs" dxfId="675" priority="95" stopIfTrue="1" operator="greaterThan">
      <formula>0</formula>
    </cfRule>
  </conditionalFormatting>
  <conditionalFormatting sqref="E6:P13">
    <cfRule type="cellIs" dxfId="674" priority="11" operator="greaterThan">
      <formula>0</formula>
    </cfRule>
  </conditionalFormatting>
  <conditionalFormatting sqref="E16:P17">
    <cfRule type="cellIs" dxfId="673" priority="10" operator="greaterThan">
      <formula>0</formula>
    </cfRule>
  </conditionalFormatting>
  <conditionalFormatting sqref="E20:P22">
    <cfRule type="cellIs" dxfId="672" priority="72" operator="greaterThan">
      <formula>0</formula>
    </cfRule>
  </conditionalFormatting>
  <conditionalFormatting sqref="E25:P25">
    <cfRule type="expression" dxfId="671" priority="9">
      <formula>IF(AND($D$25=$CX$51,$Q$25=0),1,0)</formula>
    </cfRule>
  </conditionalFormatting>
  <conditionalFormatting sqref="E25:P29">
    <cfRule type="cellIs" dxfId="670" priority="7" operator="greaterThan">
      <formula>0</formula>
    </cfRule>
  </conditionalFormatting>
  <conditionalFormatting sqref="E26:P26">
    <cfRule type="expression" dxfId="669" priority="8">
      <formula>IF(AND($D$26=$CX$53,$Q$26=0),1,0)</formula>
    </cfRule>
  </conditionalFormatting>
  <conditionalFormatting sqref="E32:P33">
    <cfRule type="cellIs" dxfId="668" priority="6" operator="greaterThan">
      <formula>0</formula>
    </cfRule>
  </conditionalFormatting>
  <conditionalFormatting sqref="E36:P37">
    <cfRule type="cellIs" dxfId="667" priority="5" operator="greaterThan">
      <formula>0</formula>
    </cfRule>
  </conditionalFormatting>
  <conditionalFormatting sqref="E40:P43">
    <cfRule type="cellIs" dxfId="666" priority="3" operator="greaterThan">
      <formula>0</formula>
    </cfRule>
  </conditionalFormatting>
  <conditionalFormatting sqref="F71:G71">
    <cfRule type="expression" dxfId="665" priority="21">
      <formula>IF(AND($D$71=$CX$51,F$71=0),1,0)</formula>
    </cfRule>
  </conditionalFormatting>
  <conditionalFormatting sqref="F51:I59">
    <cfRule type="expression" dxfId="664" priority="28" stopIfTrue="1">
      <formula>IF(F51&lt;&gt;"",1,0)=1</formula>
    </cfRule>
  </conditionalFormatting>
  <conditionalFormatting sqref="F61:I63">
    <cfRule type="expression" dxfId="663" priority="25" stopIfTrue="1">
      <formula>IF(F61&lt;&gt;"",1,0)=1</formula>
    </cfRule>
  </conditionalFormatting>
  <conditionalFormatting sqref="F65:I68">
    <cfRule type="expression" dxfId="662" priority="24" stopIfTrue="1">
      <formula>IF(F65&lt;&gt;"",1,0)=1</formula>
    </cfRule>
  </conditionalFormatting>
  <conditionalFormatting sqref="F70:I70">
    <cfRule type="expression" dxfId="661" priority="23" stopIfTrue="1">
      <formula>IF(F70&lt;&gt;"",1,0)=1</formula>
    </cfRule>
  </conditionalFormatting>
  <conditionalFormatting sqref="F73:I75">
    <cfRule type="cellIs" dxfId="660" priority="12" operator="greaterThan">
      <formula>0</formula>
    </cfRule>
  </conditionalFormatting>
  <conditionalFormatting sqref="F77:I79">
    <cfRule type="expression" dxfId="659" priority="16" stopIfTrue="1">
      <formula>IF(F77&lt;&gt;"",1,0)=1</formula>
    </cfRule>
  </conditionalFormatting>
  <conditionalFormatting sqref="F81:I83">
    <cfRule type="expression" dxfId="658" priority="15" stopIfTrue="1">
      <formula>IF(F81&lt;&gt;"",1,0)=1</formula>
    </cfRule>
  </conditionalFormatting>
  <conditionalFormatting sqref="F85:I85">
    <cfRule type="expression" dxfId="657" priority="14" stopIfTrue="1">
      <formula>IF(F85&lt;&gt;"",1,0)=1</formula>
    </cfRule>
  </conditionalFormatting>
  <conditionalFormatting sqref="F86:I87">
    <cfRule type="cellIs" dxfId="656" priority="13" operator="greaterThan">
      <formula>0</formula>
    </cfRule>
  </conditionalFormatting>
  <conditionalFormatting sqref="H71:I71">
    <cfRule type="expression" dxfId="655" priority="19">
      <formula>IF(AND($D$71=$CX$51,H$71=0),1,0)</formula>
    </cfRule>
  </conditionalFormatting>
  <conditionalFormatting sqref="J97">
    <cfRule type="cellIs" dxfId="654" priority="81" operator="greaterThan">
      <formula>0.01</formula>
    </cfRule>
  </conditionalFormatting>
  <conditionalFormatting sqref="Q42">
    <cfRule type="expression" dxfId="653" priority="84">
      <formula>IF(RIGHT($D$42,5)="Tab 5",1,0)</formula>
    </cfRule>
  </conditionalFormatting>
  <conditionalFormatting sqref="S6:S13">
    <cfRule type="cellIs" dxfId="652" priority="42" operator="greaterThan">
      <formula>0</formula>
    </cfRule>
  </conditionalFormatting>
  <conditionalFormatting sqref="S16:S17">
    <cfRule type="cellIs" dxfId="651" priority="46" operator="greaterThan">
      <formula>0</formula>
    </cfRule>
  </conditionalFormatting>
  <conditionalFormatting sqref="S20:S22">
    <cfRule type="cellIs" dxfId="650" priority="47" operator="greaterThan">
      <formula>0</formula>
    </cfRule>
  </conditionalFormatting>
  <conditionalFormatting sqref="S25:S29">
    <cfRule type="cellIs" dxfId="649" priority="49" operator="greaterThan">
      <formula>0</formula>
    </cfRule>
  </conditionalFormatting>
  <conditionalFormatting sqref="S32:S33">
    <cfRule type="cellIs" dxfId="648" priority="52" operator="greaterThan">
      <formula>0</formula>
    </cfRule>
  </conditionalFormatting>
  <conditionalFormatting sqref="S36:S37">
    <cfRule type="cellIs" dxfId="647" priority="53" operator="greaterThan">
      <formula>0</formula>
    </cfRule>
  </conditionalFormatting>
  <conditionalFormatting sqref="S40:S43">
    <cfRule type="cellIs" dxfId="646" priority="54" operator="greaterThan">
      <formula>0</formula>
    </cfRule>
  </conditionalFormatting>
  <conditionalFormatting sqref="S52:S59">
    <cfRule type="cellIs" dxfId="645" priority="56" operator="greaterThan">
      <formula>0</formula>
    </cfRule>
  </conditionalFormatting>
  <conditionalFormatting sqref="S62:S63">
    <cfRule type="cellIs" dxfId="644" priority="60" operator="greaterThan">
      <formula>0</formula>
    </cfRule>
  </conditionalFormatting>
  <conditionalFormatting sqref="S66:S68">
    <cfRule type="cellIs" dxfId="643" priority="61" operator="greaterThan">
      <formula>0</formula>
    </cfRule>
  </conditionalFormatting>
  <conditionalFormatting sqref="S71:S75">
    <cfRule type="cellIs" dxfId="642" priority="63" operator="greaterThan">
      <formula>0</formula>
    </cfRule>
  </conditionalFormatting>
  <conditionalFormatting sqref="S78:S79">
    <cfRule type="cellIs" dxfId="641" priority="64" operator="greaterThan">
      <formula>0</formula>
    </cfRule>
  </conditionalFormatting>
  <conditionalFormatting sqref="S82:S83">
    <cfRule type="cellIs" dxfId="640" priority="65" operator="greaterThan">
      <formula>0</formula>
    </cfRule>
  </conditionalFormatting>
  <conditionalFormatting sqref="S86:S89">
    <cfRule type="cellIs" dxfId="639" priority="66" operator="greaterThan">
      <formula>0</formula>
    </cfRule>
  </conditionalFormatting>
  <conditionalFormatting sqref="S98:S101">
    <cfRule type="cellIs" dxfId="638" priority="67" operator="greaterThan">
      <formula>0</formula>
    </cfRule>
  </conditionalFormatting>
  <conditionalFormatting sqref="CY98:CZ101">
    <cfRule type="expression" dxfId="637" priority="94" stopIfTrue="1">
      <formula>IF(CY98&lt;&gt;"",1,0)=1</formula>
    </cfRule>
  </conditionalFormatting>
  <dataValidations count="2">
    <dataValidation type="list" allowBlank="1" showInputMessage="1" showErrorMessage="1" sqref="D25 D71" xr:uid="{DCAEE4E7-7460-4360-B811-FACC64FCA85F}">
      <formula1>$CX$51:$CX$52</formula1>
    </dataValidation>
    <dataValidation type="list" allowBlank="1" showInputMessage="1" showErrorMessage="1" sqref="D26 D72" xr:uid="{5BD583BB-4C0C-411B-9F99-232150731FF9}">
      <formula1>$CX$53:$CX$54</formula1>
    </dataValidation>
  </dataValidations>
  <printOptions verticalCentered="1"/>
  <pageMargins left="0.70866141732283472" right="0.70866141732283472" top="0.98425196850393704" bottom="0.78740157480314965" header="0.51181102362204722" footer="0.31496062992125984"/>
  <pageSetup paperSize="9" scale="55" fitToHeight="2" orientation="landscape" r:id="rId1"/>
  <headerFooter>
    <oddHeader>&amp;L&amp;G&amp;C&amp;36Private Kosten|Privat Costs&amp;R&amp;G</oddHeader>
    <oddFooter>&amp;L&amp;F / &amp;A&amp;CSeite &amp;P von &amp;N&amp;R© 2026 Juergen Erlewein</oddFooter>
  </headerFooter>
  <rowBreaks count="1" manualBreakCount="1">
    <brk id="46" min="2" max="16" man="1"/>
  </rowBreaks>
  <drawing r:id="rId2"/>
  <legacyDrawing r:id="rId3"/>
  <legacyDrawingHF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6E891-F8FC-4437-9248-9792F3A3E565}">
  <sheetPr codeName="Tabelle6"/>
  <dimension ref="A1:DP1000"/>
  <sheetViews>
    <sheetView showGridLines="0" zoomScale="70" zoomScaleNormal="70" workbookViewId="0">
      <selection activeCell="A2" sqref="A2"/>
    </sheetView>
  </sheetViews>
  <sheetFormatPr baseColWidth="10" defaultColWidth="11.44140625" defaultRowHeight="16.2"/>
  <cols>
    <col min="1" max="1" width="5.88671875" style="71" customWidth="1"/>
    <col min="2" max="2" width="4.109375" style="71" customWidth="1"/>
    <col min="3" max="3" width="6.109375" style="68" customWidth="1"/>
    <col min="4" max="4" width="9" style="71" customWidth="1"/>
    <col min="5" max="5" width="34.44140625" style="71" customWidth="1"/>
    <col min="6" max="6" width="13.77734375" style="71" customWidth="1"/>
    <col min="7" max="7" width="11.21875" style="71" customWidth="1"/>
    <col min="8" max="19" width="14.6640625" style="71" customWidth="1"/>
    <col min="20" max="20" width="14.6640625" style="37" customWidth="1"/>
    <col min="21" max="21" width="3.44140625" style="249" customWidth="1"/>
    <col min="22" max="22" width="11.5546875" style="249" customWidth="1"/>
    <col min="23" max="23" width="50.33203125" style="248" customWidth="1"/>
    <col min="24" max="24" width="12.77734375" style="37" customWidth="1"/>
    <col min="25" max="78" width="12.77734375" style="68" customWidth="1"/>
    <col min="79" max="96" width="11.44140625" style="68" hidden="1" customWidth="1"/>
    <col min="97" max="97" width="16.109375" style="68" hidden="1" customWidth="1"/>
    <col min="98" max="98" width="11.44140625" style="70" hidden="1" customWidth="1"/>
    <col min="99" max="99" width="9" style="161" hidden="1" customWidth="1"/>
    <col min="100" max="100" width="43.109375" style="161" hidden="1" customWidth="1"/>
    <col min="101" max="101" width="81.33203125" style="383" hidden="1" customWidth="1"/>
    <col min="102" max="102" width="81.33203125" style="884" hidden="1" customWidth="1"/>
    <col min="103" max="103" width="74.88671875" style="884" hidden="1" customWidth="1"/>
    <col min="104" max="104" width="35.88671875" style="834" hidden="1" customWidth="1"/>
    <col min="105" max="117" width="11.44140625" style="107"/>
    <col min="118" max="119" width="11.44140625" style="88"/>
    <col min="120" max="16384" width="11.44140625" style="71"/>
  </cols>
  <sheetData>
    <row r="1" spans="1:119" s="264" customFormat="1" ht="17.399999999999999" customHeight="1">
      <c r="C1" s="1621" t="s">
        <v>1028</v>
      </c>
      <c r="D1" s="69" t="s">
        <v>140</v>
      </c>
      <c r="E1" s="69"/>
      <c r="F1" s="68"/>
      <c r="H1" s="827"/>
      <c r="I1" s="827"/>
      <c r="J1" s="827"/>
      <c r="K1" s="827"/>
      <c r="L1" s="827"/>
      <c r="M1" s="827"/>
      <c r="N1" s="827"/>
      <c r="O1" s="827"/>
      <c r="P1" s="827"/>
      <c r="Q1" s="827"/>
      <c r="R1" s="827"/>
      <c r="S1" s="827"/>
      <c r="T1" s="51"/>
      <c r="U1" s="249"/>
      <c r="V1" s="488"/>
      <c r="W1" s="265"/>
      <c r="X1" s="51"/>
      <c r="Y1" s="71"/>
      <c r="Z1" s="71"/>
      <c r="AA1" s="71"/>
      <c r="AB1" s="71"/>
      <c r="AC1" s="71"/>
      <c r="AD1" s="71"/>
      <c r="AE1" s="71"/>
      <c r="AF1" s="71"/>
      <c r="AG1" s="71"/>
      <c r="AH1" s="71"/>
      <c r="AI1" s="71"/>
      <c r="AJ1" s="71"/>
      <c r="AK1" s="71"/>
      <c r="AL1" s="71"/>
      <c r="AM1" s="71"/>
      <c r="AN1" s="71"/>
      <c r="AO1" s="71"/>
      <c r="AP1" s="109"/>
      <c r="CT1" s="154"/>
      <c r="CU1" s="383"/>
      <c r="CV1" s="383"/>
      <c r="CW1" s="161" t="str">
        <f>IF($E$5=$CU$6,"",IF($E$5=$CW$6,$CW$14&amp;$CW$17&amp;LEFT($H$5,LEN($H$5)-1),"hoppla"))</f>
        <v/>
      </c>
      <c r="CX1" s="161"/>
      <c r="CY1" s="161"/>
      <c r="DO1" s="37"/>
    </row>
    <row r="2" spans="1:119" s="73" customFormat="1" ht="24.9" customHeight="1">
      <c r="A2" s="336" t="s">
        <v>507</v>
      </c>
      <c r="B2" s="71"/>
      <c r="D2" s="128" t="str">
        <f ca="1">CW3</f>
        <v>2a-1 Umsatz (ohne MwSt) für die Monate des Jahres 2026</v>
      </c>
      <c r="E2" s="128"/>
      <c r="F2" s="828"/>
      <c r="G2" s="828"/>
      <c r="H2" s="828"/>
      <c r="I2" s="828"/>
      <c r="J2" s="828"/>
      <c r="K2" s="829"/>
      <c r="M2" s="68"/>
      <c r="N2" s="68"/>
      <c r="O2" s="828"/>
      <c r="P2" s="829"/>
      <c r="Q2" s="828"/>
      <c r="R2" s="828"/>
      <c r="S2" s="828"/>
      <c r="T2" s="48"/>
      <c r="U2" s="249"/>
      <c r="V2" s="268"/>
      <c r="W2" s="247"/>
      <c r="X2" s="48"/>
      <c r="Y2" s="121"/>
      <c r="Z2" s="830"/>
      <c r="AA2" s="121"/>
      <c r="AB2" s="121"/>
      <c r="AC2" s="121"/>
      <c r="AD2" s="121"/>
      <c r="AE2" s="71"/>
      <c r="AF2" s="71"/>
      <c r="AG2" s="71"/>
      <c r="AH2" s="71"/>
      <c r="AI2" s="71"/>
      <c r="AJ2" s="71"/>
      <c r="AK2" s="71"/>
      <c r="AL2" s="71"/>
      <c r="AM2" s="71"/>
      <c r="AN2" s="71"/>
      <c r="AO2" s="71"/>
      <c r="AP2" s="82"/>
      <c r="BC2" s="68"/>
      <c r="BD2" s="68"/>
      <c r="BE2" s="68"/>
      <c r="BF2" s="68"/>
      <c r="CT2" s="154"/>
      <c r="CU2" s="966"/>
      <c r="CV2" s="967"/>
      <c r="CW2" s="383"/>
      <c r="CX2" s="305"/>
      <c r="CY2" s="305"/>
      <c r="CZ2" s="831"/>
      <c r="DO2" s="68"/>
    </row>
    <row r="3" spans="1:119" s="68" customFormat="1" ht="9.9" customHeight="1">
      <c r="A3" s="69">
        <v>70</v>
      </c>
      <c r="B3" s="71"/>
      <c r="D3" s="36"/>
      <c r="E3" s="36"/>
      <c r="F3" s="36"/>
      <c r="G3" s="36"/>
      <c r="H3" s="65">
        <v>1</v>
      </c>
      <c r="I3" s="65">
        <v>2</v>
      </c>
      <c r="J3" s="65">
        <v>3</v>
      </c>
      <c r="K3" s="65">
        <v>4</v>
      </c>
      <c r="L3" s="65">
        <v>5</v>
      </c>
      <c r="M3" s="65">
        <v>6</v>
      </c>
      <c r="N3" s="65">
        <v>7</v>
      </c>
      <c r="O3" s="65">
        <v>8</v>
      </c>
      <c r="P3" s="65">
        <v>9</v>
      </c>
      <c r="Q3" s="65">
        <v>10</v>
      </c>
      <c r="R3" s="65">
        <v>11</v>
      </c>
      <c r="S3" s="65">
        <v>12</v>
      </c>
      <c r="T3" s="36"/>
      <c r="U3" s="1518"/>
      <c r="V3" s="1519"/>
      <c r="W3" s="247"/>
      <c r="X3" s="722"/>
      <c r="Y3" s="71"/>
      <c r="Z3" s="71"/>
      <c r="AA3" s="135"/>
      <c r="AB3" s="832"/>
      <c r="AC3" s="833"/>
      <c r="AD3" s="833"/>
      <c r="AE3" s="833"/>
      <c r="AF3" s="833"/>
      <c r="AG3" s="833"/>
      <c r="AH3" s="833"/>
      <c r="AI3" s="833"/>
      <c r="AJ3" s="833"/>
      <c r="AK3" s="833"/>
      <c r="AL3" s="833"/>
      <c r="AM3" s="833"/>
      <c r="AN3" s="833"/>
      <c r="AO3" s="71"/>
      <c r="AP3" s="71"/>
      <c r="CP3" s="73"/>
      <c r="CQ3" s="73"/>
      <c r="CR3" s="73"/>
      <c r="CS3" s="71" t="str">
        <f>IF(CT3=0,Basisdaten!$Q$15,Basisdaten!$Q$16)</f>
        <v xml:space="preserve"> (ohne MwSt) </v>
      </c>
      <c r="CT3" s="86">
        <f>IF(Basisdaten!$G$15=Basisdaten!$U$22,1,IF($CS$19=Basisdaten!$U$22,1,0))</f>
        <v>1</v>
      </c>
      <c r="CU3" s="37">
        <f ca="1">Basisdaten!$C$15</f>
        <v>2026</v>
      </c>
      <c r="CV3" s="161"/>
      <c r="CW3" s="383" t="str">
        <f ca="1">IF(Basisdaten!$B$15="English",CY3,CX3)</f>
        <v>2a-1 Umsatz (ohne MwSt) für die Monate des Jahres 2026</v>
      </c>
      <c r="CX3" s="305" t="str">
        <f ca="1">"2a-1 Umsatz" &amp;CS3&amp; "für die Monate des Jahres " &amp;CU3</f>
        <v>2a-1 Umsatz (ohne MwSt) für die Monate des Jahres 2026</v>
      </c>
      <c r="CY3" s="305" t="str">
        <f ca="1">"2a-1 Sales" &amp;CS3&amp; "for the Month of Year " &amp;CU3</f>
        <v>2a-1 Sales (ohne MwSt) for the Month of Year 2026</v>
      </c>
      <c r="CZ3" s="834"/>
      <c r="DA3" s="79"/>
      <c r="DB3" s="79"/>
      <c r="DC3" s="79"/>
      <c r="DD3" s="79"/>
      <c r="DE3" s="79"/>
      <c r="DF3" s="79"/>
      <c r="DG3" s="79"/>
      <c r="DH3" s="79"/>
      <c r="DI3" s="79"/>
      <c r="DJ3" s="79"/>
      <c r="DK3" s="79"/>
      <c r="DL3" s="79"/>
      <c r="DM3" s="79"/>
      <c r="DN3" s="69"/>
      <c r="DO3" s="69"/>
    </row>
    <row r="4" spans="1:119" ht="15.9" customHeight="1">
      <c r="A4" s="88">
        <f>IF(E5=CU6,0,IF(E5=CV6,0,IF(E5=CW6,0,IF(E5=CX6,0,IF(E5=CY6,0,IF(E5=CZ6,0,9))))))</f>
        <v>0</v>
      </c>
      <c r="C4" s="2167" t="str">
        <f>CW5</f>
        <v>Wahl MwSt</v>
      </c>
      <c r="D4" s="835" t="s">
        <v>186</v>
      </c>
      <c r="E4" s="2164" t="str">
        <f>CW39</f>
        <v>Umsatz nach gewählter Geschäftsart</v>
      </c>
      <c r="F4" s="2165"/>
      <c r="G4" s="2166"/>
      <c r="H4" s="836" t="str">
        <f>Basisdaten!E8</f>
        <v>Jan.</v>
      </c>
      <c r="I4" s="836" t="str">
        <f>Basisdaten!F8</f>
        <v>Feb</v>
      </c>
      <c r="J4" s="836" t="str">
        <f>Basisdaten!G8</f>
        <v>Mrz</v>
      </c>
      <c r="K4" s="836" t="str">
        <f>Basisdaten!H8</f>
        <v>Apr</v>
      </c>
      <c r="L4" s="836" t="str">
        <f>Basisdaten!I8</f>
        <v>Mai</v>
      </c>
      <c r="M4" s="836" t="str">
        <f>Basisdaten!J8</f>
        <v>Jun</v>
      </c>
      <c r="N4" s="836" t="str">
        <f>Basisdaten!K8</f>
        <v>Jul</v>
      </c>
      <c r="O4" s="836" t="str">
        <f>Basisdaten!L8</f>
        <v>Aug</v>
      </c>
      <c r="P4" s="836" t="str">
        <f>Basisdaten!M8</f>
        <v>Sep</v>
      </c>
      <c r="Q4" s="836" t="str">
        <f>Basisdaten!N8</f>
        <v>Okt</v>
      </c>
      <c r="R4" s="836" t="str">
        <f>Basisdaten!O8</f>
        <v>Nov</v>
      </c>
      <c r="S4" s="836" t="str">
        <f>Basisdaten!P8</f>
        <v>Dez</v>
      </c>
      <c r="T4" s="836" t="str">
        <f ca="1">Basisdaten!O15</f>
        <v>Jahr 2026</v>
      </c>
      <c r="V4" s="268"/>
      <c r="W4" s="837" t="str">
        <f>CW16</f>
        <v>Aufgabe / Kommentar</v>
      </c>
      <c r="X4" s="71"/>
      <c r="Y4" s="71"/>
      <c r="Z4" s="71"/>
      <c r="AA4" s="71"/>
      <c r="AB4" s="71"/>
      <c r="AC4" s="71"/>
      <c r="AD4" s="71"/>
      <c r="AE4" s="71"/>
      <c r="AF4" s="71"/>
      <c r="AG4" s="71"/>
      <c r="AH4" s="71"/>
      <c r="AI4" s="71"/>
      <c r="AJ4" s="71"/>
      <c r="AK4" s="71"/>
      <c r="AL4" s="71"/>
      <c r="AM4" s="71"/>
      <c r="AN4" s="71"/>
      <c r="AO4" s="71"/>
      <c r="AP4" s="71"/>
      <c r="CP4" s="73"/>
      <c r="CQ4" s="73"/>
      <c r="CW4" s="383" t="str">
        <f>IF(Basisdaten!$B$15="English",CY4,CX4)</f>
        <v>markierte Zellen sind nicht geschützt</v>
      </c>
      <c r="CX4" s="383" t="s">
        <v>697</v>
      </c>
      <c r="CY4" s="383" t="s">
        <v>698</v>
      </c>
      <c r="CZ4" s="838"/>
    </row>
    <row r="5" spans="1:119" s="30" customFormat="1" ht="15.9" customHeight="1">
      <c r="A5" s="2223" t="str">
        <f>CW60</f>
        <v>Titel auswählen</v>
      </c>
      <c r="B5" s="1756" t="s">
        <v>1043</v>
      </c>
      <c r="C5" s="2169"/>
      <c r="D5" s="839">
        <v>1</v>
      </c>
      <c r="E5" s="2175" t="s">
        <v>1007</v>
      </c>
      <c r="F5" s="2176"/>
      <c r="G5" s="2177"/>
      <c r="H5" s="860" t="str">
        <f>IF(E5=$CU$6,"",IF(E5=$CV$6,"EUR",IF(E5=$CW$6,$CW$45,IF(E5=$CX$6,$CW$49,IF(E5=$CY$6,$CW$53,CW57)))))</f>
        <v/>
      </c>
      <c r="I5" s="860" t="str">
        <f>H5</f>
        <v/>
      </c>
      <c r="J5" s="860" t="str">
        <f>I5</f>
        <v/>
      </c>
      <c r="K5" s="860" t="str">
        <f t="shared" ref="K5:S5" si="0">J5</f>
        <v/>
      </c>
      <c r="L5" s="860" t="str">
        <f t="shared" si="0"/>
        <v/>
      </c>
      <c r="M5" s="860" t="str">
        <f t="shared" si="0"/>
        <v/>
      </c>
      <c r="N5" s="860" t="str">
        <f t="shared" si="0"/>
        <v/>
      </c>
      <c r="O5" s="860" t="str">
        <f t="shared" si="0"/>
        <v/>
      </c>
      <c r="P5" s="860" t="str">
        <f t="shared" si="0"/>
        <v/>
      </c>
      <c r="Q5" s="860" t="str">
        <f t="shared" si="0"/>
        <v/>
      </c>
      <c r="R5" s="860" t="str">
        <f t="shared" si="0"/>
        <v/>
      </c>
      <c r="S5" s="860" t="str">
        <f t="shared" si="0"/>
        <v/>
      </c>
      <c r="T5" s="992"/>
      <c r="U5" s="2151"/>
      <c r="V5" s="2152"/>
      <c r="W5" s="2144"/>
      <c r="X5" s="2144"/>
      <c r="Y5" s="71"/>
      <c r="Z5" s="71"/>
      <c r="AA5" s="71"/>
      <c r="AB5" s="86"/>
      <c r="AC5" s="86"/>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73"/>
      <c r="CQ5" s="73"/>
      <c r="CR5" s="68"/>
      <c r="CV5" s="383"/>
      <c r="CW5" s="383" t="str">
        <f>IF(Basisdaten!$B$15="English",CY5,CX5)</f>
        <v>Wahl MwSt</v>
      </c>
      <c r="CX5" s="415" t="s">
        <v>766</v>
      </c>
      <c r="CY5" s="305" t="s">
        <v>765</v>
      </c>
      <c r="CZ5" s="838"/>
      <c r="DA5" s="116"/>
      <c r="DB5" s="116"/>
      <c r="DC5" s="116"/>
      <c r="DD5" s="116"/>
      <c r="DE5" s="116"/>
      <c r="DF5" s="116"/>
      <c r="DG5" s="116"/>
      <c r="DH5" s="116"/>
      <c r="DI5" s="116"/>
      <c r="DJ5" s="116"/>
      <c r="DK5" s="116"/>
      <c r="DL5" s="116"/>
      <c r="DM5" s="116"/>
      <c r="DN5" s="55"/>
      <c r="DO5" s="55"/>
    </row>
    <row r="6" spans="1:119" s="30" customFormat="1" ht="15.9" customHeight="1">
      <c r="A6" s="2223"/>
      <c r="C6" s="2220">
        <v>0.19</v>
      </c>
      <c r="D6" s="841" t="s">
        <v>306</v>
      </c>
      <c r="E6" s="1002" t="s">
        <v>1093</v>
      </c>
      <c r="F6" s="47" t="str">
        <f>IF($E5=$CW$40,"",IF($E$5=$CW$41,"-",IF($E$5=$CW$6,$CW$44,IF($E$5=$CX$6,$CW$48,IF($E$5=$CY$6,$CW$52,$CW$56)))))</f>
        <v/>
      </c>
      <c r="G6" s="1868"/>
      <c r="H6" s="1046"/>
      <c r="I6" s="1046"/>
      <c r="J6" s="1046"/>
      <c r="K6" s="1046"/>
      <c r="L6" s="1046"/>
      <c r="M6" s="1046"/>
      <c r="N6" s="1046"/>
      <c r="O6" s="1046"/>
      <c r="P6" s="1046"/>
      <c r="Q6" s="1046"/>
      <c r="R6" s="1046"/>
      <c r="S6" s="1046"/>
      <c r="T6" s="842">
        <f t="shared" ref="T6:T15" si="1">SUM(H6:S6)</f>
        <v>0</v>
      </c>
      <c r="U6" s="1520"/>
      <c r="V6" s="268"/>
      <c r="W6" s="631"/>
      <c r="X6" s="71"/>
      <c r="Y6" s="54"/>
      <c r="Z6" s="54"/>
      <c r="AA6" s="54"/>
      <c r="AB6" s="54"/>
      <c r="AC6" s="54"/>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73"/>
      <c r="CQ6" s="73"/>
      <c r="CU6" s="305" t="str">
        <f>CW40</f>
        <v>Auswahl/Choose</v>
      </c>
      <c r="CV6" s="54" t="str">
        <f>CW41</f>
        <v>Umsatz</v>
      </c>
      <c r="CW6" s="383" t="str">
        <f>$CW$43</f>
        <v>Dienstleistung</v>
      </c>
      <c r="CX6" s="305" t="str">
        <f>$CW$47</f>
        <v>Handel</v>
      </c>
      <c r="CY6" s="305" t="str">
        <f>$CW$51</f>
        <v>Produktion</v>
      </c>
      <c r="CZ6" s="383" t="str">
        <f>$CW$55</f>
        <v>Handwerk</v>
      </c>
      <c r="DB6" s="116"/>
      <c r="DC6" s="116"/>
      <c r="DD6" s="116"/>
      <c r="DE6" s="116"/>
      <c r="DF6" s="116"/>
      <c r="DG6" s="116"/>
      <c r="DH6" s="116"/>
      <c r="DI6" s="116"/>
      <c r="DJ6" s="116"/>
      <c r="DK6" s="116"/>
      <c r="DL6" s="116"/>
      <c r="DM6" s="116"/>
      <c r="DN6" s="55"/>
      <c r="DO6" s="55"/>
    </row>
    <row r="7" spans="1:119" s="30" customFormat="1" ht="15.9" customHeight="1">
      <c r="A7" s="2223"/>
      <c r="C7" s="2221"/>
      <c r="D7" s="843"/>
      <c r="E7" s="984" t="str">
        <f>IF(OR($E$5=$CV$6,$E$5=$CW$6),$CW$27,IF($E$5=$CX$6,$CW$28,IF($E$5=$CY$6,$CW$29,IF(E5=CV6,CW27,$CW$30))))</f>
        <v xml:space="preserve">Verbrauchsmaterial (% v.Umsatz) </v>
      </c>
      <c r="F7" s="1383"/>
      <c r="G7" s="1050" t="str">
        <f>IF(OR($E$5=$CW$40,$E$5=$CW$41),"",$CW$41)&amp; " = "</f>
        <v xml:space="preserve"> = </v>
      </c>
      <c r="H7" s="845">
        <f>IF($E$5=$CV$6,$H$3*H6,$G6*H6)</f>
        <v>0</v>
      </c>
      <c r="I7" s="845">
        <f t="shared" ref="I7:S7" si="2">IF($E$5=$CV$6,$H$3*I6,$G6*I6)</f>
        <v>0</v>
      </c>
      <c r="J7" s="845">
        <f t="shared" si="2"/>
        <v>0</v>
      </c>
      <c r="K7" s="845">
        <f t="shared" si="2"/>
        <v>0</v>
      </c>
      <c r="L7" s="845">
        <f t="shared" si="2"/>
        <v>0</v>
      </c>
      <c r="M7" s="845">
        <f t="shared" si="2"/>
        <v>0</v>
      </c>
      <c r="N7" s="845">
        <f t="shared" si="2"/>
        <v>0</v>
      </c>
      <c r="O7" s="845">
        <f t="shared" si="2"/>
        <v>0</v>
      </c>
      <c r="P7" s="845">
        <f t="shared" si="2"/>
        <v>0</v>
      </c>
      <c r="Q7" s="845">
        <f t="shared" si="2"/>
        <v>0</v>
      </c>
      <c r="R7" s="845">
        <f t="shared" si="2"/>
        <v>0</v>
      </c>
      <c r="S7" s="845">
        <f t="shared" si="2"/>
        <v>0</v>
      </c>
      <c r="T7" s="845">
        <f t="shared" si="1"/>
        <v>0</v>
      </c>
      <c r="U7" s="1520"/>
      <c r="V7" s="268"/>
      <c r="W7" s="631"/>
      <c r="X7" s="71"/>
      <c r="Y7" s="54"/>
      <c r="Z7" s="54"/>
      <c r="AA7" s="54"/>
      <c r="AB7" s="54"/>
      <c r="AC7" s="54"/>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73"/>
      <c r="CQ7" s="73"/>
      <c r="CR7" s="230"/>
      <c r="CW7" s="383" t="str">
        <f>IF(Basisdaten!$B$15="English",CY7,CX7)</f>
        <v>MwSt</v>
      </c>
      <c r="CX7" s="305" t="s">
        <v>504</v>
      </c>
      <c r="CY7" s="305" t="s">
        <v>581</v>
      </c>
      <c r="CZ7" s="383"/>
      <c r="DA7" s="116"/>
      <c r="DB7" s="116"/>
      <c r="DC7" s="116"/>
      <c r="DD7" s="116"/>
      <c r="DE7" s="116"/>
      <c r="DF7" s="116"/>
      <c r="DG7" s="116"/>
      <c r="DH7" s="116"/>
      <c r="DI7" s="116"/>
      <c r="DJ7" s="116"/>
      <c r="DK7" s="116"/>
      <c r="DL7" s="116"/>
      <c r="DM7" s="116"/>
      <c r="DN7" s="55"/>
      <c r="DO7" s="55"/>
    </row>
    <row r="8" spans="1:119" s="30" customFormat="1" ht="15.9" customHeight="1">
      <c r="A8" s="2223"/>
      <c r="C8" s="2221"/>
      <c r="D8" s="847" t="s">
        <v>307</v>
      </c>
      <c r="E8" s="1002" t="str">
        <f>IF($E3=$CW$40,"",$E$5&amp;"_"&amp;D8)</f>
        <v>Auswahl/Choose_1.2</v>
      </c>
      <c r="F8" s="983" t="str">
        <f>F6</f>
        <v/>
      </c>
      <c r="G8" s="1869"/>
      <c r="H8" s="1046"/>
      <c r="I8" s="1046"/>
      <c r="J8" s="1046"/>
      <c r="K8" s="1046"/>
      <c r="L8" s="1046"/>
      <c r="M8" s="1046"/>
      <c r="N8" s="1046"/>
      <c r="O8" s="1046"/>
      <c r="P8" s="1046"/>
      <c r="Q8" s="1046"/>
      <c r="R8" s="1046"/>
      <c r="S8" s="1046"/>
      <c r="T8" s="842">
        <f t="shared" si="1"/>
        <v>0</v>
      </c>
      <c r="U8" s="1520"/>
      <c r="V8" s="268"/>
      <c r="W8" s="631"/>
      <c r="X8" s="71"/>
      <c r="Y8" s="54"/>
      <c r="Z8" s="54"/>
      <c r="AA8" s="54"/>
      <c r="AB8" s="54"/>
      <c r="AC8" s="54"/>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73"/>
      <c r="CQ8" s="73"/>
      <c r="CR8" s="230"/>
      <c r="CS8" s="33"/>
      <c r="CT8" s="1125"/>
      <c r="CU8" s="305"/>
      <c r="CV8" s="305"/>
      <c r="CW8" s="383" t="str">
        <f>IF(Basisdaten!$B$15="English",CY8,CX8)</f>
        <v>Language changed</v>
      </c>
      <c r="CX8" s="305" t="s">
        <v>660</v>
      </c>
      <c r="CY8" s="305" t="s">
        <v>661</v>
      </c>
      <c r="CZ8" s="838"/>
      <c r="DA8" s="116"/>
      <c r="DB8" s="116"/>
      <c r="DC8" s="116"/>
      <c r="DD8" s="116"/>
      <c r="DE8" s="116"/>
      <c r="DF8" s="116"/>
      <c r="DG8" s="116"/>
      <c r="DH8" s="116"/>
      <c r="DI8" s="116"/>
      <c r="DJ8" s="116"/>
      <c r="DK8" s="116"/>
      <c r="DL8" s="116"/>
      <c r="DM8" s="116"/>
      <c r="DN8" s="55"/>
      <c r="DO8" s="55"/>
    </row>
    <row r="9" spans="1:119" s="30" customFormat="1" ht="15.9" customHeight="1">
      <c r="A9" s="2223"/>
      <c r="C9" s="2221"/>
      <c r="D9" s="843"/>
      <c r="E9" s="844" t="str">
        <f>E7</f>
        <v xml:space="preserve">Verbrauchsmaterial (% v.Umsatz) </v>
      </c>
      <c r="F9" s="1383"/>
      <c r="G9" s="1050" t="str">
        <f>G7</f>
        <v xml:space="preserve"> = </v>
      </c>
      <c r="H9" s="845">
        <f t="shared" ref="H9:S9" si="3">IF($E$5=$CV$6,$H$3*H8,$G8*H8)</f>
        <v>0</v>
      </c>
      <c r="I9" s="845">
        <f t="shared" si="3"/>
        <v>0</v>
      </c>
      <c r="J9" s="845">
        <f t="shared" si="3"/>
        <v>0</v>
      </c>
      <c r="K9" s="845">
        <f t="shared" si="3"/>
        <v>0</v>
      </c>
      <c r="L9" s="845">
        <f t="shared" si="3"/>
        <v>0</v>
      </c>
      <c r="M9" s="845">
        <f t="shared" si="3"/>
        <v>0</v>
      </c>
      <c r="N9" s="845">
        <f t="shared" si="3"/>
        <v>0</v>
      </c>
      <c r="O9" s="845">
        <f t="shared" si="3"/>
        <v>0</v>
      </c>
      <c r="P9" s="845">
        <f t="shared" si="3"/>
        <v>0</v>
      </c>
      <c r="Q9" s="845">
        <f t="shared" si="3"/>
        <v>0</v>
      </c>
      <c r="R9" s="845">
        <f t="shared" si="3"/>
        <v>0</v>
      </c>
      <c r="S9" s="845">
        <f t="shared" si="3"/>
        <v>0</v>
      </c>
      <c r="T9" s="845">
        <f t="shared" si="1"/>
        <v>0</v>
      </c>
      <c r="U9" s="1520"/>
      <c r="V9" s="268"/>
      <c r="W9" s="631"/>
      <c r="X9" s="71"/>
      <c r="Y9" s="54"/>
      <c r="Z9" s="54"/>
      <c r="AA9" s="54"/>
      <c r="AB9" s="54"/>
      <c r="AC9" s="54"/>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73"/>
      <c r="CQ9" s="73"/>
      <c r="CR9" s="230"/>
      <c r="CS9" s="33"/>
      <c r="CT9" s="1125"/>
      <c r="CU9" s="305"/>
      <c r="CV9" s="305"/>
      <c r="CW9" s="383">
        <f>IF(Basisdaten!$B$15="English",CY9,CX9)</f>
        <v>0</v>
      </c>
      <c r="CX9" s="305"/>
      <c r="CY9" s="305"/>
      <c r="CZ9" s="838"/>
      <c r="DA9" s="116"/>
      <c r="DB9" s="116"/>
      <c r="DC9" s="116"/>
      <c r="DD9" s="116"/>
      <c r="DE9" s="116"/>
      <c r="DF9" s="116"/>
      <c r="DG9" s="116"/>
      <c r="DH9" s="116"/>
      <c r="DI9" s="116"/>
      <c r="DJ9" s="116"/>
      <c r="DK9" s="116"/>
      <c r="DL9" s="116"/>
      <c r="DM9" s="116"/>
      <c r="DN9" s="55"/>
      <c r="DO9" s="55"/>
    </row>
    <row r="10" spans="1:119" s="30" customFormat="1" ht="15.6" customHeight="1">
      <c r="A10" s="2223"/>
      <c r="C10" s="2221"/>
      <c r="D10" s="847" t="s">
        <v>308</v>
      </c>
      <c r="E10" s="1002" t="str">
        <f>IF($E5=$CW$40,"",$E$5&amp;"_"&amp;D10)</f>
        <v/>
      </c>
      <c r="F10" s="47" t="str">
        <f>F8</f>
        <v/>
      </c>
      <c r="G10" s="1869"/>
      <c r="H10" s="1046"/>
      <c r="I10" s="1046"/>
      <c r="J10" s="1046"/>
      <c r="K10" s="1046"/>
      <c r="L10" s="1046"/>
      <c r="M10" s="1046"/>
      <c r="N10" s="1046"/>
      <c r="O10" s="1046"/>
      <c r="P10" s="1046"/>
      <c r="Q10" s="1046"/>
      <c r="R10" s="1046"/>
      <c r="S10" s="1046"/>
      <c r="T10" s="848">
        <f t="shared" si="1"/>
        <v>0</v>
      </c>
      <c r="U10" s="1520"/>
      <c r="V10" s="268"/>
      <c r="W10" s="631"/>
      <c r="X10" s="71"/>
      <c r="Y10" s="54"/>
      <c r="Z10" s="54"/>
      <c r="AA10" s="54"/>
      <c r="AB10" s="54"/>
      <c r="AC10" s="54"/>
      <c r="AP10" s="251"/>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73"/>
      <c r="CQ10" s="73"/>
      <c r="CR10" s="37"/>
      <c r="CT10" s="53"/>
      <c r="CU10" s="383"/>
      <c r="CV10" s="383"/>
      <c r="CW10" s="383" t="str">
        <f>IF(Basisdaten!$B$15="English",CY10,CX10)</f>
        <v>Summe</v>
      </c>
      <c r="CX10" s="305" t="s">
        <v>32</v>
      </c>
      <c r="CY10" s="305" t="s">
        <v>141</v>
      </c>
      <c r="CZ10" s="849"/>
      <c r="DA10" s="116"/>
      <c r="DB10" s="116"/>
      <c r="DC10" s="116"/>
      <c r="DD10" s="116"/>
      <c r="DE10" s="116"/>
      <c r="DF10" s="116"/>
      <c r="DG10" s="116"/>
      <c r="DH10" s="116"/>
      <c r="DI10" s="116"/>
      <c r="DJ10" s="116"/>
      <c r="DK10" s="116"/>
      <c r="DL10" s="116"/>
      <c r="DM10" s="116"/>
      <c r="DN10" s="55"/>
      <c r="DO10" s="55"/>
    </row>
    <row r="11" spans="1:119" s="30" customFormat="1" ht="15.9" customHeight="1">
      <c r="A11" s="2223"/>
      <c r="C11" s="2221"/>
      <c r="D11" s="843"/>
      <c r="E11" s="844" t="str">
        <f>E9</f>
        <v xml:space="preserve">Verbrauchsmaterial (% v.Umsatz) </v>
      </c>
      <c r="F11" s="1383"/>
      <c r="G11" s="1050" t="str">
        <f>G9</f>
        <v xml:space="preserve"> = </v>
      </c>
      <c r="H11" s="845">
        <f t="shared" ref="H11:S11" si="4">IF($E$5=$CV$6,$H$3*H10,$G10*H10)</f>
        <v>0</v>
      </c>
      <c r="I11" s="845">
        <f t="shared" si="4"/>
        <v>0</v>
      </c>
      <c r="J11" s="845">
        <f t="shared" si="4"/>
        <v>0</v>
      </c>
      <c r="K11" s="845">
        <f t="shared" si="4"/>
        <v>0</v>
      </c>
      <c r="L11" s="845">
        <f t="shared" si="4"/>
        <v>0</v>
      </c>
      <c r="M11" s="845">
        <f t="shared" si="4"/>
        <v>0</v>
      </c>
      <c r="N11" s="845">
        <f t="shared" si="4"/>
        <v>0</v>
      </c>
      <c r="O11" s="845">
        <f t="shared" si="4"/>
        <v>0</v>
      </c>
      <c r="P11" s="845">
        <f t="shared" si="4"/>
        <v>0</v>
      </c>
      <c r="Q11" s="845">
        <f t="shared" si="4"/>
        <v>0</v>
      </c>
      <c r="R11" s="845">
        <f t="shared" si="4"/>
        <v>0</v>
      </c>
      <c r="S11" s="845">
        <f t="shared" si="4"/>
        <v>0</v>
      </c>
      <c r="T11" s="845">
        <f t="shared" si="1"/>
        <v>0</v>
      </c>
      <c r="U11" s="1520"/>
      <c r="V11" s="268"/>
      <c r="W11" s="631"/>
      <c r="X11" s="71"/>
      <c r="Y11" s="54"/>
      <c r="Z11" s="54"/>
      <c r="AA11" s="54"/>
      <c r="AB11" s="54"/>
      <c r="AC11" s="54"/>
      <c r="AP11" s="251"/>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83"/>
      <c r="CR11" s="37"/>
      <c r="CT11" s="53"/>
      <c r="CU11" s="383"/>
      <c r="CV11" s="383"/>
      <c r="CW11" s="383" t="str">
        <f>IF(Basisdaten!$B$15="English",CY11,CX11)</f>
        <v xml:space="preserve"> für Umsatz</v>
      </c>
      <c r="CX11" s="305" t="s">
        <v>699</v>
      </c>
      <c r="CY11" s="305" t="s">
        <v>700</v>
      </c>
      <c r="CZ11" s="849"/>
      <c r="DA11" s="116"/>
      <c r="DB11" s="116"/>
      <c r="DC11" s="116"/>
      <c r="DD11" s="116"/>
      <c r="DE11" s="116"/>
      <c r="DF11" s="116"/>
      <c r="DG11" s="116"/>
      <c r="DH11" s="116"/>
      <c r="DI11" s="116"/>
      <c r="DJ11" s="116"/>
      <c r="DK11" s="116"/>
      <c r="DL11" s="116"/>
      <c r="DM11" s="116"/>
      <c r="DN11" s="55"/>
      <c r="DO11" s="55"/>
    </row>
    <row r="12" spans="1:119" s="850" customFormat="1" ht="15.9" customHeight="1">
      <c r="A12" s="2223"/>
      <c r="C12" s="2221"/>
      <c r="D12" s="847" t="s">
        <v>309</v>
      </c>
      <c r="E12" s="1002" t="str">
        <f>IF($E$5=$CW$40,"",$E$5&amp;"_"&amp;D12)</f>
        <v/>
      </c>
      <c r="F12" s="47" t="str">
        <f>F10</f>
        <v/>
      </c>
      <c r="G12" s="1869"/>
      <c r="H12" s="1047"/>
      <c r="I12" s="1047"/>
      <c r="J12" s="1047"/>
      <c r="K12" s="1047"/>
      <c r="L12" s="1047"/>
      <c r="M12" s="1047"/>
      <c r="N12" s="1047"/>
      <c r="O12" s="1047"/>
      <c r="P12" s="1047"/>
      <c r="Q12" s="1047"/>
      <c r="R12" s="1047"/>
      <c r="S12" s="1047"/>
      <c r="T12" s="848">
        <f t="shared" si="1"/>
        <v>0</v>
      </c>
      <c r="U12" s="1520"/>
      <c r="V12" s="268"/>
      <c r="W12" s="631"/>
      <c r="X12" s="37"/>
      <c r="AP12" s="30"/>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4"/>
      <c r="CF12" s="134"/>
      <c r="CG12" s="134"/>
      <c r="CH12" s="134"/>
      <c r="CI12" s="134"/>
      <c r="CJ12" s="134"/>
      <c r="CK12" s="134"/>
      <c r="CL12" s="134"/>
      <c r="CM12" s="134"/>
      <c r="CN12" s="134"/>
      <c r="CO12" s="134"/>
      <c r="CP12" s="134"/>
      <c r="CQ12" s="383"/>
      <c r="CR12" s="134"/>
      <c r="CS12" s="37"/>
      <c r="CT12" s="1126"/>
      <c r="CU12" s="968"/>
      <c r="CV12" s="968"/>
      <c r="CW12" s="383" t="str">
        <f>IF(Basisdaten!$B$15="English",CY12,CX12)</f>
        <v>Gesamtumsatz</v>
      </c>
      <c r="CX12" s="305" t="str">
        <f>"Gesamtumsatz"</f>
        <v>Gesamtumsatz</v>
      </c>
      <c r="CY12" s="305" t="str">
        <f>"Total sales"</f>
        <v>Total sales</v>
      </c>
      <c r="CZ12" s="838"/>
      <c r="DA12" s="851"/>
      <c r="DB12" s="851"/>
      <c r="DC12" s="851"/>
      <c r="DD12" s="851"/>
      <c r="DE12" s="851"/>
      <c r="DF12" s="851"/>
      <c r="DG12" s="851"/>
      <c r="DH12" s="851"/>
      <c r="DI12" s="851"/>
      <c r="DJ12" s="851"/>
      <c r="DK12" s="851"/>
      <c r="DL12" s="851"/>
      <c r="DM12" s="851"/>
      <c r="DN12" s="852"/>
      <c r="DO12" s="852"/>
    </row>
    <row r="13" spans="1:119" s="850" customFormat="1" ht="15.9" customHeight="1" thickBot="1">
      <c r="A13" s="2223"/>
      <c r="C13" s="2222"/>
      <c r="D13" s="853"/>
      <c r="E13" s="1201" t="str">
        <f>E11</f>
        <v xml:space="preserve">Verbrauchsmaterial (% v.Umsatz) </v>
      </c>
      <c r="F13" s="1384"/>
      <c r="G13" s="2056" t="str">
        <f>G11</f>
        <v xml:space="preserve"> = </v>
      </c>
      <c r="H13" s="845">
        <f t="shared" ref="H13:S13" si="5">IF($E$5=$CV$6,$H$3*H12,$G12*H12)</f>
        <v>0</v>
      </c>
      <c r="I13" s="845">
        <f t="shared" si="5"/>
        <v>0</v>
      </c>
      <c r="J13" s="845">
        <f t="shared" si="5"/>
        <v>0</v>
      </c>
      <c r="K13" s="845">
        <f t="shared" si="5"/>
        <v>0</v>
      </c>
      <c r="L13" s="845">
        <f t="shared" si="5"/>
        <v>0</v>
      </c>
      <c r="M13" s="845">
        <f t="shared" si="5"/>
        <v>0</v>
      </c>
      <c r="N13" s="845">
        <f t="shared" si="5"/>
        <v>0</v>
      </c>
      <c r="O13" s="845">
        <f t="shared" si="5"/>
        <v>0</v>
      </c>
      <c r="P13" s="845">
        <f t="shared" si="5"/>
        <v>0</v>
      </c>
      <c r="Q13" s="845">
        <f t="shared" si="5"/>
        <v>0</v>
      </c>
      <c r="R13" s="845">
        <f t="shared" si="5"/>
        <v>0</v>
      </c>
      <c r="S13" s="845">
        <f t="shared" si="5"/>
        <v>0</v>
      </c>
      <c r="T13" s="1286">
        <f t="shared" si="1"/>
        <v>0</v>
      </c>
      <c r="U13" s="1520"/>
      <c r="V13" s="268"/>
      <c r="W13" s="631"/>
      <c r="X13" s="37"/>
      <c r="AP13" s="30"/>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383"/>
      <c r="CR13" s="134"/>
      <c r="CS13" s="37"/>
      <c r="CT13" s="53"/>
      <c r="CU13" s="383"/>
      <c r="CV13" s="968"/>
      <c r="CW13" s="383" t="str">
        <f>IF(Basisdaten!$B$15="English",CY13,CX13)</f>
        <v>Auswahl</v>
      </c>
      <c r="CX13" s="305" t="s">
        <v>114</v>
      </c>
      <c r="CY13" s="305" t="s">
        <v>354</v>
      </c>
      <c r="CZ13" s="838"/>
      <c r="DA13" s="851"/>
      <c r="DB13" s="851"/>
      <c r="DC13" s="851"/>
      <c r="DD13" s="851"/>
      <c r="DE13" s="851"/>
      <c r="DF13" s="851"/>
      <c r="DG13" s="851"/>
      <c r="DH13" s="851"/>
      <c r="DI13" s="851"/>
      <c r="DJ13" s="851"/>
      <c r="DK13" s="851"/>
      <c r="DL13" s="851"/>
      <c r="DM13" s="851"/>
      <c r="DN13" s="852"/>
      <c r="DO13" s="852"/>
    </row>
    <row r="14" spans="1:119" s="30" customFormat="1" ht="15.9" customHeight="1" thickTop="1">
      <c r="A14" s="88">
        <f>IF(E16=CU6,0,IF(E16=CV6,0,IF(E16=CW6,0,IF(E16=CX6,0,IF(E16=CY6,0,IF(E16=CZ6,0,9))))))</f>
        <v>0</v>
      </c>
      <c r="C14" s="2217" t="str">
        <f>C4</f>
        <v>Wahl MwSt</v>
      </c>
      <c r="D14" s="970"/>
      <c r="E14" s="1198"/>
      <c r="F14" s="1199" t="str">
        <f>IF($E5=CW40,"",$CW$12)</f>
        <v/>
      </c>
      <c r="G14" s="1200" t="s">
        <v>714</v>
      </c>
      <c r="H14" s="990">
        <f>H7+H9+H11+H13</f>
        <v>0</v>
      </c>
      <c r="I14" s="990">
        <f>I7+I9+I11+I13</f>
        <v>0</v>
      </c>
      <c r="J14" s="990">
        <f t="shared" ref="J14:S14" si="6">J7+J9+J11+J13</f>
        <v>0</v>
      </c>
      <c r="K14" s="990">
        <f t="shared" si="6"/>
        <v>0</v>
      </c>
      <c r="L14" s="990">
        <f t="shared" si="6"/>
        <v>0</v>
      </c>
      <c r="M14" s="990">
        <f t="shared" si="6"/>
        <v>0</v>
      </c>
      <c r="N14" s="990">
        <f t="shared" si="6"/>
        <v>0</v>
      </c>
      <c r="O14" s="990">
        <f t="shared" si="6"/>
        <v>0</v>
      </c>
      <c r="P14" s="990">
        <f t="shared" si="6"/>
        <v>0</v>
      </c>
      <c r="Q14" s="990">
        <f t="shared" si="6"/>
        <v>0</v>
      </c>
      <c r="R14" s="990">
        <f t="shared" si="6"/>
        <v>0</v>
      </c>
      <c r="S14" s="990">
        <f t="shared" si="6"/>
        <v>0</v>
      </c>
      <c r="T14" s="856">
        <f t="shared" si="1"/>
        <v>0</v>
      </c>
      <c r="U14" s="249"/>
      <c r="V14" s="268"/>
      <c r="W14" s="631"/>
      <c r="X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952"/>
      <c r="CT14" s="54"/>
      <c r="CU14" s="383"/>
      <c r="CV14" s="383"/>
      <c r="CW14" s="383" t="str">
        <f>IF(Basisdaten!$B$15="English",CY14,CX14)</f>
        <v>Materialkostenanteil (% v.Umsatz) =</v>
      </c>
      <c r="CX14" s="305" t="s">
        <v>701</v>
      </c>
      <c r="CY14" s="305" t="s">
        <v>702</v>
      </c>
      <c r="CZ14" s="849"/>
      <c r="DA14" s="116"/>
      <c r="DB14" s="116"/>
      <c r="DC14" s="116"/>
      <c r="DD14" s="116"/>
      <c r="DE14" s="116"/>
      <c r="DF14" s="116"/>
      <c r="DG14" s="116"/>
      <c r="DH14" s="116"/>
      <c r="DI14" s="116"/>
      <c r="DJ14" s="116"/>
      <c r="DK14" s="116"/>
      <c r="DL14" s="116"/>
      <c r="DM14" s="116"/>
      <c r="DN14" s="55"/>
      <c r="DO14" s="55"/>
    </row>
    <row r="15" spans="1:119" s="30" customFormat="1" ht="15.9" customHeight="1">
      <c r="A15" s="336" t="s">
        <v>507</v>
      </c>
      <c r="C15" s="2218"/>
      <c r="D15" s="858"/>
      <c r="F15" s="1193" t="str">
        <f>$CW$141</f>
        <v>davon Zukauf</v>
      </c>
      <c r="G15" s="1283" t="s">
        <v>714</v>
      </c>
      <c r="H15" s="2049">
        <f>$F7*H6+$F9 *H8+$F11*H10+$F13*H12</f>
        <v>0</v>
      </c>
      <c r="I15" s="2049">
        <f t="shared" ref="I15:S15" si="7">$F7*I6+$F9 *I8+$F11*I10+$F13*I12</f>
        <v>0</v>
      </c>
      <c r="J15" s="2049">
        <f t="shared" si="7"/>
        <v>0</v>
      </c>
      <c r="K15" s="2049">
        <f t="shared" si="7"/>
        <v>0</v>
      </c>
      <c r="L15" s="2049">
        <f t="shared" si="7"/>
        <v>0</v>
      </c>
      <c r="M15" s="2049">
        <f t="shared" si="7"/>
        <v>0</v>
      </c>
      <c r="N15" s="2049">
        <f t="shared" si="7"/>
        <v>0</v>
      </c>
      <c r="O15" s="2049">
        <f t="shared" si="7"/>
        <v>0</v>
      </c>
      <c r="P15" s="2049">
        <f t="shared" si="7"/>
        <v>0</v>
      </c>
      <c r="Q15" s="2049">
        <f t="shared" si="7"/>
        <v>0</v>
      </c>
      <c r="R15" s="2049">
        <f t="shared" si="7"/>
        <v>0</v>
      </c>
      <c r="S15" s="2049">
        <f t="shared" si="7"/>
        <v>0</v>
      </c>
      <c r="T15" s="2049">
        <f t="shared" si="1"/>
        <v>0</v>
      </c>
      <c r="U15" s="1520"/>
      <c r="V15" s="268"/>
      <c r="W15" s="631"/>
      <c r="X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952"/>
      <c r="CT15" s="54"/>
      <c r="CU15" s="383"/>
      <c r="CV15" s="383"/>
      <c r="CW15" s="383" t="str">
        <f>IF(Basisdaten!$B$15="English",CY15,CX15)</f>
        <v>Materialkosten gesamt</v>
      </c>
      <c r="CX15" s="305" t="s">
        <v>703</v>
      </c>
      <c r="CY15" s="305" t="s">
        <v>704</v>
      </c>
      <c r="CZ15" s="859"/>
      <c r="DA15" s="116"/>
      <c r="DB15" s="116"/>
      <c r="DC15" s="116"/>
      <c r="DD15" s="116"/>
      <c r="DE15" s="116"/>
      <c r="DF15" s="116"/>
      <c r="DG15" s="116"/>
      <c r="DH15" s="116"/>
      <c r="DI15" s="116"/>
      <c r="DJ15" s="116"/>
      <c r="DK15" s="116"/>
      <c r="DL15" s="116"/>
      <c r="DM15" s="116"/>
      <c r="DN15" s="55"/>
      <c r="DO15" s="55"/>
    </row>
    <row r="16" spans="1:119" s="30" customFormat="1" ht="15.75" customHeight="1">
      <c r="A16" s="2231" t="str">
        <f>CW60</f>
        <v>Titel auswählen</v>
      </c>
      <c r="B16" s="1756" t="s">
        <v>1043</v>
      </c>
      <c r="C16" s="2219"/>
      <c r="D16" s="860">
        <v>2</v>
      </c>
      <c r="E16" s="2175" t="s">
        <v>1007</v>
      </c>
      <c r="F16" s="2176"/>
      <c r="G16" s="2177"/>
      <c r="H16" s="987"/>
      <c r="I16" s="860"/>
      <c r="J16" s="860"/>
      <c r="K16" s="860"/>
      <c r="L16" s="860"/>
      <c r="M16" s="860"/>
      <c r="N16" s="860"/>
      <c r="O16" s="860"/>
      <c r="P16" s="860"/>
      <c r="Q16" s="860"/>
      <c r="R16" s="860"/>
      <c r="S16" s="860"/>
      <c r="T16" s="840"/>
      <c r="U16" s="249"/>
      <c r="V16" s="268"/>
      <c r="W16" s="48"/>
      <c r="X16" s="48"/>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53"/>
      <c r="CU16" s="383"/>
      <c r="CV16" s="383"/>
      <c r="CW16" s="383" t="str">
        <f>IF(Basisdaten!$B$15="English",CY16,CX16)</f>
        <v>Aufgabe / Kommentar</v>
      </c>
      <c r="CX16" s="305" t="s">
        <v>705</v>
      </c>
      <c r="CY16" s="305" t="s">
        <v>706</v>
      </c>
      <c r="CZ16" s="849"/>
      <c r="DA16" s="116"/>
      <c r="DB16" s="116"/>
      <c r="DC16" s="116"/>
      <c r="DD16" s="116"/>
      <c r="DE16" s="116"/>
      <c r="DF16" s="116"/>
      <c r="DG16" s="116"/>
      <c r="DH16" s="116"/>
      <c r="DI16" s="116"/>
      <c r="DJ16" s="116"/>
      <c r="DK16" s="116"/>
      <c r="DL16" s="116"/>
      <c r="DM16" s="116"/>
      <c r="DN16" s="55"/>
      <c r="DO16" s="55"/>
    </row>
    <row r="17" spans="1:119" s="30" customFormat="1" ht="15.9" customHeight="1">
      <c r="A17" s="2232"/>
      <c r="C17" s="2220">
        <v>0.19</v>
      </c>
      <c r="D17" s="862" t="s">
        <v>310</v>
      </c>
      <c r="E17" s="1002" t="str">
        <f>IF($E$16=$CU$6,"",$E$16&amp;"_"&amp;D17)</f>
        <v/>
      </c>
      <c r="F17" s="47" t="str">
        <f>IF($E16=$CW$40,"",IF($E$16=$CW$41,"-",IF($E$16=$CW$6,$CW$44,IF($E$16=$CX$6,$CW$48,IF($E$16=$CY$6,$CW$52,$CW$56)))))</f>
        <v/>
      </c>
      <c r="G17" s="1869"/>
      <c r="H17" s="1046"/>
      <c r="I17" s="1046"/>
      <c r="J17" s="1046"/>
      <c r="K17" s="1046"/>
      <c r="L17" s="1046"/>
      <c r="M17" s="1046"/>
      <c r="N17" s="1046"/>
      <c r="O17" s="1046"/>
      <c r="P17" s="1046"/>
      <c r="Q17" s="1046"/>
      <c r="R17" s="1046"/>
      <c r="S17" s="1046"/>
      <c r="T17" s="842">
        <f t="shared" ref="T17:T26" si="8">SUM(H17:S17)</f>
        <v>0</v>
      </c>
      <c r="U17" s="1520"/>
      <c r="V17" s="268"/>
      <c r="W17" s="631"/>
      <c r="X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952"/>
      <c r="CT17" s="53"/>
      <c r="CU17" s="383"/>
      <c r="CV17" s="383"/>
      <c r="CW17" s="383" t="str">
        <f>IF(Basisdaten!$B$15="English",CY17,CX17)</f>
        <v xml:space="preserve"> für Einheit </v>
      </c>
      <c r="CX17" s="305" t="s">
        <v>707</v>
      </c>
      <c r="CY17" s="305" t="s">
        <v>708</v>
      </c>
      <c r="CZ17" s="863"/>
      <c r="DA17" s="851"/>
      <c r="DB17" s="851"/>
      <c r="DC17" s="851"/>
      <c r="DD17" s="851"/>
      <c r="DE17" s="851"/>
      <c r="DF17" s="851"/>
      <c r="DG17" s="851"/>
      <c r="DH17" s="851"/>
      <c r="DI17" s="851"/>
      <c r="DJ17" s="851"/>
      <c r="DK17" s="851"/>
      <c r="DL17" s="851"/>
      <c r="DM17" s="851"/>
      <c r="DN17" s="55"/>
      <c r="DO17" s="55"/>
    </row>
    <row r="18" spans="1:119" s="30" customFormat="1" ht="15.9" customHeight="1">
      <c r="A18" s="2232"/>
      <c r="C18" s="2221"/>
      <c r="D18" s="862"/>
      <c r="E18" s="986" t="str">
        <f>IF(OR($E$16=$CV$6,$E$16=$CW$6),$CW$27,IF($E$16=$CX$6,$CW$28,IF($E$16=$CY$6,$CW$29,IF(E16=CV6,CW27,$CW$30))))</f>
        <v xml:space="preserve">Verbrauchsmaterial (% v.Umsatz) </v>
      </c>
      <c r="F18" s="1383"/>
      <c r="G18" s="1050" t="str">
        <f>IF(OR($E$16=$CW$40,$E$16=$CW$41),"",$CW$41&amp;" = ")</f>
        <v/>
      </c>
      <c r="H18" s="845">
        <f t="shared" ref="H18:S18" si="9">IF($E$16=$CV$6,$H$3*H17,$G17*H17)</f>
        <v>0</v>
      </c>
      <c r="I18" s="845">
        <f t="shared" si="9"/>
        <v>0</v>
      </c>
      <c r="J18" s="845">
        <f t="shared" si="9"/>
        <v>0</v>
      </c>
      <c r="K18" s="845">
        <f t="shared" si="9"/>
        <v>0</v>
      </c>
      <c r="L18" s="845">
        <f t="shared" si="9"/>
        <v>0</v>
      </c>
      <c r="M18" s="845">
        <f t="shared" si="9"/>
        <v>0</v>
      </c>
      <c r="N18" s="845">
        <f t="shared" si="9"/>
        <v>0</v>
      </c>
      <c r="O18" s="845">
        <f t="shared" si="9"/>
        <v>0</v>
      </c>
      <c r="P18" s="845">
        <f t="shared" si="9"/>
        <v>0</v>
      </c>
      <c r="Q18" s="845">
        <f t="shared" si="9"/>
        <v>0</v>
      </c>
      <c r="R18" s="845">
        <f t="shared" si="9"/>
        <v>0</v>
      </c>
      <c r="S18" s="845">
        <f t="shared" si="9"/>
        <v>0</v>
      </c>
      <c r="T18" s="846">
        <f t="shared" si="8"/>
        <v>0</v>
      </c>
      <c r="U18" s="1520"/>
      <c r="V18" s="268"/>
      <c r="W18" s="631"/>
      <c r="X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952"/>
      <c r="CT18" s="53"/>
      <c r="CU18" s="383"/>
      <c r="CV18" s="383"/>
      <c r="CW18" s="383" t="str">
        <f>IF(Basisdaten!$B$15="English",CY18,CX18)</f>
        <v xml:space="preserve"> gesamt</v>
      </c>
      <c r="CX18" s="305" t="s">
        <v>759</v>
      </c>
      <c r="CY18" s="305" t="s">
        <v>760</v>
      </c>
      <c r="CZ18" s="863"/>
      <c r="DA18" s="851"/>
      <c r="DB18" s="851"/>
      <c r="DC18" s="851"/>
      <c r="DD18" s="851"/>
      <c r="DE18" s="851"/>
      <c r="DF18" s="851"/>
      <c r="DG18" s="851"/>
      <c r="DH18" s="851"/>
      <c r="DI18" s="851"/>
      <c r="DJ18" s="851"/>
      <c r="DK18" s="851"/>
      <c r="DL18" s="851"/>
      <c r="DM18" s="851"/>
      <c r="DN18" s="55"/>
      <c r="DO18" s="55"/>
    </row>
    <row r="19" spans="1:119" s="30" customFormat="1" ht="15.9" customHeight="1">
      <c r="A19" s="2232"/>
      <c r="C19" s="2221"/>
      <c r="D19" s="862" t="s">
        <v>311</v>
      </c>
      <c r="E19" s="1002" t="str">
        <f>IF($E$16=$CU$6,"",$E$16&amp;"_"&amp;D19)</f>
        <v/>
      </c>
      <c r="F19" s="47" t="str">
        <f>IF($E18=$CW$40,"",IF($E$16=$CW$41,"-",IF($E$16=$CW$6,$CW$44,IF($E$16=$CX$6,$CW$48,IF($E$16=$CY$6,$CW$52,$CW$56)))))</f>
        <v>Stundensatz =</v>
      </c>
      <c r="G19" s="1869"/>
      <c r="H19" s="1046"/>
      <c r="I19" s="1046"/>
      <c r="J19" s="1046"/>
      <c r="K19" s="1046"/>
      <c r="L19" s="1046"/>
      <c r="M19" s="1046"/>
      <c r="N19" s="1046"/>
      <c r="O19" s="1046"/>
      <c r="P19" s="1046"/>
      <c r="Q19" s="1046"/>
      <c r="R19" s="1046"/>
      <c r="S19" s="1046"/>
      <c r="T19" s="842">
        <f t="shared" si="8"/>
        <v>0</v>
      </c>
      <c r="U19" s="1520"/>
      <c r="V19" s="268"/>
      <c r="W19" s="631"/>
      <c r="X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249">
        <f>G128</f>
        <v>0</v>
      </c>
      <c r="CT19" s="53"/>
      <c r="CU19" s="383"/>
      <c r="CV19" s="305" t="str">
        <f>$CW$41</f>
        <v>Umsatz</v>
      </c>
      <c r="CW19" s="383" t="str">
        <f>$CW$43</f>
        <v>Dienstleistung</v>
      </c>
      <c r="CX19" s="305" t="str">
        <f>$CW$47</f>
        <v>Handel</v>
      </c>
      <c r="CY19" s="305" t="str">
        <f>$CW$51</f>
        <v>Produktion</v>
      </c>
      <c r="CZ19" s="383" t="str">
        <f>$CW$55</f>
        <v>Handwerk</v>
      </c>
      <c r="DA19" s="116"/>
      <c r="DB19" s="116"/>
      <c r="DC19" s="116"/>
      <c r="DD19" s="116"/>
      <c r="DE19" s="116"/>
      <c r="DF19" s="116"/>
      <c r="DG19" s="116"/>
      <c r="DH19" s="116"/>
      <c r="DI19" s="116"/>
      <c r="DJ19" s="116"/>
      <c r="DK19" s="116"/>
      <c r="DL19" s="116"/>
      <c r="DM19" s="116"/>
      <c r="DN19" s="55"/>
      <c r="DO19" s="55"/>
    </row>
    <row r="20" spans="1:119" s="30" customFormat="1" ht="16.2" customHeight="1">
      <c r="A20" s="2232"/>
      <c r="C20" s="2221"/>
      <c r="D20" s="862"/>
      <c r="E20" s="986" t="str">
        <f>IF(OR($E$16=$CV$6,$E$16=$CW$6),$CW$27,IF($E$16=$CX$6,$CW$28,IF($E$16=$CY$6,$CW$29,$CW$30)))</f>
        <v xml:space="preserve">Verbrauchsmaterial (% v.Umsatz) </v>
      </c>
      <c r="F20" s="1383"/>
      <c r="G20" s="1050" t="str">
        <f>G18</f>
        <v/>
      </c>
      <c r="H20" s="845">
        <f t="shared" ref="H20:S20" si="10">IF($E$16=$CV$6,$H$3*H19,$G19*H19)</f>
        <v>0</v>
      </c>
      <c r="I20" s="845">
        <f t="shared" si="10"/>
        <v>0</v>
      </c>
      <c r="J20" s="845">
        <f t="shared" si="10"/>
        <v>0</v>
      </c>
      <c r="K20" s="845">
        <f t="shared" si="10"/>
        <v>0</v>
      </c>
      <c r="L20" s="845">
        <f t="shared" si="10"/>
        <v>0</v>
      </c>
      <c r="M20" s="845">
        <f t="shared" si="10"/>
        <v>0</v>
      </c>
      <c r="N20" s="845">
        <f t="shared" si="10"/>
        <v>0</v>
      </c>
      <c r="O20" s="845">
        <f t="shared" si="10"/>
        <v>0</v>
      </c>
      <c r="P20" s="845">
        <f t="shared" si="10"/>
        <v>0</v>
      </c>
      <c r="Q20" s="845">
        <f t="shared" si="10"/>
        <v>0</v>
      </c>
      <c r="R20" s="845">
        <f t="shared" si="10"/>
        <v>0</v>
      </c>
      <c r="S20" s="845">
        <f t="shared" si="10"/>
        <v>0</v>
      </c>
      <c r="T20" s="846">
        <f t="shared" si="8"/>
        <v>0</v>
      </c>
      <c r="U20" s="1520"/>
      <c r="V20" s="268"/>
      <c r="W20" s="631"/>
      <c r="X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1520" t="str">
        <f>H128</f>
        <v/>
      </c>
      <c r="CT20" s="53"/>
      <c r="CU20" s="383"/>
      <c r="CV20" s="30" t="s">
        <v>912</v>
      </c>
      <c r="CW20" s="30" t="s">
        <v>821</v>
      </c>
      <c r="CX20" s="30" t="s">
        <v>1022</v>
      </c>
      <c r="CY20" s="30" t="s">
        <v>817</v>
      </c>
      <c r="CZ20" s="30" t="s">
        <v>818</v>
      </c>
      <c r="DA20" s="116"/>
      <c r="DB20" s="116"/>
      <c r="DC20" s="116"/>
      <c r="DD20" s="116"/>
      <c r="DE20" s="116"/>
      <c r="DF20" s="116"/>
      <c r="DG20" s="116"/>
      <c r="DH20" s="116"/>
      <c r="DI20" s="116"/>
      <c r="DJ20" s="116"/>
      <c r="DK20" s="116"/>
      <c r="DL20" s="116"/>
      <c r="DM20" s="116"/>
      <c r="DN20" s="55"/>
      <c r="DO20" s="55"/>
    </row>
    <row r="21" spans="1:119" s="30" customFormat="1" ht="15.9" customHeight="1">
      <c r="A21" s="1757"/>
      <c r="C21" s="2221"/>
      <c r="D21" s="862" t="s">
        <v>312</v>
      </c>
      <c r="E21" s="1002" t="str">
        <f>IF($E$16=$CU$6,"",$E$16&amp;"_"&amp;D21)</f>
        <v/>
      </c>
      <c r="F21" s="47" t="str">
        <f>IF($E20=$CW$40,"",IF($E$16=$CW$41,"-",IF($E$16=$CW$6,$CW$44,IF($E$16=$CX$6,$CW$48,IF($E$16=$CY$6,$CW$52,$CW$56)))))</f>
        <v>Stundensatz =</v>
      </c>
      <c r="G21" s="1869"/>
      <c r="H21" s="1046"/>
      <c r="I21" s="1046"/>
      <c r="J21" s="1046"/>
      <c r="K21" s="1046"/>
      <c r="L21" s="1046"/>
      <c r="M21" s="1046"/>
      <c r="N21" s="1046"/>
      <c r="O21" s="1046"/>
      <c r="P21" s="1046"/>
      <c r="Q21" s="1046"/>
      <c r="R21" s="1046"/>
      <c r="S21" s="1046"/>
      <c r="T21" s="848">
        <f t="shared" si="8"/>
        <v>0</v>
      </c>
      <c r="U21" s="1520"/>
      <c r="V21" s="268"/>
      <c r="W21" s="631"/>
      <c r="X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S21" s="249" t="str">
        <f>L128</f>
        <v/>
      </c>
      <c r="CT21" s="54"/>
      <c r="CU21" s="383"/>
      <c r="CV21" s="383" t="s">
        <v>915</v>
      </c>
      <c r="CW21" s="30" t="s">
        <v>820</v>
      </c>
      <c r="CX21" s="30" t="s">
        <v>822</v>
      </c>
      <c r="CY21" s="30" t="s">
        <v>817</v>
      </c>
      <c r="CZ21" s="997" t="s">
        <v>819</v>
      </c>
      <c r="DA21" s="116"/>
      <c r="DB21" s="116"/>
      <c r="DC21" s="116"/>
      <c r="DD21" s="116"/>
      <c r="DE21" s="116"/>
      <c r="DF21" s="116"/>
      <c r="DG21" s="116"/>
      <c r="DH21" s="116"/>
      <c r="DI21" s="116"/>
      <c r="DJ21" s="116"/>
      <c r="DK21" s="116"/>
      <c r="DL21" s="116"/>
      <c r="DM21" s="116"/>
      <c r="DN21" s="55"/>
      <c r="DO21" s="55"/>
    </row>
    <row r="22" spans="1:119" s="30" customFormat="1" ht="15.9" customHeight="1">
      <c r="A22" s="1757"/>
      <c r="C22" s="2221"/>
      <c r="D22" s="862"/>
      <c r="E22" s="986" t="str">
        <f>IF(OR($E$16=$CV$6,$E$16=$CW$6),$CW$27,IF($E$16=$CX$6,$CW$28,IF($E$16=$CY$6,$CW$29,$CW$30)))</f>
        <v xml:space="preserve">Verbrauchsmaterial (% v.Umsatz) </v>
      </c>
      <c r="F22" s="1383"/>
      <c r="G22" s="1050" t="str">
        <f>G20</f>
        <v/>
      </c>
      <c r="H22" s="845">
        <f t="shared" ref="H22:S22" si="11">IF($E$16=$CV$6,$H$3*H21,$G21*H21)</f>
        <v>0</v>
      </c>
      <c r="I22" s="845">
        <f t="shared" si="11"/>
        <v>0</v>
      </c>
      <c r="J22" s="845">
        <f t="shared" si="11"/>
        <v>0</v>
      </c>
      <c r="K22" s="845">
        <f t="shared" si="11"/>
        <v>0</v>
      </c>
      <c r="L22" s="845">
        <f t="shared" si="11"/>
        <v>0</v>
      </c>
      <c r="M22" s="845">
        <f t="shared" si="11"/>
        <v>0</v>
      </c>
      <c r="N22" s="845">
        <f t="shared" si="11"/>
        <v>0</v>
      </c>
      <c r="O22" s="845">
        <f t="shared" si="11"/>
        <v>0</v>
      </c>
      <c r="P22" s="845">
        <f t="shared" si="11"/>
        <v>0</v>
      </c>
      <c r="Q22" s="845">
        <f t="shared" si="11"/>
        <v>0</v>
      </c>
      <c r="R22" s="845">
        <f t="shared" si="11"/>
        <v>0</v>
      </c>
      <c r="S22" s="845">
        <f t="shared" si="11"/>
        <v>0</v>
      </c>
      <c r="T22" s="846">
        <f t="shared" si="8"/>
        <v>0</v>
      </c>
      <c r="U22" s="1520"/>
      <c r="V22" s="268"/>
      <c r="W22" s="631"/>
      <c r="X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1258"/>
      <c r="CK22" s="37"/>
      <c r="CL22" s="37"/>
      <c r="CM22" s="37"/>
      <c r="CN22" s="37"/>
      <c r="CO22" s="37"/>
      <c r="CP22" s="37"/>
      <c r="CQ22" s="37"/>
      <c r="CR22" s="37"/>
      <c r="CS22" s="249" t="str">
        <f>P128</f>
        <v/>
      </c>
      <c r="CT22" s="53"/>
      <c r="CU22" s="383"/>
      <c r="CV22" s="30" t="str">
        <f>IF(Basisdaten!$B$15="English",CV21,CV20)</f>
        <v>Um:</v>
      </c>
      <c r="CW22" s="30" t="str">
        <f>IF(Basisdaten!$B$15="English",CW21,CW20)</f>
        <v>DL:</v>
      </c>
      <c r="CX22" s="30" t="str">
        <f>IF(Basisdaten!$B$15="English",CX21,CX20)</f>
        <v>Hndl:</v>
      </c>
      <c r="CY22" s="30" t="str">
        <f>IF(Basisdaten!$B$15="English",CY21,CY20)</f>
        <v>Prod:</v>
      </c>
      <c r="CZ22" s="30" t="str">
        <f>IF(Basisdaten!$B$15="English",CZ21,CZ20)</f>
        <v>HW:</v>
      </c>
      <c r="DA22" s="116"/>
      <c r="DB22" s="116"/>
      <c r="DC22" s="116"/>
      <c r="DD22" s="116"/>
      <c r="DE22" s="116"/>
      <c r="DF22" s="116"/>
      <c r="DG22" s="116"/>
      <c r="DH22" s="116"/>
      <c r="DI22" s="116"/>
      <c r="DJ22" s="116"/>
      <c r="DK22" s="116"/>
      <c r="DL22" s="116"/>
      <c r="DM22" s="116"/>
      <c r="DN22" s="55"/>
      <c r="DO22" s="55"/>
    </row>
    <row r="23" spans="1:119" s="30" customFormat="1" ht="15.9" customHeight="1">
      <c r="A23" s="1757"/>
      <c r="C23" s="2221"/>
      <c r="D23" s="345" t="s">
        <v>313</v>
      </c>
      <c r="E23" s="1002" t="str">
        <f>IF($E$16=$CW$40,"",$E$16&amp;"_"&amp;D23)</f>
        <v/>
      </c>
      <c r="F23" s="47" t="str">
        <f>IF($E22=$CW$40,"",IF($E$16=$CW$41,"-",IF($E$16=$CW$6,$CW$44,IF($E$16=$CX$6,$CW$48,IF($E$16=$CY$6,$CW$52,$CW$56)))))</f>
        <v>Stundensatz =</v>
      </c>
      <c r="G23" s="1869"/>
      <c r="H23" s="1046"/>
      <c r="I23" s="1046"/>
      <c r="J23" s="1046"/>
      <c r="K23" s="1046"/>
      <c r="L23" s="1046"/>
      <c r="M23" s="1046"/>
      <c r="N23" s="1046"/>
      <c r="O23" s="1046"/>
      <c r="P23" s="1046"/>
      <c r="Q23" s="1046"/>
      <c r="R23" s="1046"/>
      <c r="S23" s="1046"/>
      <c r="T23" s="848">
        <f t="shared" si="8"/>
        <v>0</v>
      </c>
      <c r="U23" s="1520"/>
      <c r="V23" s="268"/>
      <c r="W23" s="631"/>
      <c r="X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S23" s="249" t="str">
        <f>T128</f>
        <v/>
      </c>
      <c r="CT23" s="86">
        <f>IF(Basisdaten!$G$15=Basisdaten!$U$22,1,IF(OR(CT3=1,CS20=Basisdaten!$U$22,'2 Umsatz|Sales'!CS19=Basisdaten!$U$22),1,IF(AND(CS20=Basisdaten!$U$34,'2 Umsatz|Sales'!L123&lt;=Basisdaten!$R$48),0,IF(AND('2 Umsatz|Sales'!CS20=Basisdaten!$U$34,'2 Umsatz|Sales'!L123&gt;Basisdaten!$R$48),0,"hoppla"))))</f>
        <v>1</v>
      </c>
      <c r="CU23" s="37">
        <f ca="1">Basisdaten!C15+1</f>
        <v>2027</v>
      </c>
      <c r="CV23" s="383"/>
      <c r="CW23" s="383" t="str">
        <f ca="1">IF(Basisdaten!$B$15="English",CY23,CX23)</f>
        <v>2a-2 Umsatz  (ohne MwSt) für die Monate des Jahres 2027</v>
      </c>
      <c r="CX23" s="305" t="str">
        <f ca="1">"2a-2 Umsatz " &amp;CS3&amp; "für die Monate des Jahres " &amp;CU23</f>
        <v>2a-2 Umsatz  (ohne MwSt) für die Monate des Jahres 2027</v>
      </c>
      <c r="CY23" s="305" t="str">
        <f ca="1">"2a-2 Sales " &amp;CS3&amp; "for the Month of Year " &amp;CU23</f>
        <v>2a-2 Sales  (ohne MwSt) for the Month of Year 2027</v>
      </c>
      <c r="DA23" s="116"/>
      <c r="DB23" s="116"/>
      <c r="DC23" s="116"/>
      <c r="DD23" s="116"/>
      <c r="DE23" s="116"/>
      <c r="DF23" s="116"/>
      <c r="DG23" s="116"/>
      <c r="DH23" s="116"/>
      <c r="DI23" s="116"/>
      <c r="DJ23" s="116"/>
      <c r="DK23" s="116"/>
      <c r="DL23" s="116"/>
      <c r="DM23" s="116"/>
      <c r="DN23" s="55"/>
      <c r="DO23" s="55"/>
    </row>
    <row r="24" spans="1:119" s="30" customFormat="1" ht="15.9" customHeight="1" thickBot="1">
      <c r="A24" s="1757"/>
      <c r="C24" s="2222"/>
      <c r="D24" s="360"/>
      <c r="E24" s="986" t="str">
        <f>IF(OR($E$16=$CV$6,$E$16=$CW$6),$CW$27,IF($E$16=$CX$6,$CW$28,IF($E$16=$CY$6,$CW$29,$CW$30)))</f>
        <v xml:space="preserve">Verbrauchsmaterial (% v.Umsatz) </v>
      </c>
      <c r="F24" s="1383"/>
      <c r="G24" s="1050" t="str">
        <f>G22</f>
        <v/>
      </c>
      <c r="H24" s="845">
        <f t="shared" ref="H24:S24" si="12">IF($E$16=$CV$6,$H$3*H23,$G23*H23)</f>
        <v>0</v>
      </c>
      <c r="I24" s="845">
        <f t="shared" si="12"/>
        <v>0</v>
      </c>
      <c r="J24" s="845">
        <f t="shared" si="12"/>
        <v>0</v>
      </c>
      <c r="K24" s="845">
        <f t="shared" si="12"/>
        <v>0</v>
      </c>
      <c r="L24" s="845">
        <f t="shared" si="12"/>
        <v>0</v>
      </c>
      <c r="M24" s="845">
        <f t="shared" si="12"/>
        <v>0</v>
      </c>
      <c r="N24" s="845">
        <f t="shared" si="12"/>
        <v>0</v>
      </c>
      <c r="O24" s="845">
        <f t="shared" si="12"/>
        <v>0</v>
      </c>
      <c r="P24" s="845">
        <f t="shared" si="12"/>
        <v>0</v>
      </c>
      <c r="Q24" s="845">
        <f t="shared" si="12"/>
        <v>0</v>
      </c>
      <c r="R24" s="845">
        <f t="shared" si="12"/>
        <v>0</v>
      </c>
      <c r="S24" s="845">
        <f t="shared" si="12"/>
        <v>0</v>
      </c>
      <c r="T24" s="855">
        <f t="shared" si="8"/>
        <v>0</v>
      </c>
      <c r="U24" s="1520"/>
      <c r="V24" s="268"/>
      <c r="W24" s="631"/>
      <c r="X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80"/>
      <c r="CI24" s="80"/>
      <c r="CJ24" s="80"/>
      <c r="CK24" s="80"/>
      <c r="CL24" s="80"/>
      <c r="CM24" s="80"/>
      <c r="CN24" s="80"/>
      <c r="CO24" s="80"/>
      <c r="CP24" s="80"/>
      <c r="CQ24" s="80"/>
      <c r="CR24" s="80"/>
      <c r="CV24" s="383"/>
      <c r="CW24" s="383" t="str">
        <f>IF(Basisdaten!$B$15="English",CY24,CX24)</f>
        <v>ohne MwSt</v>
      </c>
      <c r="CX24" s="305" t="s">
        <v>709</v>
      </c>
      <c r="CY24" s="305" t="s">
        <v>710</v>
      </c>
      <c r="DA24" s="116"/>
      <c r="DB24" s="116"/>
      <c r="DC24" s="116"/>
      <c r="DD24" s="116"/>
      <c r="DE24" s="116"/>
      <c r="DF24" s="116"/>
      <c r="DG24" s="116"/>
      <c r="DH24" s="116"/>
      <c r="DI24" s="116"/>
      <c r="DJ24" s="116"/>
      <c r="DK24" s="116"/>
      <c r="DL24" s="116"/>
      <c r="DM24" s="116"/>
      <c r="DN24" s="55"/>
      <c r="DO24" s="55"/>
    </row>
    <row r="25" spans="1:119" s="136" customFormat="1" ht="15" customHeight="1" thickTop="1">
      <c r="A25" s="1757"/>
      <c r="C25" s="2167" t="str">
        <f>C14</f>
        <v>Wahl MwSt</v>
      </c>
      <c r="D25" s="970"/>
      <c r="E25" s="2174" t="str">
        <f>F14</f>
        <v/>
      </c>
      <c r="F25" s="2174"/>
      <c r="G25" s="979" t="str">
        <f>G14</f>
        <v>EUR</v>
      </c>
      <c r="H25" s="990">
        <f>H18+H20+H22+H24</f>
        <v>0</v>
      </c>
      <c r="I25" s="990">
        <f>I18+I20+I22+I24</f>
        <v>0</v>
      </c>
      <c r="J25" s="990">
        <f t="shared" ref="J25:S25" si="13">J18+J20+J22+J24</f>
        <v>0</v>
      </c>
      <c r="K25" s="990">
        <f t="shared" si="13"/>
        <v>0</v>
      </c>
      <c r="L25" s="990">
        <f>L18+L20+L22+L24</f>
        <v>0</v>
      </c>
      <c r="M25" s="990">
        <f t="shared" si="13"/>
        <v>0</v>
      </c>
      <c r="N25" s="990">
        <f t="shared" si="13"/>
        <v>0</v>
      </c>
      <c r="O25" s="990">
        <f t="shared" si="13"/>
        <v>0</v>
      </c>
      <c r="P25" s="990">
        <f t="shared" si="13"/>
        <v>0</v>
      </c>
      <c r="Q25" s="990">
        <f t="shared" si="13"/>
        <v>0</v>
      </c>
      <c r="R25" s="990">
        <f t="shared" si="13"/>
        <v>0</v>
      </c>
      <c r="S25" s="990">
        <f t="shared" si="13"/>
        <v>0</v>
      </c>
      <c r="T25" s="856">
        <f t="shared" si="8"/>
        <v>0</v>
      </c>
      <c r="U25" s="249"/>
      <c r="V25" s="268"/>
      <c r="W25" s="631"/>
      <c r="X25" s="37"/>
      <c r="Y25" s="133"/>
      <c r="Z25" s="133"/>
      <c r="AA25" s="133"/>
      <c r="AB25" s="133"/>
      <c r="AC25" s="133"/>
      <c r="AD25" s="133"/>
      <c r="AE25" s="133"/>
      <c r="AF25" s="133"/>
      <c r="AG25" s="133"/>
      <c r="AH25" s="133"/>
      <c r="AI25" s="133"/>
      <c r="AJ25" s="133"/>
      <c r="AK25" s="133"/>
      <c r="AL25" s="133"/>
      <c r="AM25" s="133"/>
      <c r="AN25" s="133"/>
      <c r="AO25" s="133"/>
      <c r="AP25" s="133"/>
      <c r="CV25" s="621"/>
      <c r="CW25" s="383" t="str">
        <f>IF(Basisdaten!$B$15="English",CY25,CX25)</f>
        <v>mit MwSt</v>
      </c>
      <c r="CX25" s="621" t="s">
        <v>711</v>
      </c>
      <c r="CY25" s="621" t="s">
        <v>712</v>
      </c>
      <c r="CZ25" s="864"/>
      <c r="DA25" s="482"/>
      <c r="DB25" s="482"/>
      <c r="DC25" s="482"/>
      <c r="DD25" s="482"/>
      <c r="DE25" s="482"/>
      <c r="DF25" s="482"/>
      <c r="DG25" s="482"/>
      <c r="DH25" s="482"/>
      <c r="DI25" s="482"/>
      <c r="DJ25" s="482"/>
      <c r="DK25" s="482"/>
      <c r="DL25" s="482"/>
      <c r="DM25" s="482"/>
      <c r="DN25" s="142"/>
      <c r="DO25" s="142"/>
    </row>
    <row r="26" spans="1:119" s="80" customFormat="1" ht="15" customHeight="1">
      <c r="A26" s="1757"/>
      <c r="C26" s="2168"/>
      <c r="D26" s="1119"/>
      <c r="F26" s="985" t="str">
        <f>F15</f>
        <v>davon Zukauf</v>
      </c>
      <c r="G26" s="1287" t="str">
        <f>G15</f>
        <v>EUR</v>
      </c>
      <c r="H26" s="2049">
        <f>$F18*H17+$F20 *H19+$F22*H21+$F24*H23</f>
        <v>0</v>
      </c>
      <c r="I26" s="2049">
        <f t="shared" ref="I26:S26" si="14">$F18*I17+$F20 *I19+$F22*I21+$F24*I23</f>
        <v>0</v>
      </c>
      <c r="J26" s="2049">
        <f t="shared" si="14"/>
        <v>0</v>
      </c>
      <c r="K26" s="2049">
        <f t="shared" si="14"/>
        <v>0</v>
      </c>
      <c r="L26" s="2049">
        <f t="shared" si="14"/>
        <v>0</v>
      </c>
      <c r="M26" s="2049">
        <f t="shared" si="14"/>
        <v>0</v>
      </c>
      <c r="N26" s="2049">
        <f t="shared" si="14"/>
        <v>0</v>
      </c>
      <c r="O26" s="2049">
        <f t="shared" si="14"/>
        <v>0</v>
      </c>
      <c r="P26" s="2049">
        <f t="shared" si="14"/>
        <v>0</v>
      </c>
      <c r="Q26" s="2049">
        <f t="shared" si="14"/>
        <v>0</v>
      </c>
      <c r="R26" s="2049">
        <f t="shared" si="14"/>
        <v>0</v>
      </c>
      <c r="S26" s="2049">
        <f t="shared" si="14"/>
        <v>0</v>
      </c>
      <c r="T26" s="2049">
        <f t="shared" si="8"/>
        <v>0</v>
      </c>
      <c r="U26" s="249"/>
      <c r="V26" s="268"/>
      <c r="W26" s="631"/>
      <c r="X26" s="37"/>
      <c r="Y26" s="123"/>
      <c r="Z26" s="123"/>
      <c r="AA26" s="123"/>
      <c r="AB26" s="123"/>
      <c r="AC26" s="123"/>
      <c r="AD26" s="123"/>
      <c r="AE26" s="123"/>
      <c r="AF26" s="123"/>
      <c r="AG26" s="123"/>
      <c r="AH26" s="123"/>
      <c r="AI26" s="123"/>
      <c r="AJ26" s="123"/>
      <c r="AK26" s="123"/>
      <c r="AL26" s="123"/>
      <c r="AM26" s="123"/>
      <c r="AN26" s="123"/>
      <c r="AO26" s="123"/>
      <c r="AP26" s="123"/>
      <c r="CV26" s="621"/>
      <c r="CW26" s="383" t="str">
        <f>IF(Basisdaten!$B$15="English",CY26,CX26)</f>
        <v xml:space="preserve"> zu hoch für </v>
      </c>
      <c r="CX26" s="621" t="s">
        <v>858</v>
      </c>
      <c r="CY26" s="621" t="s">
        <v>859</v>
      </c>
      <c r="CZ26" s="866"/>
      <c r="DA26" s="122"/>
      <c r="DB26" s="122"/>
      <c r="DC26" s="122"/>
      <c r="DD26" s="122"/>
      <c r="DE26" s="122"/>
      <c r="DF26" s="122"/>
      <c r="DG26" s="122"/>
      <c r="DH26" s="122"/>
      <c r="DI26" s="122"/>
      <c r="DJ26" s="122"/>
      <c r="DK26" s="122"/>
      <c r="DL26" s="122"/>
      <c r="DM26" s="122"/>
      <c r="DN26" s="127"/>
      <c r="DO26" s="127"/>
    </row>
    <row r="27" spans="1:119" s="136" customFormat="1" ht="15.9" customHeight="1">
      <c r="C27" s="2169"/>
      <c r="D27" s="860">
        <v>3</v>
      </c>
      <c r="E27" s="2187" t="str">
        <f>CW118</f>
        <v>Sonstige Einnahmen</v>
      </c>
      <c r="F27" s="2188"/>
      <c r="G27" s="2189"/>
      <c r="H27" s="988" t="str">
        <f>"EUR"</f>
        <v>EUR</v>
      </c>
      <c r="I27" s="989" t="str">
        <f t="shared" ref="I27:S27" si="15">"EUR"</f>
        <v>EUR</v>
      </c>
      <c r="J27" s="989" t="str">
        <f t="shared" si="15"/>
        <v>EUR</v>
      </c>
      <c r="K27" s="989" t="str">
        <f t="shared" si="15"/>
        <v>EUR</v>
      </c>
      <c r="L27" s="989" t="str">
        <f t="shared" si="15"/>
        <v>EUR</v>
      </c>
      <c r="M27" s="989" t="str">
        <f t="shared" si="15"/>
        <v>EUR</v>
      </c>
      <c r="N27" s="989" t="str">
        <f t="shared" si="15"/>
        <v>EUR</v>
      </c>
      <c r="O27" s="989" t="str">
        <f t="shared" si="15"/>
        <v>EUR</v>
      </c>
      <c r="P27" s="989" t="str">
        <f t="shared" si="15"/>
        <v>EUR</v>
      </c>
      <c r="Q27" s="989" t="str">
        <f t="shared" si="15"/>
        <v>EUR</v>
      </c>
      <c r="R27" s="989" t="str">
        <f t="shared" si="15"/>
        <v>EUR</v>
      </c>
      <c r="S27" s="989" t="str">
        <f t="shared" si="15"/>
        <v>EUR</v>
      </c>
      <c r="T27" s="869"/>
      <c r="U27" s="249"/>
      <c r="V27" s="268"/>
      <c r="W27" s="48"/>
      <c r="X27" s="37"/>
      <c r="Y27" s="133"/>
      <c r="Z27" s="133"/>
      <c r="AA27" s="133"/>
      <c r="AB27" s="133"/>
      <c r="AC27" s="133"/>
      <c r="AD27" s="133"/>
      <c r="AE27" s="133"/>
      <c r="AF27" s="133"/>
      <c r="AG27" s="133"/>
      <c r="AH27" s="133"/>
      <c r="AI27" s="133"/>
      <c r="AJ27" s="133"/>
      <c r="AK27" s="133"/>
      <c r="AL27" s="133"/>
      <c r="AM27" s="133"/>
      <c r="AN27" s="133"/>
      <c r="AO27" s="133"/>
      <c r="AP27" s="133"/>
      <c r="CT27" s="137"/>
      <c r="CU27" s="383"/>
      <c r="CV27" s="621"/>
      <c r="CW27" s="383" t="str">
        <f>IF(Basisdaten!$B$15="English",CY27,CX27)</f>
        <v xml:space="preserve">Nebenkosten (% v.Umsatz) </v>
      </c>
      <c r="CX27" s="305" t="s">
        <v>831</v>
      </c>
      <c r="CY27" s="305" t="s">
        <v>827</v>
      </c>
      <c r="CZ27" s="864"/>
      <c r="DA27" s="482"/>
      <c r="DB27" s="482"/>
      <c r="DC27" s="482"/>
      <c r="DD27" s="482"/>
      <c r="DE27" s="482"/>
      <c r="DF27" s="482"/>
      <c r="DG27" s="482"/>
      <c r="DH27" s="482"/>
      <c r="DI27" s="482"/>
      <c r="DJ27" s="482"/>
      <c r="DK27" s="482"/>
      <c r="DL27" s="482"/>
      <c r="DM27" s="482"/>
      <c r="DN27" s="142"/>
      <c r="DO27" s="142"/>
    </row>
    <row r="28" spans="1:119" s="73" customFormat="1" ht="15.9" customHeight="1">
      <c r="C28" s="870">
        <f>0.19</f>
        <v>0.19</v>
      </c>
      <c r="D28" s="871" t="s">
        <v>314</v>
      </c>
      <c r="E28" s="2186" t="str">
        <f>CW146</f>
        <v>Honorareinnahmen, Provisionen</v>
      </c>
      <c r="F28" s="2158"/>
      <c r="G28" s="2159"/>
      <c r="H28" s="908"/>
      <c r="I28" s="908"/>
      <c r="J28" s="908"/>
      <c r="K28" s="908"/>
      <c r="L28" s="908"/>
      <c r="M28" s="908"/>
      <c r="N28" s="908"/>
      <c r="O28" s="908"/>
      <c r="P28" s="908"/>
      <c r="Q28" s="908"/>
      <c r="R28" s="908"/>
      <c r="S28" s="908"/>
      <c r="T28" s="842">
        <f>SUM(H28:S28)</f>
        <v>0</v>
      </c>
      <c r="U28" s="249"/>
      <c r="V28" s="268"/>
      <c r="W28" s="631"/>
      <c r="X28" s="48"/>
      <c r="Y28" s="857"/>
      <c r="Z28" s="54"/>
      <c r="AA28" s="123"/>
      <c r="AB28" s="872"/>
      <c r="AC28" s="326"/>
      <c r="AD28" s="326"/>
      <c r="AE28" s="326"/>
      <c r="AF28" s="326"/>
      <c r="AG28" s="326"/>
      <c r="AH28" s="326"/>
      <c r="AI28" s="326"/>
      <c r="AJ28" s="326"/>
      <c r="AK28" s="326"/>
      <c r="AL28" s="326"/>
      <c r="AM28" s="326"/>
      <c r="AN28" s="326"/>
      <c r="AO28" s="326"/>
      <c r="AP28" s="82"/>
      <c r="BC28" s="68"/>
      <c r="BD28" s="68"/>
      <c r="BE28" s="68"/>
      <c r="BF28" s="68"/>
      <c r="CT28" s="83"/>
      <c r="CU28" s="383"/>
      <c r="CV28" s="621"/>
      <c r="CW28" s="383" t="str">
        <f>IF(Basisdaten!$B$15="English",CY28,CX28)</f>
        <v xml:space="preserve">Einkaufswert (% v.Umsatz) </v>
      </c>
      <c r="CX28" s="305" t="s">
        <v>832</v>
      </c>
      <c r="CY28" s="305" t="s">
        <v>828</v>
      </c>
      <c r="CZ28" s="834"/>
      <c r="DA28" s="116"/>
      <c r="DB28" s="116"/>
      <c r="DC28" s="116"/>
      <c r="DD28" s="116"/>
      <c r="DE28" s="116"/>
      <c r="DF28" s="116"/>
      <c r="DG28" s="116"/>
      <c r="DH28" s="116"/>
      <c r="DI28" s="116"/>
      <c r="DJ28" s="116"/>
      <c r="DK28" s="116"/>
      <c r="DL28" s="116"/>
      <c r="DM28" s="116"/>
      <c r="DN28" s="69"/>
      <c r="DO28" s="69"/>
    </row>
    <row r="29" spans="1:119" s="68" customFormat="1" ht="15.9" customHeight="1" thickBot="1">
      <c r="C29" s="1758">
        <f>0.19</f>
        <v>0.19</v>
      </c>
      <c r="D29" s="409" t="s">
        <v>315</v>
      </c>
      <c r="E29" s="2230" t="str">
        <f>CW147</f>
        <v>Sonstige Einnahmen (bitte benennen)</v>
      </c>
      <c r="F29" s="2146"/>
      <c r="G29" s="2147"/>
      <c r="H29" s="1035"/>
      <c r="I29" s="1035"/>
      <c r="J29" s="1035"/>
      <c r="K29" s="1035"/>
      <c r="L29" s="1035"/>
      <c r="M29" s="1035"/>
      <c r="N29" s="1035"/>
      <c r="O29" s="1035"/>
      <c r="P29" s="1035"/>
      <c r="Q29" s="1035"/>
      <c r="R29" s="1035"/>
      <c r="S29" s="1035"/>
      <c r="T29" s="873">
        <f>SUM(H29:S29)</f>
        <v>0</v>
      </c>
      <c r="U29" s="249"/>
      <c r="V29" s="268"/>
      <c r="W29" s="631"/>
      <c r="X29" s="36"/>
      <c r="Y29" s="874"/>
      <c r="Z29" s="301"/>
      <c r="AA29" s="123"/>
      <c r="AB29" s="875"/>
      <c r="AC29" s="875"/>
      <c r="AD29" s="875"/>
      <c r="AE29" s="875"/>
      <c r="AF29" s="875"/>
      <c r="AG29" s="875"/>
      <c r="AH29" s="875"/>
      <c r="AI29" s="875"/>
      <c r="AJ29" s="875"/>
      <c r="AK29" s="875"/>
      <c r="AL29" s="875"/>
      <c r="AM29" s="875"/>
      <c r="AN29" s="875"/>
      <c r="AO29" s="225"/>
      <c r="AP29" s="71"/>
      <c r="CT29" s="70"/>
      <c r="CU29" s="383"/>
      <c r="CV29" s="621"/>
      <c r="CW29" s="383" t="str">
        <f>IF(Basisdaten!$B$15="English",CY29,CX29)</f>
        <v xml:space="preserve">Materialkostenanteil (% v.Umsatz) </v>
      </c>
      <c r="CX29" s="305" t="s">
        <v>833</v>
      </c>
      <c r="CY29" s="305" t="s">
        <v>829</v>
      </c>
      <c r="DA29" s="79"/>
      <c r="DB29" s="79"/>
      <c r="DC29" s="79"/>
      <c r="DD29" s="79"/>
      <c r="DE29" s="79"/>
      <c r="DF29" s="79"/>
      <c r="DG29" s="79"/>
      <c r="DH29" s="79"/>
      <c r="DI29" s="79"/>
      <c r="DJ29" s="79"/>
      <c r="DK29" s="79"/>
      <c r="DL29" s="79"/>
      <c r="DM29" s="79"/>
      <c r="DN29" s="69"/>
      <c r="DO29" s="69"/>
    </row>
    <row r="30" spans="1:119" s="30" customFormat="1" ht="15" customHeight="1" thickTop="1" thickBot="1">
      <c r="A30" s="1285"/>
      <c r="B30" s="68"/>
      <c r="C30" s="37"/>
      <c r="D30" s="876"/>
      <c r="E30" s="2170" t="str">
        <f>CW95&amp;" "&amp;E27</f>
        <v>Summe  Sonstige Einnahmen</v>
      </c>
      <c r="F30" s="2149"/>
      <c r="G30" s="2150"/>
      <c r="H30" s="877">
        <f t="shared" ref="H30:S30" si="16">SUM(H28:H29)</f>
        <v>0</v>
      </c>
      <c r="I30" s="877">
        <f t="shared" si="16"/>
        <v>0</v>
      </c>
      <c r="J30" s="877">
        <f t="shared" si="16"/>
        <v>0</v>
      </c>
      <c r="K30" s="877">
        <f t="shared" si="16"/>
        <v>0</v>
      </c>
      <c r="L30" s="877">
        <f t="shared" si="16"/>
        <v>0</v>
      </c>
      <c r="M30" s="877">
        <f t="shared" si="16"/>
        <v>0</v>
      </c>
      <c r="N30" s="877">
        <f t="shared" si="16"/>
        <v>0</v>
      </c>
      <c r="O30" s="877">
        <f t="shared" si="16"/>
        <v>0</v>
      </c>
      <c r="P30" s="877">
        <f t="shared" si="16"/>
        <v>0</v>
      </c>
      <c r="Q30" s="877">
        <f t="shared" si="16"/>
        <v>0</v>
      </c>
      <c r="R30" s="877">
        <f t="shared" si="16"/>
        <v>0</v>
      </c>
      <c r="S30" s="877">
        <f t="shared" si="16"/>
        <v>0</v>
      </c>
      <c r="T30" s="878">
        <f>SUM(H30:S30)</f>
        <v>0</v>
      </c>
      <c r="U30" s="249"/>
      <c r="V30" s="268"/>
      <c r="X30" s="37"/>
      <c r="Y30" s="874"/>
      <c r="Z30" s="301"/>
      <c r="AA30" s="123"/>
      <c r="AB30" s="875"/>
      <c r="AC30" s="875"/>
      <c r="AD30" s="875"/>
      <c r="AE30" s="875"/>
      <c r="AF30" s="875"/>
      <c r="AG30" s="875"/>
      <c r="AH30" s="875"/>
      <c r="AI30" s="875"/>
      <c r="AJ30" s="875"/>
      <c r="AK30" s="875"/>
      <c r="AL30" s="875"/>
      <c r="AM30" s="875"/>
      <c r="AN30" s="875"/>
      <c r="AO30" s="225"/>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53"/>
      <c r="CU30" s="383"/>
      <c r="CV30" s="621"/>
      <c r="CW30" s="383" t="str">
        <f>IF(Basisdaten!$B$15="English",CY30,CX30)</f>
        <v xml:space="preserve">Verbrauchsmaterial (% v.Umsatz) </v>
      </c>
      <c r="CX30" s="305" t="s">
        <v>834</v>
      </c>
      <c r="CY30" s="305" t="s">
        <v>830</v>
      </c>
      <c r="CZ30" s="879"/>
      <c r="DA30" s="116"/>
      <c r="DB30" s="116"/>
      <c r="DC30" s="116"/>
      <c r="DD30" s="116"/>
      <c r="DE30" s="116"/>
      <c r="DF30" s="116"/>
      <c r="DG30" s="116"/>
      <c r="DH30" s="116"/>
      <c r="DI30" s="116"/>
      <c r="DJ30" s="116"/>
      <c r="DK30" s="116"/>
      <c r="DL30" s="116"/>
      <c r="DM30" s="116"/>
      <c r="DN30" s="55"/>
      <c r="DO30" s="55"/>
    </row>
    <row r="31" spans="1:119" ht="15" customHeight="1" thickTop="1">
      <c r="A31" s="68"/>
      <c r="B31" s="68"/>
      <c r="C31" s="37"/>
      <c r="D31" s="1043"/>
      <c r="E31" s="2180" t="str">
        <f>CW125</f>
        <v>Gesamtumsätze</v>
      </c>
      <c r="F31" s="2181"/>
      <c r="G31" s="2182"/>
      <c r="H31" s="878">
        <f t="shared" ref="H31:S31" si="17">H14+H25+H30</f>
        <v>0</v>
      </c>
      <c r="I31" s="878">
        <f>I14+I25+I30</f>
        <v>0</v>
      </c>
      <c r="J31" s="878">
        <f t="shared" si="17"/>
        <v>0</v>
      </c>
      <c r="K31" s="878">
        <f t="shared" si="17"/>
        <v>0</v>
      </c>
      <c r="L31" s="878">
        <f t="shared" si="17"/>
        <v>0</v>
      </c>
      <c r="M31" s="878">
        <f t="shared" si="17"/>
        <v>0</v>
      </c>
      <c r="N31" s="878">
        <f t="shared" si="17"/>
        <v>0</v>
      </c>
      <c r="O31" s="878">
        <f t="shared" si="17"/>
        <v>0</v>
      </c>
      <c r="P31" s="878">
        <f t="shared" si="17"/>
        <v>0</v>
      </c>
      <c r="Q31" s="878">
        <f t="shared" si="17"/>
        <v>0</v>
      </c>
      <c r="R31" s="878">
        <f t="shared" si="17"/>
        <v>0</v>
      </c>
      <c r="S31" s="878">
        <f t="shared" si="17"/>
        <v>0</v>
      </c>
      <c r="T31" s="865">
        <f>SUM(H31:S31)</f>
        <v>0</v>
      </c>
      <c r="V31" s="268"/>
      <c r="W31" s="247"/>
      <c r="Y31" s="874"/>
      <c r="Z31" s="301"/>
      <c r="AA31" s="123"/>
      <c r="AB31" s="875"/>
      <c r="AC31" s="875"/>
      <c r="AD31" s="875"/>
      <c r="AE31" s="875"/>
      <c r="AF31" s="875"/>
      <c r="AG31" s="875"/>
      <c r="AH31" s="875"/>
      <c r="AI31" s="875"/>
      <c r="AJ31" s="875"/>
      <c r="AK31" s="875"/>
      <c r="AL31" s="875"/>
      <c r="AM31" s="875"/>
      <c r="AN31" s="875"/>
      <c r="AO31" s="225"/>
      <c r="AP31" s="71"/>
      <c r="CU31" s="383"/>
      <c r="CV31" s="621"/>
      <c r="CW31" s="383" t="str">
        <f>IF(Basisdaten!$B$15="English",CY31,CX31)</f>
        <v>Ek-W(%Ums) =</v>
      </c>
      <c r="CX31" s="305" t="s">
        <v>715</v>
      </c>
      <c r="CY31" s="305" t="s">
        <v>716</v>
      </c>
    </row>
    <row r="32" spans="1:119" ht="15" customHeight="1">
      <c r="A32" s="68"/>
      <c r="B32" s="68"/>
      <c r="C32" s="37"/>
      <c r="D32" s="1043"/>
      <c r="E32" s="2171" t="str">
        <f>E49</f>
        <v xml:space="preserve"> </v>
      </c>
      <c r="F32" s="2172"/>
      <c r="G32" s="2173"/>
      <c r="H32" s="2049">
        <f>H26+H15</f>
        <v>0</v>
      </c>
      <c r="I32" s="2049">
        <f t="shared" ref="I32:S32" si="18">I26+I15</f>
        <v>0</v>
      </c>
      <c r="J32" s="2049">
        <f t="shared" si="18"/>
        <v>0</v>
      </c>
      <c r="K32" s="2049">
        <f t="shared" si="18"/>
        <v>0</v>
      </c>
      <c r="L32" s="2049">
        <f t="shared" si="18"/>
        <v>0</v>
      </c>
      <c r="M32" s="2049">
        <f t="shared" si="18"/>
        <v>0</v>
      </c>
      <c r="N32" s="2049">
        <f t="shared" si="18"/>
        <v>0</v>
      </c>
      <c r="O32" s="2049">
        <f t="shared" si="18"/>
        <v>0</v>
      </c>
      <c r="P32" s="2049">
        <f t="shared" si="18"/>
        <v>0</v>
      </c>
      <c r="Q32" s="2049">
        <f t="shared" si="18"/>
        <v>0</v>
      </c>
      <c r="R32" s="2049">
        <f t="shared" si="18"/>
        <v>0</v>
      </c>
      <c r="S32" s="2049">
        <f t="shared" si="18"/>
        <v>0</v>
      </c>
      <c r="T32" s="2049">
        <f>SUM(H32:S32)</f>
        <v>0</v>
      </c>
      <c r="V32" s="268"/>
      <c r="W32" s="247"/>
      <c r="Y32" s="874"/>
      <c r="Z32" s="301"/>
      <c r="AA32" s="123"/>
      <c r="AB32" s="875"/>
      <c r="AC32" s="875"/>
      <c r="AD32" s="875"/>
      <c r="AE32" s="875"/>
      <c r="AF32" s="875"/>
      <c r="AG32" s="875"/>
      <c r="AH32" s="875"/>
      <c r="AI32" s="875"/>
      <c r="AJ32" s="875"/>
      <c r="AK32" s="875"/>
      <c r="AL32" s="875"/>
      <c r="AM32" s="875"/>
      <c r="AN32" s="875"/>
      <c r="AO32" s="225"/>
      <c r="AP32" s="71"/>
      <c r="CU32" s="383"/>
      <c r="CV32" s="621"/>
      <c r="CX32" s="305"/>
      <c r="CY32" s="305"/>
    </row>
    <row r="33" spans="1:104" ht="15" customHeight="1">
      <c r="E33" s="2171" t="str">
        <f>CW127</f>
        <v>Gesamtumsätze akkumuliert</v>
      </c>
      <c r="F33" s="2172"/>
      <c r="G33" s="2173"/>
      <c r="H33" s="865">
        <f>G33+H31</f>
        <v>0</v>
      </c>
      <c r="I33" s="865">
        <f>H33+I31</f>
        <v>0</v>
      </c>
      <c r="J33" s="865">
        <f>I33+J31</f>
        <v>0</v>
      </c>
      <c r="K33" s="865">
        <f t="shared" ref="K33:S33" si="19">J33+K31</f>
        <v>0</v>
      </c>
      <c r="L33" s="865">
        <f t="shared" si="19"/>
        <v>0</v>
      </c>
      <c r="M33" s="865">
        <f t="shared" si="19"/>
        <v>0</v>
      </c>
      <c r="N33" s="865">
        <f t="shared" si="19"/>
        <v>0</v>
      </c>
      <c r="O33" s="865">
        <f t="shared" si="19"/>
        <v>0</v>
      </c>
      <c r="P33" s="865">
        <f t="shared" si="19"/>
        <v>0</v>
      </c>
      <c r="Q33" s="865">
        <f t="shared" si="19"/>
        <v>0</v>
      </c>
      <c r="R33" s="865">
        <f t="shared" si="19"/>
        <v>0</v>
      </c>
      <c r="S33" s="865">
        <f t="shared" si="19"/>
        <v>0</v>
      </c>
      <c r="T33" s="1122">
        <f>S33</f>
        <v>0</v>
      </c>
      <c r="V33" s="268"/>
      <c r="W33" s="247"/>
      <c r="Y33" s="874"/>
      <c r="Z33" s="301"/>
      <c r="AA33" s="994"/>
      <c r="AB33" s="875"/>
      <c r="AC33" s="875"/>
      <c r="AD33" s="875"/>
      <c r="AE33" s="875"/>
      <c r="AF33" s="875"/>
      <c r="AG33" s="875"/>
      <c r="AH33" s="875"/>
      <c r="AI33" s="875"/>
      <c r="AJ33" s="875"/>
      <c r="AK33" s="875"/>
      <c r="AL33" s="875"/>
      <c r="AM33" s="875"/>
      <c r="AN33" s="875"/>
      <c r="AO33" s="225"/>
      <c r="AP33" s="71"/>
      <c r="CU33" s="383"/>
      <c r="CW33" s="383" t="str">
        <f>IF(Basisdaten!$B$15="English",CY33,CX33)</f>
        <v>NbKo(%Ums) =</v>
      </c>
      <c r="CX33" s="305" t="s">
        <v>717</v>
      </c>
      <c r="CY33" s="305" t="s">
        <v>718</v>
      </c>
      <c r="CZ33" s="881"/>
    </row>
    <row r="34" spans="1:104" s="107" customFormat="1" ht="16.5" customHeight="1">
      <c r="C34" s="1551"/>
      <c r="E34" s="1552"/>
      <c r="F34" s="1559"/>
      <c r="G34" s="1560"/>
      <c r="H34" s="2233">
        <f>IF(AND(T31&gt;Basisdaten!$M$48,Basisdaten!$G$15=Basisdaten!$L$16),'2 Umsatz|Sales'!CV19&amp;'2 Umsatz|Sales'!CW26&amp;Basisdaten!$U$34,0)</f>
        <v>0</v>
      </c>
      <c r="I34" s="2233"/>
      <c r="J34" s="2233"/>
      <c r="K34" s="2233"/>
      <c r="L34" s="2233"/>
      <c r="M34" s="2233"/>
      <c r="N34" s="2233"/>
      <c r="O34" s="2233"/>
      <c r="P34" s="2233"/>
      <c r="Q34" s="2233"/>
      <c r="R34" s="2233"/>
      <c r="S34" s="2233"/>
      <c r="T34" s="2237" t="str">
        <f>IF('0 Daten|Data'!H7="","",IF(Basisdaten!G15=Basisdaten!U22,"",IF(S33&lt;=Basisdaten!$M$48,Basisdaten!$U$34,Basisdaten!$U$22)))</f>
        <v/>
      </c>
      <c r="U34" s="168"/>
      <c r="V34" s="99"/>
      <c r="W34" s="168"/>
      <c r="X34" s="168"/>
      <c r="Y34" s="859"/>
      <c r="Z34" s="1553"/>
      <c r="AA34" s="1554"/>
      <c r="AB34" s="1555"/>
      <c r="AC34" s="1555"/>
      <c r="AD34" s="1555"/>
      <c r="AE34" s="1555"/>
      <c r="AF34" s="1555"/>
      <c r="AG34" s="1555"/>
      <c r="AH34" s="1555"/>
      <c r="AI34" s="1555"/>
      <c r="AJ34" s="1555"/>
      <c r="AK34" s="1555"/>
      <c r="AL34" s="1555"/>
      <c r="AM34" s="1555"/>
      <c r="AN34" s="1555"/>
      <c r="AO34" s="1556"/>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506"/>
      <c r="CU34" s="1557"/>
      <c r="CV34" s="1557"/>
      <c r="CW34" s="1558">
        <f>IF(Basisdaten!$B$15="English",CY34,CX34)</f>
        <v>0</v>
      </c>
      <c r="CX34" s="884"/>
      <c r="CY34" s="884"/>
      <c r="CZ34" s="881"/>
    </row>
    <row r="35" spans="1:104" ht="15" customHeight="1">
      <c r="C35" s="71"/>
      <c r="T35" s="2237"/>
      <c r="U35" s="40"/>
      <c r="V35" s="40"/>
      <c r="W35" s="247"/>
      <c r="Y35" s="874"/>
      <c r="Z35" s="301"/>
      <c r="AA35" s="994"/>
      <c r="AB35" s="875"/>
      <c r="AC35" s="875"/>
      <c r="AD35" s="875"/>
      <c r="AE35" s="875"/>
      <c r="AF35" s="875"/>
      <c r="AG35" s="875"/>
      <c r="AH35" s="875"/>
      <c r="AI35" s="875"/>
      <c r="AJ35" s="875"/>
      <c r="AK35" s="875"/>
      <c r="AL35" s="875"/>
      <c r="AM35" s="875"/>
      <c r="AN35" s="875"/>
      <c r="AO35" s="225"/>
      <c r="AP35" s="71"/>
      <c r="CW35" s="383" t="str">
        <f>IF(Basisdaten!$B$15="English",CY35,CX35)</f>
        <v>VbM(%Ums) =</v>
      </c>
      <c r="CX35" s="305" t="s">
        <v>719</v>
      </c>
      <c r="CY35" s="305" t="s">
        <v>720</v>
      </c>
      <c r="CZ35" s="881"/>
    </row>
    <row r="36" spans="1:104" ht="24.6" customHeight="1">
      <c r="A36" s="336" t="s">
        <v>507</v>
      </c>
      <c r="D36" s="128" t="str">
        <f ca="1">CW23</f>
        <v>2a-2 Umsatz  (ohne MwSt) für die Monate des Jahres 2027</v>
      </c>
      <c r="E36" s="128"/>
      <c r="V36" s="268"/>
      <c r="W36" s="37"/>
      <c r="Y36" s="71"/>
      <c r="Z36" s="71"/>
      <c r="AA36" s="71"/>
      <c r="AB36" s="71"/>
      <c r="AC36" s="71"/>
      <c r="AD36" s="71"/>
      <c r="AE36" s="71"/>
      <c r="AF36" s="71"/>
      <c r="AG36" s="71"/>
      <c r="AH36" s="71"/>
      <c r="AI36" s="71"/>
      <c r="AJ36" s="71"/>
      <c r="AK36" s="71"/>
      <c r="AL36" s="71"/>
      <c r="AM36" s="71"/>
      <c r="AN36" s="71"/>
      <c r="AO36" s="71"/>
      <c r="AP36" s="30"/>
      <c r="AQ36" s="37"/>
      <c r="AR36" s="37"/>
      <c r="AS36" s="37"/>
      <c r="AT36" s="37"/>
      <c r="AU36" s="37"/>
      <c r="AV36" s="37"/>
      <c r="AW36" s="37"/>
      <c r="AX36" s="37"/>
      <c r="AY36" s="37"/>
      <c r="AZ36" s="37"/>
      <c r="BA36" s="37"/>
      <c r="BB36" s="37"/>
      <c r="BC36" s="37"/>
      <c r="BD36" s="37"/>
      <c r="BE36" s="37"/>
      <c r="BF36" s="37"/>
      <c r="BG36" s="37"/>
      <c r="BH36" s="37"/>
      <c r="BI36" s="37"/>
      <c r="BJ36" s="37"/>
      <c r="CW36" s="383" t="str">
        <f>IF(Basisdaten!$B$15="English",CY36,CX36)</f>
        <v xml:space="preserve">MaKo(%Ums) = </v>
      </c>
      <c r="CX36" s="305" t="s">
        <v>804</v>
      </c>
      <c r="CY36" s="305" t="s">
        <v>721</v>
      </c>
      <c r="CZ36" s="881"/>
    </row>
    <row r="37" spans="1:104" ht="9.9" customHeight="1">
      <c r="H37" s="88">
        <v>1</v>
      </c>
      <c r="I37" s="88">
        <v>2</v>
      </c>
      <c r="J37" s="88">
        <v>3</v>
      </c>
      <c r="K37" s="88">
        <v>4</v>
      </c>
      <c r="L37" s="88">
        <v>5</v>
      </c>
      <c r="M37" s="88">
        <v>6</v>
      </c>
      <c r="N37" s="88">
        <v>7</v>
      </c>
      <c r="O37" s="88">
        <v>8</v>
      </c>
      <c r="P37" s="88">
        <v>9</v>
      </c>
      <c r="Q37" s="88">
        <v>10</v>
      </c>
      <c r="R37" s="88">
        <v>11</v>
      </c>
      <c r="S37" s="88">
        <v>12</v>
      </c>
      <c r="U37" s="1518"/>
      <c r="V37" s="1519"/>
      <c r="W37" s="37"/>
      <c r="Y37" s="71"/>
      <c r="Z37" s="830"/>
      <c r="AA37" s="71"/>
      <c r="AB37" s="71"/>
      <c r="AC37" s="71"/>
      <c r="AD37" s="71"/>
      <c r="AE37" s="71"/>
      <c r="AF37" s="71"/>
      <c r="AG37" s="71"/>
      <c r="AH37" s="71"/>
      <c r="AI37" s="71"/>
      <c r="AJ37" s="71"/>
      <c r="AK37" s="71"/>
      <c r="AL37" s="71"/>
      <c r="AM37" s="71"/>
      <c r="AN37" s="71"/>
      <c r="AO37" s="71"/>
      <c r="AP37" s="30"/>
      <c r="AQ37" s="37"/>
      <c r="AR37" s="37"/>
      <c r="AS37" s="37"/>
      <c r="AT37" s="37"/>
      <c r="AU37" s="37"/>
      <c r="AV37" s="37"/>
      <c r="AW37" s="37"/>
      <c r="AX37" s="37"/>
      <c r="AY37" s="37"/>
      <c r="AZ37" s="37"/>
      <c r="BA37" s="37"/>
      <c r="BB37" s="37"/>
      <c r="BC37" s="37"/>
      <c r="BD37" s="37"/>
      <c r="BE37" s="37"/>
      <c r="BF37" s="37"/>
      <c r="BG37" s="37"/>
      <c r="BH37" s="37"/>
      <c r="BI37" s="37"/>
      <c r="BJ37" s="37"/>
      <c r="CW37" s="383" t="str">
        <f>IF(Basisdaten!$B$15="English",CY37,CX37)</f>
        <v>markierte Zellen sind nicht geschützt</v>
      </c>
      <c r="CX37" s="383" t="s">
        <v>697</v>
      </c>
      <c r="CY37" s="383" t="s">
        <v>698</v>
      </c>
      <c r="CZ37" s="881"/>
    </row>
    <row r="38" spans="1:104" ht="15.9" customHeight="1">
      <c r="C38" s="2178"/>
      <c r="D38" s="835" t="s">
        <v>186</v>
      </c>
      <c r="E38" s="2224" t="str">
        <f>E4</f>
        <v>Umsatz nach gewählter Geschäftsart</v>
      </c>
      <c r="F38" s="2225"/>
      <c r="G38" s="2226"/>
      <c r="H38" s="836" t="str">
        <f t="shared" ref="H38:S38" si="20">H4</f>
        <v>Jan.</v>
      </c>
      <c r="I38" s="836" t="str">
        <f t="shared" si="20"/>
        <v>Feb</v>
      </c>
      <c r="J38" s="836" t="str">
        <f t="shared" si="20"/>
        <v>Mrz</v>
      </c>
      <c r="K38" s="836" t="str">
        <f t="shared" si="20"/>
        <v>Apr</v>
      </c>
      <c r="L38" s="836" t="str">
        <f t="shared" si="20"/>
        <v>Mai</v>
      </c>
      <c r="M38" s="836" t="str">
        <f t="shared" si="20"/>
        <v>Jun</v>
      </c>
      <c r="N38" s="836" t="str">
        <f t="shared" si="20"/>
        <v>Jul</v>
      </c>
      <c r="O38" s="836" t="str">
        <f t="shared" si="20"/>
        <v>Aug</v>
      </c>
      <c r="P38" s="836" t="str">
        <f t="shared" si="20"/>
        <v>Sep</v>
      </c>
      <c r="Q38" s="836" t="str">
        <f t="shared" si="20"/>
        <v>Okt</v>
      </c>
      <c r="R38" s="836" t="str">
        <f t="shared" si="20"/>
        <v>Nov</v>
      </c>
      <c r="S38" s="836" t="str">
        <f t="shared" si="20"/>
        <v>Dez</v>
      </c>
      <c r="T38" s="836" t="str">
        <f ca="1">Basisdaten!O16</f>
        <v>Jahr 2027</v>
      </c>
      <c r="V38" s="268"/>
      <c r="W38" s="837" t="str">
        <f>W4</f>
        <v>Aufgabe / Kommentar</v>
      </c>
      <c r="Y38" s="71"/>
      <c r="Z38" s="71"/>
      <c r="AA38" s="135"/>
      <c r="AB38" s="832"/>
      <c r="AC38" s="833"/>
      <c r="AD38" s="833"/>
      <c r="AE38" s="833"/>
      <c r="AF38" s="833"/>
      <c r="AG38" s="833"/>
      <c r="AH38" s="833"/>
      <c r="AI38" s="833"/>
      <c r="AJ38" s="833"/>
      <c r="AK38" s="833"/>
      <c r="AL38" s="833"/>
      <c r="AM38" s="833"/>
      <c r="AN38" s="833"/>
      <c r="AO38" s="71"/>
      <c r="AP38" s="30"/>
      <c r="AQ38" s="37"/>
      <c r="AR38" s="37"/>
      <c r="AS38" s="37"/>
      <c r="AT38" s="37"/>
      <c r="AU38" s="37"/>
      <c r="AV38" s="37"/>
      <c r="AW38" s="37"/>
      <c r="AX38" s="37"/>
      <c r="AY38" s="37"/>
      <c r="AZ38" s="37"/>
      <c r="BA38" s="37"/>
      <c r="BB38" s="37"/>
      <c r="BC38" s="37"/>
      <c r="BD38" s="37"/>
      <c r="BE38" s="37"/>
      <c r="BF38" s="37"/>
      <c r="BG38" s="37"/>
      <c r="BH38" s="37"/>
      <c r="BI38" s="37"/>
      <c r="BJ38" s="37"/>
      <c r="CX38" s="305"/>
      <c r="CY38" s="305"/>
      <c r="CZ38" s="881"/>
    </row>
    <row r="39" spans="1:104" ht="15.9" customHeight="1">
      <c r="C39" s="2179"/>
      <c r="D39" s="882">
        <f>D5</f>
        <v>1</v>
      </c>
      <c r="E39" s="2227" t="str">
        <f>E5</f>
        <v>Auswahl/Choose</v>
      </c>
      <c r="F39" s="2199"/>
      <c r="G39" s="2228"/>
      <c r="H39" s="840" t="str">
        <f>H5</f>
        <v/>
      </c>
      <c r="I39" s="840" t="str">
        <f t="shared" ref="I39:S39" si="21">H39</f>
        <v/>
      </c>
      <c r="J39" s="840" t="str">
        <f t="shared" si="21"/>
        <v/>
      </c>
      <c r="K39" s="840" t="str">
        <f t="shared" si="21"/>
        <v/>
      </c>
      <c r="L39" s="840" t="str">
        <f t="shared" si="21"/>
        <v/>
      </c>
      <c r="M39" s="840" t="str">
        <f t="shared" si="21"/>
        <v/>
      </c>
      <c r="N39" s="840" t="str">
        <f t="shared" si="21"/>
        <v/>
      </c>
      <c r="O39" s="840" t="str">
        <f t="shared" si="21"/>
        <v/>
      </c>
      <c r="P39" s="840" t="str">
        <f t="shared" si="21"/>
        <v/>
      </c>
      <c r="Q39" s="840" t="str">
        <f t="shared" si="21"/>
        <v/>
      </c>
      <c r="R39" s="840" t="str">
        <f t="shared" si="21"/>
        <v/>
      </c>
      <c r="S39" s="840" t="str">
        <f t="shared" si="21"/>
        <v/>
      </c>
      <c r="T39" s="992"/>
      <c r="V39" s="268"/>
      <c r="W39" s="48"/>
      <c r="X39" s="48"/>
      <c r="Y39" s="71"/>
      <c r="Z39" s="71"/>
      <c r="AA39" s="71"/>
      <c r="AB39" s="71"/>
      <c r="AC39" s="71"/>
      <c r="AD39" s="71"/>
      <c r="AE39" s="71"/>
      <c r="AF39" s="71"/>
      <c r="AG39" s="71"/>
      <c r="AH39" s="71"/>
      <c r="AI39" s="71"/>
      <c r="AJ39" s="71"/>
      <c r="AK39" s="71"/>
      <c r="AL39" s="71"/>
      <c r="AM39" s="71"/>
      <c r="AN39" s="71"/>
      <c r="AO39" s="71"/>
      <c r="AP39" s="30"/>
      <c r="AQ39" s="37"/>
      <c r="AR39" s="37"/>
      <c r="AS39" s="37"/>
      <c r="AT39" s="37"/>
      <c r="AU39" s="37"/>
      <c r="AV39" s="37"/>
      <c r="AW39" s="37"/>
      <c r="AX39" s="37"/>
      <c r="AY39" s="37"/>
      <c r="AZ39" s="37"/>
      <c r="BA39" s="37"/>
      <c r="BB39" s="37"/>
      <c r="BC39" s="37"/>
      <c r="BD39" s="37"/>
      <c r="BE39" s="37"/>
      <c r="BF39" s="37"/>
      <c r="BG39" s="37"/>
      <c r="BH39" s="37"/>
      <c r="BI39" s="37"/>
      <c r="BJ39" s="37"/>
      <c r="CW39" s="383" t="str">
        <f>IF(Basisdaten!$B$15="English",CY39,CX39)</f>
        <v>Umsatz nach gewählter Geschäftsart</v>
      </c>
      <c r="CX39" s="296" t="s">
        <v>777</v>
      </c>
      <c r="CY39" s="296" t="s">
        <v>778</v>
      </c>
      <c r="CZ39" s="881"/>
    </row>
    <row r="40" spans="1:104" ht="15.9" customHeight="1">
      <c r="C40" s="2183">
        <f>C6</f>
        <v>0.19</v>
      </c>
      <c r="D40" s="883" t="s">
        <v>306</v>
      </c>
      <c r="E40" s="980" t="str">
        <f>E6</f>
        <v>Entwicklungsleistungen</v>
      </c>
      <c r="F40" s="47" t="str">
        <f>F6</f>
        <v/>
      </c>
      <c r="G40" s="1869"/>
      <c r="H40" s="1046"/>
      <c r="I40" s="1046"/>
      <c r="J40" s="1046"/>
      <c r="K40" s="1046"/>
      <c r="L40" s="1046"/>
      <c r="M40" s="1046"/>
      <c r="N40" s="1046"/>
      <c r="O40" s="1046"/>
      <c r="P40" s="1046"/>
      <c r="Q40" s="1046"/>
      <c r="R40" s="1046"/>
      <c r="S40" s="1046"/>
      <c r="T40" s="842">
        <f>SUM(H40:S40)</f>
        <v>0</v>
      </c>
      <c r="V40" s="268"/>
      <c r="W40" s="631"/>
      <c r="Y40" s="71"/>
      <c r="Z40" s="71"/>
      <c r="AA40" s="71"/>
      <c r="AB40" s="71"/>
      <c r="AC40" s="71"/>
      <c r="AD40" s="71"/>
      <c r="AE40" s="71"/>
      <c r="AF40" s="71"/>
      <c r="AG40" s="71"/>
      <c r="AH40" s="71"/>
      <c r="AI40" s="71"/>
      <c r="AJ40" s="71"/>
      <c r="AK40" s="71"/>
      <c r="AL40" s="71"/>
      <c r="AM40" s="71"/>
      <c r="AN40" s="71"/>
      <c r="AO40" s="71"/>
      <c r="AP40" s="30"/>
      <c r="AQ40" s="37"/>
      <c r="AR40" s="37"/>
      <c r="AS40" s="37"/>
      <c r="AT40" s="37"/>
      <c r="AU40" s="37"/>
      <c r="AV40" s="37"/>
      <c r="AW40" s="37"/>
      <c r="AX40" s="37"/>
      <c r="AY40" s="37"/>
      <c r="AZ40" s="37"/>
      <c r="BA40" s="37"/>
      <c r="BB40" s="37"/>
      <c r="BC40" s="37"/>
      <c r="BD40" s="37"/>
      <c r="BE40" s="37"/>
      <c r="BF40" s="37"/>
      <c r="BG40" s="37"/>
      <c r="BH40" s="37"/>
      <c r="BI40" s="37"/>
      <c r="BJ40" s="37"/>
      <c r="CW40" s="383" t="str">
        <f>IF(Basisdaten!$B$15="English",CY40,CX40)</f>
        <v>Auswahl/Choose</v>
      </c>
      <c r="CX40" s="487" t="s">
        <v>1007</v>
      </c>
      <c r="CY40" s="487" t="s">
        <v>1007</v>
      </c>
      <c r="CZ40" s="881"/>
    </row>
    <row r="41" spans="1:104" ht="15.9" customHeight="1">
      <c r="C41" s="2184"/>
      <c r="D41" s="345"/>
      <c r="E41" s="844" t="str">
        <f>E7</f>
        <v xml:space="preserve">Verbrauchsmaterial (% v.Umsatz) </v>
      </c>
      <c r="F41" s="1383"/>
      <c r="G41" s="1050" t="str">
        <f>IF(OR($E$5=$CW$40,$E$5=$CW$41),"",$CW$41)&amp;" ="</f>
        <v xml:space="preserve"> =</v>
      </c>
      <c r="H41" s="845">
        <f>IF($E$5=$CV$6,H40*$H$37,H40*$G40)</f>
        <v>0</v>
      </c>
      <c r="I41" s="845">
        <f t="shared" ref="I41:S41" si="22">IF($E$5=$CV$6,I40*$H$37,I40*$G40)</f>
        <v>0</v>
      </c>
      <c r="J41" s="845">
        <f t="shared" si="22"/>
        <v>0</v>
      </c>
      <c r="K41" s="845">
        <f t="shared" si="22"/>
        <v>0</v>
      </c>
      <c r="L41" s="845">
        <f t="shared" si="22"/>
        <v>0</v>
      </c>
      <c r="M41" s="845">
        <f t="shared" si="22"/>
        <v>0</v>
      </c>
      <c r="N41" s="845">
        <f t="shared" si="22"/>
        <v>0</v>
      </c>
      <c r="O41" s="845">
        <f t="shared" si="22"/>
        <v>0</v>
      </c>
      <c r="P41" s="845">
        <f t="shared" si="22"/>
        <v>0</v>
      </c>
      <c r="Q41" s="845">
        <f t="shared" si="22"/>
        <v>0</v>
      </c>
      <c r="R41" s="845">
        <f t="shared" si="22"/>
        <v>0</v>
      </c>
      <c r="S41" s="845">
        <f t="shared" si="22"/>
        <v>0</v>
      </c>
      <c r="T41" s="846">
        <f>IF($E$5=$CW$41,T40*F41,SUM(H41:S41))</f>
        <v>0</v>
      </c>
      <c r="V41" s="268"/>
      <c r="W41" s="631"/>
      <c r="Y41" s="71"/>
      <c r="Z41" s="71"/>
      <c r="AA41" s="71"/>
      <c r="AB41" s="71"/>
      <c r="AC41" s="71"/>
      <c r="AD41" s="71"/>
      <c r="AE41" s="71"/>
      <c r="AF41" s="71"/>
      <c r="AG41" s="71"/>
      <c r="AH41" s="71"/>
      <c r="AI41" s="71"/>
      <c r="AJ41" s="71"/>
      <c r="AK41" s="71"/>
      <c r="AL41" s="71"/>
      <c r="AM41" s="71"/>
      <c r="AN41" s="71"/>
      <c r="AO41" s="71"/>
      <c r="AP41" s="30"/>
      <c r="AQ41" s="37"/>
      <c r="AR41" s="37"/>
      <c r="AS41" s="37"/>
      <c r="AT41" s="37"/>
      <c r="AU41" s="37"/>
      <c r="AV41" s="37"/>
      <c r="AW41" s="37"/>
      <c r="AX41" s="37"/>
      <c r="AY41" s="37"/>
      <c r="AZ41" s="37"/>
      <c r="BA41" s="37"/>
      <c r="BB41" s="37"/>
      <c r="BC41" s="37"/>
      <c r="BD41" s="37"/>
      <c r="BE41" s="37"/>
      <c r="BF41" s="37"/>
      <c r="BG41" s="37"/>
      <c r="BH41" s="37"/>
      <c r="BI41" s="37"/>
      <c r="BJ41" s="37"/>
      <c r="CV41" s="383" t="str">
        <f>CW30</f>
        <v xml:space="preserve">Verbrauchsmaterial (% v.Umsatz) </v>
      </c>
      <c r="CW41" s="383" t="str">
        <f>IF(Basisdaten!$B$15="English",CY41,CX41)</f>
        <v>Umsatz</v>
      </c>
      <c r="CX41" s="305" t="s">
        <v>345</v>
      </c>
      <c r="CY41" s="305" t="s">
        <v>913</v>
      </c>
      <c r="CZ41" s="881"/>
    </row>
    <row r="42" spans="1:104" ht="15.9" customHeight="1">
      <c r="C42" s="2184"/>
      <c r="D42" s="345" t="s">
        <v>307</v>
      </c>
      <c r="E42" s="980" t="str">
        <f>E8</f>
        <v>Auswahl/Choose_1.2</v>
      </c>
      <c r="F42" s="47" t="str">
        <f>F40</f>
        <v/>
      </c>
      <c r="G42" s="1869"/>
      <c r="H42" s="1046"/>
      <c r="I42" s="1046"/>
      <c r="J42" s="1046"/>
      <c r="K42" s="1046"/>
      <c r="L42" s="1046"/>
      <c r="M42" s="1046"/>
      <c r="N42" s="1046"/>
      <c r="O42" s="1046"/>
      <c r="P42" s="1046"/>
      <c r="Q42" s="1046"/>
      <c r="R42" s="1046"/>
      <c r="S42" s="1046"/>
      <c r="T42" s="842">
        <f>SUM(H42:S42)</f>
        <v>0</v>
      </c>
      <c r="V42" s="268"/>
      <c r="W42" s="631"/>
      <c r="Y42" s="71"/>
      <c r="Z42" s="71"/>
      <c r="AA42" s="71"/>
      <c r="AB42" s="71"/>
      <c r="AC42" s="71"/>
      <c r="AD42" s="71"/>
      <c r="AE42" s="71"/>
      <c r="AF42" s="71"/>
      <c r="AG42" s="71"/>
      <c r="AH42" s="71"/>
      <c r="AI42" s="71"/>
      <c r="AJ42" s="71"/>
      <c r="AK42" s="71"/>
      <c r="AL42" s="71"/>
      <c r="AM42" s="71"/>
      <c r="AN42" s="71"/>
      <c r="AO42" s="71"/>
      <c r="AP42" s="30"/>
      <c r="AQ42" s="37"/>
      <c r="AR42" s="37"/>
      <c r="AS42" s="37"/>
      <c r="AT42" s="37"/>
      <c r="AU42" s="37"/>
      <c r="AV42" s="37"/>
      <c r="AW42" s="37"/>
      <c r="AX42" s="37"/>
      <c r="AY42" s="37"/>
      <c r="AZ42" s="37"/>
      <c r="BA42" s="37"/>
      <c r="BB42" s="37"/>
      <c r="BC42" s="37"/>
      <c r="BD42" s="37"/>
      <c r="BE42" s="37"/>
      <c r="BF42" s="37"/>
      <c r="BG42" s="37"/>
      <c r="BH42" s="37"/>
      <c r="BI42" s="37"/>
      <c r="BJ42" s="37"/>
      <c r="CV42" s="383"/>
      <c r="CW42" s="383" t="str">
        <f>IF(Basisdaten!$B$15="English",CY42,CX42)</f>
        <v>Jahresumsatz</v>
      </c>
      <c r="CX42" s="305" t="s">
        <v>747</v>
      </c>
      <c r="CY42" s="305" t="s">
        <v>842</v>
      </c>
      <c r="CZ42" s="881"/>
    </row>
    <row r="43" spans="1:104" ht="15.9" customHeight="1">
      <c r="C43" s="2184"/>
      <c r="D43" s="345"/>
      <c r="E43" s="844" t="str">
        <f>E41</f>
        <v xml:space="preserve">Verbrauchsmaterial (% v.Umsatz) </v>
      </c>
      <c r="F43" s="1383"/>
      <c r="G43" s="1050" t="str">
        <f>G41</f>
        <v xml:space="preserve"> =</v>
      </c>
      <c r="H43" s="845">
        <f t="shared" ref="H43:S43" si="23">IF($E$5=$CV$6,H42*$H$37,H42*$G42)</f>
        <v>0</v>
      </c>
      <c r="I43" s="845">
        <f t="shared" si="23"/>
        <v>0</v>
      </c>
      <c r="J43" s="845">
        <f t="shared" si="23"/>
        <v>0</v>
      </c>
      <c r="K43" s="845">
        <f t="shared" si="23"/>
        <v>0</v>
      </c>
      <c r="L43" s="845">
        <f t="shared" si="23"/>
        <v>0</v>
      </c>
      <c r="M43" s="845">
        <f t="shared" si="23"/>
        <v>0</v>
      </c>
      <c r="N43" s="845">
        <f t="shared" si="23"/>
        <v>0</v>
      </c>
      <c r="O43" s="845">
        <f t="shared" si="23"/>
        <v>0</v>
      </c>
      <c r="P43" s="845">
        <f t="shared" si="23"/>
        <v>0</v>
      </c>
      <c r="Q43" s="845">
        <f t="shared" si="23"/>
        <v>0</v>
      </c>
      <c r="R43" s="845">
        <f t="shared" si="23"/>
        <v>0</v>
      </c>
      <c r="S43" s="845">
        <f t="shared" si="23"/>
        <v>0</v>
      </c>
      <c r="T43" s="846">
        <f>IF($E$5=$CW$41,T42*F41,SUM(H43:S43))</f>
        <v>0</v>
      </c>
      <c r="V43" s="268"/>
      <c r="W43" s="631"/>
      <c r="Y43" s="71"/>
      <c r="Z43" s="71"/>
      <c r="AA43" s="71"/>
      <c r="AB43" s="71"/>
      <c r="AC43" s="71"/>
      <c r="AD43" s="71"/>
      <c r="AE43" s="71"/>
      <c r="AF43" s="71"/>
      <c r="AG43" s="71"/>
      <c r="AH43" s="71"/>
      <c r="AI43" s="71"/>
      <c r="AJ43" s="71"/>
      <c r="AK43" s="71"/>
      <c r="AL43" s="71"/>
      <c r="AM43" s="71"/>
      <c r="AN43" s="71"/>
      <c r="AO43" s="71"/>
      <c r="AP43" s="30"/>
      <c r="AQ43" s="37"/>
      <c r="AR43" s="37"/>
      <c r="AS43" s="37"/>
      <c r="AT43" s="37"/>
      <c r="AU43" s="37"/>
      <c r="AV43" s="37"/>
      <c r="AW43" s="37"/>
      <c r="AX43" s="37"/>
      <c r="AY43" s="37"/>
      <c r="AZ43" s="37"/>
      <c r="BA43" s="37"/>
      <c r="BB43" s="37"/>
      <c r="BC43" s="37"/>
      <c r="BD43" s="37"/>
      <c r="BE43" s="37"/>
      <c r="BF43" s="37"/>
      <c r="BG43" s="37"/>
      <c r="BH43" s="37"/>
      <c r="BI43" s="37"/>
      <c r="BJ43" s="37"/>
      <c r="CV43" s="383" t="str">
        <f>CW27</f>
        <v xml:space="preserve">Nebenkosten (% v.Umsatz) </v>
      </c>
      <c r="CW43" s="383" t="str">
        <f>IF(Basisdaten!$B$15="English",CY43,CX43)</f>
        <v>Dienstleistung</v>
      </c>
      <c r="CX43" s="305" t="s">
        <v>723</v>
      </c>
      <c r="CY43" s="305" t="s">
        <v>664</v>
      </c>
      <c r="CZ43" s="881"/>
    </row>
    <row r="44" spans="1:104" ht="15.9" customHeight="1">
      <c r="C44" s="2184"/>
      <c r="D44" s="345" t="s">
        <v>308</v>
      </c>
      <c r="E44" s="980" t="str">
        <f>E10</f>
        <v/>
      </c>
      <c r="F44" s="47" t="str">
        <f>F40</f>
        <v/>
      </c>
      <c r="G44" s="1869"/>
      <c r="H44" s="1046"/>
      <c r="I44" s="1046"/>
      <c r="J44" s="1046"/>
      <c r="K44" s="1046"/>
      <c r="L44" s="1046"/>
      <c r="M44" s="1046"/>
      <c r="N44" s="1046"/>
      <c r="O44" s="1046"/>
      <c r="P44" s="1046"/>
      <c r="Q44" s="1046"/>
      <c r="R44" s="1046"/>
      <c r="S44" s="1046"/>
      <c r="T44" s="848">
        <f>SUM(H44:S44)</f>
        <v>0</v>
      </c>
      <c r="V44" s="268"/>
      <c r="W44" s="631"/>
      <c r="Y44" s="71"/>
      <c r="Z44" s="71"/>
      <c r="AA44" s="71"/>
      <c r="AB44" s="71"/>
      <c r="AC44" s="71"/>
      <c r="AD44" s="71"/>
      <c r="AE44" s="71"/>
      <c r="AF44" s="71"/>
      <c r="AG44" s="71"/>
      <c r="AH44" s="71"/>
      <c r="AI44" s="71"/>
      <c r="AJ44" s="71"/>
      <c r="AK44" s="71"/>
      <c r="AL44" s="71"/>
      <c r="AM44" s="71"/>
      <c r="AN44" s="71"/>
      <c r="AO44" s="71"/>
      <c r="AP44" s="30"/>
      <c r="AQ44" s="37"/>
      <c r="AR44" s="37"/>
      <c r="AS44" s="37"/>
      <c r="AT44" s="37"/>
      <c r="AU44" s="37"/>
      <c r="AV44" s="37"/>
      <c r="AW44" s="37"/>
      <c r="AX44" s="37"/>
      <c r="AY44" s="37"/>
      <c r="AZ44" s="37"/>
      <c r="BA44" s="37"/>
      <c r="BB44" s="37"/>
      <c r="BC44" s="37"/>
      <c r="BD44" s="37"/>
      <c r="BE44" s="37"/>
      <c r="BF44" s="37"/>
      <c r="BG44" s="37"/>
      <c r="BH44" s="37"/>
      <c r="BI44" s="37"/>
      <c r="BJ44" s="37"/>
      <c r="CV44" s="383"/>
      <c r="CW44" s="383" t="str">
        <f>IF(Basisdaten!$B$15="English",CY44,CX44)</f>
        <v>Stundensatz =</v>
      </c>
      <c r="CX44" s="305" t="s">
        <v>742</v>
      </c>
      <c r="CY44" s="305" t="s">
        <v>764</v>
      </c>
      <c r="CZ44" s="881"/>
    </row>
    <row r="45" spans="1:104" ht="15.9" customHeight="1">
      <c r="C45" s="2184"/>
      <c r="D45" s="345"/>
      <c r="E45" s="844" t="str">
        <f>E43</f>
        <v xml:space="preserve">Verbrauchsmaterial (% v.Umsatz) </v>
      </c>
      <c r="F45" s="1383"/>
      <c r="G45" s="1050" t="str">
        <f>G43</f>
        <v xml:space="preserve"> =</v>
      </c>
      <c r="H45" s="845">
        <f t="shared" ref="H45:S45" si="24">IF($E$5=$CV$6,H44*$H$37,H44*$G44)</f>
        <v>0</v>
      </c>
      <c r="I45" s="845">
        <f t="shared" si="24"/>
        <v>0</v>
      </c>
      <c r="J45" s="845">
        <f t="shared" si="24"/>
        <v>0</v>
      </c>
      <c r="K45" s="845">
        <f t="shared" si="24"/>
        <v>0</v>
      </c>
      <c r="L45" s="845">
        <f t="shared" si="24"/>
        <v>0</v>
      </c>
      <c r="M45" s="845">
        <f t="shared" si="24"/>
        <v>0</v>
      </c>
      <c r="N45" s="845">
        <f t="shared" si="24"/>
        <v>0</v>
      </c>
      <c r="O45" s="845">
        <f t="shared" si="24"/>
        <v>0</v>
      </c>
      <c r="P45" s="845">
        <f t="shared" si="24"/>
        <v>0</v>
      </c>
      <c r="Q45" s="845">
        <f t="shared" si="24"/>
        <v>0</v>
      </c>
      <c r="R45" s="845">
        <f t="shared" si="24"/>
        <v>0</v>
      </c>
      <c r="S45" s="845">
        <f t="shared" si="24"/>
        <v>0</v>
      </c>
      <c r="T45" s="846">
        <f>IF($E$5=$CW$41,T44*F41,SUM(H45:S45))</f>
        <v>0</v>
      </c>
      <c r="V45" s="268"/>
      <c r="W45" s="631"/>
      <c r="Y45" s="71"/>
      <c r="Z45" s="71"/>
      <c r="AA45" s="71"/>
      <c r="AB45" s="71"/>
      <c r="AC45" s="71"/>
      <c r="AD45" s="71"/>
      <c r="AE45" s="71"/>
      <c r="AF45" s="71"/>
      <c r="AG45" s="71"/>
      <c r="AH45" s="71"/>
      <c r="AI45" s="71"/>
      <c r="AJ45" s="71"/>
      <c r="AK45" s="71"/>
      <c r="AL45" s="71"/>
      <c r="AM45" s="71"/>
      <c r="AN45" s="71"/>
      <c r="AO45" s="71"/>
      <c r="AP45" s="30"/>
      <c r="AQ45" s="37"/>
      <c r="AR45" s="37"/>
      <c r="AS45" s="37"/>
      <c r="AT45" s="37"/>
      <c r="AU45" s="37"/>
      <c r="AV45" s="37"/>
      <c r="AW45" s="37"/>
      <c r="AX45" s="37"/>
      <c r="AY45" s="37"/>
      <c r="AZ45" s="37"/>
      <c r="BA45" s="37"/>
      <c r="BB45" s="37"/>
      <c r="BC45" s="37"/>
      <c r="BD45" s="37"/>
      <c r="BE45" s="37"/>
      <c r="BF45" s="37"/>
      <c r="BG45" s="37"/>
      <c r="BH45" s="37"/>
      <c r="BI45" s="37"/>
      <c r="BJ45" s="37"/>
      <c r="CV45" s="383"/>
      <c r="CW45" s="383" t="str">
        <f>IF(Basisdaten!$B$15="English",CY45,CX45)</f>
        <v>Stunden</v>
      </c>
      <c r="CX45" s="305" t="s">
        <v>725</v>
      </c>
      <c r="CY45" s="305" t="s">
        <v>726</v>
      </c>
      <c r="CZ45" s="881"/>
    </row>
    <row r="46" spans="1:104" ht="15.9" customHeight="1">
      <c r="C46" s="2184"/>
      <c r="D46" s="345" t="s">
        <v>309</v>
      </c>
      <c r="E46" s="980" t="str">
        <f>E12</f>
        <v/>
      </c>
      <c r="F46" s="47" t="str">
        <f>F40</f>
        <v/>
      </c>
      <c r="G46" s="1869"/>
      <c r="H46" s="1046"/>
      <c r="I46" s="1046"/>
      <c r="J46" s="1046"/>
      <c r="K46" s="1046"/>
      <c r="L46" s="1046"/>
      <c r="M46" s="1046"/>
      <c r="N46" s="1046"/>
      <c r="O46" s="1046"/>
      <c r="P46" s="1046"/>
      <c r="Q46" s="1046"/>
      <c r="R46" s="1046"/>
      <c r="S46" s="1046"/>
      <c r="T46" s="848">
        <f>SUM(H46:S46)</f>
        <v>0</v>
      </c>
      <c r="V46" s="268"/>
      <c r="W46" s="631"/>
      <c r="Y46" s="71"/>
      <c r="Z46" s="71"/>
      <c r="AA46" s="71"/>
      <c r="AB46" s="71"/>
      <c r="AC46" s="71"/>
      <c r="AD46" s="71"/>
      <c r="AE46" s="71"/>
      <c r="AF46" s="71"/>
      <c r="AG46" s="71"/>
      <c r="AH46" s="71"/>
      <c r="AI46" s="71"/>
      <c r="AJ46" s="71"/>
      <c r="AK46" s="71"/>
      <c r="AL46" s="71"/>
      <c r="AM46" s="71"/>
      <c r="AN46" s="71"/>
      <c r="AO46" s="71"/>
      <c r="AP46" s="30"/>
      <c r="AQ46" s="37"/>
      <c r="AR46" s="37"/>
      <c r="AS46" s="37"/>
      <c r="AT46" s="37"/>
      <c r="AU46" s="37"/>
      <c r="AV46" s="37"/>
      <c r="AW46" s="37"/>
      <c r="AX46" s="37"/>
      <c r="AY46" s="37"/>
      <c r="AZ46" s="37"/>
      <c r="BA46" s="37"/>
      <c r="BB46" s="37"/>
      <c r="BC46" s="37"/>
      <c r="BD46" s="37"/>
      <c r="BE46" s="37"/>
      <c r="BF46" s="37"/>
      <c r="BG46" s="37"/>
      <c r="BH46" s="37"/>
      <c r="BI46" s="37"/>
      <c r="BJ46" s="37"/>
      <c r="CV46" s="383"/>
      <c r="CW46" s="383" t="str">
        <f>IF(Basisdaten!$B$15="English",CY46,CX46)</f>
        <v>Stundensätze</v>
      </c>
      <c r="CX46" s="305" t="s">
        <v>840</v>
      </c>
      <c r="CY46" s="305" t="s">
        <v>841</v>
      </c>
      <c r="CZ46" s="881"/>
    </row>
    <row r="47" spans="1:104" ht="15.9" customHeight="1" thickBot="1">
      <c r="C47" s="2185"/>
      <c r="D47" s="360"/>
      <c r="E47" s="844" t="str">
        <f>E45</f>
        <v xml:space="preserve">Verbrauchsmaterial (% v.Umsatz) </v>
      </c>
      <c r="F47" s="1383"/>
      <c r="G47" s="1050" t="str">
        <f>G45</f>
        <v xml:space="preserve"> =</v>
      </c>
      <c r="H47" s="845">
        <f t="shared" ref="H47:S47" si="25">IF($E$5=$CV$6,H46*$H$37,H46*$G46)</f>
        <v>0</v>
      </c>
      <c r="I47" s="845">
        <f t="shared" si="25"/>
        <v>0</v>
      </c>
      <c r="J47" s="845">
        <f t="shared" si="25"/>
        <v>0</v>
      </c>
      <c r="K47" s="845">
        <f t="shared" si="25"/>
        <v>0</v>
      </c>
      <c r="L47" s="845">
        <f t="shared" si="25"/>
        <v>0</v>
      </c>
      <c r="M47" s="845">
        <f t="shared" si="25"/>
        <v>0</v>
      </c>
      <c r="N47" s="845">
        <f t="shared" si="25"/>
        <v>0</v>
      </c>
      <c r="O47" s="845">
        <f t="shared" si="25"/>
        <v>0</v>
      </c>
      <c r="P47" s="845">
        <f t="shared" si="25"/>
        <v>0</v>
      </c>
      <c r="Q47" s="845">
        <f t="shared" si="25"/>
        <v>0</v>
      </c>
      <c r="R47" s="845">
        <f t="shared" si="25"/>
        <v>0</v>
      </c>
      <c r="S47" s="845">
        <f t="shared" si="25"/>
        <v>0</v>
      </c>
      <c r="T47" s="855">
        <f>IF($E$5=$CW$41,T46*F41,SUM(H47:S47))</f>
        <v>0</v>
      </c>
      <c r="V47" s="268"/>
      <c r="W47" s="631"/>
      <c r="Y47" s="71"/>
      <c r="Z47" s="71"/>
      <c r="AA47" s="71"/>
      <c r="AB47" s="71"/>
      <c r="AC47" s="71"/>
      <c r="AD47" s="71"/>
      <c r="AE47" s="71"/>
      <c r="AF47" s="71"/>
      <c r="AG47" s="71"/>
      <c r="AH47" s="71"/>
      <c r="AI47" s="71"/>
      <c r="AJ47" s="71"/>
      <c r="AK47" s="71"/>
      <c r="AL47" s="71"/>
      <c r="AM47" s="71"/>
      <c r="AN47" s="71"/>
      <c r="AO47" s="71"/>
      <c r="AP47" s="30"/>
      <c r="AQ47" s="37"/>
      <c r="AR47" s="37"/>
      <c r="AS47" s="37"/>
      <c r="AT47" s="37"/>
      <c r="AU47" s="37"/>
      <c r="AV47" s="37"/>
      <c r="AW47" s="37"/>
      <c r="AX47" s="37"/>
      <c r="AY47" s="37"/>
      <c r="AZ47" s="37"/>
      <c r="BA47" s="37"/>
      <c r="BB47" s="37"/>
      <c r="BC47" s="37"/>
      <c r="BD47" s="37"/>
      <c r="BE47" s="37"/>
      <c r="BF47" s="37"/>
      <c r="BG47" s="37"/>
      <c r="BH47" s="37"/>
      <c r="BI47" s="37"/>
      <c r="BJ47" s="37"/>
      <c r="CV47" s="383" t="str">
        <f>CW28</f>
        <v xml:space="preserve">Einkaufswert (% v.Umsatz) </v>
      </c>
      <c r="CW47" s="383" t="str">
        <f>IF(Basisdaten!$B$15="English",CY47,CX47)</f>
        <v>Handel</v>
      </c>
      <c r="CX47" s="305" t="s">
        <v>713</v>
      </c>
      <c r="CY47" s="305" t="s">
        <v>727</v>
      </c>
      <c r="CZ47" s="881"/>
    </row>
    <row r="48" spans="1:104" ht="15.75" customHeight="1" thickTop="1">
      <c r="C48" s="857"/>
      <c r="D48" s="970"/>
      <c r="E48" s="2174" t="str">
        <f>IF($E$5=$CW$40,"",F14)</f>
        <v/>
      </c>
      <c r="F48" s="2174"/>
      <c r="G48" s="979" t="str">
        <f>G14</f>
        <v>EUR</v>
      </c>
      <c r="H48" s="990">
        <f>H41+H43+H45+H47</f>
        <v>0</v>
      </c>
      <c r="I48" s="2123">
        <f t="shared" ref="I48:S48" si="26">I41+I43+I45+I47</f>
        <v>0</v>
      </c>
      <c r="J48" s="2123">
        <f t="shared" si="26"/>
        <v>0</v>
      </c>
      <c r="K48" s="2123">
        <f t="shared" si="26"/>
        <v>0</v>
      </c>
      <c r="L48" s="2123">
        <f t="shared" si="26"/>
        <v>0</v>
      </c>
      <c r="M48" s="2123">
        <f t="shared" si="26"/>
        <v>0</v>
      </c>
      <c r="N48" s="2123">
        <f t="shared" si="26"/>
        <v>0</v>
      </c>
      <c r="O48" s="2123">
        <f t="shared" si="26"/>
        <v>0</v>
      </c>
      <c r="P48" s="2123">
        <f t="shared" si="26"/>
        <v>0</v>
      </c>
      <c r="Q48" s="2123">
        <f t="shared" si="26"/>
        <v>0</v>
      </c>
      <c r="R48" s="2123">
        <f t="shared" si="26"/>
        <v>0</v>
      </c>
      <c r="S48" s="2123">
        <f t="shared" si="26"/>
        <v>0</v>
      </c>
      <c r="T48" s="856">
        <f>SUM(H48:S48)</f>
        <v>0</v>
      </c>
      <c r="V48" s="268"/>
      <c r="W48" s="631"/>
      <c r="Y48" s="71"/>
      <c r="Z48" s="71"/>
      <c r="AA48" s="71"/>
      <c r="AB48" s="71"/>
      <c r="AC48" s="71"/>
      <c r="AD48" s="71"/>
      <c r="AE48" s="71"/>
      <c r="AF48" s="71"/>
      <c r="AG48" s="71"/>
      <c r="AH48" s="71"/>
      <c r="AI48" s="71"/>
      <c r="AJ48" s="71"/>
      <c r="AK48" s="71"/>
      <c r="AL48" s="71"/>
      <c r="AM48" s="71"/>
      <c r="AN48" s="71"/>
      <c r="AO48" s="71"/>
      <c r="AP48" s="30"/>
      <c r="AQ48" s="37"/>
      <c r="AR48" s="37"/>
      <c r="AS48" s="37"/>
      <c r="AT48" s="37"/>
      <c r="AU48" s="37"/>
      <c r="AV48" s="37"/>
      <c r="AW48" s="37"/>
      <c r="AX48" s="37"/>
      <c r="AY48" s="37"/>
      <c r="AZ48" s="37"/>
      <c r="BA48" s="37"/>
      <c r="BB48" s="37"/>
      <c r="BC48" s="37"/>
      <c r="BD48" s="37"/>
      <c r="BE48" s="37"/>
      <c r="BF48" s="37"/>
      <c r="BG48" s="37"/>
      <c r="BH48" s="37"/>
      <c r="BI48" s="37"/>
      <c r="BJ48" s="37"/>
      <c r="CV48" s="383"/>
      <c r="CW48" s="383" t="str">
        <f>IF(Basisdaten!$B$15="English",CY48,CX48)</f>
        <v>Verkaufspreis =</v>
      </c>
      <c r="CX48" s="305" t="s">
        <v>728</v>
      </c>
      <c r="CY48" s="305" t="s">
        <v>729</v>
      </c>
      <c r="CZ48" s="881"/>
    </row>
    <row r="49" spans="3:104" ht="15.9" customHeight="1">
      <c r="C49" s="857"/>
      <c r="D49" s="1119"/>
      <c r="E49" s="2229" t="str">
        <f>IF($E$5=$CW$40," ",$CW$141)</f>
        <v xml:space="preserve"> </v>
      </c>
      <c r="F49" s="2229"/>
      <c r="G49" s="1042" t="str">
        <f>G48</f>
        <v>EUR</v>
      </c>
      <c r="H49" s="2049">
        <f>$F41*H40+$F43 *H42+$F45*H44+$F47*H46</f>
        <v>0</v>
      </c>
      <c r="I49" s="2049">
        <f t="shared" ref="I49:S49" si="27">$F41*I40+$F43 *I42+$F45*I44+$F47*I46</f>
        <v>0</v>
      </c>
      <c r="J49" s="2049">
        <f t="shared" si="27"/>
        <v>0</v>
      </c>
      <c r="K49" s="2049">
        <f t="shared" si="27"/>
        <v>0</v>
      </c>
      <c r="L49" s="2049">
        <f t="shared" si="27"/>
        <v>0</v>
      </c>
      <c r="M49" s="2049">
        <f t="shared" si="27"/>
        <v>0</v>
      </c>
      <c r="N49" s="2049">
        <f t="shared" si="27"/>
        <v>0</v>
      </c>
      <c r="O49" s="2049">
        <f t="shared" si="27"/>
        <v>0</v>
      </c>
      <c r="P49" s="2049">
        <f t="shared" si="27"/>
        <v>0</v>
      </c>
      <c r="Q49" s="2049">
        <f t="shared" si="27"/>
        <v>0</v>
      </c>
      <c r="R49" s="2049">
        <f t="shared" si="27"/>
        <v>0</v>
      </c>
      <c r="S49" s="2049">
        <f t="shared" si="27"/>
        <v>0</v>
      </c>
      <c r="T49" s="2050">
        <f>SUM(H49:S49)</f>
        <v>0</v>
      </c>
      <c r="V49" s="268"/>
      <c r="W49" s="631"/>
      <c r="Y49" s="71"/>
      <c r="Z49" s="71"/>
      <c r="AA49" s="71"/>
      <c r="AB49" s="71"/>
      <c r="AC49" s="71"/>
      <c r="AD49" s="71"/>
      <c r="AE49" s="71"/>
      <c r="AF49" s="71"/>
      <c r="AG49" s="71"/>
      <c r="AH49" s="71"/>
      <c r="AI49" s="71"/>
      <c r="AJ49" s="71"/>
      <c r="AK49" s="71"/>
      <c r="AL49" s="71"/>
      <c r="AM49" s="71"/>
      <c r="AN49" s="71"/>
      <c r="AO49" s="71"/>
      <c r="AP49" s="30"/>
      <c r="AQ49" s="37"/>
      <c r="AR49" s="37"/>
      <c r="AS49" s="37"/>
      <c r="AT49" s="37"/>
      <c r="AU49" s="37"/>
      <c r="AV49" s="37"/>
      <c r="AW49" s="37"/>
      <c r="AX49" s="37"/>
      <c r="AY49" s="37"/>
      <c r="AZ49" s="37"/>
      <c r="BA49" s="37"/>
      <c r="BB49" s="37"/>
      <c r="BC49" s="37"/>
      <c r="BD49" s="37"/>
      <c r="BE49" s="37"/>
      <c r="BF49" s="37"/>
      <c r="BG49" s="37"/>
      <c r="BH49" s="37"/>
      <c r="BI49" s="37"/>
      <c r="BJ49" s="37"/>
      <c r="CV49" s="383"/>
      <c r="CW49" s="383" t="str">
        <f>IF(Basisdaten!$B$15="English",CY49,CX49)</f>
        <v xml:space="preserve">Menge </v>
      </c>
      <c r="CX49" s="353" t="s">
        <v>730</v>
      </c>
      <c r="CY49" s="353" t="s">
        <v>217</v>
      </c>
      <c r="CZ49" s="881"/>
    </row>
    <row r="50" spans="3:104" ht="15.9" customHeight="1">
      <c r="C50" s="857"/>
      <c r="D50" s="860">
        <f>D16</f>
        <v>2</v>
      </c>
      <c r="E50" s="2227" t="str">
        <f>E16</f>
        <v>Auswahl/Choose</v>
      </c>
      <c r="F50" s="2199"/>
      <c r="G50" s="2228"/>
      <c r="H50" s="861">
        <f>H16</f>
        <v>0</v>
      </c>
      <c r="I50" s="840">
        <f t="shared" ref="I50:S50" si="28">H50</f>
        <v>0</v>
      </c>
      <c r="J50" s="840">
        <f t="shared" si="28"/>
        <v>0</v>
      </c>
      <c r="K50" s="840">
        <f t="shared" si="28"/>
        <v>0</v>
      </c>
      <c r="L50" s="840">
        <f t="shared" si="28"/>
        <v>0</v>
      </c>
      <c r="M50" s="840">
        <f t="shared" si="28"/>
        <v>0</v>
      </c>
      <c r="N50" s="840">
        <f t="shared" si="28"/>
        <v>0</v>
      </c>
      <c r="O50" s="840">
        <f t="shared" si="28"/>
        <v>0</v>
      </c>
      <c r="P50" s="840">
        <f t="shared" si="28"/>
        <v>0</v>
      </c>
      <c r="Q50" s="840">
        <f t="shared" si="28"/>
        <v>0</v>
      </c>
      <c r="R50" s="840">
        <f t="shared" si="28"/>
        <v>0</v>
      </c>
      <c r="S50" s="840">
        <f t="shared" si="28"/>
        <v>0</v>
      </c>
      <c r="T50" s="840"/>
      <c r="V50" s="268"/>
      <c r="W50" s="48"/>
      <c r="X50" s="48"/>
      <c r="Y50" s="71"/>
      <c r="Z50" s="71"/>
      <c r="AA50" s="71"/>
      <c r="AB50" s="71"/>
      <c r="AC50" s="71"/>
      <c r="AD50" s="71"/>
      <c r="AE50" s="71"/>
      <c r="AF50" s="71"/>
      <c r="AG50" s="71"/>
      <c r="AH50" s="71"/>
      <c r="AI50" s="71"/>
      <c r="AJ50" s="71"/>
      <c r="AK50" s="71"/>
      <c r="AL50" s="71"/>
      <c r="AM50" s="71"/>
      <c r="AN50" s="71"/>
      <c r="AO50" s="71"/>
      <c r="AP50" s="30"/>
      <c r="AQ50" s="37"/>
      <c r="AR50" s="37"/>
      <c r="AS50" s="37"/>
      <c r="AT50" s="37"/>
      <c r="AU50" s="37"/>
      <c r="AV50" s="37"/>
      <c r="AW50" s="37"/>
      <c r="AX50" s="37"/>
      <c r="AY50" s="37"/>
      <c r="AZ50" s="37"/>
      <c r="BA50" s="37"/>
      <c r="BB50" s="37"/>
      <c r="BC50" s="37"/>
      <c r="BD50" s="37"/>
      <c r="BE50" s="37"/>
      <c r="BF50" s="37"/>
      <c r="BG50" s="37"/>
      <c r="BH50" s="37"/>
      <c r="BI50" s="37"/>
      <c r="BJ50" s="37"/>
      <c r="CV50" s="383"/>
      <c r="CW50" s="383" t="str">
        <f>IF(Basisdaten!$B$15="English",CY50,CX50)</f>
        <v xml:space="preserve">Vk.-Preis = </v>
      </c>
      <c r="CX50" s="353" t="s">
        <v>731</v>
      </c>
      <c r="CY50" s="353" t="s">
        <v>732</v>
      </c>
      <c r="CZ50" s="881"/>
    </row>
    <row r="51" spans="3:104" ht="15.9" customHeight="1">
      <c r="C51" s="2183">
        <f>C17</f>
        <v>0.19</v>
      </c>
      <c r="D51" s="862" t="s">
        <v>310</v>
      </c>
      <c r="E51" s="980" t="str">
        <f>E17</f>
        <v/>
      </c>
      <c r="F51" s="47" t="str">
        <f>F17</f>
        <v/>
      </c>
      <c r="G51" s="1869"/>
      <c r="H51" s="1046"/>
      <c r="I51" s="1046"/>
      <c r="J51" s="1046"/>
      <c r="K51" s="1046"/>
      <c r="L51" s="1046"/>
      <c r="M51" s="1046"/>
      <c r="N51" s="1046"/>
      <c r="O51" s="1046"/>
      <c r="P51" s="1046"/>
      <c r="Q51" s="1046"/>
      <c r="R51" s="1046"/>
      <c r="S51" s="1046"/>
      <c r="T51" s="842">
        <f>SUM(H51:S51)</f>
        <v>0</v>
      </c>
      <c r="V51" s="1520"/>
      <c r="W51" s="631"/>
      <c r="Y51" s="71"/>
      <c r="Z51" s="71"/>
      <c r="AA51" s="71"/>
      <c r="AB51" s="71"/>
      <c r="AC51" s="71"/>
      <c r="AD51" s="71"/>
      <c r="AE51" s="71"/>
      <c r="AF51" s="71"/>
      <c r="AG51" s="71"/>
      <c r="AH51" s="71"/>
      <c r="AI51" s="71"/>
      <c r="AJ51" s="71"/>
      <c r="AK51" s="71"/>
      <c r="AL51" s="71"/>
      <c r="AM51" s="71"/>
      <c r="AN51" s="71"/>
      <c r="AO51" s="71"/>
      <c r="AP51" s="30"/>
      <c r="AQ51" s="37"/>
      <c r="AR51" s="37"/>
      <c r="AS51" s="37"/>
      <c r="AT51" s="37"/>
      <c r="AU51" s="37"/>
      <c r="AV51" s="37"/>
      <c r="AW51" s="37"/>
      <c r="AX51" s="37"/>
      <c r="AY51" s="37"/>
      <c r="AZ51" s="37"/>
      <c r="BA51" s="37"/>
      <c r="BB51" s="37"/>
      <c r="BC51" s="37"/>
      <c r="BD51" s="37"/>
      <c r="BE51" s="37"/>
      <c r="BF51" s="37"/>
      <c r="BG51" s="37"/>
      <c r="BH51" s="37"/>
      <c r="BI51" s="37"/>
      <c r="BJ51" s="37"/>
      <c r="CV51" s="383" t="str">
        <f>CW29</f>
        <v xml:space="preserve">Materialkostenanteil (% v.Umsatz) </v>
      </c>
      <c r="CW51" s="383" t="str">
        <f>IF(Basisdaten!$B$15="English",CY51,CX51)</f>
        <v>Produktion</v>
      </c>
      <c r="CX51" s="353" t="s">
        <v>776</v>
      </c>
      <c r="CY51" s="353" t="s">
        <v>733</v>
      </c>
      <c r="CZ51" s="881"/>
    </row>
    <row r="52" spans="3:104" ht="15.9" customHeight="1">
      <c r="C52" s="2184"/>
      <c r="D52" s="862"/>
      <c r="E52" s="986" t="str">
        <f>E18</f>
        <v xml:space="preserve">Verbrauchsmaterial (% v.Umsatz) </v>
      </c>
      <c r="F52" s="1383"/>
      <c r="G52" s="1050" t="str">
        <f>IF(OR($E$16=$CW$40,$E$16=$CW$41),"",$CW$41)&amp;"= "</f>
        <v xml:space="preserve">= </v>
      </c>
      <c r="H52" s="845">
        <f>IF($E$16=$CV$6,$H$37*H51,H51*$G$51)</f>
        <v>0</v>
      </c>
      <c r="I52" s="845">
        <f t="shared" ref="H52:S54" si="29">IF($E$16=$CV$6,$H$37*I51,I51*$G$53)</f>
        <v>0</v>
      </c>
      <c r="J52" s="845">
        <f t="shared" si="29"/>
        <v>0</v>
      </c>
      <c r="K52" s="845">
        <f t="shared" si="29"/>
        <v>0</v>
      </c>
      <c r="L52" s="845">
        <f t="shared" si="29"/>
        <v>0</v>
      </c>
      <c r="M52" s="845">
        <f t="shared" si="29"/>
        <v>0</v>
      </c>
      <c r="N52" s="845">
        <f t="shared" si="29"/>
        <v>0</v>
      </c>
      <c r="O52" s="845">
        <f t="shared" si="29"/>
        <v>0</v>
      </c>
      <c r="P52" s="845">
        <f t="shared" si="29"/>
        <v>0</v>
      </c>
      <c r="Q52" s="845">
        <f t="shared" si="29"/>
        <v>0</v>
      </c>
      <c r="R52" s="845">
        <f t="shared" si="29"/>
        <v>0</v>
      </c>
      <c r="S52" s="845">
        <f t="shared" si="29"/>
        <v>0</v>
      </c>
      <c r="T52" s="846">
        <f>IF($E$16=$CW$41,T51*F52,SUM(H52:S52))</f>
        <v>0</v>
      </c>
      <c r="V52" s="1520"/>
      <c r="W52" s="631"/>
      <c r="Y52" s="71"/>
      <c r="Z52" s="71"/>
      <c r="AA52" s="71"/>
      <c r="AB52" s="71"/>
      <c r="AC52" s="71"/>
      <c r="AD52" s="71"/>
      <c r="AE52" s="71"/>
      <c r="AF52" s="71"/>
      <c r="AG52" s="71"/>
      <c r="AH52" s="71"/>
      <c r="AI52" s="71"/>
      <c r="AJ52" s="71"/>
      <c r="AK52" s="71"/>
      <c r="AL52" s="71"/>
      <c r="AM52" s="71"/>
      <c r="AN52" s="71"/>
      <c r="AO52" s="71"/>
      <c r="AP52" s="30"/>
      <c r="AQ52" s="37"/>
      <c r="AR52" s="37"/>
      <c r="AS52" s="37"/>
      <c r="AT52" s="37"/>
      <c r="AU52" s="37"/>
      <c r="AV52" s="37"/>
      <c r="AW52" s="37"/>
      <c r="AX52" s="37"/>
      <c r="AY52" s="37"/>
      <c r="AZ52" s="37"/>
      <c r="BA52" s="37"/>
      <c r="BB52" s="37"/>
      <c r="BC52" s="37"/>
      <c r="BD52" s="37"/>
      <c r="BE52" s="37"/>
      <c r="BF52" s="37"/>
      <c r="BG52" s="37"/>
      <c r="BH52" s="37"/>
      <c r="BI52" s="37"/>
      <c r="BJ52" s="37"/>
      <c r="CV52" s="383"/>
      <c r="CW52" s="383" t="str">
        <f>IF(Basisdaten!$B$15="English",CY52,CX52)</f>
        <v>Stückkosten =</v>
      </c>
      <c r="CX52" s="353" t="s">
        <v>734</v>
      </c>
      <c r="CY52" s="353" t="s">
        <v>735</v>
      </c>
      <c r="CZ52" s="881"/>
    </row>
    <row r="53" spans="3:104" ht="15.9" customHeight="1">
      <c r="C53" s="2184"/>
      <c r="D53" s="862" t="s">
        <v>311</v>
      </c>
      <c r="E53" s="980" t="str">
        <f>E19</f>
        <v/>
      </c>
      <c r="F53" s="47" t="str">
        <f>F51</f>
        <v/>
      </c>
      <c r="G53" s="1869"/>
      <c r="H53" s="1046"/>
      <c r="I53" s="1046"/>
      <c r="J53" s="1046"/>
      <c r="K53" s="1046"/>
      <c r="L53" s="1046"/>
      <c r="M53" s="1046"/>
      <c r="N53" s="1046"/>
      <c r="O53" s="1046"/>
      <c r="P53" s="1046"/>
      <c r="Q53" s="1046"/>
      <c r="R53" s="1046"/>
      <c r="S53" s="1046"/>
      <c r="T53" s="842">
        <f>SUM(H53:S53)</f>
        <v>0</v>
      </c>
      <c r="V53" s="268"/>
      <c r="W53" s="631"/>
      <c r="Y53" s="71"/>
      <c r="Z53" s="71"/>
      <c r="AA53" s="71"/>
      <c r="AB53" s="71"/>
      <c r="AC53" s="71"/>
      <c r="AD53" s="71"/>
      <c r="AE53" s="71"/>
      <c r="AF53" s="71"/>
      <c r="AG53" s="71"/>
      <c r="AH53" s="71"/>
      <c r="AI53" s="71"/>
      <c r="AJ53" s="71"/>
      <c r="AK53" s="71"/>
      <c r="AL53" s="71"/>
      <c r="AM53" s="71"/>
      <c r="AN53" s="71"/>
      <c r="AO53" s="71"/>
      <c r="AP53" s="30"/>
      <c r="AQ53" s="37"/>
      <c r="AR53" s="37"/>
      <c r="AS53" s="37"/>
      <c r="AT53" s="37"/>
      <c r="AU53" s="37"/>
      <c r="AV53" s="37"/>
      <c r="AW53" s="37"/>
      <c r="AX53" s="37"/>
      <c r="AY53" s="37"/>
      <c r="AZ53" s="37"/>
      <c r="BA53" s="37"/>
      <c r="BB53" s="37"/>
      <c r="BC53" s="37"/>
      <c r="BD53" s="37"/>
      <c r="BE53" s="37"/>
      <c r="BF53" s="37"/>
      <c r="BG53" s="37"/>
      <c r="BH53" s="37"/>
      <c r="BI53" s="37"/>
      <c r="BJ53" s="37"/>
      <c r="CV53" s="383"/>
      <c r="CW53" s="383" t="str">
        <f>IF(Basisdaten!$B$15="English",CY53,CX53)</f>
        <v xml:space="preserve">Stück </v>
      </c>
      <c r="CX53" s="353" t="s">
        <v>736</v>
      </c>
      <c r="CY53" s="353" t="s">
        <v>737</v>
      </c>
      <c r="CZ53" s="881"/>
    </row>
    <row r="54" spans="3:104" ht="15.9" customHeight="1">
      <c r="C54" s="2184"/>
      <c r="D54" s="862"/>
      <c r="E54" s="844" t="str">
        <f>E52</f>
        <v xml:space="preserve">Verbrauchsmaterial (% v.Umsatz) </v>
      </c>
      <c r="F54" s="1383"/>
      <c r="G54" s="1050" t="str">
        <f>G52</f>
        <v xml:space="preserve">= </v>
      </c>
      <c r="H54" s="845">
        <f t="shared" si="29"/>
        <v>0</v>
      </c>
      <c r="I54" s="845">
        <f t="shared" si="29"/>
        <v>0</v>
      </c>
      <c r="J54" s="845">
        <f t="shared" si="29"/>
        <v>0</v>
      </c>
      <c r="K54" s="845">
        <f t="shared" si="29"/>
        <v>0</v>
      </c>
      <c r="L54" s="845">
        <f t="shared" si="29"/>
        <v>0</v>
      </c>
      <c r="M54" s="845">
        <f t="shared" si="29"/>
        <v>0</v>
      </c>
      <c r="N54" s="845">
        <f t="shared" si="29"/>
        <v>0</v>
      </c>
      <c r="O54" s="845">
        <f t="shared" si="29"/>
        <v>0</v>
      </c>
      <c r="P54" s="845">
        <f t="shared" si="29"/>
        <v>0</v>
      </c>
      <c r="Q54" s="845">
        <f t="shared" si="29"/>
        <v>0</v>
      </c>
      <c r="R54" s="845">
        <f t="shared" si="29"/>
        <v>0</v>
      </c>
      <c r="S54" s="845">
        <f t="shared" si="29"/>
        <v>0</v>
      </c>
      <c r="T54" s="846">
        <f>IF($E$16=$CW$41,T53*F52,SUM(H54:S54))</f>
        <v>0</v>
      </c>
      <c r="V54" s="268"/>
      <c r="W54" s="631"/>
      <c r="Y54" s="71"/>
      <c r="Z54" s="71"/>
      <c r="AA54" s="71"/>
      <c r="AB54" s="71"/>
      <c r="AC54" s="71"/>
      <c r="AD54" s="71"/>
      <c r="AE54" s="71"/>
      <c r="AF54" s="71"/>
      <c r="AG54" s="71"/>
      <c r="AH54" s="71"/>
      <c r="AI54" s="71"/>
      <c r="AJ54" s="71"/>
      <c r="AK54" s="71"/>
      <c r="AL54" s="71"/>
      <c r="AM54" s="71"/>
      <c r="AN54" s="71"/>
      <c r="AO54" s="71"/>
      <c r="AP54" s="30"/>
      <c r="AQ54" s="37"/>
      <c r="AR54" s="37"/>
      <c r="AS54" s="37"/>
      <c r="AT54" s="37"/>
      <c r="AU54" s="37"/>
      <c r="AV54" s="37"/>
      <c r="AW54" s="37"/>
      <c r="AX54" s="37"/>
      <c r="AY54" s="37"/>
      <c r="AZ54" s="37"/>
      <c r="BA54" s="37"/>
      <c r="BB54" s="37"/>
      <c r="BC54" s="37"/>
      <c r="BD54" s="37"/>
      <c r="BE54" s="37"/>
      <c r="BF54" s="37"/>
      <c r="BG54" s="37"/>
      <c r="BH54" s="37"/>
      <c r="BI54" s="37"/>
      <c r="BJ54" s="37"/>
      <c r="CV54" s="383"/>
      <c r="CW54" s="383" t="str">
        <f>IF(Basisdaten!$B$15="English",CY54,CX54)</f>
        <v xml:space="preserve">Stk.-Kost = </v>
      </c>
      <c r="CX54" s="353" t="s">
        <v>738</v>
      </c>
      <c r="CY54" s="353" t="s">
        <v>739</v>
      </c>
      <c r="CZ54" s="881"/>
    </row>
    <row r="55" spans="3:104" ht="15.9" customHeight="1">
      <c r="C55" s="2184"/>
      <c r="D55" s="862" t="s">
        <v>312</v>
      </c>
      <c r="E55" s="980" t="str">
        <f>E21</f>
        <v/>
      </c>
      <c r="F55" s="47" t="str">
        <f>F53</f>
        <v/>
      </c>
      <c r="G55" s="1869"/>
      <c r="H55" s="1046"/>
      <c r="I55" s="1046"/>
      <c r="J55" s="1046"/>
      <c r="K55" s="1046"/>
      <c r="L55" s="1046"/>
      <c r="M55" s="1046"/>
      <c r="N55" s="1046"/>
      <c r="O55" s="1046"/>
      <c r="P55" s="1046"/>
      <c r="Q55" s="1046"/>
      <c r="R55" s="1046"/>
      <c r="S55" s="1046"/>
      <c r="T55" s="848">
        <f t="shared" ref="T55:T60" si="30">SUM(H55:S55)</f>
        <v>0</v>
      </c>
      <c r="V55" s="268"/>
      <c r="W55" s="631"/>
      <c r="Y55" s="71"/>
      <c r="Z55" s="71"/>
      <c r="AA55" s="71"/>
      <c r="AB55" s="71"/>
      <c r="AC55" s="71"/>
      <c r="AD55" s="71"/>
      <c r="AE55" s="71"/>
      <c r="AF55" s="71"/>
      <c r="AG55" s="71"/>
      <c r="AH55" s="71"/>
      <c r="AI55" s="71"/>
      <c r="AJ55" s="71"/>
      <c r="AK55" s="71"/>
      <c r="AL55" s="71"/>
      <c r="AM55" s="71"/>
      <c r="AN55" s="71"/>
      <c r="AO55" s="71"/>
      <c r="AP55" s="30"/>
      <c r="AQ55" s="37"/>
      <c r="AR55" s="37"/>
      <c r="AS55" s="37"/>
      <c r="AT55" s="37"/>
      <c r="AU55" s="37"/>
      <c r="AV55" s="37"/>
      <c r="AW55" s="37"/>
      <c r="AX55" s="37"/>
      <c r="AY55" s="37"/>
      <c r="AZ55" s="37"/>
      <c r="BA55" s="37"/>
      <c r="BB55" s="37"/>
      <c r="BC55" s="37"/>
      <c r="BD55" s="37"/>
      <c r="BE55" s="37"/>
      <c r="BF55" s="37"/>
      <c r="BG55" s="37"/>
      <c r="BH55" s="37"/>
      <c r="BI55" s="37"/>
      <c r="BJ55" s="37"/>
      <c r="CV55" s="383" t="str">
        <f>CW27</f>
        <v xml:space="preserve">Nebenkosten (% v.Umsatz) </v>
      </c>
      <c r="CW55" s="383" t="str">
        <f>IF(Basisdaten!$B$15="English",CY55,CX55)</f>
        <v>Handwerk</v>
      </c>
      <c r="CX55" s="353" t="s">
        <v>740</v>
      </c>
      <c r="CY55" s="353" t="s">
        <v>741</v>
      </c>
      <c r="CZ55" s="881"/>
    </row>
    <row r="56" spans="3:104" ht="15.9" customHeight="1">
      <c r="C56" s="2184"/>
      <c r="D56" s="862"/>
      <c r="E56" s="844" t="str">
        <f>E54</f>
        <v xml:space="preserve">Verbrauchsmaterial (% v.Umsatz) </v>
      </c>
      <c r="F56" s="1383"/>
      <c r="G56" s="1050" t="str">
        <f>G54</f>
        <v xml:space="preserve">= </v>
      </c>
      <c r="H56" s="845">
        <f t="shared" ref="H56:S56" si="31">IF($E$16=$CV$6,$H$37*H55,H55*$G$55)</f>
        <v>0</v>
      </c>
      <c r="I56" s="845">
        <f t="shared" si="31"/>
        <v>0</v>
      </c>
      <c r="J56" s="845">
        <f t="shared" si="31"/>
        <v>0</v>
      </c>
      <c r="K56" s="845">
        <f t="shared" si="31"/>
        <v>0</v>
      </c>
      <c r="L56" s="845">
        <f t="shared" si="31"/>
        <v>0</v>
      </c>
      <c r="M56" s="845">
        <f t="shared" si="31"/>
        <v>0</v>
      </c>
      <c r="N56" s="845">
        <f t="shared" si="31"/>
        <v>0</v>
      </c>
      <c r="O56" s="845">
        <f t="shared" si="31"/>
        <v>0</v>
      </c>
      <c r="P56" s="845">
        <f t="shared" si="31"/>
        <v>0</v>
      </c>
      <c r="Q56" s="845">
        <f t="shared" si="31"/>
        <v>0</v>
      </c>
      <c r="R56" s="845">
        <f t="shared" si="31"/>
        <v>0</v>
      </c>
      <c r="S56" s="845">
        <f t="shared" si="31"/>
        <v>0</v>
      </c>
      <c r="T56" s="846">
        <f t="shared" si="30"/>
        <v>0</v>
      </c>
      <c r="V56" s="268"/>
      <c r="W56" s="631"/>
      <c r="Y56" s="71"/>
      <c r="Z56" s="71"/>
      <c r="AA56" s="71"/>
      <c r="AB56" s="71"/>
      <c r="AC56" s="71"/>
      <c r="AD56" s="71"/>
      <c r="AE56" s="71"/>
      <c r="AF56" s="71"/>
      <c r="AG56" s="71"/>
      <c r="AH56" s="71"/>
      <c r="AI56" s="71"/>
      <c r="AJ56" s="71"/>
      <c r="AK56" s="71"/>
      <c r="AL56" s="71"/>
      <c r="AM56" s="71"/>
      <c r="AN56" s="71"/>
      <c r="AO56" s="71"/>
      <c r="AP56" s="30"/>
      <c r="AQ56" s="37"/>
      <c r="AR56" s="37"/>
      <c r="AS56" s="37"/>
      <c r="AT56" s="37"/>
      <c r="AU56" s="37"/>
      <c r="AV56" s="37"/>
      <c r="AW56" s="37"/>
      <c r="AX56" s="37"/>
      <c r="AY56" s="37"/>
      <c r="AZ56" s="37"/>
      <c r="BA56" s="37"/>
      <c r="BB56" s="37"/>
      <c r="BC56" s="37"/>
      <c r="BD56" s="37"/>
      <c r="BE56" s="37"/>
      <c r="BF56" s="37"/>
      <c r="BG56" s="37"/>
      <c r="BH56" s="37"/>
      <c r="BI56" s="37"/>
      <c r="BJ56" s="37"/>
      <c r="CW56" s="383" t="str">
        <f>IF(Basisdaten!$B$15="English",CY56,CX56)</f>
        <v>Stundensatz =</v>
      </c>
      <c r="CX56" s="353" t="s">
        <v>742</v>
      </c>
      <c r="CY56" s="353" t="s">
        <v>724</v>
      </c>
      <c r="CZ56" s="881"/>
    </row>
    <row r="57" spans="3:104" ht="15.9" customHeight="1">
      <c r="C57" s="2184"/>
      <c r="D57" s="345" t="s">
        <v>313</v>
      </c>
      <c r="E57" s="980" t="str">
        <f>E23</f>
        <v/>
      </c>
      <c r="F57" s="47" t="str">
        <f>F55</f>
        <v/>
      </c>
      <c r="G57" s="1869"/>
      <c r="H57" s="1046"/>
      <c r="I57" s="1046"/>
      <c r="J57" s="1046"/>
      <c r="K57" s="1046"/>
      <c r="L57" s="1046"/>
      <c r="M57" s="1046"/>
      <c r="N57" s="1046"/>
      <c r="O57" s="1046"/>
      <c r="P57" s="1046"/>
      <c r="Q57" s="1046"/>
      <c r="R57" s="1046"/>
      <c r="S57" s="1046"/>
      <c r="T57" s="848">
        <f t="shared" si="30"/>
        <v>0</v>
      </c>
      <c r="V57" s="268"/>
      <c r="W57" s="631"/>
      <c r="Y57" s="71"/>
      <c r="Z57" s="71"/>
      <c r="AA57" s="71"/>
      <c r="AB57" s="71"/>
      <c r="AC57" s="71"/>
      <c r="AD57" s="71"/>
      <c r="AE57" s="71"/>
      <c r="AF57" s="71"/>
      <c r="AG57" s="71"/>
      <c r="AH57" s="71"/>
      <c r="AI57" s="71"/>
      <c r="AJ57" s="71"/>
      <c r="AK57" s="71"/>
      <c r="AL57" s="71"/>
      <c r="AM57" s="71"/>
      <c r="AN57" s="71"/>
      <c r="AO57" s="71"/>
      <c r="AP57" s="71"/>
      <c r="CW57" s="383" t="str">
        <f>IF(Basisdaten!$B$15="English",CY57,CX57)</f>
        <v>Stunden</v>
      </c>
      <c r="CX57" s="353" t="s">
        <v>725</v>
      </c>
      <c r="CY57" s="353" t="s">
        <v>726</v>
      </c>
      <c r="CZ57" s="881"/>
    </row>
    <row r="58" spans="3:104" ht="15.9" customHeight="1" thickBot="1">
      <c r="C58" s="2185"/>
      <c r="D58" s="360"/>
      <c r="E58" s="854" t="str">
        <f>E56</f>
        <v xml:space="preserve">Verbrauchsmaterial (% v.Umsatz) </v>
      </c>
      <c r="F58" s="1383"/>
      <c r="G58" s="1050" t="str">
        <f>G56</f>
        <v xml:space="preserve">= </v>
      </c>
      <c r="H58" s="845">
        <f t="shared" ref="H58:S58" si="32">IF($E$16=$CV$6,$H$37*H57,H57*$G$57)</f>
        <v>0</v>
      </c>
      <c r="I58" s="845">
        <f t="shared" si="32"/>
        <v>0</v>
      </c>
      <c r="J58" s="845">
        <f t="shared" si="32"/>
        <v>0</v>
      </c>
      <c r="K58" s="845">
        <f t="shared" si="32"/>
        <v>0</v>
      </c>
      <c r="L58" s="845">
        <f t="shared" si="32"/>
        <v>0</v>
      </c>
      <c r="M58" s="845">
        <f t="shared" si="32"/>
        <v>0</v>
      </c>
      <c r="N58" s="845">
        <f t="shared" si="32"/>
        <v>0</v>
      </c>
      <c r="O58" s="845">
        <f t="shared" si="32"/>
        <v>0</v>
      </c>
      <c r="P58" s="845">
        <f t="shared" si="32"/>
        <v>0</v>
      </c>
      <c r="Q58" s="845">
        <f t="shared" si="32"/>
        <v>0</v>
      </c>
      <c r="R58" s="845">
        <f t="shared" si="32"/>
        <v>0</v>
      </c>
      <c r="S58" s="845">
        <f t="shared" si="32"/>
        <v>0</v>
      </c>
      <c r="T58" s="855">
        <f t="shared" si="30"/>
        <v>0</v>
      </c>
      <c r="V58" s="268"/>
      <c r="W58" s="631"/>
      <c r="Y58" s="71"/>
      <c r="Z58" s="71"/>
      <c r="AA58" s="71"/>
      <c r="AB58" s="71"/>
      <c r="AC58" s="71"/>
      <c r="AD58" s="71"/>
      <c r="AE58" s="71"/>
      <c r="AF58" s="71"/>
      <c r="AG58" s="71"/>
      <c r="AH58" s="71"/>
      <c r="AI58" s="71"/>
      <c r="AJ58" s="71"/>
      <c r="AK58" s="71"/>
      <c r="AL58" s="71"/>
      <c r="AM58" s="71"/>
      <c r="AN58" s="71"/>
      <c r="AO58" s="71"/>
      <c r="AP58" s="71"/>
      <c r="CW58" s="383" t="str">
        <f>IF(Basisdaten!$B$15="English",CY58,CX58)</f>
        <v xml:space="preserve">Std.-Satz = </v>
      </c>
      <c r="CX58" s="353" t="s">
        <v>743</v>
      </c>
      <c r="CY58" s="353" t="s">
        <v>744</v>
      </c>
      <c r="CZ58" s="881"/>
    </row>
    <row r="59" spans="3:104" ht="15.75" customHeight="1" thickTop="1">
      <c r="C59" s="886"/>
      <c r="D59" s="970"/>
      <c r="E59" s="2174" t="str">
        <f>IF($E$5=$CW$40,"",E48)</f>
        <v/>
      </c>
      <c r="F59" s="2174"/>
      <c r="G59" s="979" t="str">
        <f>G25</f>
        <v>EUR</v>
      </c>
      <c r="H59" s="990">
        <f>H52+H54+H56+H58</f>
        <v>0</v>
      </c>
      <c r="I59" s="990">
        <f t="shared" ref="I59:R59" si="33">I52+I54+I56+I58</f>
        <v>0</v>
      </c>
      <c r="J59" s="990">
        <f t="shared" si="33"/>
        <v>0</v>
      </c>
      <c r="K59" s="990">
        <f t="shared" si="33"/>
        <v>0</v>
      </c>
      <c r="L59" s="990">
        <f t="shared" si="33"/>
        <v>0</v>
      </c>
      <c r="M59" s="990">
        <f t="shared" si="33"/>
        <v>0</v>
      </c>
      <c r="N59" s="990">
        <f t="shared" si="33"/>
        <v>0</v>
      </c>
      <c r="O59" s="990">
        <f t="shared" si="33"/>
        <v>0</v>
      </c>
      <c r="P59" s="990">
        <f t="shared" si="33"/>
        <v>0</v>
      </c>
      <c r="Q59" s="990">
        <f t="shared" si="33"/>
        <v>0</v>
      </c>
      <c r="R59" s="990">
        <f t="shared" si="33"/>
        <v>0</v>
      </c>
      <c r="S59" s="990">
        <f>S52+S54+S56+S58</f>
        <v>0</v>
      </c>
      <c r="T59" s="856">
        <f t="shared" si="30"/>
        <v>0</v>
      </c>
      <c r="V59" s="268"/>
      <c r="W59" s="631"/>
      <c r="Y59" s="71"/>
      <c r="Z59" s="71"/>
      <c r="AA59" s="71"/>
      <c r="AB59" s="71"/>
      <c r="AC59" s="71"/>
      <c r="AD59" s="71"/>
      <c r="AE59" s="71"/>
      <c r="AF59" s="71"/>
      <c r="AG59" s="71"/>
      <c r="AH59" s="71"/>
      <c r="AI59" s="71"/>
      <c r="AJ59" s="71"/>
      <c r="AK59" s="71"/>
      <c r="AL59" s="71"/>
      <c r="AM59" s="71"/>
      <c r="AN59" s="71"/>
      <c r="AO59" s="71"/>
      <c r="AP59" s="71"/>
      <c r="CW59" s="383" t="str">
        <f>IF(Basisdaten!$B$15="English",CY59,CX59)</f>
        <v>Geschäftsart</v>
      </c>
      <c r="CX59" s="296" t="s">
        <v>795</v>
      </c>
      <c r="CY59" s="296" t="s">
        <v>846</v>
      </c>
      <c r="CZ59" s="881"/>
    </row>
    <row r="60" spans="3:104" ht="15.9" customHeight="1">
      <c r="C60" s="857"/>
      <c r="D60" s="1119"/>
      <c r="E60" s="2229" t="str">
        <f>IF($E$5=$CW$40,"",$CW$141)</f>
        <v/>
      </c>
      <c r="F60" s="2229"/>
      <c r="G60" s="1042" t="str">
        <f>G59</f>
        <v>EUR</v>
      </c>
      <c r="H60" s="2049">
        <f>$F52*H51+$F54 *H53+$F56*H55+$F58*H57</f>
        <v>0</v>
      </c>
      <c r="I60" s="2049">
        <f t="shared" ref="I60:S60" si="34">$F52*I51+$F54 *I53+$F56*I55+$F58*I57</f>
        <v>0</v>
      </c>
      <c r="J60" s="2049">
        <f t="shared" si="34"/>
        <v>0</v>
      </c>
      <c r="K60" s="2049">
        <f t="shared" si="34"/>
        <v>0</v>
      </c>
      <c r="L60" s="2049">
        <f t="shared" si="34"/>
        <v>0</v>
      </c>
      <c r="M60" s="2049">
        <f t="shared" si="34"/>
        <v>0</v>
      </c>
      <c r="N60" s="2049">
        <f t="shared" si="34"/>
        <v>0</v>
      </c>
      <c r="O60" s="2049">
        <f t="shared" si="34"/>
        <v>0</v>
      </c>
      <c r="P60" s="2049">
        <f t="shared" si="34"/>
        <v>0</v>
      </c>
      <c r="Q60" s="2049">
        <f t="shared" si="34"/>
        <v>0</v>
      </c>
      <c r="R60" s="2049">
        <f t="shared" si="34"/>
        <v>0</v>
      </c>
      <c r="S60" s="2049">
        <f t="shared" si="34"/>
        <v>0</v>
      </c>
      <c r="T60" s="2049">
        <f t="shared" si="30"/>
        <v>0</v>
      </c>
      <c r="V60" s="268"/>
      <c r="W60" s="631"/>
      <c r="Y60" s="71"/>
      <c r="Z60" s="71"/>
      <c r="AA60" s="71"/>
      <c r="AB60" s="71"/>
      <c r="AC60" s="71"/>
      <c r="AD60" s="71"/>
      <c r="AE60" s="71"/>
      <c r="AF60" s="71"/>
      <c r="AG60" s="71"/>
      <c r="AH60" s="71"/>
      <c r="AI60" s="71"/>
      <c r="AJ60" s="71"/>
      <c r="AK60" s="71"/>
      <c r="AL60" s="71"/>
      <c r="AM60" s="71"/>
      <c r="AN60" s="71"/>
      <c r="AO60" s="71"/>
      <c r="AP60" s="30"/>
      <c r="AQ60" s="37"/>
      <c r="AR60" s="37"/>
      <c r="AS60" s="37"/>
      <c r="AT60" s="37"/>
      <c r="AU60" s="37"/>
      <c r="AV60" s="37"/>
      <c r="AW60" s="37"/>
      <c r="AX60" s="37"/>
      <c r="AY60" s="37"/>
      <c r="AZ60" s="37"/>
      <c r="BA60" s="37"/>
      <c r="BB60" s="37"/>
      <c r="BC60" s="37"/>
      <c r="BD60" s="37"/>
      <c r="BE60" s="37"/>
      <c r="BF60" s="37"/>
      <c r="BG60" s="37"/>
      <c r="BH60" s="37"/>
      <c r="BI60" s="37"/>
      <c r="BJ60" s="37"/>
      <c r="CW60" s="383" t="str">
        <f>IF(Basisdaten!$B$15="English",CY60,CX60)</f>
        <v>Titel auswählen</v>
      </c>
      <c r="CX60" s="305" t="s">
        <v>1045</v>
      </c>
      <c r="CY60" s="305" t="s">
        <v>1046</v>
      </c>
      <c r="CZ60" s="881"/>
    </row>
    <row r="61" spans="3:104" ht="15.6" customHeight="1">
      <c r="C61" s="887"/>
      <c r="D61" s="860">
        <f>D27</f>
        <v>3</v>
      </c>
      <c r="E61" s="2187" t="str">
        <f>E27</f>
        <v>Sonstige Einnahmen</v>
      </c>
      <c r="F61" s="2188"/>
      <c r="G61" s="2189"/>
      <c r="H61" s="867" t="str">
        <f>"EUR"</f>
        <v>EUR</v>
      </c>
      <c r="I61" s="868" t="str">
        <f t="shared" ref="I61:S61" si="35">"EUR"</f>
        <v>EUR</v>
      </c>
      <c r="J61" s="868" t="str">
        <f t="shared" si="35"/>
        <v>EUR</v>
      </c>
      <c r="K61" s="868" t="str">
        <f t="shared" si="35"/>
        <v>EUR</v>
      </c>
      <c r="L61" s="868" t="str">
        <f t="shared" si="35"/>
        <v>EUR</v>
      </c>
      <c r="M61" s="868" t="str">
        <f t="shared" si="35"/>
        <v>EUR</v>
      </c>
      <c r="N61" s="868" t="str">
        <f t="shared" si="35"/>
        <v>EUR</v>
      </c>
      <c r="O61" s="868" t="str">
        <f t="shared" si="35"/>
        <v>EUR</v>
      </c>
      <c r="P61" s="868" t="str">
        <f t="shared" si="35"/>
        <v>EUR</v>
      </c>
      <c r="Q61" s="868" t="str">
        <f t="shared" si="35"/>
        <v>EUR</v>
      </c>
      <c r="R61" s="868" t="str">
        <f t="shared" si="35"/>
        <v>EUR</v>
      </c>
      <c r="S61" s="868" t="str">
        <f t="shared" si="35"/>
        <v>EUR</v>
      </c>
      <c r="T61" s="869"/>
      <c r="V61" s="268"/>
      <c r="W61" s="48"/>
      <c r="X61" s="48"/>
      <c r="Y61" s="888"/>
      <c r="Z61" s="889"/>
      <c r="AA61" s="234"/>
      <c r="AB61" s="225"/>
      <c r="AC61" s="225"/>
      <c r="AD61" s="225"/>
      <c r="AE61" s="225"/>
      <c r="AF61" s="225"/>
      <c r="AG61" s="225"/>
      <c r="AH61" s="225"/>
      <c r="AI61" s="225"/>
      <c r="AJ61" s="225"/>
      <c r="AK61" s="225"/>
      <c r="AL61" s="225"/>
      <c r="AM61" s="225"/>
      <c r="AN61" s="225"/>
      <c r="AO61" s="225"/>
      <c r="AP61" s="71"/>
      <c r="CW61" s="383">
        <f>IF(Basisdaten!$B$15="English",CY61,CX61)</f>
        <v>0</v>
      </c>
      <c r="CZ61" s="881"/>
    </row>
    <row r="62" spans="3:104" ht="15.75" customHeight="1">
      <c r="C62" s="1120">
        <f>C28</f>
        <v>0.19</v>
      </c>
      <c r="D62" s="871" t="s">
        <v>314</v>
      </c>
      <c r="E62" s="2238" t="str">
        <f>E28</f>
        <v>Honorareinnahmen, Provisionen</v>
      </c>
      <c r="F62" s="2239"/>
      <c r="G62" s="2240"/>
      <c r="H62" s="1048"/>
      <c r="I62" s="1048"/>
      <c r="J62" s="1048"/>
      <c r="K62" s="1048"/>
      <c r="L62" s="1048"/>
      <c r="M62" s="1048"/>
      <c r="N62" s="1048"/>
      <c r="O62" s="1048"/>
      <c r="P62" s="1048"/>
      <c r="Q62" s="1048"/>
      <c r="R62" s="1048"/>
      <c r="S62" s="1048"/>
      <c r="T62" s="848">
        <f>SUM(H62:S62)</f>
        <v>0</v>
      </c>
      <c r="V62" s="268"/>
      <c r="W62" s="631"/>
      <c r="Y62" s="857"/>
      <c r="Z62" s="54"/>
      <c r="AA62" s="891"/>
      <c r="AB62" s="892"/>
      <c r="AC62" s="893"/>
      <c r="AD62" s="893"/>
      <c r="AE62" s="893"/>
      <c r="AF62" s="893"/>
      <c r="AG62" s="893"/>
      <c r="AH62" s="893"/>
      <c r="AI62" s="893"/>
      <c r="AJ62" s="893"/>
      <c r="AK62" s="893"/>
      <c r="AL62" s="893"/>
      <c r="AM62" s="893"/>
      <c r="AN62" s="893"/>
      <c r="AO62" s="894"/>
      <c r="AP62" s="71"/>
      <c r="CW62" s="383">
        <f>IF(Basisdaten!$B$15="English",CY62,CX62)</f>
        <v>0</v>
      </c>
      <c r="CZ62" s="881"/>
    </row>
    <row r="63" spans="3:104" ht="15.9" customHeight="1" thickBot="1">
      <c r="C63" s="1121">
        <f>C29</f>
        <v>0.19</v>
      </c>
      <c r="D63" s="409" t="s">
        <v>315</v>
      </c>
      <c r="E63" s="2145" t="str">
        <f>CW147</f>
        <v>Sonstige Einnahmen (bitte benennen)</v>
      </c>
      <c r="F63" s="2146"/>
      <c r="G63" s="2147"/>
      <c r="H63" s="1049"/>
      <c r="I63" s="1049"/>
      <c r="J63" s="1049"/>
      <c r="K63" s="1049"/>
      <c r="L63" s="1049"/>
      <c r="M63" s="1049"/>
      <c r="N63" s="1049"/>
      <c r="O63" s="1049"/>
      <c r="P63" s="1049"/>
      <c r="Q63" s="1049"/>
      <c r="R63" s="1049"/>
      <c r="S63" s="1049"/>
      <c r="T63" s="895">
        <f>SUM(H63:S63)</f>
        <v>0</v>
      </c>
      <c r="V63" s="268"/>
      <c r="W63" s="631"/>
      <c r="Y63" s="874"/>
      <c r="Z63" s="301"/>
      <c r="AA63" s="896"/>
      <c r="AB63" s="897"/>
      <c r="AC63" s="897"/>
      <c r="AD63" s="897"/>
      <c r="AE63" s="897"/>
      <c r="AF63" s="897"/>
      <c r="AG63" s="897"/>
      <c r="AH63" s="897"/>
      <c r="AI63" s="897"/>
      <c r="AJ63" s="897"/>
      <c r="AK63" s="897"/>
      <c r="AL63" s="897"/>
      <c r="AM63" s="897"/>
      <c r="AN63" s="897"/>
      <c r="AO63" s="225"/>
      <c r="AP63" s="71"/>
      <c r="CW63" s="383">
        <f>IF(Basisdaten!$B$15="English",CY63,CX63)</f>
        <v>0</v>
      </c>
      <c r="CX63" s="305"/>
      <c r="CY63" s="305"/>
      <c r="CZ63" s="881"/>
    </row>
    <row r="64" spans="3:104" ht="15.9" customHeight="1" thickTop="1" thickBot="1">
      <c r="C64" s="73"/>
      <c r="D64" s="876"/>
      <c r="E64" s="2180" t="str">
        <f>E30</f>
        <v>Summe  Sonstige Einnahmen</v>
      </c>
      <c r="F64" s="2181"/>
      <c r="G64" s="2182"/>
      <c r="H64" s="877">
        <f t="shared" ref="H64:S64" si="36">SUM(H62:H63)</f>
        <v>0</v>
      </c>
      <c r="I64" s="877">
        <f t="shared" si="36"/>
        <v>0</v>
      </c>
      <c r="J64" s="877">
        <f t="shared" si="36"/>
        <v>0</v>
      </c>
      <c r="K64" s="877">
        <f t="shared" si="36"/>
        <v>0</v>
      </c>
      <c r="L64" s="877">
        <f t="shared" si="36"/>
        <v>0</v>
      </c>
      <c r="M64" s="877">
        <f t="shared" si="36"/>
        <v>0</v>
      </c>
      <c r="N64" s="877">
        <f t="shared" si="36"/>
        <v>0</v>
      </c>
      <c r="O64" s="877">
        <f t="shared" si="36"/>
        <v>0</v>
      </c>
      <c r="P64" s="877">
        <f t="shared" si="36"/>
        <v>0</v>
      </c>
      <c r="Q64" s="877">
        <f t="shared" si="36"/>
        <v>0</v>
      </c>
      <c r="R64" s="877">
        <f t="shared" si="36"/>
        <v>0</v>
      </c>
      <c r="S64" s="877">
        <f t="shared" si="36"/>
        <v>0</v>
      </c>
      <c r="T64" s="877">
        <f>SUM(H64:S64)</f>
        <v>0</v>
      </c>
      <c r="V64" s="268"/>
      <c r="W64" s="37"/>
      <c r="Y64" s="874"/>
      <c r="Z64" s="301"/>
      <c r="AA64" s="896"/>
      <c r="AB64" s="897"/>
      <c r="AC64" s="897"/>
      <c r="AD64" s="897"/>
      <c r="AE64" s="897"/>
      <c r="AF64" s="897"/>
      <c r="AG64" s="897"/>
      <c r="AH64" s="897"/>
      <c r="AI64" s="897"/>
      <c r="AJ64" s="897"/>
      <c r="AK64" s="897"/>
      <c r="AL64" s="897"/>
      <c r="AM64" s="897"/>
      <c r="AN64" s="897"/>
      <c r="AO64" s="225"/>
      <c r="AP64" s="71"/>
      <c r="CW64" s="383">
        <f>IF(Basisdaten!$B$15="English",CY64,CX64)</f>
        <v>0</v>
      </c>
      <c r="CX64" s="305"/>
      <c r="CY64" s="305"/>
      <c r="CZ64" s="881"/>
    </row>
    <row r="65" spans="3:119" ht="15.9" customHeight="1" thickTop="1">
      <c r="C65" s="73"/>
      <c r="D65" s="1043"/>
      <c r="E65" s="2180" t="str">
        <f>E31</f>
        <v>Gesamtumsätze</v>
      </c>
      <c r="F65" s="2181"/>
      <c r="G65" s="2182"/>
      <c r="H65" s="842">
        <f>H48+H59+H64</f>
        <v>0</v>
      </c>
      <c r="I65" s="842">
        <f t="shared" ref="I65:S65" si="37">I48+I59+I64</f>
        <v>0</v>
      </c>
      <c r="J65" s="842">
        <f t="shared" si="37"/>
        <v>0</v>
      </c>
      <c r="K65" s="842">
        <f t="shared" si="37"/>
        <v>0</v>
      </c>
      <c r="L65" s="842">
        <f t="shared" si="37"/>
        <v>0</v>
      </c>
      <c r="M65" s="842">
        <f t="shared" si="37"/>
        <v>0</v>
      </c>
      <c r="N65" s="842">
        <f t="shared" si="37"/>
        <v>0</v>
      </c>
      <c r="O65" s="842">
        <f t="shared" si="37"/>
        <v>0</v>
      </c>
      <c r="P65" s="842">
        <f t="shared" si="37"/>
        <v>0</v>
      </c>
      <c r="Q65" s="842">
        <f t="shared" si="37"/>
        <v>0</v>
      </c>
      <c r="R65" s="842">
        <f t="shared" si="37"/>
        <v>0</v>
      </c>
      <c r="S65" s="842">
        <f t="shared" si="37"/>
        <v>0</v>
      </c>
      <c r="T65" s="898">
        <f>SUM(H65:S65)</f>
        <v>0</v>
      </c>
      <c r="V65" s="268"/>
      <c r="W65" s="696"/>
      <c r="Y65" s="874"/>
      <c r="Z65" s="301"/>
      <c r="AA65" s="896"/>
      <c r="AB65" s="897"/>
      <c r="AC65" s="897"/>
      <c r="AD65" s="897"/>
      <c r="AE65" s="897"/>
      <c r="AF65" s="897"/>
      <c r="AG65" s="897"/>
      <c r="AH65" s="897"/>
      <c r="AI65" s="897"/>
      <c r="AJ65" s="897"/>
      <c r="AK65" s="897"/>
      <c r="AL65" s="897"/>
      <c r="AM65" s="897"/>
      <c r="AN65" s="897"/>
      <c r="AO65" s="225"/>
      <c r="AP65" s="71"/>
      <c r="CW65" s="383">
        <f>IF(Basisdaten!$B$15="English",CY65,CX65)</f>
        <v>0</v>
      </c>
      <c r="CX65" s="305"/>
      <c r="CY65" s="305"/>
      <c r="CZ65" s="881"/>
    </row>
    <row r="66" spans="3:119" s="30" customFormat="1" ht="15.9" customHeight="1">
      <c r="C66" s="899"/>
      <c r="E66" s="2171" t="str">
        <f>CW141</f>
        <v>davon Zukauf</v>
      </c>
      <c r="F66" s="2172"/>
      <c r="G66" s="2173"/>
      <c r="H66" s="2049">
        <f t="shared" ref="H66:O66" si="38">H60+H49</f>
        <v>0</v>
      </c>
      <c r="I66" s="2049">
        <f t="shared" si="38"/>
        <v>0</v>
      </c>
      <c r="J66" s="2049">
        <f t="shared" si="38"/>
        <v>0</v>
      </c>
      <c r="K66" s="2049">
        <f t="shared" si="38"/>
        <v>0</v>
      </c>
      <c r="L66" s="2049">
        <f t="shared" si="38"/>
        <v>0</v>
      </c>
      <c r="M66" s="2049">
        <f t="shared" si="38"/>
        <v>0</v>
      </c>
      <c r="N66" s="2049">
        <f t="shared" si="38"/>
        <v>0</v>
      </c>
      <c r="O66" s="2049">
        <f t="shared" si="38"/>
        <v>0</v>
      </c>
      <c r="P66" s="2049">
        <f>P60+P49</f>
        <v>0</v>
      </c>
      <c r="Q66" s="2049">
        <f>Q60+Q49</f>
        <v>0</v>
      </c>
      <c r="R66" s="2049">
        <f>R60+R49</f>
        <v>0</v>
      </c>
      <c r="S66" s="2049">
        <f>S60+S49</f>
        <v>0</v>
      </c>
      <c r="T66" s="2049">
        <f>SUM(H66:S66)</f>
        <v>0</v>
      </c>
      <c r="U66" s="249"/>
      <c r="V66" s="268"/>
      <c r="W66" s="37"/>
      <c r="X66" s="37"/>
      <c r="Y66" s="900"/>
      <c r="Z66" s="301"/>
      <c r="AA66" s="896"/>
      <c r="AB66" s="897"/>
      <c r="AC66" s="897"/>
      <c r="AD66" s="897"/>
      <c r="AE66" s="897"/>
      <c r="AF66" s="897"/>
      <c r="AG66" s="897"/>
      <c r="AH66" s="897"/>
      <c r="AI66" s="897"/>
      <c r="AJ66" s="897"/>
      <c r="AK66" s="897"/>
      <c r="AL66" s="897"/>
      <c r="AM66" s="897"/>
      <c r="AN66" s="897"/>
      <c r="AO66" s="225"/>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53"/>
      <c r="CU66" s="383"/>
      <c r="CV66" s="383"/>
      <c r="CW66" s="383">
        <f>IF(Basisdaten!$B$15="English",CY66,CX66)</f>
        <v>0</v>
      </c>
      <c r="CX66" s="305"/>
      <c r="CY66" s="305"/>
      <c r="CZ66" s="838"/>
      <c r="DA66" s="116"/>
      <c r="DB66" s="116"/>
      <c r="DC66" s="116"/>
      <c r="DD66" s="116"/>
      <c r="DE66" s="116"/>
      <c r="DF66" s="116"/>
      <c r="DG66" s="116"/>
      <c r="DH66" s="116"/>
      <c r="DI66" s="116"/>
      <c r="DJ66" s="116"/>
      <c r="DK66" s="116"/>
      <c r="DL66" s="116"/>
      <c r="DM66" s="116"/>
      <c r="DN66" s="55"/>
      <c r="DO66" s="55"/>
    </row>
    <row r="67" spans="3:119" ht="18" customHeight="1">
      <c r="C67" s="73"/>
      <c r="E67" s="2171" t="str">
        <f>E33</f>
        <v>Gesamtumsätze akkumuliert</v>
      </c>
      <c r="F67" s="2172"/>
      <c r="G67" s="2173"/>
      <c r="H67" s="865">
        <f>H65+H64+T31</f>
        <v>0</v>
      </c>
      <c r="I67" s="865">
        <f>H67+I65</f>
        <v>0</v>
      </c>
      <c r="J67" s="865">
        <f t="shared" ref="J67:S67" si="39">I67+J65</f>
        <v>0</v>
      </c>
      <c r="K67" s="865">
        <f t="shared" si="39"/>
        <v>0</v>
      </c>
      <c r="L67" s="865">
        <f t="shared" si="39"/>
        <v>0</v>
      </c>
      <c r="M67" s="865">
        <f t="shared" si="39"/>
        <v>0</v>
      </c>
      <c r="N67" s="865">
        <f t="shared" si="39"/>
        <v>0</v>
      </c>
      <c r="O67" s="865">
        <f t="shared" si="39"/>
        <v>0</v>
      </c>
      <c r="P67" s="865">
        <f t="shared" si="39"/>
        <v>0</v>
      </c>
      <c r="Q67" s="865">
        <f t="shared" si="39"/>
        <v>0</v>
      </c>
      <c r="R67" s="865">
        <f t="shared" si="39"/>
        <v>0</v>
      </c>
      <c r="S67" s="865">
        <f t="shared" si="39"/>
        <v>0</v>
      </c>
      <c r="V67" s="268"/>
      <c r="W67" s="37"/>
      <c r="Y67" s="874"/>
      <c r="Z67" s="301"/>
      <c r="AA67" s="896"/>
      <c r="AB67" s="897"/>
      <c r="AC67" s="897"/>
      <c r="AD67" s="897"/>
      <c r="AE67" s="897"/>
      <c r="AF67" s="897"/>
      <c r="AG67" s="897"/>
      <c r="AH67" s="897"/>
      <c r="AI67" s="897"/>
      <c r="AJ67" s="897"/>
      <c r="AK67" s="897"/>
      <c r="AL67" s="897"/>
      <c r="AM67" s="897"/>
      <c r="AN67" s="897"/>
      <c r="AO67" s="225"/>
      <c r="AP67" s="71"/>
      <c r="CW67" s="383">
        <f>IF(Basisdaten!$B$15="English",CY67,CX67)</f>
        <v>0</v>
      </c>
      <c r="CX67" s="305"/>
      <c r="CY67" s="305"/>
      <c r="CZ67" s="881"/>
    </row>
    <row r="68" spans="3:119" ht="14.4" customHeight="1">
      <c r="C68" s="71"/>
      <c r="H68" s="2234">
        <f>IF(AND(T65&gt;Basisdaten!$M$48,Basisdaten!$G$15=Basisdaten!$L$16),'2 Umsatz|Sales'!CV19&amp;'2 Umsatz|Sales'!CW26&amp;Basisdaten!$U$34,0)</f>
        <v>0</v>
      </c>
      <c r="I68" s="2234"/>
      <c r="J68" s="2234"/>
      <c r="K68" s="2234"/>
      <c r="L68" s="2234"/>
      <c r="M68" s="2234"/>
      <c r="N68" s="2234"/>
      <c r="O68" s="2234"/>
      <c r="P68" s="2234"/>
      <c r="Q68" s="2234"/>
      <c r="R68" s="2234"/>
      <c r="S68" s="2234"/>
      <c r="T68" s="2235" t="str">
        <f>IF('0 Daten|Data'!H7="","",IF(Basisdaten!G15=Basisdaten!U22,"",IF(T65&lt;=Basisdaten!$M$48,Basisdaten!$U$34,Basisdaten!$U$22)))</f>
        <v/>
      </c>
      <c r="U68" s="247"/>
      <c r="V68" s="268"/>
      <c r="W68" s="37"/>
      <c r="X68" s="73"/>
      <c r="Y68" s="71"/>
      <c r="Z68" s="71"/>
      <c r="AA68" s="71"/>
      <c r="AB68" s="71"/>
      <c r="AC68" s="71"/>
      <c r="AD68" s="71"/>
      <c r="AE68" s="71"/>
      <c r="AF68" s="71"/>
      <c r="AG68" s="71"/>
      <c r="AH68" s="71"/>
      <c r="AI68" s="71"/>
      <c r="AJ68" s="71"/>
      <c r="AK68" s="71"/>
      <c r="AL68" s="71"/>
      <c r="AM68" s="71"/>
      <c r="AN68" s="71"/>
      <c r="AO68" s="71"/>
      <c r="AP68" s="71"/>
      <c r="CW68" s="383">
        <f>IF(Basisdaten!$B$15="English",CY68,CX68)</f>
        <v>0</v>
      </c>
      <c r="CX68" s="383"/>
      <c r="CY68" s="383"/>
      <c r="CZ68" s="881"/>
    </row>
    <row r="69" spans="3:119" s="107" customFormat="1" ht="16.5" customHeight="1">
      <c r="C69" s="1551"/>
      <c r="E69" s="1552"/>
      <c r="F69" s="1209"/>
      <c r="G69" s="1210"/>
      <c r="H69" s="1211"/>
      <c r="I69" s="1211"/>
      <c r="J69" s="1211"/>
      <c r="K69" s="1211"/>
      <c r="L69" s="1211"/>
      <c r="M69" s="1211"/>
      <c r="N69" s="1211"/>
      <c r="O69" s="1211"/>
      <c r="P69" s="1211"/>
      <c r="Q69" s="1211"/>
      <c r="R69" s="1211"/>
      <c r="S69" s="1211"/>
      <c r="T69" s="2236"/>
      <c r="U69" s="168"/>
      <c r="V69" s="99"/>
      <c r="W69" s="168"/>
      <c r="X69" s="168"/>
      <c r="Y69" s="859"/>
      <c r="Z69" s="1553"/>
      <c r="AA69" s="1554"/>
      <c r="AB69" s="1555"/>
      <c r="AC69" s="1555"/>
      <c r="AD69" s="1555"/>
      <c r="AE69" s="1555"/>
      <c r="AF69" s="1555"/>
      <c r="AG69" s="1555"/>
      <c r="AH69" s="1555"/>
      <c r="AI69" s="1555"/>
      <c r="AJ69" s="1555"/>
      <c r="AK69" s="1555"/>
      <c r="AL69" s="1555"/>
      <c r="AM69" s="1555"/>
      <c r="AN69" s="1555"/>
      <c r="AO69" s="1556"/>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506"/>
      <c r="CU69" s="1557"/>
      <c r="CV69" s="1557"/>
      <c r="CW69" s="1558"/>
      <c r="CX69" s="884"/>
      <c r="CY69" s="884"/>
      <c r="CZ69" s="881"/>
    </row>
    <row r="70" spans="3:119" ht="14.25" customHeight="1">
      <c r="C70" s="71"/>
      <c r="T70" s="73"/>
      <c r="U70" s="247"/>
      <c r="V70" s="268"/>
      <c r="W70" s="37"/>
      <c r="X70" s="73"/>
      <c r="Y70" s="71"/>
      <c r="Z70" s="901"/>
      <c r="AA70" s="901"/>
      <c r="AB70" s="901"/>
      <c r="AC70" s="901"/>
      <c r="AD70" s="901"/>
      <c r="AE70" s="901"/>
      <c r="AF70" s="901"/>
      <c r="AG70" s="901"/>
      <c r="AH70" s="901"/>
      <c r="AI70" s="901"/>
      <c r="AJ70" s="71"/>
      <c r="AK70" s="71"/>
      <c r="AL70" s="71"/>
      <c r="AM70" s="71"/>
      <c r="AN70" s="71"/>
      <c r="AO70" s="71"/>
      <c r="AP70" s="71"/>
      <c r="CW70" s="383">
        <f>IF(Basisdaten!$B$15="English",CY70,CX70)</f>
        <v>0</v>
      </c>
      <c r="CX70" s="305"/>
      <c r="CY70" s="305"/>
      <c r="CZ70" s="881"/>
    </row>
    <row r="71" spans="3:119" ht="14.25" customHeight="1">
      <c r="C71" s="71"/>
      <c r="T71" s="73"/>
      <c r="U71" s="247"/>
      <c r="V71" s="268"/>
      <c r="W71" s="37"/>
      <c r="X71" s="73"/>
      <c r="Y71" s="71"/>
      <c r="Z71" s="901"/>
      <c r="AA71" s="901"/>
      <c r="AB71" s="901"/>
      <c r="AC71" s="901"/>
      <c r="AD71" s="901"/>
      <c r="AE71" s="901"/>
      <c r="AF71" s="901"/>
      <c r="AG71" s="901"/>
      <c r="AH71" s="901"/>
      <c r="AI71" s="901"/>
      <c r="AJ71" s="71"/>
      <c r="AK71" s="71"/>
      <c r="AL71" s="71"/>
      <c r="AM71" s="71"/>
      <c r="AN71" s="71"/>
      <c r="AO71" s="71"/>
      <c r="AP71" s="71"/>
      <c r="CW71" s="383" t="str">
        <f ca="1">IF(Basisdaten!$B$15="English",CY71,CX71)</f>
        <v>2a-1.1 Steueraufkommen für die Monate des Jahres 2026</v>
      </c>
      <c r="CX71" s="305" t="str">
        <f ca="1">"2a-1.1 Steueraufkommen für die Monate des Jahres "&amp;Basisdaten!$C$15</f>
        <v>2a-1.1 Steueraufkommen für die Monate des Jahres 2026</v>
      </c>
      <c r="CY71" s="305" t="str">
        <f ca="1">"2a-1.1 Tax for the Months of the Year "&amp;Basisdaten!$C$15</f>
        <v>2a-1.1 Tax for the Months of the Year 2026</v>
      </c>
      <c r="CZ71" s="881"/>
    </row>
    <row r="72" spans="3:119" ht="14.25" customHeight="1">
      <c r="C72" s="71"/>
      <c r="T72" s="73"/>
      <c r="U72" s="247"/>
      <c r="V72" s="268"/>
      <c r="W72" s="37"/>
      <c r="X72" s="73"/>
      <c r="Y72" s="71"/>
      <c r="Z72" s="71"/>
      <c r="AA72" s="71"/>
      <c r="AB72" s="71"/>
      <c r="AC72" s="71"/>
      <c r="AD72" s="71"/>
      <c r="AE72" s="71"/>
      <c r="AF72" s="833"/>
      <c r="AG72" s="71"/>
      <c r="AH72" s="833"/>
      <c r="AI72" s="71"/>
      <c r="AJ72" s="833"/>
      <c r="AK72" s="71"/>
      <c r="AL72" s="71"/>
      <c r="AM72" s="833"/>
      <c r="AN72" s="71"/>
      <c r="AO72" s="833"/>
      <c r="AP72" s="71"/>
      <c r="AQ72" s="902"/>
      <c r="CX72" s="305"/>
      <c r="CY72" s="305"/>
      <c r="CZ72" s="881"/>
    </row>
    <row r="73" spans="3:119" ht="14.25" customHeight="1">
      <c r="C73" s="71"/>
      <c r="T73" s="73"/>
      <c r="U73" s="247"/>
      <c r="V73" s="268"/>
      <c r="W73" s="37"/>
      <c r="X73" s="73"/>
      <c r="Y73" s="71"/>
      <c r="Z73" s="71"/>
      <c r="AA73" s="71"/>
      <c r="AB73" s="71"/>
      <c r="AC73" s="71"/>
      <c r="AD73" s="71"/>
      <c r="AE73" s="71"/>
      <c r="AF73" s="71"/>
      <c r="AG73" s="71"/>
      <c r="AH73" s="71"/>
      <c r="AI73" s="71"/>
      <c r="AJ73" s="71"/>
      <c r="AK73" s="71"/>
      <c r="AL73" s="71"/>
      <c r="AM73" s="71"/>
      <c r="AN73" s="71"/>
      <c r="AO73" s="71"/>
      <c r="AP73" s="71"/>
      <c r="CX73" s="305"/>
      <c r="CY73" s="305"/>
      <c r="CZ73" s="881"/>
    </row>
    <row r="74" spans="3:119" ht="14.25" customHeight="1">
      <c r="C74" s="71"/>
      <c r="T74" s="73"/>
      <c r="U74" s="247"/>
      <c r="V74" s="268"/>
      <c r="W74" s="37"/>
      <c r="X74" s="73"/>
      <c r="Y74" s="71"/>
      <c r="Z74" s="71"/>
      <c r="AA74" s="71"/>
      <c r="AB74" s="71"/>
      <c r="AC74" s="71"/>
      <c r="AD74" s="71"/>
      <c r="AE74" s="71"/>
      <c r="AF74" s="71"/>
      <c r="AG74" s="71"/>
      <c r="AH74" s="71"/>
      <c r="AI74" s="71"/>
      <c r="AJ74" s="71"/>
      <c r="AK74" s="71"/>
      <c r="AL74" s="71"/>
      <c r="AM74" s="71"/>
      <c r="AN74" s="71"/>
      <c r="AO74" s="71"/>
      <c r="AP74" s="71"/>
      <c r="CX74" s="305"/>
      <c r="CY74" s="305"/>
      <c r="CZ74" s="881"/>
    </row>
    <row r="75" spans="3:119" ht="17.399999999999999">
      <c r="C75" s="73"/>
      <c r="F75" s="30"/>
      <c r="G75" s="381"/>
      <c r="H75" s="381"/>
      <c r="I75" s="381"/>
      <c r="J75" s="381"/>
      <c r="K75" s="381"/>
      <c r="L75" s="381"/>
      <c r="M75" s="381"/>
      <c r="N75" s="381"/>
      <c r="O75" s="381"/>
      <c r="P75" s="381"/>
      <c r="Q75" s="381"/>
      <c r="R75" s="381"/>
      <c r="S75" s="762"/>
      <c r="T75" s="73"/>
      <c r="U75" s="247"/>
      <c r="V75" s="268"/>
      <c r="W75" s="73"/>
      <c r="X75" s="73"/>
      <c r="Y75" s="71"/>
      <c r="Z75" s="71"/>
      <c r="AA75" s="71"/>
      <c r="AB75" s="71"/>
      <c r="AC75" s="71"/>
      <c r="AD75" s="71"/>
      <c r="AE75" s="71"/>
      <c r="AF75" s="71"/>
      <c r="AG75" s="71"/>
      <c r="AH75" s="71"/>
      <c r="AI75" s="71"/>
      <c r="AJ75" s="71"/>
      <c r="AK75" s="71"/>
      <c r="AL75" s="71"/>
      <c r="AM75" s="71"/>
      <c r="AN75" s="71"/>
      <c r="AO75" s="71"/>
      <c r="AP75" s="121"/>
      <c r="CW75" s="383" t="str">
        <f>IF(Basisdaten!$B$15="English",CY75,CX75)</f>
        <v>Ek-W(%Ums) =</v>
      </c>
      <c r="CX75" s="305" t="s">
        <v>836</v>
      </c>
      <c r="CY75" s="305" t="s">
        <v>716</v>
      </c>
      <c r="CZ75" s="216"/>
    </row>
    <row r="76" spans="3:119" ht="14.25" customHeight="1">
      <c r="C76" s="73"/>
      <c r="F76" s="30"/>
      <c r="G76" s="381"/>
      <c r="H76" s="381"/>
      <c r="I76" s="381"/>
      <c r="J76" s="381"/>
      <c r="K76" s="381"/>
      <c r="L76" s="381"/>
      <c r="M76" s="381"/>
      <c r="N76" s="381"/>
      <c r="O76" s="381"/>
      <c r="P76" s="381"/>
      <c r="Q76" s="381"/>
      <c r="R76" s="381"/>
      <c r="S76" s="762"/>
      <c r="T76" s="73"/>
      <c r="U76" s="247"/>
      <c r="V76" s="268"/>
      <c r="W76" s="73"/>
      <c r="X76" s="73"/>
      <c r="Y76" s="71"/>
      <c r="Z76" s="71"/>
      <c r="AA76" s="71"/>
      <c r="AB76" s="71"/>
      <c r="AC76" s="71"/>
      <c r="AD76" s="71"/>
      <c r="AE76" s="71"/>
      <c r="AF76" s="71"/>
      <c r="AG76" s="71"/>
      <c r="AH76" s="71"/>
      <c r="AI76" s="71"/>
      <c r="AJ76" s="71"/>
      <c r="AK76" s="71"/>
      <c r="AL76" s="71"/>
      <c r="AM76" s="71"/>
      <c r="AN76" s="71"/>
      <c r="AO76" s="71"/>
      <c r="AP76" s="121"/>
      <c r="CW76" s="383" t="str">
        <f>IF(Basisdaten!$B$15="English",CY76,CX76)</f>
        <v>NbKo(%Ums) =</v>
      </c>
      <c r="CX76" s="305" t="s">
        <v>837</v>
      </c>
      <c r="CY76" s="305" t="s">
        <v>718</v>
      </c>
      <c r="CZ76" s="881"/>
    </row>
    <row r="77" spans="3:119" ht="15" customHeight="1">
      <c r="C77" s="73"/>
      <c r="F77" s="30"/>
      <c r="G77" s="381"/>
      <c r="H77" s="381"/>
      <c r="I77" s="381"/>
      <c r="J77" s="381"/>
      <c r="K77" s="381"/>
      <c r="L77" s="381"/>
      <c r="M77" s="381"/>
      <c r="N77" s="381"/>
      <c r="O77" s="381"/>
      <c r="P77" s="381"/>
      <c r="Q77" s="381"/>
      <c r="R77" s="381"/>
      <c r="S77" s="762"/>
      <c r="T77" s="73"/>
      <c r="U77" s="247"/>
      <c r="V77" s="268"/>
      <c r="W77" s="73"/>
      <c r="X77" s="73"/>
      <c r="Y77" s="71"/>
      <c r="Z77" s="71"/>
      <c r="AA77" s="71"/>
      <c r="AB77" s="71"/>
      <c r="AC77" s="71"/>
      <c r="AD77" s="71"/>
      <c r="AE77" s="71"/>
      <c r="AF77" s="71"/>
      <c r="AG77" s="71"/>
      <c r="AH77" s="71"/>
      <c r="AI77" s="71"/>
      <c r="AJ77" s="71"/>
      <c r="AK77" s="71"/>
      <c r="AL77" s="71"/>
      <c r="AM77" s="71"/>
      <c r="AN77" s="71"/>
      <c r="AO77" s="71"/>
      <c r="AP77" s="71"/>
      <c r="CW77" s="383" t="str">
        <f>IF(Basisdaten!$B$15="English",CY77,CX77)</f>
        <v>VbM(%Ums) =</v>
      </c>
      <c r="CX77" s="305" t="s">
        <v>838</v>
      </c>
      <c r="CY77" s="305" t="s">
        <v>720</v>
      </c>
      <c r="CZ77" s="881"/>
    </row>
    <row r="78" spans="3:119" ht="14.25" customHeight="1">
      <c r="C78" s="73"/>
      <c r="F78" s="30"/>
      <c r="G78" s="381"/>
      <c r="H78" s="381"/>
      <c r="I78" s="381"/>
      <c r="J78" s="381"/>
      <c r="K78" s="381"/>
      <c r="L78" s="381"/>
      <c r="M78" s="381"/>
      <c r="N78" s="381"/>
      <c r="O78" s="381"/>
      <c r="P78" s="381"/>
      <c r="Q78" s="381"/>
      <c r="R78" s="381"/>
      <c r="S78" s="762"/>
      <c r="T78" s="73"/>
      <c r="U78" s="247"/>
      <c r="V78" s="268"/>
      <c r="W78" s="37"/>
      <c r="X78" s="73"/>
      <c r="Y78" s="71"/>
      <c r="Z78" s="71"/>
      <c r="AA78" s="71"/>
      <c r="AB78" s="71"/>
      <c r="AC78" s="71"/>
      <c r="AD78" s="71"/>
      <c r="AE78" s="71"/>
      <c r="AF78" s="71"/>
      <c r="AG78" s="71"/>
      <c r="AH78" s="71"/>
      <c r="AI78" s="71"/>
      <c r="AJ78" s="71"/>
      <c r="AK78" s="71"/>
      <c r="AL78" s="71"/>
      <c r="AM78" s="71"/>
      <c r="AN78" s="71"/>
      <c r="AO78" s="71"/>
      <c r="AP78" s="71"/>
      <c r="CW78" s="383" t="str">
        <f>IF(Basisdaten!$B$15="English",CY78,CX78)</f>
        <v>MaKA(%Ums) =</v>
      </c>
      <c r="CX78" s="305" t="s">
        <v>839</v>
      </c>
      <c r="CY78" s="305" t="s">
        <v>721</v>
      </c>
      <c r="CZ78" s="881"/>
    </row>
    <row r="79" spans="3:119" ht="14.25" customHeight="1">
      <c r="C79" s="73"/>
      <c r="F79" s="30"/>
      <c r="G79" s="381"/>
      <c r="H79" s="381"/>
      <c r="I79" s="381"/>
      <c r="J79" s="381"/>
      <c r="K79" s="381"/>
      <c r="L79" s="381"/>
      <c r="M79" s="381"/>
      <c r="N79" s="381"/>
      <c r="O79" s="381"/>
      <c r="P79" s="381"/>
      <c r="Q79" s="381"/>
      <c r="R79" s="381"/>
      <c r="S79" s="762"/>
      <c r="T79" s="73"/>
      <c r="U79" s="247"/>
      <c r="V79" s="268"/>
      <c r="W79" s="37"/>
      <c r="X79" s="73"/>
      <c r="Y79" s="71"/>
      <c r="Z79" s="71"/>
      <c r="AA79" s="71"/>
      <c r="AB79" s="71"/>
      <c r="AC79" s="71"/>
      <c r="AD79" s="71"/>
      <c r="AE79" s="71"/>
      <c r="AF79" s="71"/>
      <c r="AG79" s="71"/>
      <c r="AH79" s="71"/>
      <c r="AI79" s="71"/>
      <c r="AJ79" s="71"/>
      <c r="AK79" s="71"/>
      <c r="AL79" s="71"/>
      <c r="AM79" s="71"/>
      <c r="AN79" s="71"/>
      <c r="AO79" s="71"/>
      <c r="AP79" s="71"/>
      <c r="CW79" s="383">
        <f>IF(Basisdaten!$B$15="English",CY79,CX79)</f>
        <v>0</v>
      </c>
      <c r="CZ79" s="881"/>
    </row>
    <row r="80" spans="3:119" ht="14.25" customHeight="1">
      <c r="C80" s="73"/>
      <c r="F80" s="30"/>
      <c r="G80" s="381"/>
      <c r="H80" s="381"/>
      <c r="I80" s="381"/>
      <c r="J80" s="381"/>
      <c r="K80" s="381"/>
      <c r="L80" s="381"/>
      <c r="M80" s="381"/>
      <c r="N80" s="381"/>
      <c r="O80" s="381"/>
      <c r="P80" s="381"/>
      <c r="Q80" s="381"/>
      <c r="R80" s="381"/>
      <c r="S80" s="762"/>
      <c r="T80" s="73"/>
      <c r="U80" s="247"/>
      <c r="V80" s="268"/>
      <c r="W80" s="37"/>
      <c r="X80" s="73"/>
      <c r="Y80" s="71"/>
      <c r="Z80" s="71"/>
      <c r="AA80" s="71"/>
      <c r="AB80" s="71"/>
      <c r="AC80" s="71"/>
      <c r="AD80" s="71"/>
      <c r="AE80" s="71"/>
      <c r="AF80" s="71"/>
      <c r="AG80" s="71"/>
      <c r="AH80" s="71"/>
      <c r="AI80" s="71"/>
      <c r="AJ80" s="71"/>
      <c r="AK80" s="71"/>
      <c r="AL80" s="71"/>
      <c r="AM80" s="71"/>
      <c r="AN80" s="71"/>
      <c r="AO80" s="71"/>
      <c r="AP80" s="71"/>
      <c r="CW80" s="383" t="str">
        <f>IF(Basisdaten!$B$15="English",CY80,CX80)</f>
        <v>Summe Umsatz</v>
      </c>
      <c r="CX80" s="305" t="s">
        <v>745</v>
      </c>
      <c r="CY80" s="305" t="s">
        <v>746</v>
      </c>
      <c r="CZ80" s="881"/>
    </row>
    <row r="81" spans="1:117" ht="15.9" customHeight="1">
      <c r="C81" s="73"/>
      <c r="F81" s="30"/>
      <c r="G81" s="381"/>
      <c r="H81" s="381"/>
      <c r="I81" s="381"/>
      <c r="J81" s="381"/>
      <c r="K81" s="381"/>
      <c r="L81" s="381"/>
      <c r="M81" s="381"/>
      <c r="N81" s="381"/>
      <c r="O81" s="381"/>
      <c r="P81" s="381"/>
      <c r="Q81" s="381"/>
      <c r="R81" s="381"/>
      <c r="S81" s="762"/>
      <c r="T81" s="73"/>
      <c r="U81" s="247"/>
      <c r="V81" s="268"/>
      <c r="W81" s="249"/>
      <c r="X81" s="73"/>
      <c r="Y81" s="71"/>
      <c r="Z81" s="71"/>
      <c r="AA81" s="71"/>
      <c r="AB81" s="71"/>
      <c r="AC81" s="71"/>
      <c r="AD81" s="71"/>
      <c r="AE81" s="71"/>
      <c r="AF81" s="71"/>
      <c r="AG81" s="71"/>
      <c r="AH81" s="71"/>
      <c r="AI81" s="71"/>
      <c r="AJ81" s="71"/>
      <c r="AK81" s="71"/>
      <c r="AL81" s="71"/>
      <c r="AM81" s="71"/>
      <c r="AN81" s="71"/>
      <c r="AO81" s="71"/>
      <c r="AP81" s="71"/>
      <c r="CW81" s="383" t="str">
        <f>IF(Basisdaten!$B$15="English",CY81,CX81)</f>
        <v>MwSt</v>
      </c>
      <c r="CX81" s="305" t="s">
        <v>504</v>
      </c>
      <c r="CY81" s="305" t="s">
        <v>581</v>
      </c>
      <c r="CZ81" s="881"/>
    </row>
    <row r="82" spans="1:117" ht="15.9" customHeight="1">
      <c r="C82" s="73"/>
      <c r="F82" s="30"/>
      <c r="G82" s="381"/>
      <c r="H82" s="381"/>
      <c r="I82" s="381"/>
      <c r="J82" s="381"/>
      <c r="K82" s="381"/>
      <c r="L82" s="381"/>
      <c r="M82" s="381"/>
      <c r="N82" s="381"/>
      <c r="O82" s="381"/>
      <c r="P82" s="381"/>
      <c r="Q82" s="381"/>
      <c r="R82" s="381"/>
      <c r="S82" s="762"/>
      <c r="T82" s="73"/>
      <c r="U82" s="247"/>
      <c r="V82" s="268"/>
      <c r="W82" s="249"/>
      <c r="X82" s="73"/>
      <c r="Y82" s="71"/>
      <c r="Z82" s="71"/>
      <c r="AA82" s="71"/>
      <c r="AB82" s="71"/>
      <c r="AC82" s="71"/>
      <c r="AD82" s="71"/>
      <c r="AE82" s="71"/>
      <c r="AF82" s="71"/>
      <c r="AG82" s="71"/>
      <c r="AH82" s="71"/>
      <c r="AI82" s="71"/>
      <c r="AJ82" s="71"/>
      <c r="AK82" s="71"/>
      <c r="AL82" s="71"/>
      <c r="AM82" s="71"/>
      <c r="AN82" s="71"/>
      <c r="AO82" s="71"/>
      <c r="AP82" s="71"/>
      <c r="CW82" s="383" t="str">
        <f ca="1">IF(Basisdaten!$B$15="English",CY82,CX82)</f>
        <v>2a-2.1 Steueraufkommen für die Monate des Jahres 2027</v>
      </c>
      <c r="CX82" s="305" t="str">
        <f ca="1">"2a-2.1 Steueraufkommen für die Monate des Jahres " &amp;Basisdaten!$C$15+1</f>
        <v>2a-2.1 Steueraufkommen für die Monate des Jahres 2027</v>
      </c>
      <c r="CY82" s="305" t="str">
        <f ca="1">"2a-2.1 Tax for the Months of the Year " &amp;Basisdaten!$C$15+1</f>
        <v>2a-2.1 Tax for the Months of the Year 2027</v>
      </c>
      <c r="CZ82" s="881"/>
    </row>
    <row r="83" spans="1:117" ht="15.9" customHeight="1">
      <c r="C83" s="73"/>
      <c r="F83" s="30"/>
      <c r="G83" s="381"/>
      <c r="H83" s="381"/>
      <c r="I83" s="381"/>
      <c r="J83" s="381"/>
      <c r="K83" s="381"/>
      <c r="L83" s="381"/>
      <c r="M83" s="381"/>
      <c r="N83" s="381"/>
      <c r="O83" s="381"/>
      <c r="P83" s="381"/>
      <c r="Q83" s="381"/>
      <c r="R83" s="381"/>
      <c r="S83" s="762"/>
      <c r="T83" s="73"/>
      <c r="U83" s="247"/>
      <c r="V83" s="268"/>
      <c r="W83" s="249"/>
      <c r="X83" s="73"/>
      <c r="Y83" s="71"/>
      <c r="Z83" s="71"/>
      <c r="AA83" s="71"/>
      <c r="AB83" s="71"/>
      <c r="AC83" s="71"/>
      <c r="AD83" s="71"/>
      <c r="AE83" s="71"/>
      <c r="AF83" s="71"/>
      <c r="AG83" s="71"/>
      <c r="AH83" s="71"/>
      <c r="AI83" s="71"/>
      <c r="AJ83" s="71"/>
      <c r="AK83" s="71"/>
      <c r="AL83" s="71"/>
      <c r="AM83" s="71"/>
      <c r="AN83" s="71"/>
      <c r="AO83" s="71"/>
      <c r="AP83" s="71"/>
      <c r="CW83" s="383">
        <f>IF(Basisdaten!$B$15="English",CY83,CX83)</f>
        <v>0</v>
      </c>
      <c r="CX83" s="305"/>
      <c r="CY83" s="305"/>
      <c r="CZ83" s="881"/>
    </row>
    <row r="84" spans="1:117" ht="15.9" customHeight="1">
      <c r="C84" s="73"/>
      <c r="F84" s="30"/>
      <c r="G84" s="381"/>
      <c r="H84" s="381"/>
      <c r="I84" s="381"/>
      <c r="J84" s="381"/>
      <c r="K84" s="381"/>
      <c r="L84" s="381"/>
      <c r="M84" s="381"/>
      <c r="N84" s="381"/>
      <c r="O84" s="381"/>
      <c r="P84" s="381"/>
      <c r="Q84" s="381"/>
      <c r="R84" s="381"/>
      <c r="S84" s="762"/>
      <c r="T84" s="73"/>
      <c r="U84" s="247"/>
      <c r="V84" s="268"/>
      <c r="W84" s="249"/>
      <c r="X84" s="73"/>
      <c r="Y84" s="71"/>
      <c r="Z84" s="71"/>
      <c r="AA84" s="71"/>
      <c r="AB84" s="71"/>
      <c r="AC84" s="71"/>
      <c r="AD84" s="71"/>
      <c r="AE84" s="71"/>
      <c r="AF84" s="71"/>
      <c r="AG84" s="71"/>
      <c r="AH84" s="71"/>
      <c r="AI84" s="71"/>
      <c r="AJ84" s="71"/>
      <c r="AK84" s="71"/>
      <c r="AL84" s="71"/>
      <c r="AM84" s="71"/>
      <c r="AN84" s="71"/>
      <c r="AO84" s="71"/>
      <c r="AP84" s="71"/>
      <c r="CW84" s="383">
        <f>IF(Basisdaten!$B$15="English",CY84,CX84)</f>
        <v>0</v>
      </c>
      <c r="CX84" s="305"/>
      <c r="CY84" s="305"/>
      <c r="CZ84" s="881"/>
    </row>
    <row r="85" spans="1:117" ht="15.9" customHeight="1">
      <c r="C85" s="73"/>
      <c r="F85" s="30"/>
      <c r="G85" s="381"/>
      <c r="H85" s="381"/>
      <c r="I85" s="381"/>
      <c r="J85" s="381"/>
      <c r="K85" s="381"/>
      <c r="L85" s="381"/>
      <c r="M85" s="381"/>
      <c r="N85" s="381"/>
      <c r="O85" s="381"/>
      <c r="P85" s="381"/>
      <c r="Q85" s="381"/>
      <c r="R85" s="381"/>
      <c r="S85" s="762"/>
      <c r="T85" s="73"/>
      <c r="U85" s="247"/>
      <c r="V85" s="268"/>
      <c r="W85" s="249"/>
      <c r="X85" s="73"/>
      <c r="Y85" s="71"/>
      <c r="Z85" s="71"/>
      <c r="AA85" s="71"/>
      <c r="AB85" s="71"/>
      <c r="AC85" s="71"/>
      <c r="AD85" s="71"/>
      <c r="AE85" s="71"/>
      <c r="AF85" s="71"/>
      <c r="AG85" s="71"/>
      <c r="AH85" s="71"/>
      <c r="AI85" s="71"/>
      <c r="AJ85" s="71"/>
      <c r="AK85" s="71"/>
      <c r="AL85" s="71"/>
      <c r="AM85" s="71"/>
      <c r="AN85" s="71"/>
      <c r="AO85" s="71"/>
      <c r="AP85" s="71"/>
      <c r="CW85" s="383">
        <f>IF(Basisdaten!$B$15="English",CY85,CX85)</f>
        <v>0</v>
      </c>
      <c r="CX85" s="305"/>
      <c r="CY85" s="305"/>
      <c r="CZ85" s="881"/>
    </row>
    <row r="86" spans="1:117" ht="15.9" customHeight="1">
      <c r="C86" s="73"/>
      <c r="F86" s="30"/>
      <c r="G86" s="381"/>
      <c r="H86" s="381"/>
      <c r="I86" s="381"/>
      <c r="J86" s="381"/>
      <c r="K86" s="381"/>
      <c r="L86" s="381"/>
      <c r="M86" s="381"/>
      <c r="N86" s="381"/>
      <c r="O86" s="381"/>
      <c r="P86" s="381"/>
      <c r="Q86" s="381"/>
      <c r="R86" s="381"/>
      <c r="S86" s="762"/>
      <c r="T86" s="73"/>
      <c r="U86" s="247"/>
      <c r="V86" s="268"/>
      <c r="W86" s="249"/>
      <c r="X86" s="73"/>
      <c r="Y86" s="71"/>
      <c r="Z86" s="71"/>
      <c r="AA86" s="71"/>
      <c r="AB86" s="71"/>
      <c r="AC86" s="71"/>
      <c r="AD86" s="71"/>
      <c r="AE86" s="71"/>
      <c r="AF86" s="71"/>
      <c r="AG86" s="71"/>
      <c r="AH86" s="71"/>
      <c r="AI86" s="71"/>
      <c r="AJ86" s="71"/>
      <c r="AK86" s="71"/>
      <c r="AL86" s="71"/>
      <c r="AM86" s="71"/>
      <c r="AN86" s="71"/>
      <c r="AO86" s="71"/>
      <c r="AP86" s="71"/>
      <c r="CW86" s="383">
        <f>IF(Basisdaten!$B$15="English",CY86,CX86)</f>
        <v>0</v>
      </c>
      <c r="CX86" s="305"/>
      <c r="CY86" s="305"/>
      <c r="CZ86" s="881"/>
    </row>
    <row r="87" spans="1:117" ht="15.9" customHeight="1">
      <c r="C87" s="73"/>
      <c r="F87" s="30"/>
      <c r="G87" s="381"/>
      <c r="H87" s="381"/>
      <c r="I87" s="381"/>
      <c r="J87" s="381"/>
      <c r="K87" s="381"/>
      <c r="L87" s="381"/>
      <c r="M87" s="381"/>
      <c r="N87" s="381"/>
      <c r="O87" s="381"/>
      <c r="P87" s="381"/>
      <c r="Q87" s="381"/>
      <c r="R87" s="381"/>
      <c r="S87" s="762"/>
      <c r="T87" s="73"/>
      <c r="U87" s="247"/>
      <c r="V87" s="268"/>
      <c r="W87" s="249"/>
      <c r="X87" s="73"/>
      <c r="Y87" s="71"/>
      <c r="Z87" s="71"/>
      <c r="AA87" s="71"/>
      <c r="AB87" s="71"/>
      <c r="AC87" s="71"/>
      <c r="AD87" s="71"/>
      <c r="AE87" s="71"/>
      <c r="AF87" s="71"/>
      <c r="AG87" s="71"/>
      <c r="AH87" s="71"/>
      <c r="AI87" s="71"/>
      <c r="AJ87" s="71"/>
      <c r="AK87" s="71"/>
      <c r="AL87" s="71"/>
      <c r="AM87" s="71"/>
      <c r="AN87" s="71"/>
      <c r="AO87" s="71"/>
      <c r="AP87" s="71"/>
      <c r="CW87" s="383">
        <f>IF(Basisdaten!$B$15="English",CY87,CX87)</f>
        <v>0</v>
      </c>
      <c r="CX87" s="305"/>
      <c r="CY87" s="305"/>
      <c r="CZ87" s="881"/>
    </row>
    <row r="88" spans="1:117" ht="15.9" customHeight="1">
      <c r="C88" s="73"/>
      <c r="F88" s="30"/>
      <c r="G88" s="381"/>
      <c r="H88" s="381"/>
      <c r="I88" s="381"/>
      <c r="J88" s="381"/>
      <c r="K88" s="381"/>
      <c r="L88" s="381"/>
      <c r="M88" s="381"/>
      <c r="N88" s="381"/>
      <c r="O88" s="381"/>
      <c r="P88" s="381"/>
      <c r="Q88" s="381"/>
      <c r="R88" s="381"/>
      <c r="S88" s="762"/>
      <c r="T88" s="73"/>
      <c r="U88" s="247"/>
      <c r="V88" s="268"/>
      <c r="W88" s="249"/>
      <c r="X88" s="73"/>
      <c r="Y88" s="71"/>
      <c r="Z88" s="71"/>
      <c r="AA88" s="71"/>
      <c r="AB88" s="71"/>
      <c r="AC88" s="71"/>
      <c r="AD88" s="71"/>
      <c r="AE88" s="71"/>
      <c r="AF88" s="71"/>
      <c r="AG88" s="71"/>
      <c r="AH88" s="71"/>
      <c r="AI88" s="71"/>
      <c r="AJ88" s="71"/>
      <c r="AK88" s="71"/>
      <c r="AL88" s="71"/>
      <c r="AM88" s="71"/>
      <c r="AN88" s="71"/>
      <c r="AO88" s="71"/>
      <c r="AP88" s="71"/>
      <c r="CW88" s="383">
        <f>IF(Basisdaten!$B$15="English",CY88,CX88)</f>
        <v>0</v>
      </c>
      <c r="CX88" s="305"/>
      <c r="CY88" s="305"/>
      <c r="CZ88" s="881"/>
    </row>
    <row r="89" spans="1:117" ht="15.9" customHeight="1">
      <c r="C89" s="73"/>
      <c r="F89" s="30"/>
      <c r="G89" s="381"/>
      <c r="H89" s="381"/>
      <c r="I89" s="381"/>
      <c r="J89" s="381"/>
      <c r="K89" s="381"/>
      <c r="L89" s="381"/>
      <c r="M89" s="381"/>
      <c r="N89" s="381"/>
      <c r="O89" s="381"/>
      <c r="P89" s="381"/>
      <c r="Q89" s="381"/>
      <c r="R89" s="381"/>
      <c r="S89" s="762"/>
      <c r="T89" s="73"/>
      <c r="U89" s="247"/>
      <c r="V89" s="268"/>
      <c r="W89" s="249"/>
      <c r="X89" s="73"/>
      <c r="Y89" s="71"/>
      <c r="Z89" s="71"/>
      <c r="AA89" s="71"/>
      <c r="AB89" s="71"/>
      <c r="AC89" s="71"/>
      <c r="AD89" s="71"/>
      <c r="AE89" s="71"/>
      <c r="AF89" s="71"/>
      <c r="AG89" s="71"/>
      <c r="AH89" s="71"/>
      <c r="AI89" s="71"/>
      <c r="AJ89" s="71"/>
      <c r="AK89" s="71"/>
      <c r="AL89" s="71"/>
      <c r="AM89" s="71"/>
      <c r="AN89" s="71"/>
      <c r="AO89" s="71"/>
      <c r="AP89" s="71"/>
      <c r="CW89" s="383">
        <f>IF(Basisdaten!$B$15="English",CY89,CX89)</f>
        <v>0</v>
      </c>
      <c r="CX89" s="305"/>
      <c r="CY89" s="305"/>
      <c r="CZ89" s="881"/>
    </row>
    <row r="90" spans="1:117" ht="15.9" customHeight="1">
      <c r="C90" s="73"/>
      <c r="F90" s="30"/>
      <c r="G90" s="381"/>
      <c r="H90" s="381"/>
      <c r="I90" s="381"/>
      <c r="J90" s="381"/>
      <c r="K90" s="381"/>
      <c r="L90" s="381"/>
      <c r="M90" s="381"/>
      <c r="N90" s="381"/>
      <c r="O90" s="381"/>
      <c r="P90" s="381"/>
      <c r="Q90" s="381"/>
      <c r="R90" s="381"/>
      <c r="S90" s="762"/>
      <c r="T90" s="73"/>
      <c r="U90" s="247"/>
      <c r="V90" s="268"/>
      <c r="W90" s="249"/>
      <c r="X90" s="73"/>
      <c r="Y90" s="71"/>
      <c r="Z90" s="71"/>
      <c r="AA90" s="71"/>
      <c r="AB90" s="71"/>
      <c r="AC90" s="71"/>
      <c r="AD90" s="71"/>
      <c r="AE90" s="71"/>
      <c r="AF90" s="71"/>
      <c r="AG90" s="71"/>
      <c r="AH90" s="71"/>
      <c r="AI90" s="71"/>
      <c r="AJ90" s="71"/>
      <c r="AK90" s="71"/>
      <c r="AL90" s="71"/>
      <c r="AM90" s="71"/>
      <c r="AN90" s="71"/>
      <c r="AO90" s="71"/>
      <c r="AP90" s="71"/>
      <c r="CW90" s="383">
        <f>IF(Basisdaten!$B$15="English",CY90,CX90)</f>
        <v>0</v>
      </c>
      <c r="CX90" s="305"/>
      <c r="CY90" s="305"/>
      <c r="CZ90" s="881"/>
    </row>
    <row r="91" spans="1:117" ht="15.9" customHeight="1">
      <c r="C91" s="73"/>
      <c r="F91" s="30"/>
      <c r="G91" s="381"/>
      <c r="H91" s="381"/>
      <c r="I91" s="381"/>
      <c r="J91" s="381"/>
      <c r="K91" s="381"/>
      <c r="L91" s="381"/>
      <c r="M91" s="381"/>
      <c r="N91" s="381"/>
      <c r="O91" s="381"/>
      <c r="P91" s="381"/>
      <c r="Q91" s="381"/>
      <c r="R91" s="381"/>
      <c r="S91" s="762"/>
      <c r="T91" s="73"/>
      <c r="U91" s="247"/>
      <c r="V91" s="268"/>
      <c r="W91" s="249"/>
      <c r="X91" s="73"/>
      <c r="Y91" s="71"/>
      <c r="Z91" s="71"/>
      <c r="AA91" s="71"/>
      <c r="AB91" s="71"/>
      <c r="AC91" s="71"/>
      <c r="AD91" s="71"/>
      <c r="AE91" s="71"/>
      <c r="AF91" s="71"/>
      <c r="AG91" s="71"/>
      <c r="AH91" s="71"/>
      <c r="AI91" s="71"/>
      <c r="AJ91" s="71"/>
      <c r="AK91" s="71"/>
      <c r="AL91" s="71"/>
      <c r="AM91" s="71"/>
      <c r="AN91" s="71"/>
      <c r="AO91" s="71"/>
      <c r="AP91" s="71"/>
      <c r="CW91" s="383">
        <f>IF(Basisdaten!$B$15="English",CY91,CX91)</f>
        <v>0</v>
      </c>
      <c r="CX91" s="305"/>
      <c r="CY91" s="305"/>
      <c r="CZ91" s="881"/>
    </row>
    <row r="92" spans="1:117" ht="15.9" customHeight="1">
      <c r="C92" s="73"/>
      <c r="F92" s="30"/>
      <c r="G92" s="381"/>
      <c r="H92" s="381"/>
      <c r="I92" s="381"/>
      <c r="J92" s="381"/>
      <c r="K92" s="381"/>
      <c r="L92" s="381"/>
      <c r="M92" s="381"/>
      <c r="N92" s="381"/>
      <c r="O92" s="381"/>
      <c r="P92" s="381"/>
      <c r="Q92" s="381"/>
      <c r="R92" s="381"/>
      <c r="S92" s="762"/>
      <c r="T92" s="73"/>
      <c r="U92" s="247"/>
      <c r="V92" s="268"/>
      <c r="W92" s="249"/>
      <c r="X92" s="73"/>
      <c r="Y92" s="71"/>
      <c r="Z92" s="71"/>
      <c r="AA92" s="71"/>
      <c r="AB92" s="71"/>
      <c r="AC92" s="71"/>
      <c r="AD92" s="71"/>
      <c r="AE92" s="71"/>
      <c r="AF92" s="71"/>
      <c r="AG92" s="71"/>
      <c r="AH92" s="71"/>
      <c r="AI92" s="71"/>
      <c r="AJ92" s="71"/>
      <c r="AK92" s="71"/>
      <c r="AL92" s="71"/>
      <c r="AM92" s="71"/>
      <c r="AN92" s="71"/>
      <c r="AO92" s="71"/>
      <c r="AP92" s="71"/>
      <c r="CW92" s="383" t="str">
        <f ca="1">IF(Basisdaten!$B$15="English",CY92,CX92)</f>
        <v>2b-1 Steueraufkommen für die Jahre 2028 - 2030</v>
      </c>
      <c r="CX92" s="305" t="str">
        <f ca="1">"2b-1 Steueraufkommen für die Jahre " &amp;Basisdaten!$O$17</f>
        <v>2b-1 Steueraufkommen für die Jahre 2028 - 2030</v>
      </c>
      <c r="CY92" s="305" t="str">
        <f ca="1">"2b-1 Tax for the  Years " &amp;Basisdaten!$O$17</f>
        <v>2b-1 Tax for the  Years 2028 - 2030</v>
      </c>
      <c r="CZ92" s="881"/>
    </row>
    <row r="93" spans="1:117" ht="15.9" customHeight="1">
      <c r="C93" s="73"/>
      <c r="F93" s="30"/>
      <c r="G93" s="381"/>
      <c r="H93" s="381"/>
      <c r="I93" s="381"/>
      <c r="J93" s="381"/>
      <c r="K93" s="381"/>
      <c r="L93" s="381"/>
      <c r="M93" s="381"/>
      <c r="O93" s="381"/>
      <c r="P93" s="381"/>
      <c r="Q93" s="381"/>
      <c r="R93" s="381"/>
      <c r="S93" s="762"/>
      <c r="T93" s="73"/>
      <c r="U93" s="247"/>
      <c r="V93" s="268"/>
      <c r="W93" s="249"/>
      <c r="X93" s="73"/>
      <c r="Y93" s="71"/>
      <c r="Z93" s="71"/>
      <c r="AA93" s="71"/>
      <c r="AB93" s="71"/>
      <c r="AC93" s="71"/>
      <c r="AD93" s="71"/>
      <c r="AE93" s="71"/>
      <c r="AF93" s="71"/>
      <c r="AG93" s="71"/>
      <c r="AH93" s="71"/>
      <c r="AI93" s="71"/>
      <c r="AJ93" s="71"/>
      <c r="AK93" s="71"/>
      <c r="AL93" s="71"/>
      <c r="AM93" s="71"/>
      <c r="AN93" s="71"/>
      <c r="AO93" s="71"/>
      <c r="AP93" s="71"/>
      <c r="CW93" s="383">
        <f>IF(Basisdaten!$B$15="English",CY93,CX93)</f>
        <v>0</v>
      </c>
      <c r="CX93" s="305"/>
      <c r="CY93" s="305"/>
      <c r="CZ93" s="881"/>
    </row>
    <row r="94" spans="1:117" ht="31.8" customHeight="1">
      <c r="C94" s="73"/>
      <c r="F94" s="30"/>
      <c r="G94" s="381"/>
      <c r="H94" s="381"/>
      <c r="I94" s="381"/>
      <c r="J94" s="381"/>
      <c r="K94" s="381"/>
      <c r="L94" s="381"/>
      <c r="M94" s="381"/>
      <c r="O94" s="381"/>
      <c r="P94" s="381"/>
      <c r="Q94" s="381"/>
      <c r="R94" s="381"/>
      <c r="S94" s="762"/>
      <c r="T94" s="73"/>
      <c r="U94" s="247"/>
      <c r="V94" s="268"/>
      <c r="W94" s="249"/>
      <c r="X94" s="73"/>
      <c r="Y94" s="71"/>
      <c r="Z94" s="71"/>
      <c r="AA94" s="71"/>
      <c r="AB94" s="71"/>
      <c r="AC94" s="71"/>
      <c r="AD94" s="71"/>
      <c r="AE94" s="71"/>
      <c r="AF94" s="71"/>
      <c r="AG94" s="71"/>
      <c r="AH94" s="71"/>
      <c r="AI94" s="71"/>
      <c r="AJ94" s="71"/>
      <c r="AK94" s="71"/>
      <c r="AL94" s="71"/>
      <c r="AM94" s="71"/>
      <c r="AN94" s="71"/>
      <c r="AO94" s="71"/>
      <c r="AP94" s="71"/>
      <c r="CW94" s="383">
        <f>IF(Basisdaten!$B$15="English",CY94,CX94)</f>
        <v>0</v>
      </c>
      <c r="CX94" s="305"/>
      <c r="CY94" s="305"/>
      <c r="CZ94" s="881"/>
    </row>
    <row r="95" spans="1:117" ht="24.9" customHeight="1">
      <c r="A95" s="336" t="s">
        <v>507</v>
      </c>
      <c r="C95" s="73"/>
      <c r="D95" s="128" t="str">
        <f ca="1">CW184</f>
        <v>2b Umsatz für die Jahre 2028 - 2030</v>
      </c>
      <c r="E95" s="128"/>
      <c r="F95" s="30"/>
      <c r="G95" s="381"/>
      <c r="H95" s="381"/>
      <c r="I95" s="2153" t="str">
        <f>IF(Basisdaten!$O$53=0,Basisdaten!$Q$15,Basisdaten!$U$22&amp;" "&amp;Basisdaten!$Q$16)</f>
        <v xml:space="preserve">steuerpflichtig  (ohne MwSt) </v>
      </c>
      <c r="J95" s="2153"/>
      <c r="K95" s="2153"/>
      <c r="L95" s="2153"/>
      <c r="M95" s="2153" t="str">
        <f>IF(Basisdaten!$O$54=0,Basisdaten!$Q$15,Basisdaten!$U$22&amp;" "&amp;Basisdaten!$Q$16)</f>
        <v xml:space="preserve">steuerpflichtig  (ohne MwSt) </v>
      </c>
      <c r="N95" s="2153"/>
      <c r="O95" s="2153"/>
      <c r="P95" s="2153"/>
      <c r="Q95" s="2153" t="str">
        <f>IF(Basisdaten!$O$55=0,Basisdaten!$Q$15,Basisdaten!U22&amp;" "&amp;Basisdaten!$Q$16)</f>
        <v xml:space="preserve">steuerpflichtig  (ohne MwSt) </v>
      </c>
      <c r="R95" s="2153"/>
      <c r="S95" s="2153"/>
      <c r="T95" s="2153"/>
      <c r="U95" s="247"/>
      <c r="V95" s="268"/>
      <c r="W95" s="249"/>
      <c r="X95" s="73"/>
      <c r="Y95" s="71"/>
      <c r="Z95" s="71"/>
      <c r="AA95" s="71"/>
      <c r="AB95" s="71"/>
      <c r="AC95" s="71"/>
      <c r="AD95" s="71"/>
      <c r="AE95" s="71"/>
      <c r="AF95" s="71"/>
      <c r="AG95" s="71"/>
      <c r="AH95" s="71"/>
      <c r="AI95" s="71"/>
      <c r="AJ95" s="71"/>
      <c r="AK95" s="71"/>
      <c r="AL95" s="71"/>
      <c r="AM95" s="71"/>
      <c r="AN95" s="71"/>
      <c r="AO95" s="71"/>
      <c r="AP95" s="71"/>
      <c r="CW95" s="383" t="str">
        <f>IF(Basisdaten!$B$15="English",CY95,CX95)</f>
        <v xml:space="preserve">Summe </v>
      </c>
      <c r="CX95" s="305" t="s">
        <v>815</v>
      </c>
      <c r="CY95" s="305" t="s">
        <v>816</v>
      </c>
      <c r="CZ95" s="903"/>
      <c r="DA95" s="113"/>
      <c r="DB95" s="113"/>
      <c r="DC95" s="113"/>
      <c r="DD95" s="113"/>
      <c r="DE95" s="113"/>
      <c r="DF95" s="113"/>
      <c r="DG95" s="113"/>
      <c r="DH95" s="113"/>
      <c r="DI95" s="113"/>
      <c r="DJ95" s="113"/>
      <c r="DK95" s="113"/>
      <c r="DL95" s="113"/>
      <c r="DM95" s="113"/>
    </row>
    <row r="96" spans="1:117" ht="9.9" customHeight="1">
      <c r="D96" s="68"/>
      <c r="E96" s="68"/>
      <c r="F96" s="68"/>
      <c r="G96" s="68"/>
      <c r="H96" s="68"/>
      <c r="I96" s="68"/>
      <c r="J96" s="68"/>
      <c r="K96" s="68"/>
      <c r="L96" s="381"/>
      <c r="M96" s="381"/>
      <c r="N96" s="68"/>
      <c r="O96" s="68"/>
      <c r="P96" s="68"/>
      <c r="Q96" s="896"/>
      <c r="S96" s="68"/>
      <c r="T96" s="68"/>
      <c r="U96" s="1518"/>
      <c r="V96" s="268"/>
      <c r="W96" s="37"/>
      <c r="X96" s="73"/>
      <c r="Y96" s="71"/>
      <c r="Z96" s="71"/>
      <c r="AA96" s="71"/>
      <c r="AB96" s="71"/>
      <c r="AC96" s="71"/>
      <c r="AD96" s="71"/>
      <c r="AE96" s="71"/>
      <c r="AF96" s="71"/>
      <c r="AG96" s="71"/>
      <c r="AH96" s="71"/>
      <c r="AI96" s="71"/>
      <c r="AJ96" s="71"/>
      <c r="AK96" s="71"/>
      <c r="AL96" s="71"/>
      <c r="AM96" s="71"/>
      <c r="AN96" s="71"/>
      <c r="AO96" s="71"/>
      <c r="AP96" s="71"/>
      <c r="CW96" s="383" t="str">
        <f>IF(Basisdaten!$B$15="English",CY96,CX96)</f>
        <v>markierte Zellen sind nicht geschützt</v>
      </c>
      <c r="CX96" s="383" t="s">
        <v>697</v>
      </c>
      <c r="CY96" s="383" t="s">
        <v>698</v>
      </c>
      <c r="CZ96" s="881"/>
    </row>
    <row r="97" spans="2:120" s="850" customFormat="1" ht="18" customHeight="1">
      <c r="B97" s="71"/>
      <c r="C97" s="1170"/>
      <c r="D97" s="993" t="str">
        <f>D38</f>
        <v>No.</v>
      </c>
      <c r="E97" s="2196" t="str">
        <f>E38</f>
        <v>Umsatz nach gewählter Geschäftsart</v>
      </c>
      <c r="F97" s="2197"/>
      <c r="G97" s="1068">
        <f ca="1">Basisdaten!C15</f>
        <v>2026</v>
      </c>
      <c r="H97" s="1066">
        <f ca="1">G97+1</f>
        <v>2027</v>
      </c>
      <c r="I97" s="2192">
        <f ca="1">G97+2</f>
        <v>2028</v>
      </c>
      <c r="J97" s="2165"/>
      <c r="K97" s="2165"/>
      <c r="L97" s="2193"/>
      <c r="M97" s="2192">
        <f ca="1">I97+1</f>
        <v>2029</v>
      </c>
      <c r="N97" s="2165"/>
      <c r="O97" s="2165"/>
      <c r="P97" s="2193"/>
      <c r="Q97" s="2164">
        <f ca="1">M97+1</f>
        <v>2030</v>
      </c>
      <c r="R97" s="2165"/>
      <c r="S97" s="2165"/>
      <c r="T97" s="2166"/>
      <c r="U97" s="1521"/>
      <c r="V97" s="268"/>
      <c r="W97" s="995" t="str">
        <f>W4</f>
        <v>Aufgabe / Kommentar</v>
      </c>
      <c r="AL97" s="30"/>
      <c r="AM97" s="30"/>
      <c r="AN97" s="30"/>
      <c r="AO97" s="30"/>
      <c r="AP97" s="30"/>
      <c r="AQ97" s="134"/>
      <c r="AR97" s="134"/>
      <c r="AS97" s="134"/>
      <c r="AT97" s="134"/>
      <c r="AU97" s="134"/>
      <c r="AV97" s="134"/>
      <c r="AW97" s="134"/>
      <c r="AX97" s="134"/>
      <c r="AY97" s="134"/>
      <c r="AZ97" s="134"/>
      <c r="BA97" s="134"/>
      <c r="BB97" s="134"/>
      <c r="BC97" s="134"/>
      <c r="BD97" s="134"/>
      <c r="BE97" s="134"/>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34"/>
      <c r="CE97" s="134"/>
      <c r="CF97" s="134"/>
      <c r="CG97" s="134"/>
      <c r="CH97" s="134"/>
      <c r="CI97" s="134"/>
      <c r="CJ97" s="134"/>
      <c r="CK97" s="134"/>
      <c r="CL97" s="134"/>
      <c r="CM97" s="134"/>
      <c r="CN97" s="134"/>
      <c r="CO97" s="134"/>
      <c r="CP97" s="134"/>
      <c r="CQ97" s="134"/>
      <c r="CR97" s="134"/>
      <c r="CS97" s="134"/>
      <c r="CT97" s="1126"/>
      <c r="CU97" s="968"/>
      <c r="CV97" s="968"/>
      <c r="CW97" s="383" t="str">
        <f>IF(Basisdaten!$B$15="English",CY97,CX97)</f>
        <v>Summe Honorareinnahmen</v>
      </c>
      <c r="CX97" s="305" t="s">
        <v>338</v>
      </c>
      <c r="CY97" s="305" t="s">
        <v>360</v>
      </c>
      <c r="CZ97" s="849"/>
      <c r="DA97" s="851"/>
      <c r="DB97" s="851"/>
      <c r="DC97" s="851"/>
      <c r="DD97" s="851"/>
      <c r="DE97" s="851"/>
      <c r="DF97" s="851"/>
      <c r="DG97" s="851"/>
      <c r="DH97" s="851"/>
      <c r="DI97" s="851"/>
      <c r="DJ97" s="851"/>
      <c r="DK97" s="851"/>
      <c r="DL97" s="851"/>
      <c r="DM97" s="851"/>
      <c r="DN97" s="852"/>
      <c r="DO97" s="852"/>
    </row>
    <row r="98" spans="2:120" s="30" customFormat="1" ht="15.9" customHeight="1">
      <c r="C98" s="1170" t="s">
        <v>504</v>
      </c>
      <c r="D98" s="905">
        <f>D39</f>
        <v>1</v>
      </c>
      <c r="E98" s="2160" t="str">
        <f>E5</f>
        <v>Auswahl/Choose</v>
      </c>
      <c r="F98" s="2161"/>
      <c r="G98" s="1069"/>
      <c r="H98" s="1067"/>
      <c r="I98" s="2190" t="str">
        <f>E98</f>
        <v>Auswahl/Choose</v>
      </c>
      <c r="J98" s="2194"/>
      <c r="K98" s="991" t="str">
        <f>K39</f>
        <v/>
      </c>
      <c r="L98" s="999" t="str">
        <f>$CW$41&amp;" €"</f>
        <v>Umsatz €</v>
      </c>
      <c r="M98" s="2190" t="str">
        <f t="shared" ref="M98:M104" si="40">I98</f>
        <v>Auswahl/Choose</v>
      </c>
      <c r="N98" s="2194"/>
      <c r="O98" s="992" t="str">
        <f>K98</f>
        <v/>
      </c>
      <c r="P98" s="999" t="str">
        <f>L98</f>
        <v>Umsatz €</v>
      </c>
      <c r="Q98" s="2190" t="str">
        <f>M98</f>
        <v>Auswahl/Choose</v>
      </c>
      <c r="R98" s="2194"/>
      <c r="S98" s="992" t="str">
        <f>O98</f>
        <v/>
      </c>
      <c r="T98" s="999" t="str">
        <f>P98</f>
        <v>Umsatz €</v>
      </c>
      <c r="U98" s="1522"/>
      <c r="V98" s="268"/>
      <c r="W98" s="48"/>
      <c r="X98" s="48"/>
      <c r="Y98" s="850"/>
      <c r="Z98" s="850"/>
      <c r="AA98" s="234"/>
      <c r="AB98" s="906"/>
      <c r="AC98" s="906"/>
      <c r="AD98" s="906"/>
      <c r="AE98" s="906"/>
      <c r="AF98" s="225"/>
      <c r="AG98" s="225"/>
      <c r="AH98" s="225"/>
      <c r="AI98" s="225"/>
      <c r="AJ98" s="225"/>
      <c r="AK98" s="225"/>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53"/>
      <c r="CU98" s="383"/>
      <c r="CV98" s="383"/>
      <c r="CW98" s="383">
        <f>IF(Basisdaten!$B$15="English",CY98,CX98)</f>
        <v>0</v>
      </c>
      <c r="CX98" s="305"/>
      <c r="CY98" s="305"/>
      <c r="CZ98" s="838"/>
      <c r="DA98" s="116"/>
      <c r="DB98" s="116"/>
      <c r="DC98" s="116"/>
      <c r="DD98" s="116"/>
      <c r="DE98" s="116"/>
      <c r="DF98" s="116"/>
      <c r="DG98" s="116"/>
      <c r="DH98" s="116"/>
      <c r="DI98" s="116"/>
      <c r="DJ98" s="116"/>
      <c r="DK98" s="116"/>
      <c r="DL98" s="116"/>
      <c r="DM98" s="116"/>
      <c r="DN98" s="55"/>
      <c r="DO98" s="55"/>
    </row>
    <row r="99" spans="2:120" s="30" customFormat="1" ht="15.9" customHeight="1">
      <c r="C99" s="2183">
        <f>C40</f>
        <v>0.19</v>
      </c>
      <c r="D99" s="907" t="str">
        <f>$D$98&amp;".1"</f>
        <v>1.1</v>
      </c>
      <c r="E99" s="1051" t="str">
        <f>E6</f>
        <v>Entwicklungsleistungen</v>
      </c>
      <c r="F99" s="1052" t="str">
        <f>F6</f>
        <v/>
      </c>
      <c r="G99" s="1870">
        <f>G6</f>
        <v>0</v>
      </c>
      <c r="H99" s="1871">
        <f>G40</f>
        <v>0</v>
      </c>
      <c r="I99" s="1008" t="str">
        <f>F6</f>
        <v/>
      </c>
      <c r="J99" s="1875"/>
      <c r="K99" s="1093"/>
      <c r="L99" s="1011"/>
      <c r="M99" s="1008" t="str">
        <f t="shared" si="40"/>
        <v/>
      </c>
      <c r="N99" s="1875"/>
      <c r="O99" s="1093"/>
      <c r="P99" s="1011"/>
      <c r="Q99" s="1008" t="str">
        <f>M99</f>
        <v/>
      </c>
      <c r="R99" s="1878"/>
      <c r="S99" s="1093"/>
      <c r="T99" s="1011"/>
      <c r="U99" s="1522"/>
      <c r="V99" s="268"/>
      <c r="W99" s="631"/>
      <c r="X99" s="850"/>
      <c r="Y99" s="850"/>
      <c r="Z99" s="850"/>
      <c r="AA99" s="54"/>
      <c r="AB99" s="891"/>
      <c r="AC99" s="909"/>
      <c r="AD99" s="910"/>
      <c r="AE99" s="910"/>
      <c r="AF99" s="910"/>
      <c r="AG99" s="911"/>
      <c r="AH99" s="912"/>
      <c r="AI99" s="911"/>
      <c r="AJ99" s="326"/>
      <c r="AK99" s="911"/>
      <c r="AL99" s="326"/>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53"/>
      <c r="CU99" s="383"/>
      <c r="CV99" s="383"/>
      <c r="CW99" s="383" t="str">
        <f>IF(Basisdaten!$B$15="English",CY99,CX99)</f>
        <v>Jahresumsätze</v>
      </c>
      <c r="CX99" s="383" t="s">
        <v>843</v>
      </c>
      <c r="CY99" s="305" t="s">
        <v>748</v>
      </c>
      <c r="CZ99" s="305"/>
      <c r="DA99" s="849"/>
      <c r="DB99" s="116"/>
      <c r="DC99" s="116"/>
      <c r="DD99" s="116"/>
      <c r="DE99" s="116"/>
      <c r="DF99" s="116"/>
      <c r="DG99" s="116"/>
      <c r="DH99" s="116"/>
      <c r="DI99" s="116"/>
      <c r="DJ99" s="116"/>
      <c r="DK99" s="116"/>
      <c r="DL99" s="116"/>
      <c r="DM99" s="116"/>
      <c r="DN99" s="116"/>
      <c r="DO99" s="55"/>
      <c r="DP99" s="55"/>
    </row>
    <row r="100" spans="2:120" s="30" customFormat="1" ht="15.9" customHeight="1">
      <c r="C100" s="2184"/>
      <c r="D100" s="917"/>
      <c r="E100" s="925"/>
      <c r="F100" s="1053" t="str">
        <f>E41</f>
        <v xml:space="preserve">Verbrauchsmaterial (% v.Umsatz) </v>
      </c>
      <c r="G100" s="1071">
        <f>F7</f>
        <v>0</v>
      </c>
      <c r="H100" s="1072">
        <f>F41</f>
        <v>0</v>
      </c>
      <c r="I100" s="1022" t="str">
        <f>IF($E$98=$CU$6,"",IF($E$98=$CW$41,$CW$76,IF($E$98=$CW$43,$CW$76,IF($E$98=$CW$47,$CW$75,IF($E$98=$CW$51,$CW$78,IF($E$98=$CW$55,$CW$77,$CW$76))))))</f>
        <v/>
      </c>
      <c r="J100" s="1576"/>
      <c r="K100" s="1021"/>
      <c r="L100" s="1091">
        <f>IF($I$98=$CV$6,K99*$D$98,K99*J99)</f>
        <v>0</v>
      </c>
      <c r="M100" s="1022" t="str">
        <f t="shared" si="40"/>
        <v/>
      </c>
      <c r="N100" s="1882"/>
      <c r="O100" s="1021"/>
      <c r="P100" s="1091">
        <f>IF($I$98=$CV$6,O99*$D$98,O99*N99)</f>
        <v>0</v>
      </c>
      <c r="Q100" s="1022" t="str">
        <f t="shared" ref="Q100:Q106" si="41">M100</f>
        <v/>
      </c>
      <c r="R100" s="1882"/>
      <c r="S100" s="1021"/>
      <c r="T100" s="1091">
        <f>IF($I$98=$CV$6,S99*$D$98,S99*R99)</f>
        <v>0</v>
      </c>
      <c r="U100" s="1522"/>
      <c r="V100" s="1523"/>
      <c r="W100" s="631"/>
      <c r="X100" s="850"/>
      <c r="Y100" s="850"/>
      <c r="Z100" s="850"/>
      <c r="AA100" s="54"/>
      <c r="AB100" s="891"/>
      <c r="AC100" s="909"/>
      <c r="AD100" s="910"/>
      <c r="AE100" s="910"/>
      <c r="AF100" s="910"/>
      <c r="AG100" s="911"/>
      <c r="AH100" s="912"/>
      <c r="AI100" s="911"/>
      <c r="AJ100" s="326"/>
      <c r="AK100" s="911"/>
      <c r="AL100" s="326"/>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53"/>
      <c r="CU100" s="383"/>
      <c r="CV100" s="383"/>
      <c r="CW100" s="383" t="str">
        <f>IF(Basisdaten!$B$15="English",CY100,CX100)</f>
        <v>Jahresumsatz</v>
      </c>
      <c r="CX100" s="305" t="s">
        <v>747</v>
      </c>
      <c r="CY100" s="305" t="s">
        <v>748</v>
      </c>
      <c r="CZ100" s="305"/>
      <c r="DA100" s="849"/>
      <c r="DB100" s="116"/>
      <c r="DC100" s="116"/>
      <c r="DD100" s="116"/>
      <c r="DE100" s="116"/>
      <c r="DF100" s="116"/>
      <c r="DG100" s="116"/>
      <c r="DH100" s="116"/>
      <c r="DI100" s="116"/>
      <c r="DJ100" s="116"/>
      <c r="DK100" s="116"/>
      <c r="DL100" s="116"/>
      <c r="DM100" s="116"/>
      <c r="DN100" s="116"/>
      <c r="DO100" s="55"/>
      <c r="DP100" s="55"/>
    </row>
    <row r="101" spans="2:120" s="30" customFormat="1" ht="15.9" customHeight="1">
      <c r="C101" s="2184"/>
      <c r="D101" s="914" t="str">
        <f>$D$98&amp;".2"</f>
        <v>1.2</v>
      </c>
      <c r="E101" s="1051" t="str">
        <f>E8</f>
        <v>Auswahl/Choose_1.2</v>
      </c>
      <c r="F101" s="1052" t="str">
        <f t="shared" ref="F101:F106" si="42">F99</f>
        <v/>
      </c>
      <c r="G101" s="1870">
        <f>G8</f>
        <v>0</v>
      </c>
      <c r="H101" s="1872">
        <f>G42</f>
        <v>0</v>
      </c>
      <c r="I101" s="1009" t="str">
        <f>I99</f>
        <v/>
      </c>
      <c r="J101" s="1875"/>
      <c r="K101" s="1093"/>
      <c r="L101" s="1011"/>
      <c r="M101" s="1575" t="str">
        <f t="shared" si="40"/>
        <v/>
      </c>
      <c r="N101" s="1875"/>
      <c r="O101" s="1093"/>
      <c r="P101" s="1011"/>
      <c r="Q101" s="1009" t="str">
        <f t="shared" si="41"/>
        <v/>
      </c>
      <c r="R101" s="1875"/>
      <c r="S101" s="1093"/>
      <c r="T101" s="1011"/>
      <c r="U101" s="1522"/>
      <c r="V101" s="1523"/>
      <c r="W101" s="631"/>
      <c r="X101" s="850"/>
      <c r="Y101" s="850"/>
      <c r="Z101" s="850"/>
      <c r="AA101" s="301"/>
      <c r="AB101" s="896"/>
      <c r="AC101" s="915"/>
      <c r="AD101" s="915"/>
      <c r="AE101" s="915"/>
      <c r="AF101" s="915"/>
      <c r="AG101" s="916"/>
      <c r="AH101" s="916"/>
      <c r="AI101" s="916"/>
      <c r="AJ101" s="916"/>
      <c r="AK101" s="916"/>
      <c r="AL101" s="916"/>
      <c r="AM101" s="850"/>
      <c r="AN101" s="850"/>
      <c r="AO101" s="850"/>
      <c r="AP101" s="850"/>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53"/>
      <c r="CU101" s="383"/>
      <c r="CV101" s="383"/>
      <c r="CW101" s="383" t="str">
        <f>IF(Basisdaten!$B$15="English",CY101,CX101)</f>
        <v>Jahresumsätze (EUR)</v>
      </c>
      <c r="CX101" s="383" t="s">
        <v>762</v>
      </c>
      <c r="CY101" s="305" t="s">
        <v>761</v>
      </c>
      <c r="CZ101" s="305"/>
      <c r="DA101" s="849"/>
      <c r="DB101" s="116"/>
      <c r="DC101" s="116"/>
      <c r="DD101" s="116"/>
      <c r="DE101" s="116"/>
      <c r="DF101" s="116"/>
      <c r="DG101" s="116"/>
      <c r="DH101" s="116"/>
      <c r="DI101" s="116"/>
      <c r="DJ101" s="116"/>
      <c r="DK101" s="116"/>
      <c r="DL101" s="116"/>
      <c r="DM101" s="116"/>
      <c r="DN101" s="116"/>
      <c r="DO101" s="55"/>
      <c r="DP101" s="55"/>
    </row>
    <row r="102" spans="2:120" s="30" customFormat="1" ht="15.9" customHeight="1">
      <c r="C102" s="2184"/>
      <c r="D102" s="1000"/>
      <c r="E102" s="1054"/>
      <c r="F102" s="1053" t="str">
        <f t="shared" si="42"/>
        <v xml:space="preserve">Verbrauchsmaterial (% v.Umsatz) </v>
      </c>
      <c r="G102" s="1071">
        <f>F9</f>
        <v>0</v>
      </c>
      <c r="H102" s="1072">
        <f>F43</f>
        <v>0</v>
      </c>
      <c r="I102" s="1023" t="str">
        <f>I100</f>
        <v/>
      </c>
      <c r="J102" s="1576"/>
      <c r="K102" s="1021"/>
      <c r="L102" s="1091">
        <f>IF($I$98=$CV$6,K101*$D$98,K101*J101)</f>
        <v>0</v>
      </c>
      <c r="M102" s="1023" t="str">
        <f t="shared" si="40"/>
        <v/>
      </c>
      <c r="N102" s="1882"/>
      <c r="O102" s="1021"/>
      <c r="P102" s="1091">
        <f>IF($I$98=$CV$6,O101*$D$98,O101*N101)</f>
        <v>0</v>
      </c>
      <c r="Q102" s="1023" t="str">
        <f t="shared" si="41"/>
        <v/>
      </c>
      <c r="R102" s="1882"/>
      <c r="S102" s="1021"/>
      <c r="T102" s="1091">
        <f>IF($I$98=$CV$6,S101*$D$98,S101*R101)</f>
        <v>0</v>
      </c>
      <c r="U102" s="1522"/>
      <c r="V102" s="1523"/>
      <c r="W102" s="631"/>
      <c r="X102" s="850"/>
      <c r="Y102" s="850"/>
      <c r="Z102" s="850"/>
      <c r="AA102" s="301"/>
      <c r="AB102" s="896"/>
      <c r="AC102" s="915"/>
      <c r="AD102" s="915"/>
      <c r="AE102" s="915"/>
      <c r="AF102" s="915"/>
      <c r="AG102" s="916"/>
      <c r="AH102" s="916"/>
      <c r="AI102" s="916"/>
      <c r="AJ102" s="916"/>
      <c r="AK102" s="916"/>
      <c r="AL102" s="916"/>
      <c r="AM102" s="850"/>
      <c r="AN102" s="850"/>
      <c r="AO102" s="850"/>
      <c r="AP102" s="850"/>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53"/>
      <c r="CU102" s="383"/>
      <c r="CV102" s="383"/>
      <c r="CW102" s="383" t="str">
        <f ca="1">IF(Basisdaten!$B$15="English",CY102,CX102)</f>
        <v>Monatsumsätze der Jahre 2026 und 2027</v>
      </c>
      <c r="CX102" s="383" t="str">
        <f ca="1">"Monatsumsätze der Jahre "&amp;Basisdaten!C15&amp;" und "&amp; Basisdaten!C15+1</f>
        <v>Monatsumsätze der Jahre 2026 und 2027</v>
      </c>
      <c r="CY102" s="305" t="str">
        <f ca="1">"Monthly Sales for the years "&amp;Basisdaten!C15&amp;" und "&amp; Basisdaten!C15+1</f>
        <v>Monthly Sales for the years 2026 und 2027</v>
      </c>
      <c r="CZ102" s="305"/>
      <c r="DA102" s="849"/>
      <c r="DB102" s="116"/>
      <c r="DC102" s="116"/>
      <c r="DD102" s="116"/>
      <c r="DE102" s="116"/>
      <c r="DF102" s="116"/>
      <c r="DG102" s="116"/>
      <c r="DH102" s="116"/>
      <c r="DI102" s="116"/>
      <c r="DJ102" s="116"/>
      <c r="DK102" s="116"/>
      <c r="DL102" s="116"/>
      <c r="DM102" s="116"/>
      <c r="DN102" s="116"/>
      <c r="DO102" s="55"/>
      <c r="DP102" s="55"/>
    </row>
    <row r="103" spans="2:120" s="30" customFormat="1" ht="15.9" customHeight="1">
      <c r="C103" s="2184"/>
      <c r="D103" s="907" t="str">
        <f>$D$98&amp;".3"</f>
        <v>1.3</v>
      </c>
      <c r="E103" s="1051" t="str">
        <f>E10</f>
        <v/>
      </c>
      <c r="F103" s="1052" t="str">
        <f t="shared" si="42"/>
        <v/>
      </c>
      <c r="G103" s="1870">
        <f>G10</f>
        <v>0</v>
      </c>
      <c r="H103" s="1872">
        <f>G44</f>
        <v>0</v>
      </c>
      <c r="I103" s="1009" t="str">
        <f>I99</f>
        <v/>
      </c>
      <c r="J103" s="1875"/>
      <c r="K103" s="1093"/>
      <c r="L103" s="1011"/>
      <c r="M103" s="1009" t="str">
        <f t="shared" si="40"/>
        <v/>
      </c>
      <c r="N103" s="1875"/>
      <c r="O103" s="1093"/>
      <c r="P103" s="1011"/>
      <c r="Q103" s="1009" t="str">
        <f t="shared" si="41"/>
        <v/>
      </c>
      <c r="R103" s="1875"/>
      <c r="S103" s="1093"/>
      <c r="T103" s="1011"/>
      <c r="U103" s="1522"/>
      <c r="V103" s="1523"/>
      <c r="W103" s="631"/>
      <c r="X103" s="850"/>
      <c r="Y103" s="850"/>
      <c r="Z103" s="850"/>
      <c r="AA103" s="301"/>
      <c r="AB103" s="896"/>
      <c r="AC103" s="915"/>
      <c r="AD103" s="915"/>
      <c r="AE103" s="915"/>
      <c r="AF103" s="915"/>
      <c r="AG103" s="916"/>
      <c r="AH103" s="916"/>
      <c r="AI103" s="916"/>
      <c r="AJ103" s="916"/>
      <c r="AK103" s="916"/>
      <c r="AL103" s="916"/>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53"/>
      <c r="CU103" s="383"/>
      <c r="CV103" s="383"/>
      <c r="CW103" s="383">
        <f>IF(Basisdaten!$B$15="English",CY103,CX103)</f>
        <v>0</v>
      </c>
      <c r="CX103" s="383"/>
      <c r="CY103" s="383"/>
      <c r="CZ103" s="37"/>
      <c r="DA103" s="37"/>
      <c r="DB103" s="37"/>
      <c r="DC103" s="37"/>
      <c r="DD103" s="37"/>
      <c r="DE103" s="116"/>
      <c r="DF103" s="116"/>
      <c r="DG103" s="116"/>
      <c r="DH103" s="116"/>
      <c r="DI103" s="116"/>
      <c r="DJ103" s="116"/>
      <c r="DK103" s="116"/>
      <c r="DL103" s="116"/>
      <c r="DM103" s="116"/>
      <c r="DN103" s="116"/>
      <c r="DO103" s="55"/>
      <c r="DP103" s="55"/>
    </row>
    <row r="104" spans="2:120" s="30" customFormat="1" ht="15.9" customHeight="1">
      <c r="C104" s="2184"/>
      <c r="D104" s="917"/>
      <c r="E104" s="1054"/>
      <c r="F104" s="1053" t="str">
        <f t="shared" si="42"/>
        <v xml:space="preserve">Verbrauchsmaterial (% v.Umsatz) </v>
      </c>
      <c r="G104" s="1071">
        <f>F11</f>
        <v>0</v>
      </c>
      <c r="H104" s="1072">
        <f>F45</f>
        <v>0</v>
      </c>
      <c r="I104" s="1023" t="str">
        <f>I100</f>
        <v/>
      </c>
      <c r="J104" s="1576"/>
      <c r="K104" s="1021"/>
      <c r="L104" s="1091">
        <f>IF($I$98=$CV$6,K103*$D$98,K103*J103)</f>
        <v>0</v>
      </c>
      <c r="M104" s="1023" t="str">
        <f t="shared" si="40"/>
        <v/>
      </c>
      <c r="N104" s="1882"/>
      <c r="O104" s="1021"/>
      <c r="P104" s="1091">
        <f>IF($I$98=$CV$6,O103*$D$98,O103*N103)</f>
        <v>0</v>
      </c>
      <c r="Q104" s="1023" t="str">
        <f t="shared" si="41"/>
        <v/>
      </c>
      <c r="R104" s="1882"/>
      <c r="S104" s="1021"/>
      <c r="T104" s="1091">
        <f>IF($I$98=$CV$6,S103*$D$98,S103*R103)</f>
        <v>0</v>
      </c>
      <c r="U104" s="1522"/>
      <c r="V104" s="1523"/>
      <c r="W104" s="631"/>
      <c r="X104" s="850"/>
      <c r="Y104" s="850"/>
      <c r="Z104" s="850"/>
      <c r="AA104" s="301"/>
      <c r="AB104" s="896"/>
      <c r="AC104" s="915"/>
      <c r="AD104" s="915"/>
      <c r="AE104" s="915"/>
      <c r="AF104" s="915"/>
      <c r="AG104" s="916"/>
      <c r="AH104" s="916"/>
      <c r="AI104" s="916"/>
      <c r="AJ104" s="916"/>
      <c r="AK104" s="916"/>
      <c r="AL104" s="916"/>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53"/>
      <c r="CU104" s="383"/>
      <c r="CV104" s="383"/>
      <c r="CW104" s="383">
        <f>IF(Basisdaten!$B$15="English",CY104,CX104)</f>
        <v>0</v>
      </c>
      <c r="CX104" s="383"/>
      <c r="CY104" s="305"/>
      <c r="CZ104" s="305"/>
      <c r="DA104" s="849"/>
      <c r="DB104" s="116"/>
      <c r="DC104" s="116"/>
      <c r="DD104" s="116"/>
      <c r="DE104" s="116"/>
      <c r="DF104" s="116"/>
      <c r="DG104" s="116"/>
      <c r="DH104" s="116"/>
      <c r="DI104" s="116"/>
      <c r="DJ104" s="116"/>
      <c r="DK104" s="116"/>
      <c r="DL104" s="116"/>
      <c r="DM104" s="116"/>
      <c r="DN104" s="116"/>
      <c r="DO104" s="55"/>
      <c r="DP104" s="55"/>
    </row>
    <row r="105" spans="2:120" s="30" customFormat="1" ht="15.9" customHeight="1">
      <c r="C105" s="961"/>
      <c r="D105" s="913" t="str">
        <f>$D$98&amp;".4"</f>
        <v>1.4</v>
      </c>
      <c r="E105" s="1051" t="str">
        <f>E12</f>
        <v/>
      </c>
      <c r="F105" s="1052" t="str">
        <f t="shared" si="42"/>
        <v/>
      </c>
      <c r="G105" s="1870">
        <f>G12</f>
        <v>0</v>
      </c>
      <c r="H105" s="1872">
        <f>T46</f>
        <v>0</v>
      </c>
      <c r="I105" s="1009" t="str">
        <f>I103</f>
        <v/>
      </c>
      <c r="J105" s="1875"/>
      <c r="K105" s="1093"/>
      <c r="L105" s="1011"/>
      <c r="M105" s="1009" t="str">
        <f>M103</f>
        <v/>
      </c>
      <c r="N105" s="1875"/>
      <c r="O105" s="1093"/>
      <c r="P105" s="1011"/>
      <c r="Q105" s="1009" t="str">
        <f t="shared" si="41"/>
        <v/>
      </c>
      <c r="R105" s="1875"/>
      <c r="S105" s="1093"/>
      <c r="T105" s="1011"/>
      <c r="U105" s="1522"/>
      <c r="V105" s="1523"/>
      <c r="W105" s="631"/>
      <c r="X105" s="850"/>
      <c r="Y105" s="850"/>
      <c r="Z105" s="850"/>
      <c r="AA105" s="301"/>
      <c r="AB105" s="896"/>
      <c r="AC105" s="915"/>
      <c r="AD105" s="915"/>
      <c r="AE105" s="915"/>
      <c r="AF105" s="915"/>
      <c r="AG105" s="916"/>
      <c r="AH105" s="916"/>
      <c r="AI105" s="916"/>
      <c r="AJ105" s="916"/>
      <c r="AK105" s="916"/>
      <c r="AL105" s="916"/>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53"/>
      <c r="CU105" s="383"/>
      <c r="CV105" s="383"/>
      <c r="CW105" s="383">
        <f>IF(Basisdaten!$B$15="English",CY105,CX105)</f>
        <v>0</v>
      </c>
      <c r="CX105" s="383"/>
      <c r="CY105" s="305"/>
      <c r="CZ105" s="305"/>
      <c r="DA105" s="849"/>
      <c r="DB105" s="116"/>
      <c r="DC105" s="116"/>
      <c r="DD105" s="116"/>
      <c r="DE105" s="116"/>
      <c r="DF105" s="116"/>
      <c r="DG105" s="116"/>
      <c r="DH105" s="116"/>
      <c r="DI105" s="116"/>
      <c r="DJ105" s="116"/>
      <c r="DK105" s="116"/>
      <c r="DL105" s="116"/>
      <c r="DM105" s="116"/>
      <c r="DN105" s="116"/>
      <c r="DO105" s="55"/>
      <c r="DP105" s="55"/>
    </row>
    <row r="106" spans="2:120" s="30" customFormat="1" ht="15.9" customHeight="1" thickBot="1">
      <c r="C106" s="962"/>
      <c r="D106" s="917"/>
      <c r="E106" s="1202"/>
      <c r="F106" s="1203" t="str">
        <f t="shared" si="42"/>
        <v xml:space="preserve">Verbrauchsmaterial (% v.Umsatz) </v>
      </c>
      <c r="G106" s="1073">
        <f>F13</f>
        <v>0</v>
      </c>
      <c r="H106" s="1074">
        <f>F47</f>
        <v>0</v>
      </c>
      <c r="I106" s="1024" t="str">
        <f>I100</f>
        <v/>
      </c>
      <c r="J106" s="1577"/>
      <c r="K106" s="1094"/>
      <c r="L106" s="1091">
        <f>IF($I$98=$CV$6,K105*$D$98,K105*J105)</f>
        <v>0</v>
      </c>
      <c r="M106" s="1024" t="str">
        <f>I106</f>
        <v/>
      </c>
      <c r="N106" s="1882"/>
      <c r="O106" s="1094"/>
      <c r="P106" s="1091">
        <f>IF($I$98=$CV$6,O105*$D$98,O105*N105)</f>
        <v>0</v>
      </c>
      <c r="Q106" s="1024" t="str">
        <f t="shared" si="41"/>
        <v/>
      </c>
      <c r="R106" s="1882"/>
      <c r="S106" s="1013"/>
      <c r="T106" s="1091">
        <f>IF($I$98=$CV$6,S105*$D$98,S105*R105)</f>
        <v>0</v>
      </c>
      <c r="U106" s="1522"/>
      <c r="V106" s="1523"/>
      <c r="W106" s="631"/>
      <c r="X106" s="850"/>
      <c r="Y106" s="850"/>
      <c r="Z106" s="850"/>
      <c r="AA106" s="301"/>
      <c r="AB106" s="896"/>
      <c r="AC106" s="915"/>
      <c r="AD106" s="915"/>
      <c r="AE106" s="915"/>
      <c r="AF106" s="915"/>
      <c r="AG106" s="916"/>
      <c r="AH106" s="916"/>
      <c r="AI106" s="916"/>
      <c r="AJ106" s="916"/>
      <c r="AK106" s="916"/>
      <c r="AL106" s="916"/>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53"/>
      <c r="CU106" s="383"/>
      <c r="CV106" s="383"/>
      <c r="CW106" s="383" t="str">
        <f>IF(Basisdaten!$B$15="English",CY106,CX106)</f>
        <v>Gesamtumsätze</v>
      </c>
      <c r="CX106" s="305" t="s">
        <v>238</v>
      </c>
      <c r="CY106" s="305" t="s">
        <v>873</v>
      </c>
      <c r="CZ106" s="305"/>
      <c r="DA106" s="849"/>
      <c r="DB106" s="116"/>
      <c r="DC106" s="116"/>
      <c r="DD106" s="116"/>
      <c r="DE106" s="116"/>
      <c r="DF106" s="116"/>
      <c r="DG106" s="116"/>
      <c r="DH106" s="116"/>
      <c r="DI106" s="116"/>
      <c r="DJ106" s="116"/>
      <c r="DK106" s="116"/>
      <c r="DL106" s="116"/>
      <c r="DM106" s="116"/>
      <c r="DN106" s="116"/>
      <c r="DO106" s="55"/>
      <c r="DP106" s="55"/>
    </row>
    <row r="107" spans="2:120" s="30" customFormat="1" ht="15.9" customHeight="1" thickTop="1">
      <c r="E107" s="1487"/>
      <c r="F107" s="937" t="str">
        <f>CW99&amp;" "&amp;E98</f>
        <v>Jahresumsätze Auswahl/Choose</v>
      </c>
      <c r="G107" s="1873">
        <f>T14</f>
        <v>0</v>
      </c>
      <c r="H107" s="1874">
        <f>T48</f>
        <v>0</v>
      </c>
      <c r="I107" s="1019"/>
      <c r="J107" s="1260"/>
      <c r="K107" s="1020" t="str">
        <f>CW42&amp;" "&amp;I98</f>
        <v>Jahresumsatz Auswahl/Choose</v>
      </c>
      <c r="L107" s="1876">
        <f>L100+L102+L104+L106</f>
        <v>0</v>
      </c>
      <c r="M107" s="1014"/>
      <c r="N107" s="1018"/>
      <c r="O107" s="1020" t="str">
        <f>K107</f>
        <v>Jahresumsatz Auswahl/Choose</v>
      </c>
      <c r="P107" s="1876">
        <f>P100+P102+P104+P106</f>
        <v>0</v>
      </c>
      <c r="Q107" s="1015"/>
      <c r="R107" s="1016"/>
      <c r="S107" s="1020" t="str">
        <f>O107</f>
        <v>Jahresumsatz Auswahl/Choose</v>
      </c>
      <c r="T107" s="1876">
        <f>T100+T102+T104+T106</f>
        <v>0</v>
      </c>
      <c r="U107" s="1522"/>
      <c r="V107" s="1523"/>
      <c r="W107" s="631"/>
      <c r="X107" s="850"/>
      <c r="Y107" s="850"/>
      <c r="Z107" s="850"/>
      <c r="AA107" s="896"/>
      <c r="AB107" s="915"/>
      <c r="AC107" s="915"/>
      <c r="AD107" s="915"/>
      <c r="AE107" s="915"/>
      <c r="AF107" s="916"/>
      <c r="AG107" s="916"/>
      <c r="AH107" s="916"/>
      <c r="AI107" s="916"/>
      <c r="AJ107" s="916"/>
      <c r="AK107" s="916"/>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53"/>
      <c r="CU107" s="383"/>
      <c r="CV107" s="383"/>
      <c r="CW107" s="383" t="str">
        <f>IF(Basisdaten!$B$15="English",CY107,CX107)</f>
        <v>Gesamt</v>
      </c>
      <c r="CX107" s="305" t="s">
        <v>575</v>
      </c>
      <c r="CY107" s="305" t="s">
        <v>576</v>
      </c>
      <c r="CZ107" s="849"/>
      <c r="DA107" s="116"/>
      <c r="DB107" s="116"/>
      <c r="DC107" s="116"/>
      <c r="DD107" s="116"/>
      <c r="DE107" s="116"/>
      <c r="DF107" s="116"/>
      <c r="DG107" s="116"/>
      <c r="DH107" s="116"/>
      <c r="DI107" s="116"/>
      <c r="DJ107" s="116"/>
      <c r="DK107" s="116"/>
      <c r="DL107" s="116"/>
      <c r="DM107" s="116"/>
      <c r="DN107" s="55"/>
      <c r="DO107" s="55"/>
    </row>
    <row r="108" spans="2:120" s="117" customFormat="1" ht="15.9" customHeight="1">
      <c r="C108" s="918"/>
      <c r="D108" s="918"/>
      <c r="E108" s="1488"/>
      <c r="F108" s="1489" t="str">
        <f>F15</f>
        <v>davon Zukauf</v>
      </c>
      <c r="G108" s="1070">
        <f>T15</f>
        <v>0</v>
      </c>
      <c r="H108" s="1075">
        <f>T49</f>
        <v>0</v>
      </c>
      <c r="I108" s="1004"/>
      <c r="K108" s="1017" t="str">
        <f>F108</f>
        <v>davon Zukauf</v>
      </c>
      <c r="L108" s="1877">
        <f>J100*L100+J102*L102+J104*L104+J106*L106</f>
        <v>0</v>
      </c>
      <c r="M108" s="1001"/>
      <c r="O108" s="1017" t="str">
        <f>K108</f>
        <v>davon Zukauf</v>
      </c>
      <c r="P108" s="1877">
        <f>N100*P100+N102*P102+N104*P104+N106*P106</f>
        <v>0</v>
      </c>
      <c r="Q108" s="1001"/>
      <c r="S108" s="1194" t="str">
        <f>K108</f>
        <v>davon Zukauf</v>
      </c>
      <c r="T108" s="1877">
        <f>R100*T100+R102*T102+R104*T104+R106*T106</f>
        <v>0</v>
      </c>
      <c r="U108" s="1524"/>
      <c r="V108" s="1525"/>
      <c r="W108" s="954"/>
      <c r="X108" s="850"/>
      <c r="Y108" s="850"/>
      <c r="Z108" s="850"/>
      <c r="AA108" s="955"/>
      <c r="AB108" s="956"/>
      <c r="AC108" s="956"/>
      <c r="AD108" s="956"/>
      <c r="AE108" s="956"/>
      <c r="AF108" s="957"/>
      <c r="AG108" s="957"/>
      <c r="AH108" s="957"/>
      <c r="AI108" s="957"/>
      <c r="AJ108" s="957"/>
      <c r="AK108" s="957"/>
      <c r="AQ108" s="295"/>
      <c r="AR108" s="295"/>
      <c r="AS108" s="295"/>
      <c r="AT108" s="295"/>
      <c r="AU108" s="295"/>
      <c r="AV108" s="295"/>
      <c r="AW108" s="295"/>
      <c r="AX108" s="295"/>
      <c r="AY108" s="295"/>
      <c r="AZ108" s="295"/>
      <c r="BA108" s="295"/>
      <c r="BB108" s="295"/>
      <c r="BC108" s="295"/>
      <c r="BD108" s="295"/>
      <c r="BE108" s="295"/>
      <c r="BF108" s="295"/>
      <c r="BG108" s="295"/>
      <c r="BH108" s="295"/>
      <c r="BI108" s="295"/>
      <c r="BJ108" s="295"/>
      <c r="BK108" s="295"/>
      <c r="BL108" s="295"/>
      <c r="BM108" s="295"/>
      <c r="BN108" s="295"/>
      <c r="BO108" s="295"/>
      <c r="BP108" s="295"/>
      <c r="BQ108" s="295"/>
      <c r="BR108" s="295"/>
      <c r="BS108" s="295"/>
      <c r="BT108" s="295"/>
      <c r="BU108" s="295"/>
      <c r="BV108" s="295"/>
      <c r="BW108" s="295"/>
      <c r="BX108" s="295"/>
      <c r="BY108" s="295"/>
      <c r="BZ108" s="295"/>
      <c r="CA108" s="295"/>
      <c r="CB108" s="295"/>
      <c r="CC108" s="295"/>
      <c r="CD108" s="295"/>
      <c r="CE108" s="295"/>
      <c r="CF108" s="295"/>
      <c r="CG108" s="295"/>
      <c r="CH108" s="295"/>
      <c r="CI108" s="295"/>
      <c r="CJ108" s="295"/>
      <c r="CK108" s="295"/>
      <c r="CL108" s="295"/>
      <c r="CM108" s="295"/>
      <c r="CN108" s="295"/>
      <c r="CO108" s="295"/>
      <c r="CP108" s="295"/>
      <c r="CQ108" s="295"/>
      <c r="CR108" s="295"/>
      <c r="CS108" s="295"/>
      <c r="CT108" s="372"/>
      <c r="CU108" s="383"/>
      <c r="CV108" s="383"/>
      <c r="CW108" s="383">
        <f>IF(Basisdaten!$B$15="English",CY108,CX108)</f>
        <v>0</v>
      </c>
      <c r="CX108" s="305"/>
      <c r="CY108" s="305"/>
      <c r="CZ108" s="958"/>
      <c r="DA108" s="805"/>
      <c r="DB108" s="805"/>
      <c r="DC108" s="805"/>
      <c r="DD108" s="805"/>
      <c r="DE108" s="805"/>
      <c r="DF108" s="805"/>
      <c r="DG108" s="805"/>
      <c r="DH108" s="805"/>
      <c r="DI108" s="805"/>
      <c r="DJ108" s="805"/>
      <c r="DK108" s="805"/>
      <c r="DL108" s="805"/>
      <c r="DM108" s="805"/>
      <c r="DN108" s="959"/>
      <c r="DO108" s="959"/>
    </row>
    <row r="109" spans="2:120" s="30" customFormat="1" ht="15.9" customHeight="1">
      <c r="C109" s="1170" t="str">
        <f>C98</f>
        <v>MwSt</v>
      </c>
      <c r="D109" s="919">
        <f>D50</f>
        <v>2</v>
      </c>
      <c r="E109" s="2160" t="str">
        <f>E16</f>
        <v>Auswahl/Choose</v>
      </c>
      <c r="F109" s="2161"/>
      <c r="G109" s="1076"/>
      <c r="H109" s="1077"/>
      <c r="I109" s="2190" t="str">
        <f>E109</f>
        <v>Auswahl/Choose</v>
      </c>
      <c r="J109" s="2194"/>
      <c r="K109" s="1003">
        <f>H16</f>
        <v>0</v>
      </c>
      <c r="L109" s="999" t="str">
        <f>L98</f>
        <v>Umsatz €</v>
      </c>
      <c r="M109" s="2190" t="str">
        <f>I109</f>
        <v>Auswahl/Choose</v>
      </c>
      <c r="N109" s="2194"/>
      <c r="O109" s="1003">
        <f>K109</f>
        <v>0</v>
      </c>
      <c r="P109" s="999" t="str">
        <f>L109</f>
        <v>Umsatz €</v>
      </c>
      <c r="Q109" s="2190" t="str">
        <f>M109</f>
        <v>Auswahl/Choose</v>
      </c>
      <c r="R109" s="2191"/>
      <c r="S109" s="1092">
        <f>O109</f>
        <v>0</v>
      </c>
      <c r="T109" s="920" t="str">
        <f>P109</f>
        <v>Umsatz €</v>
      </c>
      <c r="U109" s="1522"/>
      <c r="V109" s="1523"/>
      <c r="W109" s="904"/>
      <c r="X109" s="904"/>
      <c r="Y109" s="850"/>
      <c r="Z109" s="850"/>
      <c r="AA109" s="234"/>
      <c r="AB109" s="906"/>
      <c r="AC109" s="906"/>
      <c r="AD109" s="906"/>
      <c r="AE109" s="906"/>
      <c r="AF109" s="906"/>
      <c r="AG109" s="225"/>
      <c r="AH109" s="906"/>
      <c r="AI109" s="225"/>
      <c r="AJ109" s="906"/>
      <c r="AK109" s="225"/>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53"/>
      <c r="CU109" s="383"/>
      <c r="CV109" s="383"/>
      <c r="CW109" s="383">
        <f>IF(Basisdaten!$B$15="English",CY109,CX109)</f>
        <v>0</v>
      </c>
      <c r="CX109" s="305"/>
      <c r="CY109" s="305"/>
      <c r="CZ109" s="849"/>
      <c r="DA109" s="116"/>
      <c r="DB109" s="116"/>
      <c r="DC109" s="116"/>
      <c r="DD109" s="116"/>
      <c r="DE109" s="116"/>
      <c r="DF109" s="116"/>
      <c r="DG109" s="116"/>
      <c r="DH109" s="116"/>
      <c r="DI109" s="116"/>
      <c r="DJ109" s="116"/>
      <c r="DK109" s="116"/>
      <c r="DL109" s="116"/>
      <c r="DM109" s="116"/>
      <c r="DN109" s="55"/>
      <c r="DO109" s="55"/>
    </row>
    <row r="110" spans="2:120" s="30" customFormat="1" ht="15.9" customHeight="1">
      <c r="C110" s="2183">
        <f>C51</f>
        <v>0.19</v>
      </c>
      <c r="D110" s="907" t="str">
        <f>$D$98&amp;".1"</f>
        <v>1.1</v>
      </c>
      <c r="E110" s="1051" t="str">
        <f>E17</f>
        <v/>
      </c>
      <c r="F110" s="1055" t="str">
        <f>F17</f>
        <v/>
      </c>
      <c r="G110" s="1870">
        <f>G17</f>
        <v>0</v>
      </c>
      <c r="H110" s="1871">
        <f>G51</f>
        <v>0</v>
      </c>
      <c r="I110" s="1312" t="str">
        <f>F17</f>
        <v/>
      </c>
      <c r="J110" s="1875"/>
      <c r="K110" s="1012"/>
      <c r="L110" s="1011"/>
      <c r="M110" s="1008" t="str">
        <f>I110</f>
        <v/>
      </c>
      <c r="N110" s="1875"/>
      <c r="O110" s="1093"/>
      <c r="P110" s="1011"/>
      <c r="Q110" s="1008" t="str">
        <f>M110</f>
        <v/>
      </c>
      <c r="R110" s="1875"/>
      <c r="S110" s="1093"/>
      <c r="T110" s="1011"/>
      <c r="U110" s="1522"/>
      <c r="V110" s="1523"/>
      <c r="W110" s="631"/>
      <c r="X110" s="850"/>
      <c r="Y110" s="850"/>
      <c r="Z110" s="850"/>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53"/>
      <c r="CU110" s="383"/>
      <c r="CV110" s="383"/>
      <c r="CW110" s="383" t="str">
        <f>IF(Basisdaten!$B$15="English",CY110,CX110)</f>
        <v>Summe Sonstige Einnahmen</v>
      </c>
      <c r="CX110" s="305" t="s">
        <v>348</v>
      </c>
      <c r="CY110" s="305" t="s">
        <v>340</v>
      </c>
      <c r="CZ110" s="849"/>
      <c r="DA110" s="116"/>
      <c r="DB110" s="116"/>
      <c r="DC110" s="116"/>
      <c r="DD110" s="116"/>
      <c r="DE110" s="116"/>
      <c r="DF110" s="116"/>
      <c r="DG110" s="116"/>
      <c r="DH110" s="116"/>
      <c r="DI110" s="116"/>
      <c r="DJ110" s="116"/>
      <c r="DK110" s="116"/>
      <c r="DL110" s="116"/>
      <c r="DM110" s="116"/>
      <c r="DN110" s="55"/>
      <c r="DO110" s="55"/>
    </row>
    <row r="111" spans="2:120" s="30" customFormat="1" ht="15.9" customHeight="1">
      <c r="C111" s="2184"/>
      <c r="D111" s="917"/>
      <c r="E111" s="925"/>
      <c r="F111" s="1053" t="str">
        <f>E18</f>
        <v xml:space="preserve">Verbrauchsmaterial (% v.Umsatz) </v>
      </c>
      <c r="G111" s="1071">
        <f>F18</f>
        <v>0</v>
      </c>
      <c r="H111" s="1072">
        <f>F52</f>
        <v>0</v>
      </c>
      <c r="I111" s="1010" t="str">
        <f>IF($E$109=$CU$6,"",IF($E$109=$CW$41,$CW$76,IF($E$109=$CW$43,$CW$76,IF($E$109=$CW$47,$CW$75,IF($E$109=$CW$51,$CW$78,$CW$77)))))</f>
        <v/>
      </c>
      <c r="J111" s="1576"/>
      <c r="K111" s="1011"/>
      <c r="L111" s="1091">
        <f>IF($I$109=$CV$6,K110*$D$98,K110*J110)</f>
        <v>0</v>
      </c>
      <c r="M111" s="1010" t="str">
        <f>I111</f>
        <v/>
      </c>
      <c r="N111" s="1576"/>
      <c r="O111" s="1021"/>
      <c r="P111" s="1091">
        <f>IF($I$109=$CV$6,O110*$D$98,O110*N110)</f>
        <v>0</v>
      </c>
      <c r="Q111" s="1010" t="str">
        <f>M111</f>
        <v/>
      </c>
      <c r="R111" s="1576"/>
      <c r="S111" s="1021"/>
      <c r="T111" s="1091">
        <f>IF($I$109=$CV$6,S110*$D$98,S110*R110)</f>
        <v>0</v>
      </c>
      <c r="U111" s="1522"/>
      <c r="V111" s="1523"/>
      <c r="W111" s="631"/>
      <c r="X111" s="850"/>
      <c r="Y111" s="850"/>
      <c r="Z111" s="850"/>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53"/>
      <c r="CU111" s="383"/>
      <c r="CV111" s="383"/>
      <c r="CW111" s="383">
        <f>IF(Basisdaten!$B$15="English",CY111,CX111)</f>
        <v>0</v>
      </c>
      <c r="CX111" s="305"/>
      <c r="CY111" s="305"/>
      <c r="CZ111" s="849"/>
      <c r="DA111" s="116"/>
      <c r="DB111" s="116"/>
      <c r="DC111" s="116"/>
      <c r="DD111" s="116"/>
      <c r="DE111" s="116"/>
      <c r="DF111" s="116"/>
      <c r="DG111" s="116"/>
      <c r="DH111" s="116"/>
      <c r="DI111" s="116"/>
      <c r="DJ111" s="116"/>
      <c r="DK111" s="116"/>
      <c r="DL111" s="116"/>
      <c r="DM111" s="116"/>
      <c r="DN111" s="55"/>
      <c r="DO111" s="55"/>
    </row>
    <row r="112" spans="2:120" s="30" customFormat="1" ht="15.9" customHeight="1">
      <c r="C112" s="2184"/>
      <c r="D112" s="914" t="str">
        <f>$D$98&amp;".2"</f>
        <v>1.2</v>
      </c>
      <c r="E112" s="1051" t="str">
        <f>E19</f>
        <v/>
      </c>
      <c r="F112" s="1052" t="str">
        <f t="shared" ref="F112:F117" si="43">F110</f>
        <v/>
      </c>
      <c r="G112" s="1870">
        <f>G19</f>
        <v>0</v>
      </c>
      <c r="H112" s="1872">
        <f>G53</f>
        <v>0</v>
      </c>
      <c r="I112" s="1009" t="str">
        <f>I110</f>
        <v/>
      </c>
      <c r="J112" s="1875"/>
      <c r="K112" s="1012"/>
      <c r="L112" s="1011"/>
      <c r="M112" s="1009" t="str">
        <f>M110</f>
        <v/>
      </c>
      <c r="N112" s="1875"/>
      <c r="O112" s="1093"/>
      <c r="P112" s="1011"/>
      <c r="Q112" s="1009" t="str">
        <f t="shared" ref="Q112:Q117" si="44">M112</f>
        <v/>
      </c>
      <c r="R112" s="1875"/>
      <c r="S112" s="1093"/>
      <c r="T112" s="1011"/>
      <c r="U112" s="1522"/>
      <c r="V112" s="1523"/>
      <c r="W112" s="631"/>
      <c r="X112" s="850"/>
      <c r="Y112" s="850"/>
      <c r="Z112" s="850"/>
      <c r="AP112" s="251"/>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53"/>
      <c r="CU112" s="383"/>
      <c r="CV112" s="383"/>
      <c r="CW112" s="383">
        <f>IF(Basisdaten!$B$15="English",CY112,CX112)</f>
        <v>0</v>
      </c>
      <c r="CX112" s="305"/>
      <c r="CY112" s="305"/>
      <c r="CZ112" s="859"/>
      <c r="DA112" s="116"/>
      <c r="DB112" s="116"/>
      <c r="DC112" s="116"/>
      <c r="DD112" s="116"/>
      <c r="DE112" s="116"/>
      <c r="DF112" s="116"/>
      <c r="DG112" s="116"/>
      <c r="DH112" s="116"/>
      <c r="DI112" s="116"/>
      <c r="DJ112" s="116"/>
      <c r="DK112" s="116"/>
      <c r="DL112" s="116"/>
      <c r="DM112" s="116"/>
      <c r="DN112" s="55"/>
      <c r="DO112" s="55"/>
    </row>
    <row r="113" spans="1:119" s="30" customFormat="1" ht="15.9" customHeight="1">
      <c r="C113" s="2184"/>
      <c r="D113" s="1000"/>
      <c r="E113" s="1054"/>
      <c r="F113" s="1053" t="str">
        <f t="shared" si="43"/>
        <v xml:space="preserve">Verbrauchsmaterial (% v.Umsatz) </v>
      </c>
      <c r="G113" s="1071">
        <f>F20</f>
        <v>0</v>
      </c>
      <c r="H113" s="1072">
        <f>F54</f>
        <v>0</v>
      </c>
      <c r="I113" s="1005" t="str">
        <f>I111</f>
        <v/>
      </c>
      <c r="J113" s="1576"/>
      <c r="K113" s="1011"/>
      <c r="L113" s="1091">
        <f>IF($I$109=$CV$6,K112*$D$98,K112*J112)</f>
        <v>0</v>
      </c>
      <c r="M113" s="1005" t="str">
        <f>M111</f>
        <v/>
      </c>
      <c r="N113" s="1576"/>
      <c r="O113" s="1021"/>
      <c r="P113" s="1091">
        <f>IF($I$109=$CV$6,O112*$D$98,O112*N112)</f>
        <v>0</v>
      </c>
      <c r="Q113" s="1005" t="str">
        <f>M113</f>
        <v/>
      </c>
      <c r="R113" s="1576"/>
      <c r="S113" s="1021"/>
      <c r="T113" s="1091">
        <f>IF($I$109=$CV$6,S112*$D$98,S112*R112)</f>
        <v>0</v>
      </c>
      <c r="U113" s="1522"/>
      <c r="V113" s="1523"/>
      <c r="W113" s="631"/>
      <c r="X113" s="850"/>
      <c r="Y113" s="850"/>
      <c r="Z113" s="850"/>
      <c r="AP113" s="251"/>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53"/>
      <c r="CU113" s="383"/>
      <c r="CV113" s="383"/>
      <c r="CW113" s="383">
        <f>IF(Basisdaten!$B$15="English",CY113,CX113)</f>
        <v>0</v>
      </c>
      <c r="CX113" s="305"/>
      <c r="CY113" s="305"/>
      <c r="CZ113" s="859"/>
      <c r="DA113" s="116"/>
      <c r="DB113" s="116"/>
      <c r="DC113" s="116"/>
      <c r="DD113" s="116"/>
      <c r="DE113" s="116"/>
      <c r="DF113" s="116"/>
      <c r="DG113" s="116"/>
      <c r="DH113" s="116"/>
      <c r="DI113" s="116"/>
      <c r="DJ113" s="116"/>
      <c r="DK113" s="116"/>
      <c r="DL113" s="116"/>
      <c r="DM113" s="116"/>
      <c r="DN113" s="55"/>
      <c r="DO113" s="55"/>
    </row>
    <row r="114" spans="1:119" s="30" customFormat="1" ht="15.9" customHeight="1">
      <c r="C114" s="2184"/>
      <c r="D114" s="907" t="str">
        <f>$D$98&amp;".3"</f>
        <v>1.3</v>
      </c>
      <c r="E114" s="1051" t="str">
        <f>E21</f>
        <v/>
      </c>
      <c r="F114" s="1052" t="str">
        <f t="shared" si="43"/>
        <v/>
      </c>
      <c r="G114" s="1870">
        <f>G21</f>
        <v>0</v>
      </c>
      <c r="H114" s="1872">
        <f>G55</f>
        <v>0</v>
      </c>
      <c r="I114" s="1009" t="str">
        <f>I110</f>
        <v/>
      </c>
      <c r="J114" s="1875"/>
      <c r="K114" s="1012"/>
      <c r="L114" s="1011"/>
      <c r="M114" s="1009" t="str">
        <f>M112</f>
        <v/>
      </c>
      <c r="N114" s="1875"/>
      <c r="O114" s="1093"/>
      <c r="P114" s="1011"/>
      <c r="Q114" s="1009" t="str">
        <f t="shared" si="44"/>
        <v/>
      </c>
      <c r="R114" s="1875"/>
      <c r="S114" s="1093"/>
      <c r="T114" s="1011"/>
      <c r="U114" s="1522"/>
      <c r="V114" s="1523"/>
      <c r="W114" s="631"/>
      <c r="X114" s="850"/>
      <c r="Y114" s="850"/>
      <c r="Z114" s="850"/>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53"/>
      <c r="CU114" s="383"/>
      <c r="CV114" s="383"/>
      <c r="CW114" s="383">
        <f>IF(Basisdaten!$B$15="English",CY114,CX114)</f>
        <v>0</v>
      </c>
      <c r="CX114" s="305"/>
      <c r="CY114" s="305"/>
      <c r="CZ114" s="849"/>
      <c r="DA114" s="851"/>
      <c r="DB114" s="851"/>
      <c r="DC114" s="851"/>
      <c r="DD114" s="851"/>
      <c r="DE114" s="851"/>
      <c r="DF114" s="851"/>
      <c r="DG114" s="851"/>
      <c r="DH114" s="851"/>
      <c r="DI114" s="851"/>
      <c r="DJ114" s="851"/>
      <c r="DK114" s="851"/>
      <c r="DL114" s="851"/>
      <c r="DM114" s="851"/>
      <c r="DN114" s="55"/>
      <c r="DO114" s="55"/>
    </row>
    <row r="115" spans="1:119" s="30" customFormat="1" ht="15.9" customHeight="1">
      <c r="C115" s="2184"/>
      <c r="D115" s="917"/>
      <c r="E115" s="1054"/>
      <c r="F115" s="1053" t="str">
        <f t="shared" si="43"/>
        <v xml:space="preserve">Verbrauchsmaterial (% v.Umsatz) </v>
      </c>
      <c r="G115" s="1071">
        <f>F22</f>
        <v>0</v>
      </c>
      <c r="H115" s="1072">
        <f>F56</f>
        <v>0</v>
      </c>
      <c r="I115" s="1006" t="str">
        <f>I111</f>
        <v/>
      </c>
      <c r="J115" s="1576"/>
      <c r="K115" s="1011"/>
      <c r="L115" s="1091">
        <f>IF($I$109=$CV$6,K114*$D$98,K114*J114)</f>
        <v>0</v>
      </c>
      <c r="M115" s="1005" t="str">
        <f>M113</f>
        <v/>
      </c>
      <c r="N115" s="1576"/>
      <c r="O115" s="1021"/>
      <c r="P115" s="1091">
        <f>IF($I$109=$CV$6,O114*$D$98,O114*N114)</f>
        <v>0</v>
      </c>
      <c r="Q115" s="1006" t="str">
        <f t="shared" si="44"/>
        <v/>
      </c>
      <c r="R115" s="1576"/>
      <c r="S115" s="1021"/>
      <c r="T115" s="1091">
        <f>IF($I$109=$CV$6,S114*$D$98,S114*R114)</f>
        <v>0</v>
      </c>
      <c r="U115" s="1522"/>
      <c r="V115" s="1523"/>
      <c r="W115" s="631"/>
      <c r="X115" s="850"/>
      <c r="Y115" s="850"/>
      <c r="Z115" s="850"/>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53"/>
      <c r="CU115" s="383"/>
      <c r="CV115" s="383"/>
      <c r="CW115" s="383">
        <f>IF(Basisdaten!$B$15="English",CY115,CX115)</f>
        <v>0</v>
      </c>
      <c r="CX115" s="305"/>
      <c r="CY115" s="305"/>
      <c r="CZ115" s="849"/>
      <c r="DA115" s="851"/>
      <c r="DB115" s="851"/>
      <c r="DC115" s="851"/>
      <c r="DD115" s="851"/>
      <c r="DE115" s="851"/>
      <c r="DF115" s="851"/>
      <c r="DG115" s="851"/>
      <c r="DH115" s="851"/>
      <c r="DI115" s="851"/>
      <c r="DJ115" s="851"/>
      <c r="DK115" s="851"/>
      <c r="DL115" s="851"/>
      <c r="DM115" s="851"/>
      <c r="DN115" s="55"/>
      <c r="DO115" s="55"/>
    </row>
    <row r="116" spans="1:119" s="850" customFormat="1" ht="15.9" customHeight="1">
      <c r="C116" s="961"/>
      <c r="D116" s="913" t="str">
        <f>$D$98&amp;".4"</f>
        <v>1.4</v>
      </c>
      <c r="E116" s="1051" t="str">
        <f>E23</f>
        <v/>
      </c>
      <c r="F116" s="1052" t="str">
        <f t="shared" si="43"/>
        <v/>
      </c>
      <c r="G116" s="1870">
        <f>G23</f>
        <v>0</v>
      </c>
      <c r="H116" s="1872">
        <f>T57</f>
        <v>0</v>
      </c>
      <c r="I116" s="1009" t="str">
        <f>I114</f>
        <v/>
      </c>
      <c r="J116" s="1875"/>
      <c r="K116" s="1012"/>
      <c r="L116" s="1011"/>
      <c r="M116" s="1009" t="str">
        <f>M114</f>
        <v/>
      </c>
      <c r="N116" s="1875"/>
      <c r="O116" s="1093"/>
      <c r="P116" s="1011"/>
      <c r="Q116" s="1009" t="str">
        <f t="shared" si="44"/>
        <v/>
      </c>
      <c r="R116" s="1875"/>
      <c r="S116" s="1093"/>
      <c r="T116" s="1011"/>
      <c r="U116" s="1522"/>
      <c r="V116" s="1523"/>
      <c r="W116" s="631"/>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134"/>
      <c r="BJ116" s="134"/>
      <c r="BK116" s="134"/>
      <c r="BL116" s="134"/>
      <c r="BM116" s="134"/>
      <c r="BN116" s="134"/>
      <c r="BO116" s="134"/>
      <c r="BP116" s="134"/>
      <c r="BQ116" s="134"/>
      <c r="BR116" s="134"/>
      <c r="BS116" s="134"/>
      <c r="BT116" s="134"/>
      <c r="BU116" s="134"/>
      <c r="BV116" s="134"/>
      <c r="BW116" s="134"/>
      <c r="BX116" s="134"/>
      <c r="BY116" s="134"/>
      <c r="BZ116" s="134"/>
      <c r="CA116" s="134"/>
      <c r="CB116" s="134"/>
      <c r="CC116" s="134"/>
      <c r="CD116" s="134"/>
      <c r="CE116" s="134"/>
      <c r="CF116" s="134"/>
      <c r="CG116" s="134"/>
      <c r="CH116" s="134"/>
      <c r="CI116" s="134"/>
      <c r="CJ116" s="134"/>
      <c r="CK116" s="134"/>
      <c r="CL116" s="134"/>
      <c r="CM116" s="134"/>
      <c r="CN116" s="134"/>
      <c r="CO116" s="134"/>
      <c r="CP116" s="134"/>
      <c r="CQ116" s="134"/>
      <c r="CR116" s="134"/>
      <c r="CS116" s="134"/>
      <c r="CT116" s="1126"/>
      <c r="CU116" s="968"/>
      <c r="CV116" s="968"/>
      <c r="CW116" s="383">
        <f>IF(Basisdaten!$B$15="English",CY116,CX116)</f>
        <v>0</v>
      </c>
      <c r="CX116" s="305"/>
      <c r="CY116" s="305"/>
      <c r="CZ116" s="921"/>
      <c r="DA116" s="922"/>
      <c r="DB116" s="922"/>
      <c r="DC116" s="922"/>
      <c r="DD116" s="922"/>
      <c r="DE116" s="922"/>
      <c r="DF116" s="922"/>
      <c r="DG116" s="922"/>
      <c r="DH116" s="922"/>
      <c r="DI116" s="922"/>
      <c r="DJ116" s="922"/>
      <c r="DK116" s="922"/>
      <c r="DL116" s="922"/>
      <c r="DM116" s="922"/>
    </row>
    <row r="117" spans="1:119" s="850" customFormat="1" ht="15" customHeight="1" thickBot="1">
      <c r="C117" s="962"/>
      <c r="D117" s="917"/>
      <c r="E117" s="1202"/>
      <c r="F117" s="1203" t="str">
        <f t="shared" si="43"/>
        <v xml:space="preserve">Verbrauchsmaterial (% v.Umsatz) </v>
      </c>
      <c r="G117" s="1073">
        <f>F24</f>
        <v>0</v>
      </c>
      <c r="H117" s="1074">
        <f>F58</f>
        <v>0</v>
      </c>
      <c r="I117" s="1007" t="str">
        <f>I111</f>
        <v/>
      </c>
      <c r="J117" s="1577"/>
      <c r="K117" s="1013"/>
      <c r="L117" s="1091">
        <f>IF($I$109=$CV$6,K116*$D$98,K116*J116)</f>
        <v>0</v>
      </c>
      <c r="M117" s="1007" t="str">
        <f>M111</f>
        <v/>
      </c>
      <c r="N117" s="1577"/>
      <c r="O117" s="1094"/>
      <c r="P117" s="1091">
        <f>IF($I$109=$CV$6,O116*$D$98,O116*N116)</f>
        <v>0</v>
      </c>
      <c r="Q117" s="1007" t="str">
        <f t="shared" si="44"/>
        <v/>
      </c>
      <c r="R117" s="1578"/>
      <c r="S117" s="1013"/>
      <c r="T117" s="1091">
        <f>IF($I$109=$CV$6,S116*$D$98,S116*R116)</f>
        <v>0</v>
      </c>
      <c r="U117" s="1522"/>
      <c r="V117" s="1523"/>
      <c r="W117" s="631"/>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134"/>
      <c r="BJ117" s="134"/>
      <c r="BK117" s="134"/>
      <c r="BL117" s="134"/>
      <c r="BM117" s="134"/>
      <c r="BN117" s="134"/>
      <c r="BO117" s="134"/>
      <c r="BP117" s="134"/>
      <c r="BQ117" s="134"/>
      <c r="BR117" s="134"/>
      <c r="BS117" s="134"/>
      <c r="BT117" s="134"/>
      <c r="BU117" s="134"/>
      <c r="BV117" s="134"/>
      <c r="BW117" s="134"/>
      <c r="BX117" s="134"/>
      <c r="BY117" s="134"/>
      <c r="BZ117" s="134"/>
      <c r="CA117" s="134"/>
      <c r="CB117" s="134"/>
      <c r="CC117" s="134"/>
      <c r="CD117" s="134"/>
      <c r="CE117" s="134"/>
      <c r="CF117" s="134"/>
      <c r="CG117" s="134"/>
      <c r="CH117" s="134"/>
      <c r="CI117" s="134"/>
      <c r="CJ117" s="134"/>
      <c r="CK117" s="134"/>
      <c r="CL117" s="134"/>
      <c r="CM117" s="134"/>
      <c r="CN117" s="134"/>
      <c r="CO117" s="134"/>
      <c r="CP117" s="134"/>
      <c r="CQ117" s="134"/>
      <c r="CR117" s="134"/>
      <c r="CS117" s="134"/>
      <c r="CT117" s="1126"/>
      <c r="CU117" s="968"/>
      <c r="CV117" s="968"/>
      <c r="CW117" s="383">
        <f>IF(Basisdaten!$B$15="English",CY117,CX117)</f>
        <v>0</v>
      </c>
      <c r="CX117" s="305"/>
      <c r="CY117" s="305"/>
      <c r="CZ117" s="921"/>
      <c r="DA117" s="922"/>
      <c r="DB117" s="922"/>
      <c r="DC117" s="922"/>
      <c r="DD117" s="922"/>
      <c r="DE117" s="922"/>
      <c r="DF117" s="922"/>
      <c r="DG117" s="922"/>
      <c r="DH117" s="922"/>
      <c r="DI117" s="922"/>
      <c r="DJ117" s="922"/>
      <c r="DK117" s="922"/>
      <c r="DL117" s="922"/>
      <c r="DM117" s="922"/>
    </row>
    <row r="118" spans="1:119" s="30" customFormat="1" ht="15" customHeight="1" thickTop="1">
      <c r="E118" s="1487"/>
      <c r="F118" s="937" t="str">
        <f>CW99&amp;" "&amp;E109</f>
        <v>Jahresumsätze Auswahl/Choose</v>
      </c>
      <c r="G118" s="1873">
        <f>T25</f>
        <v>0</v>
      </c>
      <c r="H118" s="1874">
        <f>T59</f>
        <v>0</v>
      </c>
      <c r="I118" s="2154" t="str">
        <f>CW42&amp;" "&amp;I109</f>
        <v>Jahresumsatz Auswahl/Choose</v>
      </c>
      <c r="J118" s="2155"/>
      <c r="K118" s="2156"/>
      <c r="L118" s="1876" cm="1">
        <f t="array" ref="L118">L111+L113+_xlfn.ANCHORARRAY(L115)+L117</f>
        <v>0</v>
      </c>
      <c r="M118" s="2154" t="str">
        <f>I118</f>
        <v>Jahresumsatz Auswahl/Choose</v>
      </c>
      <c r="N118" s="2155"/>
      <c r="O118" s="2156"/>
      <c r="P118" s="1876">
        <f>P111+P113+P115+P117</f>
        <v>0</v>
      </c>
      <c r="Q118" s="1015"/>
      <c r="R118" s="1016"/>
      <c r="S118" s="1020" t="str">
        <f>M118</f>
        <v>Jahresumsatz Auswahl/Choose</v>
      </c>
      <c r="T118" s="1876">
        <f>T111+T113+T115+T117</f>
        <v>0</v>
      </c>
      <c r="U118" s="1522"/>
      <c r="V118" s="1523"/>
      <c r="W118" s="631"/>
      <c r="X118" s="37"/>
      <c r="Y118" s="850"/>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53"/>
      <c r="CU118" s="383"/>
      <c r="CV118" s="383"/>
      <c r="CW118" s="383" t="str">
        <f>IF(Basisdaten!$B$15="English",CY118,CX118)</f>
        <v>Sonstige Einnahmen</v>
      </c>
      <c r="CX118" s="305" t="s">
        <v>244</v>
      </c>
      <c r="CY118" s="305" t="s">
        <v>245</v>
      </c>
      <c r="CZ118" s="863"/>
      <c r="DA118" s="116"/>
      <c r="DB118" s="116"/>
      <c r="DC118" s="116"/>
      <c r="DD118" s="116"/>
      <c r="DE118" s="116"/>
      <c r="DF118" s="116"/>
      <c r="DG118" s="116"/>
      <c r="DH118" s="116"/>
      <c r="DI118" s="116"/>
      <c r="DJ118" s="116"/>
      <c r="DK118" s="116"/>
      <c r="DL118" s="116"/>
      <c r="DM118" s="116"/>
      <c r="DN118" s="55"/>
      <c r="DO118" s="55"/>
    </row>
    <row r="119" spans="1:119" s="117" customFormat="1" ht="15.9" customHeight="1">
      <c r="D119" s="965"/>
      <c r="E119" s="1490"/>
      <c r="F119" s="1491" t="str">
        <f>F26</f>
        <v>davon Zukauf</v>
      </c>
      <c r="G119" s="1078">
        <f>T26</f>
        <v>0</v>
      </c>
      <c r="H119" s="1079">
        <f>T60</f>
        <v>0</v>
      </c>
      <c r="I119" s="1195"/>
      <c r="J119" s="1196"/>
      <c r="K119" s="1197" t="str">
        <f>K108</f>
        <v>davon Zukauf</v>
      </c>
      <c r="L119" s="1877">
        <f>J111*L111+J113*L113+J115*L115+J117*L117</f>
        <v>0</v>
      </c>
      <c r="M119" s="1195"/>
      <c r="N119" s="1196"/>
      <c r="O119" s="1197" t="str">
        <f>K119</f>
        <v>davon Zukauf</v>
      </c>
      <c r="P119" s="1877">
        <f>N111*P111+N113*P113+N115*P115+N117*P117</f>
        <v>0</v>
      </c>
      <c r="Q119" s="1025"/>
      <c r="R119" s="1026"/>
      <c r="S119" s="1027" t="str">
        <f>O119</f>
        <v>davon Zukauf</v>
      </c>
      <c r="T119" s="1877">
        <f>R111*T111+R113*T113+R115*T115+R117*T117</f>
        <v>0</v>
      </c>
      <c r="U119" s="1524"/>
      <c r="V119" s="1525"/>
      <c r="W119" s="954"/>
      <c r="X119" s="295"/>
      <c r="AQ119" s="295"/>
      <c r="AR119" s="295"/>
      <c r="AS119" s="295"/>
      <c r="AT119" s="295"/>
      <c r="AU119" s="295"/>
      <c r="AV119" s="295"/>
      <c r="AW119" s="295"/>
      <c r="AX119" s="295"/>
      <c r="AY119" s="295"/>
      <c r="AZ119" s="295"/>
      <c r="BA119" s="295"/>
      <c r="BB119" s="295"/>
      <c r="BC119" s="295"/>
      <c r="BD119" s="295"/>
      <c r="BE119" s="295"/>
      <c r="BF119" s="295"/>
      <c r="BG119" s="295"/>
      <c r="BH119" s="295"/>
      <c r="BI119" s="295"/>
      <c r="BJ119" s="295"/>
      <c r="BK119" s="295"/>
      <c r="BL119" s="295"/>
      <c r="BM119" s="295"/>
      <c r="BN119" s="295"/>
      <c r="BO119" s="295"/>
      <c r="BP119" s="295"/>
      <c r="BQ119" s="295"/>
      <c r="BR119" s="295"/>
      <c r="BS119" s="295"/>
      <c r="BT119" s="295"/>
      <c r="BU119" s="295"/>
      <c r="BV119" s="295"/>
      <c r="BW119" s="295"/>
      <c r="BX119" s="295"/>
      <c r="BY119" s="295"/>
      <c r="BZ119" s="295"/>
      <c r="CA119" s="295"/>
      <c r="CB119" s="295"/>
      <c r="CC119" s="295"/>
      <c r="CD119" s="295"/>
      <c r="CE119" s="295"/>
      <c r="CF119" s="295"/>
      <c r="CG119" s="295"/>
      <c r="CH119" s="295"/>
      <c r="CI119" s="295"/>
      <c r="CJ119" s="295"/>
      <c r="CK119" s="295"/>
      <c r="CL119" s="295"/>
      <c r="CM119" s="295"/>
      <c r="CN119" s="295"/>
      <c r="CO119" s="295"/>
      <c r="CP119" s="295"/>
      <c r="CQ119" s="295"/>
      <c r="CR119" s="295"/>
      <c r="CS119" s="295"/>
      <c r="CT119" s="372"/>
      <c r="CU119" s="383"/>
      <c r="CV119" s="383"/>
      <c r="CW119" s="383">
        <f>IF(Basisdaten!$B$15="English",CY119,CX119)</f>
        <v>0</v>
      </c>
      <c r="CX119" s="305"/>
      <c r="CY119" s="305"/>
      <c r="CZ119" s="960"/>
      <c r="DA119" s="805"/>
      <c r="DB119" s="805"/>
      <c r="DC119" s="805"/>
      <c r="DD119" s="805"/>
      <c r="DE119" s="805"/>
      <c r="DF119" s="805"/>
      <c r="DG119" s="805"/>
      <c r="DH119" s="805"/>
      <c r="DI119" s="805"/>
      <c r="DJ119" s="805"/>
      <c r="DK119" s="805"/>
      <c r="DL119" s="805"/>
      <c r="DM119" s="805"/>
      <c r="DN119" s="959"/>
      <c r="DO119" s="959"/>
    </row>
    <row r="120" spans="1:119" s="30" customFormat="1" ht="15.9" customHeight="1">
      <c r="C120" s="1170" t="str">
        <f>C109</f>
        <v>MwSt</v>
      </c>
      <c r="D120" s="919">
        <f>D61</f>
        <v>3</v>
      </c>
      <c r="E120" s="2160" t="str">
        <f>E27</f>
        <v>Sonstige Einnahmen</v>
      </c>
      <c r="F120" s="2161"/>
      <c r="G120" s="1080"/>
      <c r="H120" s="1081"/>
      <c r="I120" s="2198" t="str">
        <f ca="1">$E$120&amp;" "&amp;I97</f>
        <v>Sonstige Einnahmen 2028</v>
      </c>
      <c r="J120" s="2199"/>
      <c r="K120" s="2199"/>
      <c r="L120" s="2200"/>
      <c r="M120" s="2198" t="str">
        <f ca="1">$E$120&amp;" "&amp;M97</f>
        <v>Sonstige Einnahmen 2029</v>
      </c>
      <c r="N120" s="2199"/>
      <c r="O120" s="2199"/>
      <c r="P120" s="2200"/>
      <c r="Q120" s="2198" t="str">
        <f ca="1">$E$120&amp;" "&amp;Q97</f>
        <v>Sonstige Einnahmen 2030</v>
      </c>
      <c r="R120" s="2199"/>
      <c r="S120" s="2199"/>
      <c r="T120" s="2200"/>
      <c r="U120" s="1522"/>
      <c r="V120" s="1523"/>
      <c r="W120" s="904"/>
      <c r="X120" s="904"/>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S120" s="37"/>
      <c r="CT120" s="53"/>
      <c r="CU120" s="383"/>
      <c r="CV120" s="383"/>
      <c r="CW120" s="383" t="str">
        <f ca="1">IF(Basisdaten!$B$15="English",CY120,CX120)</f>
        <v>Nebenrechnung Umsätze/sonstige Einnahmen 2027</v>
      </c>
      <c r="CX120" s="305" t="str">
        <f ca="1">"Nebenrechnung Umsätze/sonstige Einnahmen "&amp;Basisdaten!$C$15+1</f>
        <v>Nebenrechnung Umsätze/sonstige Einnahmen 2027</v>
      </c>
      <c r="CY120" s="305" t="str">
        <f ca="1">"Ancillary account for sales/other Income "&amp;Basisdaten!$C$15+1</f>
        <v>Ancillary account for sales/other Income 2027</v>
      </c>
      <c r="CZ120" s="863"/>
      <c r="DA120" s="116"/>
      <c r="DB120" s="116"/>
      <c r="DC120" s="116"/>
      <c r="DD120" s="116"/>
      <c r="DE120" s="116"/>
      <c r="DF120" s="116"/>
      <c r="DG120" s="116"/>
      <c r="DH120" s="116"/>
      <c r="DI120" s="116"/>
      <c r="DJ120" s="116"/>
      <c r="DK120" s="116"/>
      <c r="DL120" s="116"/>
      <c r="DM120" s="116"/>
      <c r="DN120" s="55"/>
      <c r="DO120" s="55"/>
    </row>
    <row r="121" spans="1:119" s="30" customFormat="1" ht="15.9" customHeight="1">
      <c r="C121" s="890">
        <f>C28</f>
        <v>0.19</v>
      </c>
      <c r="D121" s="923" t="str">
        <f>D120&amp;".1"</f>
        <v>3.1</v>
      </c>
      <c r="E121" s="1056" t="str">
        <f>E62</f>
        <v>Honorareinnahmen, Provisionen</v>
      </c>
      <c r="F121" s="1057"/>
      <c r="G121" s="1082">
        <f>T28</f>
        <v>0</v>
      </c>
      <c r="H121" s="1083">
        <f>T62</f>
        <v>0</v>
      </c>
      <c r="I121" s="2157" t="str">
        <f>E121</f>
        <v>Honorareinnahmen, Provisionen</v>
      </c>
      <c r="J121" s="2158"/>
      <c r="K121" s="2159"/>
      <c r="L121" s="1385"/>
      <c r="M121" s="963" t="str">
        <f>I121</f>
        <v>Honorareinnahmen, Provisionen</v>
      </c>
      <c r="N121" s="1028"/>
      <c r="O121" s="1029"/>
      <c r="P121" s="1385"/>
      <c r="Q121" s="963" t="str">
        <f>M121</f>
        <v>Honorareinnahmen, Provisionen</v>
      </c>
      <c r="R121" s="1028"/>
      <c r="S121" s="1029"/>
      <c r="T121" s="1385"/>
      <c r="U121" s="1522"/>
      <c r="V121" s="1523"/>
      <c r="W121" s="631"/>
      <c r="X121" s="37"/>
      <c r="Y121" s="37"/>
      <c r="Z121" s="37"/>
      <c r="AA121" s="37"/>
      <c r="AB121" s="37"/>
      <c r="AC121" s="37"/>
      <c r="AD121" s="37"/>
      <c r="AE121" s="37"/>
      <c r="AF121" s="37"/>
      <c r="AG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53"/>
      <c r="CU121" s="383"/>
      <c r="CV121" s="383"/>
      <c r="CW121" s="383">
        <f>IF(Basisdaten!$B$15="English",CY121,CX121)</f>
        <v>0</v>
      </c>
      <c r="CX121" s="305"/>
      <c r="CY121" s="305"/>
      <c r="CZ121" s="863"/>
      <c r="DA121" s="116"/>
      <c r="DB121" s="116"/>
      <c r="DC121" s="116"/>
      <c r="DD121" s="116"/>
      <c r="DE121" s="116"/>
      <c r="DF121" s="116"/>
      <c r="DG121" s="116"/>
      <c r="DH121" s="116"/>
      <c r="DI121" s="116"/>
      <c r="DJ121" s="116"/>
      <c r="DK121" s="116"/>
      <c r="DL121" s="116"/>
      <c r="DM121" s="116"/>
      <c r="DN121" s="55"/>
      <c r="DO121" s="55"/>
    </row>
    <row r="122" spans="1:119" s="30" customFormat="1" ht="15.9" customHeight="1" thickBot="1">
      <c r="C122" s="890">
        <f>C29</f>
        <v>0.19</v>
      </c>
      <c r="D122" s="924" t="str">
        <f>D120&amp;".2"</f>
        <v>3.2</v>
      </c>
      <c r="E122" s="1058" t="str">
        <f>E63</f>
        <v>Sonstige Einnahmen (bitte benennen)</v>
      </c>
      <c r="F122" s="1059"/>
      <c r="G122" s="1084">
        <f>T29</f>
        <v>0</v>
      </c>
      <c r="H122" s="1085">
        <f>T63</f>
        <v>0</v>
      </c>
      <c r="I122" s="2145" t="str">
        <f>$CW$147</f>
        <v>Sonstige Einnahmen (bitte benennen)</v>
      </c>
      <c r="J122" s="2146"/>
      <c r="K122" s="2147"/>
      <c r="L122" s="1386"/>
      <c r="M122" s="2145" t="str">
        <f>$CW$147</f>
        <v>Sonstige Einnahmen (bitte benennen)</v>
      </c>
      <c r="N122" s="2146"/>
      <c r="O122" s="2147"/>
      <c r="P122" s="1386"/>
      <c r="Q122" s="2145" t="str">
        <f>$CW$147</f>
        <v>Sonstige Einnahmen (bitte benennen)</v>
      </c>
      <c r="R122" s="2146"/>
      <c r="S122" s="2147"/>
      <c r="T122" s="1386"/>
      <c r="U122" s="1522"/>
      <c r="V122" s="1523"/>
      <c r="W122" s="631"/>
      <c r="X122" s="37"/>
      <c r="Z122" s="37"/>
      <c r="AA122" s="37"/>
      <c r="AB122" s="37"/>
      <c r="AC122" s="37"/>
      <c r="AD122" s="37"/>
      <c r="AE122" s="37"/>
      <c r="AF122" s="37"/>
      <c r="AG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53"/>
      <c r="CU122" s="383"/>
      <c r="CV122" s="383"/>
      <c r="CW122" s="383">
        <f>IF(Basisdaten!$B$15="English",CY122,CX122)</f>
        <v>0</v>
      </c>
      <c r="CX122" s="884"/>
      <c r="CY122" s="884"/>
      <c r="CZ122" s="863"/>
      <c r="DA122" s="116"/>
      <c r="DB122" s="116"/>
      <c r="DC122" s="116"/>
      <c r="DD122" s="116"/>
      <c r="DE122" s="116"/>
      <c r="DF122" s="116"/>
      <c r="DG122" s="116"/>
      <c r="DH122" s="116"/>
      <c r="DI122" s="116"/>
      <c r="DJ122" s="116"/>
      <c r="DK122" s="116"/>
      <c r="DL122" s="116"/>
      <c r="DM122" s="116"/>
      <c r="DN122" s="55"/>
      <c r="DO122" s="55"/>
    </row>
    <row r="123" spans="1:119" s="30" customFormat="1" ht="15.9" customHeight="1" thickTop="1" thickBot="1">
      <c r="C123" s="37"/>
      <c r="D123" s="925"/>
      <c r="E123" s="1060" t="str">
        <f>E64</f>
        <v>Summe  Sonstige Einnahmen</v>
      </c>
      <c r="F123" s="1061"/>
      <c r="G123" s="1086">
        <f>T30</f>
        <v>0</v>
      </c>
      <c r="H123" s="1087">
        <f>T64</f>
        <v>0</v>
      </c>
      <c r="I123" s="2148" t="str">
        <f>E123</f>
        <v>Summe  Sonstige Einnahmen</v>
      </c>
      <c r="J123" s="2149"/>
      <c r="K123" s="2150"/>
      <c r="L123" s="2054">
        <f>L122+L121</f>
        <v>0</v>
      </c>
      <c r="M123" s="2148" t="str">
        <f>I123</f>
        <v>Summe  Sonstige Einnahmen</v>
      </c>
      <c r="N123" s="2149"/>
      <c r="O123" s="2150"/>
      <c r="P123" s="2054">
        <f>P122+P121</f>
        <v>0</v>
      </c>
      <c r="Q123" s="2148" t="str">
        <f>M123</f>
        <v>Summe  Sonstige Einnahmen</v>
      </c>
      <c r="R123" s="2149"/>
      <c r="S123" s="2150"/>
      <c r="T123" s="2054">
        <f>T122+T121</f>
        <v>0</v>
      </c>
      <c r="U123" s="1522"/>
      <c r="V123" s="1523"/>
      <c r="W123" s="926"/>
      <c r="X123" s="37"/>
      <c r="Z123" s="37"/>
      <c r="AA123" s="37"/>
      <c r="AB123" s="37"/>
      <c r="AC123" s="37"/>
      <c r="AD123" s="37"/>
      <c r="AE123" s="37"/>
      <c r="AF123" s="37"/>
      <c r="AG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53"/>
      <c r="CU123" s="383"/>
      <c r="CV123" s="383"/>
      <c r="CW123" s="383" t="str">
        <f>IF(Basisdaten!$B$15="English",CY123,CX123)</f>
        <v>Summe Nebenrechnung Gruppe1</v>
      </c>
      <c r="CX123" s="305" t="s">
        <v>330</v>
      </c>
      <c r="CY123" s="305" t="s">
        <v>333</v>
      </c>
      <c r="CZ123" s="863"/>
      <c r="DA123" s="116"/>
      <c r="DB123" s="116"/>
      <c r="DC123" s="116"/>
      <c r="DD123" s="116"/>
      <c r="DE123" s="116"/>
      <c r="DF123" s="116"/>
      <c r="DG123" s="116"/>
      <c r="DH123" s="116"/>
      <c r="DI123" s="116"/>
      <c r="DJ123" s="116"/>
      <c r="DK123" s="116"/>
      <c r="DL123" s="116"/>
      <c r="DM123" s="116"/>
      <c r="DN123" s="55"/>
      <c r="DO123" s="55"/>
    </row>
    <row r="124" spans="1:119" s="30" customFormat="1" ht="15.9" customHeight="1" thickTop="1">
      <c r="A124" s="336" t="s">
        <v>507</v>
      </c>
      <c r="C124" s="37"/>
      <c r="D124" s="925"/>
      <c r="E124" s="1062" t="str">
        <f>E65</f>
        <v>Gesamtumsätze</v>
      </c>
      <c r="F124" s="1063"/>
      <c r="G124" s="1088">
        <f>T31</f>
        <v>0</v>
      </c>
      <c r="H124" s="1089">
        <f>T65</f>
        <v>0</v>
      </c>
      <c r="I124" s="1032" t="str">
        <f>$CW$12</f>
        <v>Gesamtumsatz</v>
      </c>
      <c r="J124" s="1033"/>
      <c r="K124" s="1034"/>
      <c r="L124" s="1031">
        <f>L123+L118+L107</f>
        <v>0</v>
      </c>
      <c r="M124" s="1032" t="str">
        <f>I124</f>
        <v>Gesamtumsatz</v>
      </c>
      <c r="N124" s="1033"/>
      <c r="O124" s="1034"/>
      <c r="P124" s="1031">
        <f>P123+P118+P107</f>
        <v>0</v>
      </c>
      <c r="Q124" s="1032" t="str">
        <f>M124</f>
        <v>Gesamtumsatz</v>
      </c>
      <c r="R124" s="1033"/>
      <c r="S124" s="1033"/>
      <c r="T124" s="898">
        <f>T123+T118+T107</f>
        <v>0</v>
      </c>
      <c r="U124" s="1522"/>
      <c r="V124" s="1523"/>
      <c r="W124" s="926"/>
      <c r="X124" s="37"/>
      <c r="Y124" s="37"/>
      <c r="Z124" s="37"/>
      <c r="AA124" s="37"/>
      <c r="AB124" s="37"/>
      <c r="AC124" s="37"/>
      <c r="AD124" s="37"/>
      <c r="AE124" s="37"/>
      <c r="AF124" s="37"/>
      <c r="AG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53"/>
      <c r="CU124" s="383"/>
      <c r="CV124" s="383"/>
      <c r="CW124" s="383">
        <f>IF(Basisdaten!$B$15="English",CY124,CX124)</f>
        <v>0</v>
      </c>
      <c r="CX124" s="305"/>
      <c r="CY124" s="305"/>
      <c r="CZ124" s="863"/>
      <c r="DA124" s="116"/>
      <c r="DB124" s="116"/>
      <c r="DC124" s="116"/>
      <c r="DD124" s="116"/>
      <c r="DE124" s="116"/>
      <c r="DF124" s="116"/>
      <c r="DG124" s="116"/>
      <c r="DH124" s="116"/>
      <c r="DI124" s="116"/>
      <c r="DJ124" s="116"/>
      <c r="DK124" s="116"/>
      <c r="DL124" s="116"/>
      <c r="DM124" s="116"/>
      <c r="DN124" s="55"/>
      <c r="DO124" s="55"/>
    </row>
    <row r="125" spans="1:119" ht="15.9" customHeight="1">
      <c r="B125" s="30"/>
      <c r="C125" s="71"/>
      <c r="E125" s="1064"/>
      <c r="F125" s="1065" t="str">
        <f>$CW$141</f>
        <v>davon Zukauf</v>
      </c>
      <c r="G125" s="2051">
        <f>G108+G119</f>
        <v>0</v>
      </c>
      <c r="H125" s="2052">
        <f>T60+T49</f>
        <v>0</v>
      </c>
      <c r="I125" s="1036"/>
      <c r="J125" s="1037"/>
      <c r="K125" s="1038" t="str">
        <f>$F$125</f>
        <v>davon Zukauf</v>
      </c>
      <c r="L125" s="2053">
        <f>L119+L108</f>
        <v>0</v>
      </c>
      <c r="M125" s="1036"/>
      <c r="N125" s="1037"/>
      <c r="O125" s="1039" t="str">
        <f>K125</f>
        <v>davon Zukauf</v>
      </c>
      <c r="P125" s="2053">
        <f>P119+P108</f>
        <v>0</v>
      </c>
      <c r="Q125" s="1036"/>
      <c r="R125" s="1037"/>
      <c r="S125" s="1038" t="str">
        <f>O125</f>
        <v>davon Zukauf</v>
      </c>
      <c r="T125" s="2053">
        <f>T119++T108</f>
        <v>0</v>
      </c>
      <c r="V125" s="268"/>
      <c r="CW125" s="383" t="str">
        <f>IF(Basisdaten!$B$15="English",CY125,CX125)</f>
        <v>Gesamtumsätze</v>
      </c>
      <c r="CX125" s="487" t="s">
        <v>238</v>
      </c>
      <c r="CY125" s="487" t="s">
        <v>240</v>
      </c>
      <c r="CZ125" s="929"/>
    </row>
    <row r="126" spans="1:119" s="30" customFormat="1" ht="15.9" customHeight="1">
      <c r="C126" s="37"/>
      <c r="D126" s="927"/>
      <c r="E126" s="2162" t="str">
        <f>E67</f>
        <v>Gesamtumsätze akkumuliert</v>
      </c>
      <c r="F126" s="2163"/>
      <c r="G126" s="1090">
        <f>G124</f>
        <v>0</v>
      </c>
      <c r="H126" s="1123">
        <f>G126+H124</f>
        <v>0</v>
      </c>
      <c r="K126" s="1261" t="str">
        <f>E126</f>
        <v>Gesamtumsätze akkumuliert</v>
      </c>
      <c r="L126" s="1030">
        <f>L124+H126</f>
        <v>0</v>
      </c>
      <c r="N126" s="964"/>
      <c r="O126" s="1261" t="str">
        <f>K126</f>
        <v>Gesamtumsätze akkumuliert</v>
      </c>
      <c r="P126" s="1041">
        <f>P124+L126</f>
        <v>0</v>
      </c>
      <c r="R126" s="1040"/>
      <c r="S126" s="1261" t="str">
        <f>O126</f>
        <v>Gesamtumsätze akkumuliert</v>
      </c>
      <c r="T126" s="928">
        <f>P126+T124</f>
        <v>0</v>
      </c>
      <c r="U126" s="1522"/>
      <c r="V126" s="1523"/>
      <c r="W126" s="926"/>
      <c r="X126" s="37"/>
      <c r="Y126" s="37"/>
      <c r="Z126" s="37"/>
      <c r="AA126" s="37"/>
      <c r="AB126" s="37"/>
      <c r="AC126" s="37"/>
      <c r="AD126" s="37"/>
      <c r="AE126" s="37"/>
      <c r="AF126" s="37"/>
      <c r="AG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53"/>
      <c r="CU126" s="383"/>
      <c r="CV126" s="383"/>
      <c r="CW126" s="383">
        <f>IF(Basisdaten!$B$15="English",CY126,CX126)</f>
        <v>0</v>
      </c>
      <c r="CX126" s="305"/>
      <c r="CY126" s="305"/>
      <c r="CZ126" s="863"/>
      <c r="DA126" s="116"/>
      <c r="DB126" s="116"/>
      <c r="DC126" s="116"/>
      <c r="DD126" s="116"/>
      <c r="DE126" s="116"/>
      <c r="DF126" s="116"/>
      <c r="DG126" s="116"/>
      <c r="DH126" s="116"/>
      <c r="DI126" s="116"/>
      <c r="DJ126" s="116"/>
      <c r="DK126" s="116"/>
      <c r="DL126" s="116"/>
      <c r="DM126" s="116"/>
      <c r="DN126" s="55"/>
      <c r="DO126" s="55"/>
    </row>
    <row r="127" spans="1:119" ht="15" customHeight="1">
      <c r="C127" s="71"/>
      <c r="I127" s="2195" t="str">
        <f>IF(AND(L124&gt;Basisdaten!$M$48,Basisdaten!$G$15=Basisdaten!$U$34),$CW$41&amp;$CW$26&amp;Basisdaten!$U$34&amp;" !","")</f>
        <v/>
      </c>
      <c r="J127" s="2195"/>
      <c r="K127" s="2195"/>
      <c r="L127" s="2195"/>
      <c r="M127" s="2195" t="str">
        <f>IF(AND(P124&gt;Basisdaten!$M$48,Basisdaten!$G$15=Basisdaten!$U$34),$CW$41&amp;$CW$26&amp;Basisdaten!$U$34&amp;" !","")</f>
        <v/>
      </c>
      <c r="N127" s="2195"/>
      <c r="O127" s="2195"/>
      <c r="P127" s="2195"/>
      <c r="Q127" s="2195" t="str">
        <f>IF(AND(T124&gt;Basisdaten!$M$48,Basisdaten!$G$15=Basisdaten!$U$34),$CW$41&amp;$CW$26&amp;Basisdaten!$U$34&amp;" !","")</f>
        <v/>
      </c>
      <c r="R127" s="2195"/>
      <c r="S127" s="2195"/>
      <c r="T127" s="2195"/>
      <c r="V127" s="268"/>
      <c r="AB127" s="71"/>
      <c r="AC127" s="71"/>
      <c r="CW127" s="383" t="str">
        <f>IF(Basisdaten!$B$15="English",CY127,CX127)</f>
        <v>Gesamtumsätze akkumuliert</v>
      </c>
      <c r="CX127" s="487" t="s">
        <v>239</v>
      </c>
      <c r="CY127" s="487" t="s">
        <v>241</v>
      </c>
      <c r="CZ127" s="929"/>
    </row>
    <row r="128" spans="1:119" s="88" customFormat="1" ht="17.399999999999999">
      <c r="G128" s="88">
        <f>T35</f>
        <v>0</v>
      </c>
      <c r="H128" s="1212" t="str">
        <f>T68</f>
        <v/>
      </c>
      <c r="I128" s="1208"/>
      <c r="L128" s="311" t="str">
        <f>IF(Basisdaten!$G$15=Basisdaten!$U$22,"",IF(AND($L$124&gt;Basisdaten!$M$48,'2 Umsatz|Sales'!$P$124&lt;=Basisdaten!$M$48,'2 Umsatz|Sales'!H124&gt;Basisdaten!$M$48),Basisdaten!U22,IF(AND('2 Umsatz|Sales'!$L$124&gt;Basisdaten!$M$48,'2 Umsatz|Sales'!$P$124&gt;Basisdaten!$M$48),Basisdaten!$U$22,IF(AND('2 Umsatz|Sales'!$L$124&lt;=Basisdaten!$H$35,'2 Umsatz|Sales'!$P$124&lt;Basisdaten!$R$48,'2 Umsatz|Sales'!$T$124&lt;=Basisdaten!$M$48),Basisdaten!$U$34,Basisdaten!$U$34))))</f>
        <v/>
      </c>
      <c r="M128" s="311"/>
      <c r="N128" s="311"/>
      <c r="O128" s="311"/>
      <c r="P128" s="311" t="str">
        <f>IF(Basisdaten!$G$15=Basisdaten!$U$22,"",IF(AND('2 Umsatz|Sales'!$P$124&gt;Basisdaten!$M$48,'2 Umsatz|Sales'!$T$124&lt;=Basisdaten!$M$48),Basisdaten!$U$34,IF(AND('2 Umsatz|Sales'!$P$124&gt;Basisdaten!$M$48,'2 Umsatz|Sales'!$T$124&gt;Basisdaten!$M$48),Basisdaten!$U$22,IF(AND('2 Umsatz|Sales'!$P$124&lt;=Basisdaten!$H$35,'2 Umsatz|Sales'!$T$124&lt;Basisdaten!$R$48),Basisdaten!$U$34,Basisdaten!$U$34))))</f>
        <v/>
      </c>
      <c r="Q128" s="311"/>
      <c r="R128" s="311"/>
      <c r="S128" s="311"/>
      <c r="T128" s="311" t="str">
        <f>IF(Basisdaten!$G$15=Basisdaten!$U$22,"",IF(AND('2 Umsatz|Sales'!$T$124&lt;=Basisdaten!$M$48,'2 Umsatz|Sales'!$T$124&lt;Basisdaten!$R$48),Basisdaten!$U$34,Basisdaten!$U$22))</f>
        <v/>
      </c>
      <c r="U128" s="249"/>
      <c r="V128" s="268"/>
      <c r="W128" s="72"/>
      <c r="X128" s="45"/>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c r="BL128" s="69"/>
      <c r="BM128" s="69"/>
      <c r="BN128" s="69"/>
      <c r="BO128" s="69"/>
      <c r="BP128" s="69"/>
      <c r="BQ128" s="69"/>
      <c r="BR128" s="69"/>
      <c r="BS128" s="69"/>
      <c r="BT128" s="69"/>
      <c r="BU128" s="69"/>
      <c r="BV128" s="69"/>
      <c r="BW128" s="69"/>
      <c r="BX128" s="69"/>
      <c r="BY128" s="69"/>
      <c r="BZ128" s="69"/>
      <c r="CA128" s="69"/>
      <c r="CB128" s="69"/>
      <c r="CC128" s="69"/>
      <c r="CD128" s="69"/>
      <c r="CE128" s="69"/>
      <c r="CF128" s="69"/>
      <c r="CG128" s="69"/>
      <c r="CH128" s="69"/>
      <c r="CI128" s="69"/>
      <c r="CJ128" s="69"/>
      <c r="CK128" s="69"/>
      <c r="CL128" s="69"/>
      <c r="CM128" s="69"/>
      <c r="CN128" s="69"/>
      <c r="CO128" s="69"/>
      <c r="CP128" s="69"/>
      <c r="CQ128" s="69"/>
      <c r="CR128" s="69"/>
      <c r="CS128" s="69"/>
      <c r="CT128" s="120"/>
      <c r="CU128" s="620"/>
      <c r="CV128" s="620"/>
      <c r="CW128" s="953" t="str">
        <f>IF(Basisdaten!$B$15="English",CY128,CX128)</f>
        <v>Summe Wahl MwSt</v>
      </c>
      <c r="CX128" s="948" t="str">
        <f>"Summe "&amp;CX5</f>
        <v>Summe Wahl MwSt</v>
      </c>
      <c r="CY128" s="948" t="str">
        <f>"Sum "&amp;CY5</f>
        <v>Sum select VAT</v>
      </c>
      <c r="CZ128" s="1213"/>
    </row>
    <row r="129" spans="3:119" ht="15" customHeight="1">
      <c r="C129" s="71"/>
      <c r="V129" s="71"/>
      <c r="Y129" s="71"/>
      <c r="AJ129" s="71"/>
      <c r="AK129" s="71"/>
      <c r="AL129" s="71"/>
      <c r="AM129" s="71"/>
      <c r="AN129" s="71"/>
      <c r="AO129" s="71"/>
      <c r="CW129" s="383">
        <f>IF(Basisdaten!$B$15="English",CY129,CX129)</f>
        <v>0</v>
      </c>
      <c r="CZ129" s="929"/>
    </row>
    <row r="130" spans="3:119">
      <c r="C130" s="71"/>
      <c r="V130" s="71"/>
      <c r="X130" s="1124"/>
      <c r="Y130" s="71"/>
      <c r="AJ130" s="71"/>
      <c r="AK130" s="71"/>
      <c r="AL130" s="71"/>
      <c r="AM130" s="71"/>
      <c r="AN130" s="71"/>
      <c r="AO130" s="71"/>
      <c r="CW130" s="383">
        <f>IF(Basisdaten!$B$15="English",CY130,CX130)</f>
        <v>0</v>
      </c>
      <c r="CX130" s="305"/>
      <c r="CY130" s="305"/>
      <c r="CZ130" s="929"/>
    </row>
    <row r="131" spans="3:119">
      <c r="C131" s="71"/>
      <c r="I131" s="1124"/>
      <c r="V131" s="71"/>
      <c r="Y131" s="71"/>
      <c r="AJ131" s="71"/>
      <c r="AK131" s="71"/>
      <c r="AL131" s="71"/>
      <c r="AM131" s="71"/>
      <c r="AN131" s="71"/>
      <c r="AO131" s="71"/>
      <c r="CW131" s="383" t="str">
        <f>IF(Basisdaten!$B$15="English",CY131,CX131)</f>
        <v>Einnahmeart</v>
      </c>
      <c r="CX131" s="305" t="s">
        <v>40</v>
      </c>
      <c r="CY131" s="305" t="s">
        <v>242</v>
      </c>
      <c r="CZ131" s="929"/>
    </row>
    <row r="132" spans="3:119">
      <c r="C132" s="71"/>
      <c r="L132" s="125"/>
      <c r="M132" s="125"/>
      <c r="V132" s="71"/>
      <c r="Y132" s="71"/>
      <c r="AJ132" s="71"/>
      <c r="AK132" s="71"/>
      <c r="AL132" s="71"/>
      <c r="AM132" s="71"/>
      <c r="AN132" s="71"/>
      <c r="AO132" s="71"/>
      <c r="CW132" s="383" t="str">
        <f>IF(Basisdaten!$B$15="English",CY132,CX132)</f>
        <v>Auswahl</v>
      </c>
      <c r="CX132" s="487" t="s">
        <v>114</v>
      </c>
      <c r="CY132" s="487" t="s">
        <v>243</v>
      </c>
      <c r="CZ132" s="929"/>
    </row>
    <row r="133" spans="3:119">
      <c r="C133" s="71"/>
      <c r="L133" s="125"/>
      <c r="M133" s="125"/>
      <c r="U133" s="247"/>
      <c r="V133" s="71"/>
      <c r="Y133" s="71"/>
      <c r="CW133" s="383" t="str">
        <f>IF(Basisdaten!$B$15="English",CY133,CX133)</f>
        <v>Umsatz Produktgruppe 1</v>
      </c>
      <c r="CX133" s="305" t="s">
        <v>324</v>
      </c>
      <c r="CY133" s="305" t="s">
        <v>325</v>
      </c>
      <c r="CZ133" s="929"/>
    </row>
    <row r="134" spans="3:119" s="68" customFormat="1" ht="22.2">
      <c r="E134" s="156" t="str">
        <f>CW136</f>
        <v>Auswertungen nach Steuern und Geschäftsart</v>
      </c>
      <c r="N134" s="71"/>
      <c r="U134" s="247"/>
      <c r="V134" s="247"/>
      <c r="CT134" s="70"/>
      <c r="CU134" s="161"/>
      <c r="CV134" s="161"/>
      <c r="CW134" s="383" t="str">
        <f>IF(Basisdaten!$B$15="English",CY134,CX134)</f>
        <v>Umsätze aus Nebenrechnung Gruppe 1</v>
      </c>
      <c r="CX134" s="305" t="s">
        <v>328</v>
      </c>
      <c r="CY134" s="305" t="s">
        <v>331</v>
      </c>
      <c r="CZ134" s="930"/>
      <c r="DA134" s="219"/>
      <c r="DB134" s="219"/>
      <c r="DC134" s="219"/>
      <c r="DD134" s="219"/>
      <c r="DE134" s="219"/>
      <c r="DF134" s="219"/>
      <c r="DG134" s="219"/>
      <c r="DH134" s="219"/>
      <c r="DI134" s="219"/>
      <c r="DJ134" s="219"/>
      <c r="DK134" s="219"/>
      <c r="DL134" s="219"/>
      <c r="DM134" s="219"/>
      <c r="DN134" s="69"/>
      <c r="DO134" s="69"/>
    </row>
    <row r="135" spans="3:119" s="68" customFormat="1">
      <c r="U135" s="247"/>
      <c r="V135" s="247"/>
      <c r="CT135" s="70"/>
      <c r="CU135" s="161"/>
      <c r="CV135" s="161"/>
      <c r="CW135" s="383" t="str">
        <f>IF(Basisdaten!$B$15="English",CY135,CX135)</f>
        <v>Umsätze aus Nebenrechnung Gruppe 2</v>
      </c>
      <c r="CX135" s="305" t="s">
        <v>329</v>
      </c>
      <c r="CY135" s="305" t="s">
        <v>332</v>
      </c>
      <c r="CZ135" s="929"/>
      <c r="DA135" s="107"/>
      <c r="DB135" s="107"/>
      <c r="DC135" s="107"/>
      <c r="DD135" s="107"/>
      <c r="DE135" s="107"/>
      <c r="DF135" s="107"/>
      <c r="DG135" s="107"/>
      <c r="DH135" s="107"/>
      <c r="DI135" s="107"/>
      <c r="DJ135" s="107"/>
      <c r="DK135" s="107"/>
      <c r="DL135" s="107"/>
      <c r="DM135" s="107"/>
      <c r="DN135" s="69"/>
      <c r="DO135" s="69"/>
    </row>
    <row r="136" spans="3:119" s="68" customFormat="1" ht="18" customHeight="1">
      <c r="E136" s="611" t="str">
        <f ca="1">CW71</f>
        <v>2a-1.1 Steueraufkommen für die Monate des Jahres 2026</v>
      </c>
      <c r="F136" s="71"/>
      <c r="G136" s="71"/>
      <c r="H136" s="71"/>
      <c r="I136" s="71"/>
      <c r="J136" s="71"/>
      <c r="K136" s="71"/>
      <c r="L136" s="71"/>
      <c r="M136" s="71"/>
      <c r="N136" s="71"/>
      <c r="O136" s="71"/>
      <c r="P136" s="71"/>
      <c r="Q136" s="71"/>
      <c r="R136" s="71"/>
      <c r="S136" s="71"/>
      <c r="T136" s="73"/>
      <c r="U136" s="247"/>
      <c r="V136" s="247"/>
      <c r="X136" s="73"/>
      <c r="CT136" s="70"/>
      <c r="CU136" s="161"/>
      <c r="CV136" s="161"/>
      <c r="CW136" s="383" t="str">
        <f>IF(Basisdaten!$B$15="English",CY136,CX136)</f>
        <v>Auswertungen nach Steuern und Geschäftsart</v>
      </c>
      <c r="CX136" s="305" t="s">
        <v>1005</v>
      </c>
      <c r="CY136" s="305" t="s">
        <v>749</v>
      </c>
      <c r="CZ136" s="929"/>
      <c r="DA136" s="107"/>
      <c r="DB136" s="107"/>
      <c r="DC136" s="107"/>
      <c r="DD136" s="107"/>
      <c r="DE136" s="107"/>
      <c r="DF136" s="107"/>
      <c r="DG136" s="107"/>
      <c r="DH136" s="107"/>
      <c r="DI136" s="107"/>
      <c r="DJ136" s="107"/>
      <c r="DK136" s="107"/>
      <c r="DL136" s="107"/>
      <c r="DM136" s="107"/>
      <c r="DN136" s="69"/>
      <c r="DO136" s="69"/>
    </row>
    <row r="137" spans="3:119" s="30" customFormat="1" ht="18" customHeight="1">
      <c r="D137" s="150"/>
      <c r="E137" s="150"/>
      <c r="F137" s="71"/>
      <c r="G137" s="71"/>
      <c r="H137" s="71"/>
      <c r="I137" s="71"/>
      <c r="J137" s="71"/>
      <c r="K137" s="71"/>
      <c r="L137" s="71"/>
      <c r="M137" s="71"/>
      <c r="N137" s="71"/>
      <c r="O137" s="71"/>
      <c r="P137" s="71"/>
      <c r="Q137" s="71"/>
      <c r="R137" s="71"/>
      <c r="S137" s="71"/>
      <c r="T137" s="68"/>
      <c r="U137" s="247"/>
      <c r="V137" s="247"/>
      <c r="W137" s="68"/>
      <c r="X137" s="68"/>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53"/>
      <c r="CU137" s="383"/>
      <c r="CV137" s="383"/>
      <c r="CW137" s="383">
        <f>IF(Basisdaten!$B$15="English",CY137,CX137)</f>
        <v>0</v>
      </c>
      <c r="CX137" s="305"/>
      <c r="CY137" s="305"/>
      <c r="CZ137" s="216"/>
      <c r="DA137" s="68"/>
      <c r="DB137" s="68"/>
      <c r="DC137" s="68"/>
      <c r="DD137" s="68"/>
      <c r="DE137" s="68"/>
      <c r="DF137" s="68"/>
      <c r="DG137" s="68"/>
      <c r="DH137" s="68"/>
      <c r="DI137" s="68"/>
      <c r="DJ137" s="68"/>
      <c r="DK137" s="68"/>
      <c r="DL137" s="68"/>
      <c r="DM137" s="68"/>
    </row>
    <row r="138" spans="3:119" ht="15.9" customHeight="1">
      <c r="D138" s="68"/>
      <c r="E138" s="68"/>
      <c r="F138" s="931"/>
      <c r="G138" s="1423" t="str">
        <f>CW138</f>
        <v>MwST-Satz</v>
      </c>
      <c r="H138" s="932" t="str">
        <f t="shared" ref="H138:T138" si="45">H4</f>
        <v>Jan.</v>
      </c>
      <c r="I138" s="932" t="str">
        <f t="shared" si="45"/>
        <v>Feb</v>
      </c>
      <c r="J138" s="932" t="str">
        <f t="shared" si="45"/>
        <v>Mrz</v>
      </c>
      <c r="K138" s="932" t="str">
        <f t="shared" si="45"/>
        <v>Apr</v>
      </c>
      <c r="L138" s="932" t="str">
        <f t="shared" si="45"/>
        <v>Mai</v>
      </c>
      <c r="M138" s="932" t="str">
        <f t="shared" si="45"/>
        <v>Jun</v>
      </c>
      <c r="N138" s="932" t="str">
        <f t="shared" si="45"/>
        <v>Jul</v>
      </c>
      <c r="O138" s="932" t="str">
        <f t="shared" si="45"/>
        <v>Aug</v>
      </c>
      <c r="P138" s="932" t="str">
        <f t="shared" si="45"/>
        <v>Sep</v>
      </c>
      <c r="Q138" s="932" t="str">
        <f t="shared" si="45"/>
        <v>Okt</v>
      </c>
      <c r="R138" s="932" t="str">
        <f t="shared" si="45"/>
        <v>Nov</v>
      </c>
      <c r="S138" s="932" t="str">
        <f t="shared" si="45"/>
        <v>Dez</v>
      </c>
      <c r="T138" s="932" t="str">
        <f t="shared" ca="1" si="45"/>
        <v>Jahr 2026</v>
      </c>
      <c r="U138" s="247"/>
      <c r="V138" s="247"/>
      <c r="W138" s="68"/>
      <c r="X138" s="68"/>
      <c r="CW138" s="383" t="str">
        <f>IF(Basisdaten!$B$15="English",CY138,CX138)</f>
        <v>MwST-Satz</v>
      </c>
      <c r="CX138" s="305" t="s">
        <v>863</v>
      </c>
      <c r="CY138" s="305" t="s">
        <v>864</v>
      </c>
      <c r="CZ138" s="216"/>
      <c r="DA138" s="68"/>
      <c r="DB138" s="68"/>
      <c r="DC138" s="68"/>
      <c r="DD138" s="68"/>
      <c r="DE138" s="68"/>
      <c r="DF138" s="68"/>
      <c r="DG138" s="68"/>
      <c r="DH138" s="68"/>
      <c r="DI138" s="68"/>
      <c r="DJ138" s="68"/>
      <c r="DK138" s="68"/>
      <c r="DL138" s="68"/>
      <c r="DM138" s="68"/>
      <c r="DN138" s="71"/>
      <c r="DO138" s="71"/>
    </row>
    <row r="139" spans="3:119" ht="15.9" customHeight="1">
      <c r="E139" s="2215" t="str">
        <f>E61</f>
        <v>Sonstige Einnahmen</v>
      </c>
      <c r="F139" s="2215"/>
      <c r="G139" s="1147">
        <f>IF($CT$3=0,0,MwSt_7)</f>
        <v>7.0000000000000007E-2</v>
      </c>
      <c r="H139" s="933">
        <f t="shared" ref="H139:S139" si="46">IF($C$28=MwSt_7,H29*$G$139,0)+IF($C$29=MwSt_7,H30*$G$139,0)</f>
        <v>0</v>
      </c>
      <c r="I139" s="933">
        <f t="shared" si="46"/>
        <v>0</v>
      </c>
      <c r="J139" s="933">
        <f t="shared" si="46"/>
        <v>0</v>
      </c>
      <c r="K139" s="933">
        <f t="shared" si="46"/>
        <v>0</v>
      </c>
      <c r="L139" s="933">
        <f t="shared" si="46"/>
        <v>0</v>
      </c>
      <c r="M139" s="933">
        <f t="shared" si="46"/>
        <v>0</v>
      </c>
      <c r="N139" s="933">
        <f t="shared" si="46"/>
        <v>0</v>
      </c>
      <c r="O139" s="933">
        <f t="shared" si="46"/>
        <v>0</v>
      </c>
      <c r="P139" s="933">
        <f t="shared" si="46"/>
        <v>0</v>
      </c>
      <c r="Q139" s="933">
        <f t="shared" si="46"/>
        <v>0</v>
      </c>
      <c r="R139" s="933">
        <f t="shared" si="46"/>
        <v>0</v>
      </c>
      <c r="S139" s="933">
        <f t="shared" si="46"/>
        <v>0</v>
      </c>
      <c r="T139" s="933">
        <f>SUM(H139:S139)</f>
        <v>0</v>
      </c>
      <c r="U139" s="247"/>
      <c r="V139" s="247"/>
      <c r="W139" s="68"/>
      <c r="X139" s="68"/>
      <c r="CW139" s="383" t="str">
        <f>IF(Basisdaten!$B$15="English",CY139,CX139)</f>
        <v>Umsatz Produktgruppe 2</v>
      </c>
      <c r="CX139" s="305" t="s">
        <v>326</v>
      </c>
      <c r="CY139" s="305" t="s">
        <v>327</v>
      </c>
      <c r="CZ139" s="216"/>
      <c r="DA139" s="68"/>
      <c r="DB139" s="68"/>
      <c r="DC139" s="68"/>
      <c r="DD139" s="68"/>
      <c r="DE139" s="68"/>
      <c r="DF139" s="68"/>
      <c r="DG139" s="68"/>
      <c r="DH139" s="68"/>
      <c r="DI139" s="68"/>
      <c r="DJ139" s="68"/>
      <c r="DK139" s="68"/>
      <c r="DL139" s="68"/>
      <c r="DM139" s="68"/>
      <c r="DN139" s="71"/>
      <c r="DO139" s="71"/>
    </row>
    <row r="140" spans="3:119" ht="15.9" customHeight="1">
      <c r="E140" s="2215"/>
      <c r="F140" s="2215"/>
      <c r="G140" s="1148">
        <f>IF($CT$3=0,0,MwSt_19)</f>
        <v>0.19</v>
      </c>
      <c r="H140" s="933">
        <f t="shared" ref="H140:T140" si="47">IF($C$28=MwSt_19,H28*$G$140,0)+IF($C$29=MwSt_19,H29*$G$140,0)</f>
        <v>0</v>
      </c>
      <c r="I140" s="933">
        <f t="shared" si="47"/>
        <v>0</v>
      </c>
      <c r="J140" s="933">
        <f t="shared" si="47"/>
        <v>0</v>
      </c>
      <c r="K140" s="933">
        <f t="shared" si="47"/>
        <v>0</v>
      </c>
      <c r="L140" s="933">
        <f t="shared" si="47"/>
        <v>0</v>
      </c>
      <c r="M140" s="933">
        <f t="shared" si="47"/>
        <v>0</v>
      </c>
      <c r="N140" s="933">
        <f t="shared" si="47"/>
        <v>0</v>
      </c>
      <c r="O140" s="933">
        <f t="shared" si="47"/>
        <v>0</v>
      </c>
      <c r="P140" s="933">
        <f t="shared" si="47"/>
        <v>0</v>
      </c>
      <c r="Q140" s="933">
        <f t="shared" si="47"/>
        <v>0</v>
      </c>
      <c r="R140" s="933">
        <f t="shared" si="47"/>
        <v>0</v>
      </c>
      <c r="S140" s="933">
        <f t="shared" si="47"/>
        <v>0</v>
      </c>
      <c r="T140" s="391">
        <f t="shared" si="47"/>
        <v>0</v>
      </c>
      <c r="U140" s="247"/>
      <c r="V140" s="247"/>
      <c r="W140" s="68"/>
      <c r="X140" s="68"/>
      <c r="CW140" s="383" t="str">
        <f>IF(Basisdaten!$B$15="English",CY140,CX140)</f>
        <v>Summe Umsatz Produktgrppe 2</v>
      </c>
      <c r="CX140" s="305" t="s">
        <v>336</v>
      </c>
      <c r="CY140" s="305" t="s">
        <v>337</v>
      </c>
      <c r="CZ140" s="216"/>
      <c r="DA140" s="68"/>
      <c r="DB140" s="68"/>
      <c r="DC140" s="68"/>
      <c r="DD140" s="68"/>
      <c r="DE140" s="68"/>
      <c r="DF140" s="68"/>
      <c r="DG140" s="68"/>
      <c r="DH140" s="68"/>
      <c r="DI140" s="68"/>
      <c r="DJ140" s="68"/>
      <c r="DK140" s="68"/>
      <c r="DL140" s="68"/>
      <c r="DM140" s="68"/>
      <c r="DN140" s="71"/>
      <c r="DO140" s="71"/>
    </row>
    <row r="141" spans="3:119" ht="15.9" customHeight="1">
      <c r="E141" s="2211" t="str">
        <f>CW106</f>
        <v>Gesamtumsätze</v>
      </c>
      <c r="F141" s="2212"/>
      <c r="G141" s="1147">
        <f>G139</f>
        <v>7.0000000000000007E-2</v>
      </c>
      <c r="H141" s="933">
        <f t="shared" ref="H141:S141" si="48">IF($C$6=MwSt_7,H14*$G$141,0)+IF($C$17=MwSt_7,H25*$G$141,0)</f>
        <v>0</v>
      </c>
      <c r="I141" s="933">
        <f t="shared" si="48"/>
        <v>0</v>
      </c>
      <c r="J141" s="933">
        <f t="shared" si="48"/>
        <v>0</v>
      </c>
      <c r="K141" s="933">
        <f t="shared" si="48"/>
        <v>0</v>
      </c>
      <c r="L141" s="933">
        <f t="shared" si="48"/>
        <v>0</v>
      </c>
      <c r="M141" s="933">
        <f t="shared" si="48"/>
        <v>0</v>
      </c>
      <c r="N141" s="933">
        <f t="shared" si="48"/>
        <v>0</v>
      </c>
      <c r="O141" s="933">
        <f t="shared" si="48"/>
        <v>0</v>
      </c>
      <c r="P141" s="933">
        <f t="shared" si="48"/>
        <v>0</v>
      </c>
      <c r="Q141" s="933">
        <f t="shared" si="48"/>
        <v>0</v>
      </c>
      <c r="R141" s="933">
        <f t="shared" si="48"/>
        <v>0</v>
      </c>
      <c r="S141" s="933">
        <f t="shared" si="48"/>
        <v>0</v>
      </c>
      <c r="T141" s="933">
        <f>T139+SUM(H141:S141)</f>
        <v>0</v>
      </c>
      <c r="U141" s="247"/>
      <c r="V141" s="247"/>
      <c r="W141" s="68"/>
      <c r="X141" s="68"/>
      <c r="CW141" s="383" t="str">
        <f>IF(Basisdaten!$B$15="English",CY141,CX141)</f>
        <v>davon Zukauf</v>
      </c>
      <c r="CX141" s="969" t="s">
        <v>763</v>
      </c>
      <c r="CY141" s="305" t="s">
        <v>914</v>
      </c>
      <c r="CZ141" s="216"/>
      <c r="DA141" s="68"/>
      <c r="DB141" s="68"/>
      <c r="DC141" s="68"/>
      <c r="DD141" s="68"/>
      <c r="DE141" s="68"/>
      <c r="DF141" s="68"/>
      <c r="DG141" s="68"/>
      <c r="DH141" s="68"/>
      <c r="DI141" s="68"/>
      <c r="DJ141" s="68"/>
      <c r="DK141" s="68"/>
      <c r="DL141" s="68"/>
      <c r="DM141" s="68"/>
      <c r="DN141" s="71"/>
      <c r="DO141" s="71"/>
    </row>
    <row r="142" spans="3:119" ht="15.9" customHeight="1">
      <c r="E142" s="2213"/>
      <c r="F142" s="2214"/>
      <c r="G142" s="1148">
        <f>G140</f>
        <v>0.19</v>
      </c>
      <c r="H142" s="391">
        <f t="shared" ref="H142:S142" si="49">IF(MwSt_19=$C$6,H14*$G142,0)+IF(MwSt_19=$C$17,H25*$G142,0)</f>
        <v>0</v>
      </c>
      <c r="I142" s="391">
        <f t="shared" si="49"/>
        <v>0</v>
      </c>
      <c r="J142" s="391">
        <f t="shared" si="49"/>
        <v>0</v>
      </c>
      <c r="K142" s="391">
        <f t="shared" si="49"/>
        <v>0</v>
      </c>
      <c r="L142" s="391">
        <f t="shared" si="49"/>
        <v>0</v>
      </c>
      <c r="M142" s="391">
        <f t="shared" si="49"/>
        <v>0</v>
      </c>
      <c r="N142" s="391">
        <f t="shared" si="49"/>
        <v>0</v>
      </c>
      <c r="O142" s="391">
        <f t="shared" si="49"/>
        <v>0</v>
      </c>
      <c r="P142" s="391">
        <f t="shared" si="49"/>
        <v>0</v>
      </c>
      <c r="Q142" s="391">
        <f t="shared" si="49"/>
        <v>0</v>
      </c>
      <c r="R142" s="391">
        <f t="shared" si="49"/>
        <v>0</v>
      </c>
      <c r="S142" s="391">
        <f t="shared" si="49"/>
        <v>0</v>
      </c>
      <c r="T142" s="391">
        <f>T$140+IF(MwSt_19=$C$6,T14*$G142,0)+IF(MwSt_19=$C$17,T25*$G142,0)</f>
        <v>0</v>
      </c>
      <c r="W142" s="68"/>
      <c r="CW142" s="383">
        <f>IF(Basisdaten!$B$15="English",CY142,CX142)</f>
        <v>0</v>
      </c>
      <c r="CX142" s="305"/>
      <c r="CY142" s="305"/>
      <c r="CZ142" s="216"/>
      <c r="DA142" s="68"/>
      <c r="DB142" s="68"/>
      <c r="DC142" s="68"/>
      <c r="DD142" s="68"/>
      <c r="DE142" s="68"/>
      <c r="DF142" s="68"/>
      <c r="DG142" s="68"/>
      <c r="DH142" s="68"/>
      <c r="DI142" s="68"/>
      <c r="DJ142" s="68"/>
      <c r="DK142" s="68"/>
      <c r="DL142" s="68"/>
      <c r="DM142" s="68"/>
      <c r="DN142" s="71"/>
      <c r="DO142" s="71"/>
    </row>
    <row r="143" spans="3:119" ht="15.9" customHeight="1">
      <c r="G143" s="1424" t="str">
        <f>CW10</f>
        <v>Summe</v>
      </c>
      <c r="H143" s="419">
        <f>SUM(H139:H142)</f>
        <v>0</v>
      </c>
      <c r="I143" s="419">
        <f t="shared" ref="I143:S143" si="50">SUM(I139:I142)</f>
        <v>0</v>
      </c>
      <c r="J143" s="419">
        <f t="shared" si="50"/>
        <v>0</v>
      </c>
      <c r="K143" s="419">
        <f t="shared" si="50"/>
        <v>0</v>
      </c>
      <c r="L143" s="419">
        <f t="shared" si="50"/>
        <v>0</v>
      </c>
      <c r="M143" s="419">
        <f t="shared" si="50"/>
        <v>0</v>
      </c>
      <c r="N143" s="419">
        <f t="shared" si="50"/>
        <v>0</v>
      </c>
      <c r="O143" s="419">
        <f t="shared" si="50"/>
        <v>0</v>
      </c>
      <c r="P143" s="419">
        <f t="shared" si="50"/>
        <v>0</v>
      </c>
      <c r="Q143" s="419">
        <f t="shared" si="50"/>
        <v>0</v>
      </c>
      <c r="R143" s="419">
        <f t="shared" si="50"/>
        <v>0</v>
      </c>
      <c r="S143" s="419">
        <f t="shared" si="50"/>
        <v>0</v>
      </c>
      <c r="T143" s="419">
        <f>T142+T141</f>
        <v>0</v>
      </c>
      <c r="W143" s="68"/>
      <c r="CW143" s="383">
        <f>IF(Basisdaten!$B$15="English",CY143,CX143)</f>
        <v>0</v>
      </c>
      <c r="CX143" s="305"/>
      <c r="CY143" s="305"/>
      <c r="CZ143" s="216"/>
      <c r="DA143" s="68"/>
      <c r="DB143" s="68"/>
      <c r="DC143" s="68"/>
      <c r="DD143" s="68"/>
      <c r="DE143" s="68"/>
      <c r="DF143" s="68"/>
      <c r="DG143" s="68"/>
      <c r="DH143" s="68"/>
      <c r="DI143" s="68"/>
      <c r="DJ143" s="68"/>
      <c r="DK143" s="68"/>
      <c r="DL143" s="68"/>
      <c r="DM143" s="68"/>
      <c r="DN143" s="71"/>
      <c r="DO143" s="71"/>
    </row>
    <row r="144" spans="3:119" ht="15.9" customHeight="1">
      <c r="W144" s="68"/>
      <c r="CW144" s="383" t="str">
        <f>IF(Basisdaten!$B$15="English",CY144,CX144)</f>
        <v>Summe Honorareinnahmen</v>
      </c>
      <c r="CX144" s="305" t="s">
        <v>338</v>
      </c>
      <c r="CY144" s="305" t="s">
        <v>360</v>
      </c>
      <c r="CZ144" s="216"/>
      <c r="DA144" s="68"/>
      <c r="DB144" s="68"/>
      <c r="DC144" s="68"/>
      <c r="DD144" s="68"/>
      <c r="DE144" s="68"/>
      <c r="DF144" s="68"/>
      <c r="DG144" s="68"/>
      <c r="DH144" s="68"/>
      <c r="DI144" s="68"/>
      <c r="DJ144" s="68"/>
      <c r="DK144" s="68"/>
      <c r="DL144" s="68"/>
      <c r="DM144" s="68"/>
      <c r="DN144" s="71"/>
      <c r="DO144" s="71"/>
    </row>
    <row r="145" spans="4:119" ht="18" customHeight="1">
      <c r="E145" s="611" t="str">
        <f ca="1">CW82</f>
        <v>2a-2.1 Steueraufkommen für die Monate des Jahres 2027</v>
      </c>
      <c r="T145" s="225"/>
      <c r="U145" s="1526"/>
      <c r="V145" s="1526"/>
      <c r="W145" s="225"/>
      <c r="X145" s="225"/>
      <c r="CW145" s="383">
        <f>IF(Basisdaten!$B$15="English",CY145,CX145)</f>
        <v>0</v>
      </c>
      <c r="CX145" s="305"/>
      <c r="CY145" s="305"/>
      <c r="DA145" s="79"/>
      <c r="DB145" s="79"/>
      <c r="DC145" s="79"/>
      <c r="DD145" s="79"/>
      <c r="DE145" s="79"/>
      <c r="DF145" s="79"/>
      <c r="DG145" s="79"/>
      <c r="DH145" s="79"/>
      <c r="DI145" s="79"/>
      <c r="DJ145" s="79"/>
      <c r="DK145" s="79"/>
      <c r="DL145" s="79"/>
      <c r="DM145" s="79"/>
    </row>
    <row r="146" spans="4:119" ht="15.9" customHeight="1">
      <c r="D146" s="150"/>
      <c r="E146" s="150"/>
      <c r="W146" s="68"/>
      <c r="CW146" s="383" t="str">
        <f>IF(Basisdaten!$B$15="English",CY146,CX146)</f>
        <v>Honorareinnahmen, Provisionen</v>
      </c>
      <c r="CX146" s="305" t="s">
        <v>879</v>
      </c>
      <c r="CY146" s="305" t="s">
        <v>880</v>
      </c>
      <c r="CZ146" s="216"/>
      <c r="DA146" s="68"/>
      <c r="DB146" s="68"/>
      <c r="DC146" s="68"/>
      <c r="DD146" s="68"/>
      <c r="DE146" s="68"/>
      <c r="DF146" s="68"/>
      <c r="DG146" s="68"/>
      <c r="DH146" s="68"/>
      <c r="DI146" s="68"/>
      <c r="DJ146" s="68"/>
      <c r="DK146" s="68"/>
      <c r="DL146" s="68"/>
      <c r="DM146" s="68"/>
      <c r="DN146" s="71"/>
      <c r="DO146" s="71"/>
    </row>
    <row r="147" spans="4:119" ht="15.9" customHeight="1">
      <c r="D147" s="298"/>
      <c r="E147" s="298"/>
      <c r="F147" s="931"/>
      <c r="G147" s="1128" t="str">
        <f>G138</f>
        <v>MwST-Satz</v>
      </c>
      <c r="H147" s="932" t="str">
        <f>H138</f>
        <v>Jan.</v>
      </c>
      <c r="I147" s="932" t="str">
        <f t="shared" ref="I147:S147" si="51">I138</f>
        <v>Feb</v>
      </c>
      <c r="J147" s="932" t="str">
        <f t="shared" si="51"/>
        <v>Mrz</v>
      </c>
      <c r="K147" s="932" t="str">
        <f t="shared" si="51"/>
        <v>Apr</v>
      </c>
      <c r="L147" s="932" t="str">
        <f t="shared" si="51"/>
        <v>Mai</v>
      </c>
      <c r="M147" s="932" t="str">
        <f t="shared" si="51"/>
        <v>Jun</v>
      </c>
      <c r="N147" s="932" t="str">
        <f t="shared" si="51"/>
        <v>Jul</v>
      </c>
      <c r="O147" s="932" t="str">
        <f t="shared" si="51"/>
        <v>Aug</v>
      </c>
      <c r="P147" s="932" t="str">
        <f t="shared" si="51"/>
        <v>Sep</v>
      </c>
      <c r="Q147" s="932" t="str">
        <f t="shared" si="51"/>
        <v>Okt</v>
      </c>
      <c r="R147" s="932" t="str">
        <f t="shared" si="51"/>
        <v>Nov</v>
      </c>
      <c r="S147" s="932" t="str">
        <f t="shared" si="51"/>
        <v>Dez</v>
      </c>
      <c r="T147" s="932" t="str">
        <f ca="1">T38</f>
        <v>Jahr 2027</v>
      </c>
      <c r="W147" s="68"/>
      <c r="CW147" s="383" t="str">
        <f>IF(Basisdaten!$B$15="English",CY147,CX147)</f>
        <v>Sonstige Einnahmen (bitte benennen)</v>
      </c>
      <c r="CX147" s="305" t="s">
        <v>881</v>
      </c>
      <c r="CY147" s="305" t="s">
        <v>882</v>
      </c>
      <c r="CZ147" s="216"/>
      <c r="DA147" s="68"/>
      <c r="DB147" s="68"/>
      <c r="DC147" s="68"/>
      <c r="DD147" s="68"/>
      <c r="DE147" s="68"/>
      <c r="DF147" s="68"/>
      <c r="DG147" s="68"/>
      <c r="DH147" s="68"/>
      <c r="DI147" s="68"/>
      <c r="DJ147" s="68"/>
      <c r="DK147" s="68"/>
      <c r="DL147" s="68"/>
      <c r="DM147" s="68"/>
      <c r="DN147" s="71"/>
      <c r="DO147" s="71"/>
    </row>
    <row r="148" spans="4:119" ht="15.9" customHeight="1">
      <c r="E148" s="2215" t="str">
        <f>E139</f>
        <v>Sonstige Einnahmen</v>
      </c>
      <c r="F148" s="2215"/>
      <c r="G148" s="1147">
        <f>IF($CT$23=0,0,MwSt_7)</f>
        <v>7.0000000000000007E-2</v>
      </c>
      <c r="H148" s="933">
        <f t="shared" ref="H148:S148" si="52">IF($C$62=MwSt_7,H62*$G$148,0)+IF($C$63=MwSt_7,H63*$G$148,0)</f>
        <v>0</v>
      </c>
      <c r="I148" s="933">
        <f t="shared" si="52"/>
        <v>0</v>
      </c>
      <c r="J148" s="933">
        <f t="shared" si="52"/>
        <v>0</v>
      </c>
      <c r="K148" s="933">
        <f t="shared" si="52"/>
        <v>0</v>
      </c>
      <c r="L148" s="933">
        <f t="shared" si="52"/>
        <v>0</v>
      </c>
      <c r="M148" s="933">
        <f t="shared" si="52"/>
        <v>0</v>
      </c>
      <c r="N148" s="933">
        <f t="shared" si="52"/>
        <v>0</v>
      </c>
      <c r="O148" s="933">
        <f t="shared" si="52"/>
        <v>0</v>
      </c>
      <c r="P148" s="933">
        <f t="shared" si="52"/>
        <v>0</v>
      </c>
      <c r="Q148" s="933">
        <f t="shared" si="52"/>
        <v>0</v>
      </c>
      <c r="R148" s="933">
        <f t="shared" si="52"/>
        <v>0</v>
      </c>
      <c r="S148" s="933">
        <f t="shared" si="52"/>
        <v>0</v>
      </c>
      <c r="T148" s="933">
        <f>SUM(H148:S148)</f>
        <v>0</v>
      </c>
      <c r="W148" s="68"/>
      <c r="CW148" s="383">
        <f>IF(Basisdaten!$B$15="English",CY148,CX148)</f>
        <v>0</v>
      </c>
      <c r="CX148" s="305"/>
      <c r="CY148" s="305"/>
      <c r="CZ148" s="216"/>
      <c r="DA148" s="68"/>
      <c r="DB148" s="68"/>
      <c r="DC148" s="68"/>
      <c r="DD148" s="68"/>
      <c r="DE148" s="68"/>
      <c r="DF148" s="68"/>
      <c r="DG148" s="68"/>
      <c r="DH148" s="68"/>
      <c r="DI148" s="68"/>
      <c r="DJ148" s="68"/>
      <c r="DK148" s="68"/>
      <c r="DL148" s="68"/>
      <c r="DM148" s="68"/>
      <c r="DN148" s="71"/>
      <c r="DO148" s="71"/>
    </row>
    <row r="149" spans="4:119" ht="15.9" customHeight="1">
      <c r="E149" s="2215"/>
      <c r="F149" s="2215"/>
      <c r="G149" s="1148">
        <f>IF($CT$23=0,0,MwSt_19)</f>
        <v>0.19</v>
      </c>
      <c r="H149" s="391">
        <f t="shared" ref="H149:S149" si="53">IF($C$62=MwSt_19,H62*$G$149,0)+IF($C$63=MwSt_19,H63*$G$149,0)</f>
        <v>0</v>
      </c>
      <c r="I149" s="391">
        <f t="shared" si="53"/>
        <v>0</v>
      </c>
      <c r="J149" s="391">
        <f t="shared" si="53"/>
        <v>0</v>
      </c>
      <c r="K149" s="391">
        <f t="shared" si="53"/>
        <v>0</v>
      </c>
      <c r="L149" s="391">
        <f t="shared" si="53"/>
        <v>0</v>
      </c>
      <c r="M149" s="391">
        <f t="shared" si="53"/>
        <v>0</v>
      </c>
      <c r="N149" s="391">
        <f t="shared" si="53"/>
        <v>0</v>
      </c>
      <c r="O149" s="391">
        <f t="shared" si="53"/>
        <v>0</v>
      </c>
      <c r="P149" s="391">
        <f t="shared" si="53"/>
        <v>0</v>
      </c>
      <c r="Q149" s="391">
        <f t="shared" si="53"/>
        <v>0</v>
      </c>
      <c r="R149" s="391">
        <f t="shared" si="53"/>
        <v>0</v>
      </c>
      <c r="S149" s="391">
        <f t="shared" si="53"/>
        <v>0</v>
      </c>
      <c r="T149" s="391">
        <f>SUM(H149:S149)</f>
        <v>0</v>
      </c>
      <c r="W149" s="68"/>
      <c r="CW149" s="383">
        <f>IF(Basisdaten!$B$15="English",CY149,CX149)</f>
        <v>0</v>
      </c>
      <c r="CX149" s="305"/>
      <c r="CY149" s="305"/>
      <c r="CZ149" s="216"/>
      <c r="DA149" s="68"/>
      <c r="DB149" s="68"/>
      <c r="DC149" s="68"/>
      <c r="DD149" s="68"/>
      <c r="DE149" s="68"/>
      <c r="DF149" s="68"/>
      <c r="DG149" s="68"/>
      <c r="DH149" s="68"/>
      <c r="DI149" s="68"/>
      <c r="DJ149" s="68"/>
      <c r="DK149" s="68"/>
      <c r="DL149" s="68"/>
      <c r="DM149" s="68"/>
      <c r="DN149" s="71"/>
      <c r="DO149" s="71"/>
    </row>
    <row r="150" spans="4:119" ht="15.9" customHeight="1">
      <c r="E150" s="2216" t="str">
        <f>E141</f>
        <v>Gesamtumsätze</v>
      </c>
      <c r="F150" s="2216"/>
      <c r="G150" s="1147">
        <f>G148</f>
        <v>7.0000000000000007E-2</v>
      </c>
      <c r="H150" s="934">
        <f t="shared" ref="H150:S150" si="54">IF($C$6=MwSt_7,H48*$G$150,0)+IF($C$17=MwSt_7,H59*$G$150,0)</f>
        <v>0</v>
      </c>
      <c r="I150" s="934">
        <f t="shared" si="54"/>
        <v>0</v>
      </c>
      <c r="J150" s="934">
        <f t="shared" si="54"/>
        <v>0</v>
      </c>
      <c r="K150" s="934">
        <f t="shared" si="54"/>
        <v>0</v>
      </c>
      <c r="L150" s="934">
        <f t="shared" si="54"/>
        <v>0</v>
      </c>
      <c r="M150" s="934">
        <f t="shared" si="54"/>
        <v>0</v>
      </c>
      <c r="N150" s="934">
        <f t="shared" si="54"/>
        <v>0</v>
      </c>
      <c r="O150" s="934">
        <f t="shared" si="54"/>
        <v>0</v>
      </c>
      <c r="P150" s="934">
        <f t="shared" si="54"/>
        <v>0</v>
      </c>
      <c r="Q150" s="934">
        <f t="shared" si="54"/>
        <v>0</v>
      </c>
      <c r="R150" s="934">
        <f t="shared" si="54"/>
        <v>0</v>
      </c>
      <c r="S150" s="934">
        <f t="shared" si="54"/>
        <v>0</v>
      </c>
      <c r="T150" s="933">
        <f>SUM(H150:S150)</f>
        <v>0</v>
      </c>
      <c r="W150" s="68"/>
      <c r="CW150" s="383">
        <f>IF(Basisdaten!$B$15="English",CY150,CX150)</f>
        <v>0</v>
      </c>
      <c r="CX150" s="305"/>
      <c r="CY150" s="305"/>
      <c r="CZ150" s="216"/>
      <c r="DA150" s="68"/>
      <c r="DB150" s="68"/>
      <c r="DC150" s="68"/>
      <c r="DD150" s="68"/>
      <c r="DE150" s="68"/>
      <c r="DF150" s="68"/>
      <c r="DG150" s="68"/>
      <c r="DH150" s="68"/>
      <c r="DI150" s="68"/>
      <c r="DJ150" s="68"/>
      <c r="DK150" s="68"/>
      <c r="DL150" s="68"/>
      <c r="DM150" s="68"/>
      <c r="DN150" s="71"/>
      <c r="DO150" s="71"/>
    </row>
    <row r="151" spans="4:119" ht="15.9" customHeight="1">
      <c r="E151" s="2216"/>
      <c r="F151" s="2216"/>
      <c r="G151" s="1148">
        <f>G149</f>
        <v>0.19</v>
      </c>
      <c r="H151" s="391">
        <f t="shared" ref="H151:S151" si="55">IF(MwSt_19=$C$6,H48*$G151,0)+IF(MwSt_19=$C$17,H59*$G151,0)</f>
        <v>0</v>
      </c>
      <c r="I151" s="391">
        <f t="shared" si="55"/>
        <v>0</v>
      </c>
      <c r="J151" s="391">
        <f t="shared" si="55"/>
        <v>0</v>
      </c>
      <c r="K151" s="391">
        <f t="shared" si="55"/>
        <v>0</v>
      </c>
      <c r="L151" s="391">
        <f t="shared" si="55"/>
        <v>0</v>
      </c>
      <c r="M151" s="391">
        <f t="shared" si="55"/>
        <v>0</v>
      </c>
      <c r="N151" s="391">
        <f t="shared" si="55"/>
        <v>0</v>
      </c>
      <c r="O151" s="391">
        <f t="shared" si="55"/>
        <v>0</v>
      </c>
      <c r="P151" s="391">
        <f t="shared" si="55"/>
        <v>0</v>
      </c>
      <c r="Q151" s="391">
        <f t="shared" si="55"/>
        <v>0</v>
      </c>
      <c r="R151" s="391">
        <f t="shared" si="55"/>
        <v>0</v>
      </c>
      <c r="S151" s="391">
        <f t="shared" si="55"/>
        <v>0</v>
      </c>
      <c r="T151" s="933">
        <f>SUM(H151:S151)</f>
        <v>0</v>
      </c>
      <c r="W151" s="68"/>
      <c r="CW151" s="383" t="str">
        <f>IF(Basisdaten!$B$15="English",CY151,CX151)</f>
        <v>Summe Sonstige Einnehmen</v>
      </c>
      <c r="CX151" s="305" t="s">
        <v>339</v>
      </c>
      <c r="CY151" s="305" t="s">
        <v>340</v>
      </c>
      <c r="DA151" s="79"/>
      <c r="DB151" s="79"/>
      <c r="DC151" s="79"/>
      <c r="DD151" s="79"/>
      <c r="DE151" s="79"/>
      <c r="DF151" s="79"/>
      <c r="DG151" s="79"/>
      <c r="DH151" s="79"/>
      <c r="DI151" s="79"/>
      <c r="DJ151" s="79"/>
      <c r="DK151" s="79"/>
      <c r="DL151" s="79"/>
      <c r="DM151" s="79"/>
    </row>
    <row r="152" spans="4:119" ht="15.9" customHeight="1">
      <c r="D152" s="73"/>
      <c r="E152" s="73"/>
      <c r="G152" s="1205" t="str">
        <f>G143</f>
        <v>Summe</v>
      </c>
      <c r="H152" s="419">
        <f>SUM(H148:H151)</f>
        <v>0</v>
      </c>
      <c r="I152" s="419">
        <f t="shared" ref="I152:S152" si="56">SUM(I148:I151)</f>
        <v>0</v>
      </c>
      <c r="J152" s="419">
        <f t="shared" si="56"/>
        <v>0</v>
      </c>
      <c r="K152" s="419">
        <f t="shared" si="56"/>
        <v>0</v>
      </c>
      <c r="L152" s="419">
        <f t="shared" si="56"/>
        <v>0</v>
      </c>
      <c r="M152" s="419">
        <f t="shared" si="56"/>
        <v>0</v>
      </c>
      <c r="N152" s="419">
        <f t="shared" si="56"/>
        <v>0</v>
      </c>
      <c r="O152" s="419">
        <f>SUM(O148:O151)</f>
        <v>0</v>
      </c>
      <c r="P152" s="419">
        <f t="shared" si="56"/>
        <v>0</v>
      </c>
      <c r="Q152" s="419">
        <f t="shared" si="56"/>
        <v>0</v>
      </c>
      <c r="R152" s="419">
        <f t="shared" si="56"/>
        <v>0</v>
      </c>
      <c r="S152" s="419">
        <f t="shared" si="56"/>
        <v>0</v>
      </c>
      <c r="T152" s="419">
        <f>T151+T150</f>
        <v>0</v>
      </c>
      <c r="U152" s="1526"/>
      <c r="V152" s="1526"/>
      <c r="W152" s="68"/>
      <c r="X152" s="225"/>
      <c r="CW152" s="383">
        <f>IF(Basisdaten!$B$15="English",CY152,CX152)</f>
        <v>0</v>
      </c>
      <c r="CX152" s="305"/>
      <c r="CY152" s="305"/>
      <c r="DA152" s="79"/>
      <c r="DB152" s="79"/>
      <c r="DC152" s="79"/>
      <c r="DD152" s="79"/>
      <c r="DE152" s="79"/>
      <c r="DF152" s="79"/>
      <c r="DG152" s="79"/>
      <c r="DH152" s="79"/>
      <c r="DI152" s="79"/>
      <c r="DJ152" s="79"/>
      <c r="DK152" s="79"/>
      <c r="DL152" s="79"/>
      <c r="DM152" s="79"/>
    </row>
    <row r="153" spans="4:119" ht="15.9" customHeight="1">
      <c r="T153" s="225"/>
      <c r="U153" s="1526"/>
      <c r="V153" s="1526"/>
      <c r="W153" s="68"/>
      <c r="X153" s="225"/>
      <c r="CW153" s="383" t="str">
        <f>IF(Basisdaten!$B$15="English",CY153,CX153)</f>
        <v>Sonstige Einnahmen</v>
      </c>
      <c r="CX153" s="305" t="s">
        <v>244</v>
      </c>
      <c r="CY153" s="305" t="s">
        <v>245</v>
      </c>
      <c r="DA153" s="79"/>
      <c r="DB153" s="79"/>
      <c r="DC153" s="79"/>
      <c r="DD153" s="79"/>
      <c r="DE153" s="79"/>
      <c r="DF153" s="79"/>
      <c r="DG153" s="79"/>
      <c r="DH153" s="79"/>
      <c r="DI153" s="79"/>
      <c r="DJ153" s="79"/>
      <c r="DK153" s="79"/>
      <c r="DL153" s="79"/>
      <c r="DM153" s="79"/>
    </row>
    <row r="154" spans="4:119" ht="15.9" customHeight="1">
      <c r="T154" s="225"/>
      <c r="U154" s="1526"/>
      <c r="V154" s="1526"/>
      <c r="W154" s="68"/>
      <c r="X154" s="225"/>
      <c r="CW154" s="383">
        <f>IF(Basisdaten!$B$15="English",CY154,CX154)</f>
        <v>0</v>
      </c>
      <c r="CX154" s="305"/>
      <c r="CY154" s="305"/>
      <c r="DA154" s="79"/>
      <c r="DB154" s="79"/>
      <c r="DC154" s="79"/>
      <c r="DD154" s="79"/>
      <c r="DE154" s="79"/>
      <c r="DF154" s="79"/>
      <c r="DG154" s="79"/>
      <c r="DH154" s="79"/>
      <c r="DI154" s="79"/>
      <c r="DJ154" s="79"/>
      <c r="DK154" s="79"/>
      <c r="DL154" s="79"/>
      <c r="DM154" s="79"/>
    </row>
    <row r="155" spans="4:119" ht="18" customHeight="1">
      <c r="E155" s="611" t="str">
        <f ca="1">CW92</f>
        <v>2b-1 Steueraufkommen für die Jahre 2028 - 2030</v>
      </c>
      <c r="T155" s="225"/>
      <c r="U155" s="1526"/>
      <c r="V155" s="1526"/>
      <c r="W155" s="68"/>
      <c r="X155" s="225"/>
      <c r="CW155" s="383">
        <f>IF(Basisdaten!$B$15="English",CY155,CX155)</f>
        <v>0</v>
      </c>
      <c r="CX155" s="305"/>
      <c r="CY155" s="305"/>
      <c r="DA155" s="79"/>
      <c r="DB155" s="79"/>
      <c r="DC155" s="79"/>
      <c r="DD155" s="79"/>
      <c r="DE155" s="79"/>
      <c r="DF155" s="79"/>
      <c r="DG155" s="79"/>
      <c r="DH155" s="79"/>
      <c r="DI155" s="79"/>
      <c r="DJ155" s="79"/>
      <c r="DK155" s="79"/>
      <c r="DL155" s="79"/>
      <c r="DM155" s="79"/>
    </row>
    <row r="156" spans="4:119" ht="15.9" customHeight="1">
      <c r="M156" s="88"/>
      <c r="N156" s="88"/>
      <c r="O156" s="88"/>
      <c r="T156" s="225"/>
      <c r="U156" s="1526"/>
      <c r="V156" s="1526"/>
      <c r="W156" s="68"/>
      <c r="X156" s="225"/>
      <c r="Y156" s="71"/>
      <c r="CW156" s="383" t="str">
        <f>IF(Basisdaten!$B$15="English",CY156,CX156)</f>
        <v>MwSt-Sätze</v>
      </c>
      <c r="CX156" s="305" t="s">
        <v>631</v>
      </c>
      <c r="CY156" s="305" t="s">
        <v>865</v>
      </c>
      <c r="DA156" s="79"/>
      <c r="DB156" s="79"/>
      <c r="DC156" s="79"/>
      <c r="DD156" s="79"/>
      <c r="DE156" s="79"/>
      <c r="DF156" s="79"/>
      <c r="DG156" s="79"/>
      <c r="DH156" s="79"/>
      <c r="DI156" s="79"/>
      <c r="DJ156" s="79"/>
      <c r="DK156" s="79"/>
      <c r="DL156" s="79"/>
      <c r="DM156" s="79"/>
    </row>
    <row r="157" spans="4:119" s="121" customFormat="1" ht="15.9" customHeight="1">
      <c r="D157" s="71"/>
      <c r="E157" s="71"/>
      <c r="H157" s="1143">
        <f ca="1">Basisdaten!C15</f>
        <v>2026</v>
      </c>
      <c r="I157" s="1143">
        <f ca="1">H157+1</f>
        <v>2027</v>
      </c>
      <c r="J157" s="935">
        <f ca="1">I157+1</f>
        <v>2028</v>
      </c>
      <c r="K157" s="935">
        <f ca="1">J157+1</f>
        <v>2029</v>
      </c>
      <c r="L157" s="935">
        <f ca="1">K157+1</f>
        <v>2030</v>
      </c>
      <c r="M157" s="1288">
        <f ca="1">J157</f>
        <v>2028</v>
      </c>
      <c r="N157" s="1288">
        <f ca="1">K157</f>
        <v>2029</v>
      </c>
      <c r="O157" s="1288">
        <f ca="1">L157</f>
        <v>2030</v>
      </c>
      <c r="Q157" s="71"/>
      <c r="R157" s="71"/>
      <c r="S157" s="71"/>
      <c r="T157" s="225"/>
      <c r="U157" s="1526"/>
      <c r="V157" s="312"/>
      <c r="W157" s="225"/>
      <c r="X157" s="225"/>
      <c r="Z157" s="68"/>
      <c r="AA157" s="68"/>
      <c r="AB157" s="68"/>
      <c r="AC157" s="68"/>
      <c r="AD157" s="68"/>
      <c r="AE157" s="68"/>
      <c r="AF157" s="68"/>
      <c r="AG157" s="68"/>
      <c r="AH157" s="68"/>
      <c r="AI157" s="68"/>
      <c r="AJ157" s="68"/>
      <c r="AK157" s="68"/>
      <c r="AL157" s="68"/>
      <c r="AM157" s="68"/>
      <c r="AN157" s="68"/>
      <c r="AO157" s="68"/>
      <c r="AP157" s="68"/>
      <c r="AQ157" s="102"/>
      <c r="AR157" s="102"/>
      <c r="AS157" s="102"/>
      <c r="AT157" s="102"/>
      <c r="AU157" s="102"/>
      <c r="AV157" s="102"/>
      <c r="AW157" s="102"/>
      <c r="AX157" s="102"/>
      <c r="AY157" s="102"/>
      <c r="AZ157" s="102"/>
      <c r="BA157" s="102"/>
      <c r="BB157" s="102"/>
      <c r="BC157" s="102"/>
      <c r="BD157" s="102"/>
      <c r="BE157" s="102"/>
      <c r="BF157" s="102"/>
      <c r="BG157" s="102"/>
      <c r="BH157" s="102"/>
      <c r="BI157" s="102"/>
      <c r="BJ157" s="102"/>
      <c r="BK157" s="102"/>
      <c r="BL157" s="102"/>
      <c r="BM157" s="102"/>
      <c r="BN157" s="102"/>
      <c r="BO157" s="102"/>
      <c r="BP157" s="102"/>
      <c r="BQ157" s="102"/>
      <c r="BR157" s="102"/>
      <c r="BS157" s="102"/>
      <c r="BT157" s="102"/>
      <c r="BU157" s="102"/>
      <c r="BV157" s="102"/>
      <c r="BW157" s="102"/>
      <c r="BX157" s="102"/>
      <c r="BY157" s="102"/>
      <c r="BZ157" s="102"/>
      <c r="CA157" s="102"/>
      <c r="CB157" s="102"/>
      <c r="CC157" s="102"/>
      <c r="CD157" s="102"/>
      <c r="CE157" s="102"/>
      <c r="CF157" s="102"/>
      <c r="CG157" s="102"/>
      <c r="CH157" s="102"/>
      <c r="CI157" s="102"/>
      <c r="CJ157" s="102"/>
      <c r="CK157" s="102"/>
      <c r="CL157" s="102"/>
      <c r="CM157" s="102"/>
      <c r="CN157" s="102"/>
      <c r="CO157" s="102"/>
      <c r="CP157" s="102"/>
      <c r="CQ157" s="102"/>
      <c r="CR157" s="102"/>
      <c r="CS157" s="102"/>
      <c r="CT157" s="1127"/>
      <c r="CU157" s="161"/>
      <c r="CV157" s="161"/>
      <c r="CW157" s="383">
        <f>IF(Basisdaten!$B$15="English",CY157,CX157)</f>
        <v>0</v>
      </c>
      <c r="CX157" s="305"/>
      <c r="CY157" s="305"/>
      <c r="CZ157" s="834"/>
      <c r="DA157" s="79"/>
      <c r="DB157" s="79"/>
      <c r="DC157" s="79"/>
      <c r="DD157" s="79"/>
      <c r="DE157" s="79"/>
      <c r="DF157" s="79"/>
      <c r="DG157" s="79"/>
      <c r="DH157" s="79"/>
      <c r="DI157" s="79"/>
      <c r="DJ157" s="79"/>
      <c r="DK157" s="79"/>
      <c r="DL157" s="79"/>
      <c r="DM157" s="79"/>
      <c r="DN157" s="87"/>
      <c r="DO157" s="87"/>
    </row>
    <row r="158" spans="4:119" ht="15.9" customHeight="1">
      <c r="E158" s="2202" t="str">
        <f>E148</f>
        <v>Sonstige Einnahmen</v>
      </c>
      <c r="F158" s="2203"/>
      <c r="G158" s="2204"/>
      <c r="H158" s="1144">
        <f>T139</f>
        <v>0</v>
      </c>
      <c r="I158" s="1144">
        <f>T148</f>
        <v>0</v>
      </c>
      <c r="J158" s="933">
        <f>IF($C$121=MwSt_7,L121*$M$158,0)+IF($C$122=MwSt_7,L122*$M$158,0)</f>
        <v>0</v>
      </c>
      <c r="K158" s="933">
        <f>IF($C$121=MwSt_7,P121*$N$158,0)+IF($C$122=MwSt_7,P122*$N$158,0)</f>
        <v>0</v>
      </c>
      <c r="L158" s="933">
        <f>IF($C$121=MwSt_7,T121*$O$158,0)+IF($C$122=MwSt_7,T122*$O$158,0)</f>
        <v>0</v>
      </c>
      <c r="M158" s="1289">
        <f>IF($CT$185=0,0,MwSt_7)</f>
        <v>7.0000000000000007E-2</v>
      </c>
      <c r="N158" s="1289">
        <f>IF($CT$186=0,0,MwSt_7)</f>
        <v>7.0000000000000007E-2</v>
      </c>
      <c r="O158" s="1289">
        <f>IF($CT$187=0,0,MwSt_7)</f>
        <v>7.0000000000000007E-2</v>
      </c>
      <c r="T158" s="225"/>
      <c r="U158" s="1526"/>
      <c r="V158" s="1526"/>
      <c r="W158" s="225"/>
      <c r="X158" s="225"/>
      <c r="Y158" s="71"/>
      <c r="AE158" s="71"/>
      <c r="CW158" s="383">
        <f>IF(Basisdaten!$B$15="English",CY158,CX158)</f>
        <v>0</v>
      </c>
      <c r="CX158" s="305"/>
      <c r="CY158" s="305"/>
      <c r="DA158" s="79"/>
      <c r="DB158" s="79"/>
      <c r="DC158" s="79"/>
      <c r="DD158" s="79"/>
      <c r="DE158" s="79"/>
      <c r="DF158" s="79"/>
      <c r="DG158" s="79"/>
      <c r="DH158" s="79"/>
      <c r="DI158" s="79"/>
      <c r="DJ158" s="79"/>
      <c r="DK158" s="79"/>
      <c r="DL158" s="79"/>
      <c r="DM158" s="79"/>
    </row>
    <row r="159" spans="4:119" ht="15.9" customHeight="1">
      <c r="E159" s="2205"/>
      <c r="F159" s="2206"/>
      <c r="G159" s="2207"/>
      <c r="H159" s="1144">
        <f>T140</f>
        <v>0</v>
      </c>
      <c r="I159" s="1145">
        <f>T149</f>
        <v>0</v>
      </c>
      <c r="J159" s="391">
        <f>IF($C$121=MwSt_19,L121*$M$159,0)+IF($C$122=MwSt_19,L122*$M$159,0)</f>
        <v>0</v>
      </c>
      <c r="K159" s="391">
        <f>IF($C$121=MwSt_19,P121*$N$159,0)+IF($C$122=MwSt_19,P122*$N$159,0)</f>
        <v>0</v>
      </c>
      <c r="L159" s="391">
        <f>IF($C$121=MwSt_19,T121*$O$159,0)+IF($C$122=MwSt_19,T122*$O$159,0)</f>
        <v>0</v>
      </c>
      <c r="M159" s="1289">
        <f>IF($CT$185=0,0,MwSt_19)</f>
        <v>0.19</v>
      </c>
      <c r="N159" s="1289">
        <f>IF($CT$186=0,0,MwSt_19)</f>
        <v>0.19</v>
      </c>
      <c r="O159" s="1289">
        <f>IF($CT$187=0,0,MwSt_19)</f>
        <v>0.19</v>
      </c>
      <c r="T159" s="225"/>
      <c r="U159" s="1526"/>
      <c r="V159" s="1526"/>
      <c r="W159" s="225"/>
      <c r="X159" s="225"/>
      <c r="Y159" s="71"/>
      <c r="CW159" s="383">
        <f>IF(Basisdaten!$B$15="English",CY159,CX159)</f>
        <v>0</v>
      </c>
      <c r="CX159" s="305"/>
      <c r="CY159" s="305"/>
      <c r="DA159" s="79"/>
      <c r="DB159" s="79"/>
      <c r="DC159" s="79"/>
      <c r="DD159" s="79"/>
      <c r="DE159" s="79"/>
      <c r="DF159" s="79"/>
      <c r="DG159" s="79"/>
      <c r="DH159" s="79"/>
      <c r="DI159" s="79"/>
      <c r="DJ159" s="79"/>
      <c r="DK159" s="79"/>
      <c r="DL159" s="79"/>
      <c r="DM159" s="79"/>
    </row>
    <row r="160" spans="4:119" ht="15.9" customHeight="1">
      <c r="E160" s="2208" t="str">
        <f>E150</f>
        <v>Gesamtumsätze</v>
      </c>
      <c r="F160" s="2209"/>
      <c r="G160" s="2210"/>
      <c r="H160" s="1144">
        <f>T141</f>
        <v>0</v>
      </c>
      <c r="I160" s="1144">
        <f>T150</f>
        <v>0</v>
      </c>
      <c r="J160" s="933">
        <f>IF($C$6=$M$160,L107*$M$160,0)+IF($M$160=$C$17,L118*$M$160,0)</f>
        <v>0</v>
      </c>
      <c r="K160" s="933">
        <f>IF($C$6=$N$160,P107*$N$160,0)+IF($N$160=$C$17,P118*$N$160,0)</f>
        <v>0</v>
      </c>
      <c r="L160" s="933">
        <f>IF($C$6=$O$160,T107*$O$160,0)+IF($O$160=$C$17,T118*$O$160,0)</f>
        <v>0</v>
      </c>
      <c r="M160" s="1289">
        <f t="shared" ref="M160:O161" si="57">M158</f>
        <v>7.0000000000000007E-2</v>
      </c>
      <c r="N160" s="1289">
        <f t="shared" si="57"/>
        <v>7.0000000000000007E-2</v>
      </c>
      <c r="O160" s="1289">
        <f t="shared" si="57"/>
        <v>7.0000000000000007E-2</v>
      </c>
      <c r="T160" s="225"/>
      <c r="U160" s="1526"/>
      <c r="V160" s="1526"/>
      <c r="W160" s="225"/>
      <c r="X160" s="225"/>
      <c r="Y160" s="71"/>
      <c r="CW160" s="383">
        <f>IF(Basisdaten!$B$15="English",CY160,CX160)</f>
        <v>0</v>
      </c>
      <c r="CX160" s="305"/>
      <c r="CY160" s="305"/>
      <c r="DA160" s="79"/>
      <c r="DB160" s="79"/>
      <c r="DC160" s="79"/>
      <c r="DD160" s="79"/>
      <c r="DE160" s="79"/>
      <c r="DF160" s="79"/>
      <c r="DG160" s="79"/>
      <c r="DH160" s="79"/>
      <c r="DI160" s="79"/>
      <c r="DJ160" s="79"/>
      <c r="DK160" s="79"/>
      <c r="DL160" s="79"/>
      <c r="DM160" s="79"/>
    </row>
    <row r="161" spans="3:119" ht="15.9" customHeight="1">
      <c r="E161" s="2205"/>
      <c r="F161" s="2206"/>
      <c r="G161" s="2207"/>
      <c r="H161" s="1144">
        <f>T142</f>
        <v>0</v>
      </c>
      <c r="I161" s="1145">
        <f>T151</f>
        <v>0</v>
      </c>
      <c r="J161" s="391">
        <f>IF($C$6=$M$161,L107*$M$161,0)+IF(MwSt_19=$C$17,L118*$M$161,0)</f>
        <v>0</v>
      </c>
      <c r="K161" s="391">
        <f>IF($C$6=$N$161,P107*$N$161,0)+IF(MwSt_19=$C$17,P118*$N$161,0)</f>
        <v>0</v>
      </c>
      <c r="L161" s="391">
        <f>IF($C$6=$O$161,T107*$O$161,0)+IF(MwSt_19=$C$17,T118*$O$161,0)</f>
        <v>0</v>
      </c>
      <c r="M161" s="1289">
        <f t="shared" si="57"/>
        <v>0.19</v>
      </c>
      <c r="N161" s="1289">
        <f t="shared" si="57"/>
        <v>0.19</v>
      </c>
      <c r="O161" s="1289">
        <f t="shared" si="57"/>
        <v>0.19</v>
      </c>
      <c r="T161" s="225"/>
      <c r="U161" s="1526"/>
      <c r="V161" s="1526"/>
      <c r="W161" s="225"/>
      <c r="X161" s="225"/>
      <c r="AE161" s="71"/>
      <c r="CW161" s="383">
        <f>IF(Basisdaten!$B$15="English",CY161,CX161)</f>
        <v>0</v>
      </c>
      <c r="CX161" s="305"/>
      <c r="CY161" s="305"/>
      <c r="DA161" s="79"/>
      <c r="DB161" s="79"/>
      <c r="DC161" s="79"/>
      <c r="DD161" s="79"/>
      <c r="DE161" s="79"/>
      <c r="DF161" s="79"/>
      <c r="DG161" s="79"/>
      <c r="DH161" s="79"/>
      <c r="DI161" s="79"/>
      <c r="DJ161" s="79"/>
      <c r="DK161" s="79"/>
      <c r="DL161" s="79"/>
      <c r="DM161" s="79"/>
    </row>
    <row r="162" spans="3:119" ht="15.9" customHeight="1">
      <c r="G162" s="1206" t="str">
        <f>G143</f>
        <v>Summe</v>
      </c>
      <c r="H162" s="1146">
        <f>T143</f>
        <v>0</v>
      </c>
      <c r="I162" s="1146">
        <f>I161+I160</f>
        <v>0</v>
      </c>
      <c r="J162" s="419">
        <f>SUM(J158:J161)</f>
        <v>0</v>
      </c>
      <c r="K162" s="419">
        <f>SUM(K158:K161)</f>
        <v>0</v>
      </c>
      <c r="L162" s="419">
        <f>SUM(L158:L161)</f>
        <v>0</v>
      </c>
      <c r="M162" s="2201" t="str">
        <f>CW156</f>
        <v>MwSt-Sätze</v>
      </c>
      <c r="N162" s="2201"/>
      <c r="O162" s="2201"/>
      <c r="T162" s="225"/>
      <c r="U162" s="1526"/>
      <c r="V162" s="1526"/>
      <c r="W162" s="225"/>
      <c r="X162" s="225"/>
      <c r="CW162" s="383">
        <f>IF(Basisdaten!$B$15="English",CY162,CX162)</f>
        <v>0</v>
      </c>
      <c r="CX162" s="305"/>
      <c r="CY162" s="305"/>
      <c r="DA162" s="79"/>
      <c r="DB162" s="79"/>
      <c r="DC162" s="79"/>
      <c r="DD162" s="79"/>
      <c r="DE162" s="79"/>
      <c r="DF162" s="79"/>
      <c r="DG162" s="79"/>
      <c r="DH162" s="79"/>
      <c r="DI162" s="79"/>
      <c r="DJ162" s="79"/>
      <c r="DK162" s="79"/>
      <c r="DL162" s="79"/>
      <c r="DM162" s="79"/>
    </row>
    <row r="163" spans="3:119" ht="15.9" customHeight="1">
      <c r="M163" s="88"/>
      <c r="N163" s="88"/>
      <c r="O163" s="88"/>
      <c r="T163" s="225"/>
      <c r="U163" s="1526"/>
      <c r="V163" s="1526"/>
      <c r="W163" s="225"/>
      <c r="X163" s="225"/>
      <c r="CW163" s="383" t="str">
        <f>IF(Basisdaten!$B$15="English",CY163,CX163)</f>
        <v>Summe Nebenrechnung Gruppe2</v>
      </c>
      <c r="CX163" s="305" t="s">
        <v>334</v>
      </c>
      <c r="CY163" s="305" t="s">
        <v>335</v>
      </c>
      <c r="DA163" s="79"/>
      <c r="DB163" s="79"/>
      <c r="DC163" s="79"/>
      <c r="DD163" s="79"/>
      <c r="DE163" s="79"/>
      <c r="DF163" s="79"/>
      <c r="DG163" s="79"/>
      <c r="DH163" s="79"/>
      <c r="DI163" s="79"/>
      <c r="DJ163" s="79"/>
      <c r="DK163" s="79"/>
      <c r="DL163" s="79"/>
      <c r="DM163" s="79"/>
    </row>
    <row r="164" spans="3:119" ht="15.9" customHeight="1">
      <c r="T164" s="225"/>
      <c r="U164" s="1526"/>
      <c r="V164" s="1526"/>
      <c r="W164" s="225"/>
      <c r="X164" s="225"/>
      <c r="AE164" s="71"/>
      <c r="CW164" s="383" t="str">
        <f>IF(Basisdaten!$B$15="English",CY164,CX164)</f>
        <v>Summe Nebenrechnung Gruppe1</v>
      </c>
      <c r="CX164" s="305" t="s">
        <v>330</v>
      </c>
      <c r="CY164" s="305" t="s">
        <v>333</v>
      </c>
      <c r="DA164" s="79"/>
      <c r="DB164" s="79"/>
      <c r="DC164" s="79"/>
      <c r="DD164" s="79"/>
      <c r="DE164" s="79"/>
      <c r="DF164" s="79"/>
      <c r="DG164" s="79"/>
      <c r="DH164" s="79"/>
      <c r="DI164" s="79"/>
      <c r="DJ164" s="79"/>
      <c r="DK164" s="79"/>
      <c r="DL164" s="79"/>
      <c r="DM164" s="79"/>
    </row>
    <row r="165" spans="3:119" ht="18" customHeight="1">
      <c r="E165" s="611" t="str">
        <f>CW169</f>
        <v>2c Umsatzverteilung nach Geschäftsart</v>
      </c>
      <c r="T165" s="225"/>
      <c r="U165" s="1526"/>
      <c r="V165" s="1526"/>
      <c r="W165" s="225"/>
      <c r="X165" s="225"/>
      <c r="CW165" s="383">
        <f>IF(Basisdaten!$B$15="English",CY165,CX165)</f>
        <v>0</v>
      </c>
      <c r="CX165" s="305"/>
      <c r="CY165" s="305"/>
      <c r="DA165" s="79"/>
      <c r="DB165" s="79"/>
      <c r="DC165" s="79"/>
      <c r="DD165" s="79"/>
      <c r="DE165" s="79"/>
      <c r="DF165" s="79"/>
      <c r="DG165" s="79"/>
      <c r="DH165" s="79"/>
      <c r="DI165" s="79"/>
      <c r="DJ165" s="79"/>
      <c r="DK165" s="79"/>
      <c r="DL165" s="79"/>
      <c r="DM165" s="79"/>
    </row>
    <row r="166" spans="3:119" s="121" customFormat="1" ht="15.9" customHeight="1">
      <c r="C166" s="71"/>
      <c r="D166" s="71"/>
      <c r="E166" s="71"/>
      <c r="G166" s="71"/>
      <c r="H166" s="71"/>
      <c r="I166" s="71"/>
      <c r="J166" s="71"/>
      <c r="K166" s="71"/>
      <c r="L166" s="71"/>
      <c r="M166" s="71"/>
      <c r="N166" s="71"/>
      <c r="O166" s="71"/>
      <c r="P166" s="71"/>
      <c r="Q166" s="71"/>
      <c r="R166" s="71"/>
      <c r="S166" s="71"/>
      <c r="T166" s="225"/>
      <c r="U166" s="1526"/>
      <c r="V166" s="1526"/>
      <c r="W166" s="225"/>
      <c r="X166" s="225"/>
      <c r="Y166" s="102"/>
      <c r="Z166" s="68"/>
      <c r="AA166" s="68"/>
      <c r="AB166" s="68"/>
      <c r="AC166" s="68"/>
      <c r="AD166" s="68"/>
      <c r="AE166" s="68"/>
      <c r="AF166" s="68"/>
      <c r="AG166" s="68"/>
      <c r="AH166" s="68"/>
      <c r="AI166" s="68"/>
      <c r="AJ166" s="68"/>
      <c r="AK166" s="68"/>
      <c r="AL166" s="68"/>
      <c r="AM166" s="68"/>
      <c r="AN166" s="68"/>
      <c r="AO166" s="68"/>
      <c r="AP166" s="68"/>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127"/>
      <c r="CU166" s="161"/>
      <c r="CV166" s="161"/>
      <c r="CW166" s="383" t="str">
        <f>IF(Basisdaten!$B$15="English",CY166,CX166)</f>
        <v>Umsätze nach Geschäftszweck</v>
      </c>
      <c r="CX166" s="305" t="s">
        <v>750</v>
      </c>
      <c r="CY166" s="305" t="s">
        <v>751</v>
      </c>
      <c r="CZ166" s="834"/>
      <c r="DA166" s="79"/>
      <c r="DB166" s="79"/>
      <c r="DC166" s="79"/>
      <c r="DD166" s="79"/>
      <c r="DE166" s="79"/>
      <c r="DF166" s="79"/>
      <c r="DG166" s="79"/>
      <c r="DH166" s="79"/>
      <c r="DI166" s="79"/>
      <c r="DJ166" s="79"/>
      <c r="DK166" s="79"/>
      <c r="DL166" s="79"/>
      <c r="DM166" s="79"/>
      <c r="DN166" s="87"/>
      <c r="DO166" s="87"/>
    </row>
    <row r="167" spans="3:119" ht="15.9" customHeight="1">
      <c r="C167" s="71"/>
      <c r="H167" s="936">
        <f ca="1">Basisdaten!$C$15</f>
        <v>2026</v>
      </c>
      <c r="I167" s="936">
        <f ca="1">H167+1</f>
        <v>2027</v>
      </c>
      <c r="J167" s="936">
        <f ca="1">I167+1</f>
        <v>2028</v>
      </c>
      <c r="K167" s="936">
        <f ca="1">J167+1</f>
        <v>2029</v>
      </c>
      <c r="L167" s="936">
        <f ca="1">K167+1</f>
        <v>2030</v>
      </c>
      <c r="M167" s="121"/>
      <c r="N167" s="121"/>
      <c r="O167" s="121"/>
      <c r="P167" s="121"/>
      <c r="Q167" s="121"/>
      <c r="R167" s="121"/>
      <c r="S167" s="121"/>
      <c r="T167" s="225"/>
      <c r="U167" s="1526"/>
      <c r="V167" s="1526"/>
      <c r="W167" s="225"/>
      <c r="X167" s="225"/>
      <c r="AE167" s="71"/>
      <c r="CW167" s="383" t="str">
        <f>IF(Basisdaten!$B$15="English",CY167,CX167)</f>
        <v>Gesamtumsätze</v>
      </c>
      <c r="CX167" s="487" t="s">
        <v>238</v>
      </c>
      <c r="CY167" s="487" t="s">
        <v>240</v>
      </c>
      <c r="DA167" s="79"/>
      <c r="DB167" s="79"/>
      <c r="DC167" s="79"/>
      <c r="DD167" s="79"/>
      <c r="DE167" s="79"/>
      <c r="DF167" s="79"/>
      <c r="DG167" s="79"/>
      <c r="DH167" s="79"/>
      <c r="DI167" s="79"/>
      <c r="DJ167" s="79"/>
      <c r="DK167" s="79"/>
      <c r="DL167" s="79"/>
      <c r="DM167" s="79"/>
    </row>
    <row r="168" spans="3:119" s="121" customFormat="1" ht="15.9" customHeight="1">
      <c r="C168" s="71"/>
      <c r="D168" s="71"/>
      <c r="F168" s="2138" t="str">
        <f>E5</f>
        <v>Auswahl/Choose</v>
      </c>
      <c r="G168" s="2139"/>
      <c r="H168" s="1422">
        <f>$T$14</f>
        <v>0</v>
      </c>
      <c r="I168" s="1422">
        <f>$T$48</f>
        <v>0</v>
      </c>
      <c r="J168" s="1422">
        <f>L107</f>
        <v>0</v>
      </c>
      <c r="K168" s="1422">
        <f>P107</f>
        <v>0</v>
      </c>
      <c r="L168" s="1422">
        <f>T107</f>
        <v>0</v>
      </c>
      <c r="M168" s="71"/>
      <c r="N168" s="71"/>
      <c r="O168" s="71"/>
      <c r="P168" s="71"/>
      <c r="Q168" s="71"/>
      <c r="R168" s="71"/>
      <c r="S168" s="71"/>
      <c r="T168" s="225"/>
      <c r="U168" s="1526"/>
      <c r="V168" s="1526"/>
      <c r="W168" s="225"/>
      <c r="X168" s="225"/>
      <c r="Y168" s="102"/>
      <c r="Z168" s="68"/>
      <c r="AA168" s="68"/>
      <c r="AB168" s="68"/>
      <c r="AC168" s="68"/>
      <c r="AD168" s="68"/>
      <c r="AE168" s="68"/>
      <c r="AF168" s="68"/>
      <c r="AG168" s="68"/>
      <c r="AH168" s="68"/>
      <c r="AI168" s="68"/>
      <c r="AJ168" s="68"/>
      <c r="AK168" s="68"/>
      <c r="AL168" s="68"/>
      <c r="AM168" s="68"/>
      <c r="AN168" s="68"/>
      <c r="AO168" s="68"/>
      <c r="AP168" s="68"/>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127"/>
      <c r="CU168" s="161"/>
      <c r="CV168" s="161"/>
      <c r="CW168" s="383" t="str">
        <f>IF(Basisdaten!$B$15="English",CY168,CX168)</f>
        <v>Gesamtumsätze akkumuliert</v>
      </c>
      <c r="CX168" s="487" t="s">
        <v>239</v>
      </c>
      <c r="CY168" s="487" t="s">
        <v>241</v>
      </c>
      <c r="CZ168" s="216"/>
      <c r="DA168" s="68"/>
      <c r="DB168" s="68"/>
      <c r="DC168" s="68"/>
      <c r="DD168" s="68"/>
      <c r="DE168" s="68"/>
      <c r="DF168" s="68"/>
      <c r="DG168" s="68"/>
      <c r="DH168" s="68"/>
      <c r="DI168" s="68"/>
      <c r="DJ168" s="68"/>
      <c r="DK168" s="68"/>
      <c r="DL168" s="68"/>
      <c r="DM168" s="68"/>
    </row>
    <row r="169" spans="3:119" ht="16.5" customHeight="1">
      <c r="C169" s="71"/>
      <c r="F169" s="2138" t="str">
        <f>E16</f>
        <v>Auswahl/Choose</v>
      </c>
      <c r="G169" s="2139"/>
      <c r="H169" s="1422">
        <f>$T$25</f>
        <v>0</v>
      </c>
      <c r="I169" s="1422">
        <f>$T$59</f>
        <v>0</v>
      </c>
      <c r="J169" s="1422">
        <f>L118</f>
        <v>0</v>
      </c>
      <c r="K169" s="1422">
        <f>P118</f>
        <v>0</v>
      </c>
      <c r="L169" s="1422">
        <f>T118</f>
        <v>0</v>
      </c>
      <c r="T169" s="225"/>
      <c r="U169" s="1526"/>
      <c r="V169" s="1526"/>
      <c r="W169" s="225"/>
      <c r="X169" s="225"/>
      <c r="CW169" s="383" t="str">
        <f>IF(Basisdaten!$B$15="English",CY169,CX169)</f>
        <v>2c Umsatzverteilung nach Geschäftsart</v>
      </c>
      <c r="CX169" s="487" t="s">
        <v>1003</v>
      </c>
      <c r="CY169" s="296" t="s">
        <v>1004</v>
      </c>
      <c r="CZ169" s="216"/>
      <c r="DA169" s="68"/>
      <c r="DB169" s="68"/>
      <c r="DC169" s="68"/>
      <c r="DD169" s="68"/>
      <c r="DE169" s="68"/>
      <c r="DF169" s="68"/>
      <c r="DG169" s="68"/>
      <c r="DH169" s="68"/>
      <c r="DI169" s="68"/>
      <c r="DJ169" s="68"/>
      <c r="DK169" s="68"/>
      <c r="DL169" s="68"/>
      <c r="DM169" s="68"/>
      <c r="DN169" s="71"/>
      <c r="DO169" s="71"/>
    </row>
    <row r="170" spans="3:119" s="121" customFormat="1" ht="15.9" customHeight="1">
      <c r="C170" s="68"/>
      <c r="D170" s="71"/>
      <c r="F170" s="2140" t="str">
        <f>IF(SUM(H170:L170)=0,"",CW174)</f>
        <v/>
      </c>
      <c r="G170" s="2141"/>
      <c r="H170" s="1492">
        <f>T30</f>
        <v>0</v>
      </c>
      <c r="I170" s="1493">
        <f>T64</f>
        <v>0</v>
      </c>
      <c r="J170" s="1493">
        <f>L123</f>
        <v>0</v>
      </c>
      <c r="K170" s="1493">
        <f>P123</f>
        <v>0</v>
      </c>
      <c r="L170" s="1493">
        <f>T123</f>
        <v>0</v>
      </c>
      <c r="M170" s="71"/>
      <c r="N170" s="71"/>
      <c r="O170" s="71"/>
      <c r="P170" s="71"/>
      <c r="Q170" s="71"/>
      <c r="R170" s="71"/>
      <c r="S170" s="71"/>
      <c r="T170" s="225"/>
      <c r="U170" s="1526"/>
      <c r="V170" s="1526"/>
      <c r="W170" s="225"/>
      <c r="X170" s="225"/>
      <c r="Y170" s="102"/>
      <c r="Z170" s="68"/>
      <c r="AA170" s="68"/>
      <c r="AB170" s="68"/>
      <c r="AC170" s="68"/>
      <c r="AD170" s="68"/>
      <c r="AE170" s="71"/>
      <c r="AF170" s="68"/>
      <c r="AG170" s="68"/>
      <c r="AH170" s="68"/>
      <c r="AI170" s="68"/>
      <c r="AJ170" s="68"/>
      <c r="AK170" s="68"/>
      <c r="AL170" s="68"/>
      <c r="AM170" s="68"/>
      <c r="AN170" s="68"/>
      <c r="AO170" s="68"/>
      <c r="AP170" s="68"/>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127"/>
      <c r="CU170" s="161"/>
      <c r="CV170" s="161"/>
      <c r="CW170" s="383" t="str">
        <f>CW43</f>
        <v>Dienstleistung</v>
      </c>
      <c r="CX170" s="296"/>
      <c r="CY170" s="296" t="s">
        <v>722</v>
      </c>
      <c r="CZ170" s="834"/>
      <c r="DA170" s="79"/>
      <c r="DB170" s="79"/>
      <c r="DC170" s="79"/>
      <c r="DD170" s="79"/>
      <c r="DE170" s="79"/>
      <c r="DF170" s="79"/>
      <c r="DG170" s="79"/>
      <c r="DH170" s="79"/>
      <c r="DI170" s="79"/>
      <c r="DJ170" s="79"/>
      <c r="DK170" s="79"/>
      <c r="DL170" s="79"/>
      <c r="DM170" s="79"/>
      <c r="DN170" s="87"/>
      <c r="DO170" s="87"/>
    </row>
    <row r="171" spans="3:119" s="121" customFormat="1" ht="15.9" customHeight="1">
      <c r="C171" s="68"/>
      <c r="D171" s="71"/>
      <c r="F171" s="2142" t="str">
        <f>CW178</f>
        <v>akkumuliert</v>
      </c>
      <c r="G171" s="2143"/>
      <c r="H171" s="1494">
        <f>SUM(H168:H170)</f>
        <v>0</v>
      </c>
      <c r="I171" s="1494">
        <f>SUM(I168:I170)+H171</f>
        <v>0</v>
      </c>
      <c r="J171" s="1494">
        <f>SUM(J168:J170)+I171</f>
        <v>0</v>
      </c>
      <c r="K171" s="1494">
        <f>SUM(K168:K170)+J171</f>
        <v>0</v>
      </c>
      <c r="L171" s="1494">
        <f>SUM(L168:L170)+K171</f>
        <v>0</v>
      </c>
      <c r="S171" s="71"/>
      <c r="T171" s="225"/>
      <c r="U171" s="1526"/>
      <c r="V171" s="1526"/>
      <c r="W171" s="225"/>
      <c r="X171" s="225"/>
      <c r="Y171" s="102"/>
      <c r="Z171" s="68"/>
      <c r="AA171" s="68"/>
      <c r="AB171" s="68"/>
      <c r="AC171" s="68"/>
      <c r="AD171" s="68"/>
      <c r="AE171" s="71"/>
      <c r="AF171" s="68"/>
      <c r="AG171" s="68"/>
      <c r="AH171" s="68"/>
      <c r="AI171" s="68"/>
      <c r="AJ171" s="68"/>
      <c r="AK171" s="68"/>
      <c r="AL171" s="68"/>
      <c r="AM171" s="68"/>
      <c r="AN171" s="68"/>
      <c r="AO171" s="68"/>
      <c r="AP171" s="68"/>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127"/>
      <c r="CU171" s="161"/>
      <c r="CV171" s="161"/>
      <c r="CW171" s="383" t="str">
        <f>CW47</f>
        <v>Handel</v>
      </c>
      <c r="CX171" s="296"/>
      <c r="CY171" s="296"/>
      <c r="CZ171" s="834"/>
      <c r="DA171" s="79"/>
      <c r="DB171" s="79"/>
      <c r="DC171" s="79"/>
      <c r="DD171" s="79"/>
      <c r="DE171" s="79"/>
      <c r="DF171" s="79"/>
      <c r="DG171" s="79"/>
      <c r="DH171" s="79"/>
      <c r="DI171" s="79"/>
      <c r="DJ171" s="79"/>
      <c r="DK171" s="79"/>
      <c r="DL171" s="79"/>
      <c r="DM171" s="79"/>
      <c r="DN171" s="87"/>
      <c r="DO171" s="87"/>
    </row>
    <row r="172" spans="3:119" ht="18" customHeight="1">
      <c r="F172" s="170"/>
      <c r="T172" s="225"/>
      <c r="U172" s="1526"/>
      <c r="V172" s="1526"/>
      <c r="W172" s="225"/>
      <c r="X172" s="225"/>
      <c r="CW172" s="383" t="str">
        <f>CW51</f>
        <v>Produktion</v>
      </c>
      <c r="CX172" s="296"/>
      <c r="CY172" s="296"/>
      <c r="DA172" s="79"/>
      <c r="DB172" s="79"/>
      <c r="DC172" s="79"/>
      <c r="DD172" s="79"/>
      <c r="DE172" s="79"/>
      <c r="DF172" s="79"/>
      <c r="DG172" s="79"/>
      <c r="DH172" s="79"/>
      <c r="DI172" s="79"/>
      <c r="DJ172" s="79"/>
      <c r="DK172" s="79"/>
      <c r="DL172" s="79"/>
      <c r="DM172" s="79"/>
    </row>
    <row r="173" spans="3:119" ht="15.9" customHeight="1">
      <c r="T173" s="225"/>
      <c r="U173" s="1526"/>
      <c r="V173" s="1526"/>
      <c r="W173" s="225"/>
      <c r="X173" s="225"/>
      <c r="CW173" s="383" t="str">
        <f>CW55</f>
        <v>Handwerk</v>
      </c>
      <c r="CX173" s="71"/>
      <c r="CY173" s="71"/>
      <c r="DA173" s="79"/>
      <c r="DB173" s="79"/>
      <c r="DC173" s="79"/>
      <c r="DD173" s="79"/>
      <c r="DE173" s="79"/>
      <c r="DF173" s="79"/>
      <c r="DG173" s="79"/>
      <c r="DH173" s="79"/>
      <c r="DI173" s="79"/>
      <c r="DJ173" s="79"/>
      <c r="DK173" s="79"/>
      <c r="DL173" s="79"/>
      <c r="DM173" s="79"/>
    </row>
    <row r="174" spans="3:119" ht="15.9" customHeight="1">
      <c r="E174" s="121"/>
      <c r="T174" s="225"/>
      <c r="U174" s="1526"/>
      <c r="V174" s="1526"/>
      <c r="W174" s="225"/>
      <c r="X174" s="225"/>
      <c r="AE174" s="71"/>
      <c r="CW174" s="383" t="str">
        <f>IF(Basisdaten!$B$15="English",CY174,CX174)</f>
        <v>Sonstige Einnahmen</v>
      </c>
      <c r="CX174" s="296" t="s">
        <v>244</v>
      </c>
      <c r="CY174" s="296" t="str">
        <f>CY153</f>
        <v>Other Income</v>
      </c>
      <c r="DA174" s="79"/>
      <c r="DB174" s="79"/>
      <c r="DC174" s="79"/>
      <c r="DD174" s="79"/>
      <c r="DE174" s="79"/>
      <c r="DF174" s="79"/>
      <c r="DG174" s="79"/>
      <c r="DH174" s="79"/>
      <c r="DI174" s="79"/>
      <c r="DJ174" s="79"/>
      <c r="DK174" s="79"/>
      <c r="DL174" s="79"/>
      <c r="DM174" s="79"/>
    </row>
    <row r="175" spans="3:119" ht="15.9" customHeight="1">
      <c r="E175" s="121"/>
      <c r="T175" s="225"/>
      <c r="U175" s="1526"/>
      <c r="V175" s="1526"/>
      <c r="W175" s="225"/>
      <c r="X175" s="225"/>
      <c r="CW175" s="383" t="str">
        <f>IF(Basisdaten!$B$15="English",CY175,CX175)</f>
        <v>Monatsumsatz der 2 ersten Jahre (EUR)</v>
      </c>
      <c r="CX175" s="383" t="s">
        <v>752</v>
      </c>
      <c r="CY175" s="383" t="s">
        <v>753</v>
      </c>
      <c r="DA175" s="79"/>
      <c r="DB175" s="79"/>
      <c r="DC175" s="79"/>
      <c r="DD175" s="79"/>
      <c r="DE175" s="79"/>
      <c r="DF175" s="79"/>
      <c r="DG175" s="79"/>
      <c r="DH175" s="79"/>
      <c r="DI175" s="79"/>
      <c r="DJ175" s="79"/>
      <c r="DK175" s="79"/>
      <c r="DL175" s="79"/>
      <c r="DM175" s="79"/>
    </row>
    <row r="176" spans="3:119" s="68" customFormat="1" ht="14.25" customHeight="1">
      <c r="D176" s="71"/>
      <c r="E176" s="121"/>
      <c r="F176" s="71"/>
      <c r="G176" s="71"/>
      <c r="H176" s="71"/>
      <c r="I176" s="71"/>
      <c r="J176" s="71"/>
      <c r="K176" s="71"/>
      <c r="L176" s="71"/>
      <c r="M176" s="71"/>
      <c r="N176" s="71"/>
      <c r="O176" s="71"/>
      <c r="P176" s="71"/>
      <c r="Q176" s="71"/>
      <c r="R176" s="71"/>
      <c r="S176" s="71"/>
      <c r="T176" s="225"/>
      <c r="U176" s="1526"/>
      <c r="V176" s="1526"/>
      <c r="W176" s="225"/>
      <c r="X176" s="225"/>
      <c r="CT176" s="70"/>
      <c r="CU176" s="161"/>
      <c r="CV176" s="161"/>
      <c r="CW176" s="383" t="str">
        <f>IF(Basisdaten!$B$15="English",CY176,CX176)</f>
        <v>Jahresumsatz (EUR)</v>
      </c>
      <c r="CX176" s="383" t="s">
        <v>754</v>
      </c>
      <c r="CY176" s="383" t="s">
        <v>755</v>
      </c>
      <c r="CZ176" s="834"/>
      <c r="DA176" s="79"/>
      <c r="DB176" s="79"/>
      <c r="DC176" s="79"/>
      <c r="DD176" s="79"/>
      <c r="DE176" s="79"/>
      <c r="DF176" s="79"/>
      <c r="DG176" s="79"/>
      <c r="DH176" s="79"/>
      <c r="DI176" s="79"/>
      <c r="DJ176" s="79"/>
      <c r="DK176" s="79"/>
      <c r="DL176" s="79"/>
      <c r="DM176" s="79"/>
      <c r="DN176" s="69"/>
      <c r="DO176" s="69"/>
    </row>
    <row r="177" spans="4:119" s="68" customFormat="1">
      <c r="D177" s="301"/>
      <c r="E177" s="121"/>
      <c r="F177" s="71"/>
      <c r="G177" s="937"/>
      <c r="H177" s="896"/>
      <c r="I177" s="71"/>
      <c r="J177" s="71"/>
      <c r="K177" s="71"/>
      <c r="L177" s="71"/>
      <c r="M177" s="896"/>
      <c r="N177" s="102"/>
      <c r="O177" s="102"/>
      <c r="P177" s="102"/>
      <c r="Q177" s="102"/>
      <c r="R177" s="102"/>
      <c r="S177" s="102"/>
      <c r="T177" s="225"/>
      <c r="U177" s="1526"/>
      <c r="V177" s="1526"/>
      <c r="W177" s="225"/>
      <c r="X177" s="225"/>
      <c r="AE177" s="71"/>
      <c r="CT177" s="70"/>
      <c r="CU177" s="161"/>
      <c r="CV177" s="161"/>
      <c r="CW177" s="383" t="str">
        <f>IF(Basisdaten!$B$15="English",CY177,CX177)</f>
        <v>Jahresumsatz</v>
      </c>
      <c r="CX177" s="383" t="s">
        <v>747</v>
      </c>
      <c r="CY177" s="383" t="s">
        <v>756</v>
      </c>
      <c r="CZ177" s="834"/>
      <c r="DA177" s="79"/>
      <c r="DB177" s="79"/>
      <c r="DC177" s="79"/>
      <c r="DD177" s="79"/>
      <c r="DE177" s="79"/>
      <c r="DF177" s="79"/>
      <c r="DG177" s="79"/>
      <c r="DH177" s="79"/>
      <c r="DI177" s="79"/>
      <c r="DJ177" s="79"/>
      <c r="DK177" s="79"/>
      <c r="DL177" s="79"/>
      <c r="DM177" s="79"/>
      <c r="DN177" s="69"/>
      <c r="DO177" s="69"/>
    </row>
    <row r="178" spans="4:119" s="68" customFormat="1">
      <c r="D178" s="301"/>
      <c r="E178" s="121"/>
      <c r="F178" s="71"/>
      <c r="G178" s="937"/>
      <c r="H178" s="896"/>
      <c r="I178" s="896"/>
      <c r="J178" s="896"/>
      <c r="K178" s="896"/>
      <c r="L178" s="896"/>
      <c r="M178" s="896"/>
      <c r="T178" s="225"/>
      <c r="U178" s="1526"/>
      <c r="V178" s="1526"/>
      <c r="W178" s="225"/>
      <c r="X178" s="225"/>
      <c r="CT178" s="70"/>
      <c r="CU178" s="161"/>
      <c r="CV178" s="161"/>
      <c r="CW178" s="383" t="str">
        <f>IF(Basisdaten!$B$15="English",CY178,CX178)</f>
        <v>akkumuliert</v>
      </c>
      <c r="CX178" s="487" t="s">
        <v>346</v>
      </c>
      <c r="CY178" s="487" t="s">
        <v>353</v>
      </c>
      <c r="CZ178" s="834"/>
      <c r="DA178" s="79"/>
      <c r="DB178" s="79"/>
      <c r="DC178" s="79"/>
      <c r="DD178" s="79"/>
      <c r="DE178" s="79"/>
      <c r="DF178" s="79"/>
      <c r="DG178" s="79"/>
      <c r="DH178" s="79"/>
      <c r="DI178" s="79"/>
      <c r="DJ178" s="79"/>
      <c r="DK178" s="79"/>
      <c r="DL178" s="79"/>
      <c r="DM178" s="79"/>
      <c r="DN178" s="69"/>
      <c r="DO178" s="69"/>
    </row>
    <row r="179" spans="4:119" s="68" customFormat="1">
      <c r="D179" s="938"/>
      <c r="E179" s="121"/>
      <c r="F179" s="71"/>
      <c r="G179" s="940"/>
      <c r="H179" s="941"/>
      <c r="I179" s="941"/>
      <c r="J179" s="941"/>
      <c r="K179" s="941"/>
      <c r="L179" s="941"/>
      <c r="M179" s="941"/>
      <c r="N179" s="102"/>
      <c r="O179" s="102"/>
      <c r="P179" s="102"/>
      <c r="Q179" s="102"/>
      <c r="R179" s="102"/>
      <c r="S179" s="102"/>
      <c r="T179" s="225"/>
      <c r="U179" s="1526"/>
      <c r="V179" s="1526"/>
      <c r="W179" s="225"/>
      <c r="X179" s="225"/>
      <c r="AQ179" s="71"/>
      <c r="AR179" s="71"/>
      <c r="AS179" s="71"/>
      <c r="AT179" s="71"/>
      <c r="CT179" s="70"/>
      <c r="CU179" s="161"/>
      <c r="CV179" s="161"/>
      <c r="CW179" s="383">
        <f>IF(Basisdaten!$B$15="English",CY179,CX179)</f>
        <v>0</v>
      </c>
      <c r="CX179" s="487"/>
      <c r="CY179" s="487"/>
      <c r="CZ179" s="834"/>
      <c r="DA179" s="79"/>
      <c r="DB179" s="79"/>
      <c r="DC179" s="79"/>
      <c r="DD179" s="79"/>
      <c r="DE179" s="79"/>
      <c r="DF179" s="79"/>
      <c r="DG179" s="79"/>
      <c r="DH179" s="79"/>
      <c r="DI179" s="79"/>
      <c r="DJ179" s="79"/>
      <c r="DK179" s="79"/>
      <c r="DL179" s="79"/>
      <c r="DM179" s="79"/>
      <c r="DN179" s="69"/>
      <c r="DO179" s="69"/>
    </row>
    <row r="180" spans="4:119" s="68" customFormat="1">
      <c r="D180" s="938"/>
      <c r="E180" s="938"/>
      <c r="F180" s="939"/>
      <c r="G180" s="940"/>
      <c r="H180" s="941"/>
      <c r="I180" s="940"/>
      <c r="J180" s="941"/>
      <c r="K180" s="71"/>
      <c r="L180" s="896"/>
      <c r="M180" s="940"/>
      <c r="T180" s="225"/>
      <c r="U180" s="1526"/>
      <c r="V180" s="1526"/>
      <c r="W180" s="225"/>
      <c r="X180" s="225"/>
      <c r="AE180" s="71"/>
      <c r="CT180" s="70"/>
      <c r="CU180" s="161"/>
      <c r="CV180" s="161"/>
      <c r="CW180" s="383">
        <f>IF(Basisdaten!$B$15="English",CY180,CX180)</f>
        <v>0</v>
      </c>
      <c r="CX180" s="487"/>
      <c r="CY180" s="487"/>
      <c r="CZ180" s="834"/>
      <c r="DA180" s="79"/>
      <c r="DB180" s="79"/>
      <c r="DC180" s="79"/>
      <c r="DD180" s="79"/>
      <c r="DE180" s="79"/>
      <c r="DF180" s="79"/>
      <c r="DG180" s="79"/>
      <c r="DH180" s="79"/>
      <c r="DI180" s="79"/>
      <c r="DJ180" s="79"/>
      <c r="DK180" s="79"/>
      <c r="DL180" s="79"/>
      <c r="DM180" s="79"/>
      <c r="DN180" s="69"/>
      <c r="DO180" s="69"/>
    </row>
    <row r="181" spans="4:119" s="68" customFormat="1">
      <c r="D181" s="53"/>
      <c r="E181" s="53"/>
      <c r="F181" s="121"/>
      <c r="G181" s="121"/>
      <c r="H181" s="121"/>
      <c r="I181" s="121"/>
      <c r="J181" s="121"/>
      <c r="K181" s="121"/>
      <c r="L181" s="896"/>
      <c r="M181" s="121"/>
      <c r="N181" s="102"/>
      <c r="O181" s="102"/>
      <c r="P181" s="102"/>
      <c r="Q181" s="102"/>
      <c r="R181" s="102"/>
      <c r="S181" s="102"/>
      <c r="T181" s="225"/>
      <c r="U181" s="1526"/>
      <c r="V181" s="1526"/>
      <c r="W181" s="225"/>
      <c r="X181" s="225"/>
      <c r="CT181" s="70"/>
      <c r="CU181" s="161"/>
      <c r="CV181" s="161"/>
      <c r="CW181" s="383">
        <f>IF(Basisdaten!$B$15="English",CY181,CX181)</f>
        <v>0</v>
      </c>
      <c r="CX181" s="487"/>
      <c r="CY181" s="487"/>
      <c r="CZ181" s="834"/>
      <c r="DA181" s="79"/>
      <c r="DB181" s="79"/>
      <c r="DC181" s="79"/>
      <c r="DD181" s="79"/>
      <c r="DE181" s="79"/>
      <c r="DF181" s="79"/>
      <c r="DG181" s="79"/>
      <c r="DH181" s="79"/>
      <c r="DI181" s="79"/>
      <c r="DJ181" s="79"/>
      <c r="DK181" s="79"/>
      <c r="DL181" s="79"/>
      <c r="DM181" s="79"/>
      <c r="DN181" s="69"/>
      <c r="DO181" s="69"/>
    </row>
    <row r="182" spans="4:119" s="68" customFormat="1" ht="14.25" customHeight="1">
      <c r="D182" s="53"/>
      <c r="E182" s="53"/>
      <c r="F182" s="71"/>
      <c r="G182" s="71"/>
      <c r="H182" s="71"/>
      <c r="I182" s="71"/>
      <c r="J182" s="71"/>
      <c r="K182" s="71"/>
      <c r="L182" s="896"/>
      <c r="M182" s="71"/>
      <c r="T182" s="225"/>
      <c r="U182" s="1526"/>
      <c r="V182" s="1526"/>
      <c r="W182" s="225"/>
      <c r="X182" s="225"/>
      <c r="CT182" s="70"/>
      <c r="CU182" s="161"/>
      <c r="CV182" s="161"/>
      <c r="CW182" s="383">
        <f>IF(Basisdaten!$B$15="English",CY182,CX182)</f>
        <v>0</v>
      </c>
      <c r="CX182" s="487"/>
      <c r="CY182" s="487"/>
      <c r="CZ182" s="834"/>
      <c r="DA182" s="79"/>
      <c r="DB182" s="79"/>
      <c r="DC182" s="79"/>
      <c r="DD182" s="79"/>
      <c r="DE182" s="79"/>
      <c r="DF182" s="79"/>
      <c r="DG182" s="79"/>
      <c r="DH182" s="79"/>
      <c r="DI182" s="79"/>
      <c r="DJ182" s="79"/>
      <c r="DK182" s="79"/>
      <c r="DL182" s="79"/>
      <c r="DM182" s="79"/>
      <c r="DN182" s="69"/>
      <c r="DO182" s="69"/>
    </row>
    <row r="183" spans="4:119" s="68" customFormat="1">
      <c r="D183" s="53"/>
      <c r="E183" s="53"/>
      <c r="F183" s="71"/>
      <c r="G183" s="71"/>
      <c r="H183" s="71"/>
      <c r="I183" s="71"/>
      <c r="J183" s="71"/>
      <c r="K183" s="71"/>
      <c r="L183" s="896"/>
      <c r="M183" s="71"/>
      <c r="T183" s="225"/>
      <c r="U183" s="1526"/>
      <c r="V183" s="1526"/>
      <c r="W183" s="225"/>
      <c r="X183" s="225"/>
      <c r="AE183" s="71"/>
      <c r="CT183" s="70"/>
      <c r="CU183" s="161"/>
      <c r="CV183" s="161"/>
      <c r="CW183" s="383" t="str">
        <f ca="1">IF(Basisdaten!$B$15="English",CY183,CX183)</f>
        <v>Umsatz/Einnahmen (ohne MwSt) für 2026-2030</v>
      </c>
      <c r="CX183" s="305" t="str">
        <f ca="1">"Umsatz/Einnahmen" &amp; Basisdaten!L15 &amp; "für " &amp;Basisdaten!$C$15 &amp;"-"&amp; Basisdaten!$C$15+4</f>
        <v>Umsatz/Einnahmen (ohne MwSt) für 2026-2030</v>
      </c>
      <c r="CY183" s="305" t="str">
        <f ca="1">"Sales/other Income"&amp;Basisdaten!$L$15&amp;"for " &amp; Basisdaten!$C$15&amp; "-"&amp;Basisdaten!$C$15+4</f>
        <v>Sales/other Income (ohne MwSt) for 2026-2030</v>
      </c>
      <c r="CZ183" s="834"/>
      <c r="DA183" s="79"/>
      <c r="DB183" s="79"/>
      <c r="DC183" s="79"/>
      <c r="DD183" s="79"/>
      <c r="DE183" s="79"/>
      <c r="DF183" s="79"/>
      <c r="DG183" s="79"/>
      <c r="DH183" s="79"/>
      <c r="DI183" s="79"/>
      <c r="DJ183" s="79"/>
      <c r="DK183" s="79"/>
      <c r="DL183" s="79"/>
      <c r="DM183" s="79"/>
      <c r="DN183" s="69"/>
      <c r="DO183" s="69"/>
    </row>
    <row r="184" spans="4:119" s="68" customFormat="1" ht="14.25" customHeight="1">
      <c r="D184" s="53"/>
      <c r="E184" s="53"/>
      <c r="F184" s="71"/>
      <c r="G184" s="71"/>
      <c r="H184" s="71"/>
      <c r="I184" s="71"/>
      <c r="J184" s="71"/>
      <c r="K184" s="71"/>
      <c r="L184" s="896"/>
      <c r="M184" s="71"/>
      <c r="T184" s="225"/>
      <c r="U184" s="1526"/>
      <c r="V184" s="1526"/>
      <c r="W184" s="225"/>
      <c r="X184" s="225"/>
      <c r="CT184" s="70"/>
      <c r="CU184" s="161"/>
      <c r="CV184" s="161"/>
      <c r="CW184" s="383" t="str">
        <f ca="1">IF(Basisdaten!$B$15="English",CY184,CX184)</f>
        <v>2b Umsatz für die Jahre 2028 - 2030</v>
      </c>
      <c r="CX184" s="305" t="str">
        <f ca="1">"2b Umsatz für die Jahre " &amp;Basisdaten!$O$17</f>
        <v>2b Umsatz für die Jahre 2028 - 2030</v>
      </c>
      <c r="CY184" s="305" t="str">
        <f ca="1">"2b Sales for the Years " &amp;Basisdaten!O17</f>
        <v>2b Sales for the Years 2028 - 2030</v>
      </c>
      <c r="CZ184" s="834"/>
      <c r="DA184" s="79"/>
      <c r="DB184" s="79"/>
      <c r="DC184" s="79"/>
      <c r="DD184" s="79"/>
      <c r="DE184" s="79"/>
      <c r="DF184" s="79"/>
      <c r="DG184" s="79"/>
      <c r="DH184" s="79"/>
      <c r="DI184" s="79"/>
      <c r="DJ184" s="79"/>
      <c r="DK184" s="79"/>
      <c r="DL184" s="79"/>
      <c r="DM184" s="79"/>
      <c r="DN184" s="69"/>
      <c r="DO184" s="69"/>
    </row>
    <row r="185" spans="4:119" s="68" customFormat="1">
      <c r="D185" s="53"/>
      <c r="E185" s="53"/>
      <c r="F185" s="71"/>
      <c r="G185" s="71"/>
      <c r="H185" s="71"/>
      <c r="I185" s="71"/>
      <c r="J185" s="71"/>
      <c r="K185" s="71"/>
      <c r="L185" s="896"/>
      <c r="M185" s="71"/>
      <c r="T185" s="225"/>
      <c r="U185" s="1526"/>
      <c r="V185" s="1526"/>
      <c r="W185" s="225"/>
      <c r="X185" s="225"/>
      <c r="CS185" s="71" t="str">
        <f>IF(CT185=0,Basisdaten!$Q$15,Basisdaten!$Q$16)</f>
        <v xml:space="preserve"> (ohne MwSt) </v>
      </c>
      <c r="CT185" s="1204">
        <f>IF(Basisdaten!$G$15=Basisdaten!$U$22,1,IF(OR(SUM(CT3:CT23)&gt;1,CS21=Basisdaten!$U$22,'2 Umsatz|Sales'!CS20=Basisdaten!$U$22),1,IF(AND(CS21=Basisdaten!$U$34,'2 Umsatz|Sales'!L124&lt;=Basisdaten!$R$48),0,IF(AND('2 Umsatz|Sales'!CS21=Basisdaten!$U$34,'2 Umsatz|Sales'!L124&gt;Basisdaten!$R$48),0,"hoppla"))))</f>
        <v>1</v>
      </c>
      <c r="CU185" s="37">
        <f ca="1">CU23+1</f>
        <v>2028</v>
      </c>
      <c r="CV185" s="161"/>
      <c r="CW185" s="383">
        <f>IF(Basisdaten!$B$15="English",CY185,CX185)</f>
        <v>0</v>
      </c>
      <c r="CX185" s="305"/>
      <c r="CY185" s="305"/>
      <c r="CZ185" s="834"/>
      <c r="DA185" s="79"/>
      <c r="DB185" s="79"/>
      <c r="DC185" s="79"/>
      <c r="DD185" s="79"/>
      <c r="DE185" s="79"/>
      <c r="DF185" s="79"/>
      <c r="DG185" s="79"/>
      <c r="DH185" s="79"/>
      <c r="DI185" s="79"/>
      <c r="DJ185" s="79"/>
      <c r="DK185" s="79"/>
      <c r="DL185" s="79"/>
      <c r="DM185" s="79"/>
      <c r="DN185" s="69"/>
      <c r="DO185" s="69"/>
    </row>
    <row r="186" spans="4:119" s="68" customFormat="1">
      <c r="H186" s="71"/>
      <c r="J186" s="941"/>
      <c r="L186" s="896"/>
      <c r="T186" s="225"/>
      <c r="U186" s="1526"/>
      <c r="V186" s="1526"/>
      <c r="W186" s="225"/>
      <c r="X186" s="225"/>
      <c r="AE186" s="71"/>
      <c r="CS186" s="71" t="str">
        <f>IF(CT186=0,Basisdaten!$Q$15,Basisdaten!$Q$16)</f>
        <v xml:space="preserve"> (ohne MwSt) </v>
      </c>
      <c r="CT186" s="86">
        <f>IF(Basisdaten!$G$15=Basisdaten!$U$22,1,IF(OR(SUM(CT23:CT185)&gt;1,CS22=Basisdaten!$U$22,'2 Umsatz|Sales'!CS21=Basisdaten!$U$22),1,IF(AND(CS22=Basisdaten!$U$34,'2 Umsatz|Sales'!P124&lt;=Basisdaten!$R$48),0,IF(AND('2 Umsatz|Sales'!CS22=Basisdaten!$U$34,'2 Umsatz|Sales'!P124&gt;Basisdaten!$R$48),0,"hoppla"))))</f>
        <v>1</v>
      </c>
      <c r="CU186" s="37">
        <f ca="1">CU185+1</f>
        <v>2029</v>
      </c>
      <c r="CV186" s="161"/>
      <c r="CW186" s="383">
        <f>IF(Basisdaten!$B$15="English",CY186,CX186)</f>
        <v>0</v>
      </c>
      <c r="CX186" s="305"/>
      <c r="CY186" s="305"/>
      <c r="CZ186" s="834"/>
      <c r="DA186" s="79"/>
      <c r="DB186" s="79"/>
      <c r="DC186" s="79"/>
      <c r="DD186" s="79"/>
      <c r="DE186" s="79"/>
      <c r="DF186" s="79"/>
      <c r="DG186" s="79"/>
      <c r="DH186" s="79"/>
      <c r="DI186" s="79"/>
      <c r="DJ186" s="79"/>
      <c r="DK186" s="79"/>
      <c r="DL186" s="79"/>
      <c r="DM186" s="79"/>
      <c r="DN186" s="69"/>
      <c r="DO186" s="69"/>
    </row>
    <row r="187" spans="4:119" s="68" customFormat="1">
      <c r="T187" s="225"/>
      <c r="U187" s="1526"/>
      <c r="V187" s="1526"/>
      <c r="W187" s="225"/>
      <c r="X187" s="225"/>
      <c r="CS187" s="71" t="str">
        <f>IF(CT187=0,Basisdaten!$Q$15,Basisdaten!$Q$16)</f>
        <v xml:space="preserve"> (ohne MwSt) </v>
      </c>
      <c r="CT187" s="86">
        <f>IF(Basisdaten!$G$15=Basisdaten!$U$22,1,IF(OR(SUM(CT185:CT186)=2,CS23=Basisdaten!$U$22,'2 Umsatz|Sales'!CS22=Basisdaten!$U$22),1,IF(AND(CS23=Basisdaten!$U$34,'2 Umsatz|Sales'!T124&lt;=Basisdaten!$R$48),0,IF(AND('2 Umsatz|Sales'!CS23=Basisdaten!$U$34,'2 Umsatz|Sales'!T124&gt;Basisdaten!$R$48),0,"hoppla"))))</f>
        <v>1</v>
      </c>
      <c r="CU187" s="37">
        <f ca="1">CU186+1</f>
        <v>2030</v>
      </c>
      <c r="CV187" s="161"/>
      <c r="CW187" s="383">
        <f>IF(Basisdaten!$B$15="English",CY187,CX187)</f>
        <v>0</v>
      </c>
      <c r="CX187" s="305"/>
      <c r="CY187" s="305"/>
      <c r="CZ187" s="834"/>
      <c r="DA187" s="79"/>
      <c r="DB187" s="79"/>
      <c r="DC187" s="79"/>
      <c r="DD187" s="79"/>
      <c r="DE187" s="79"/>
      <c r="DF187" s="79"/>
      <c r="DG187" s="79"/>
      <c r="DH187" s="79"/>
      <c r="DI187" s="79"/>
      <c r="DJ187" s="79"/>
      <c r="DK187" s="79"/>
      <c r="DL187" s="79"/>
      <c r="DM187" s="79"/>
      <c r="DN187" s="69"/>
      <c r="DO187" s="69"/>
    </row>
    <row r="188" spans="4:119" s="68" customFormat="1" ht="14.25" customHeight="1">
      <c r="T188" s="225"/>
      <c r="U188" s="1526"/>
      <c r="V188" s="1526"/>
      <c r="W188" s="225"/>
      <c r="X188" s="225"/>
      <c r="CT188" s="70"/>
      <c r="CU188" s="161"/>
      <c r="CV188" s="161"/>
      <c r="CW188" s="383">
        <f>IF(Basisdaten!$B$15="English",CY188,CX188)</f>
        <v>0</v>
      </c>
      <c r="CX188" s="305"/>
      <c r="CY188" s="305"/>
      <c r="CZ188" s="834"/>
      <c r="DA188" s="79"/>
      <c r="DB188" s="79"/>
      <c r="DC188" s="79"/>
      <c r="DD188" s="79"/>
      <c r="DE188" s="79"/>
      <c r="DF188" s="79"/>
      <c r="DG188" s="79"/>
      <c r="DH188" s="79"/>
      <c r="DI188" s="79"/>
      <c r="DJ188" s="79"/>
      <c r="DK188" s="79"/>
      <c r="DL188" s="79"/>
      <c r="DM188" s="79"/>
      <c r="DN188" s="69"/>
      <c r="DO188" s="69"/>
    </row>
    <row r="189" spans="4:119" s="68" customFormat="1">
      <c r="T189" s="225"/>
      <c r="U189" s="1526"/>
      <c r="V189" s="1526"/>
      <c r="W189" s="225"/>
      <c r="X189" s="225"/>
      <c r="AE189" s="71"/>
      <c r="CT189" s="70"/>
      <c r="CU189" s="161"/>
      <c r="CV189" s="161"/>
      <c r="CW189" s="383" t="str">
        <f ca="1">IF(Basisdaten!$B$15="English",CY189,CX189)</f>
        <v>Umsatz/Einkommen (ohne MwSt) für die Monate der Jahre 2026 und 2027 (EUR)</v>
      </c>
      <c r="CX189" s="305" t="str">
        <f ca="1">"Umsatz/Einkommen" &amp;Basisdaten!$L$15&amp; "für die Monate der Jahre " &amp;Basisdaten!$C$15 &amp;" und "&amp; Basisdaten!$C$15+1&amp;" (EUR)"</f>
        <v>Umsatz/Einkommen (ohne MwSt) für die Monate der Jahre 2026 und 2027 (EUR)</v>
      </c>
      <c r="CY189" s="305" t="str">
        <f ca="1">"Sales/Income" &amp;Basisdaten!$L$15&amp; "for the months of Years " &amp;Basisdaten!$C$15&amp; " and "&amp;Basisdaten!$C$15+1&amp;" (EUR)"</f>
        <v>Sales/Income (ohne MwSt) for the months of Years 2026 and 2027 (EUR)</v>
      </c>
      <c r="CZ189" s="834"/>
      <c r="DA189" s="79"/>
      <c r="DB189" s="79"/>
      <c r="DC189" s="79"/>
      <c r="DD189" s="79"/>
      <c r="DE189" s="79"/>
      <c r="DF189" s="79"/>
      <c r="DG189" s="79"/>
      <c r="DH189" s="79"/>
      <c r="DI189" s="79"/>
      <c r="DJ189" s="79"/>
      <c r="DK189" s="79"/>
      <c r="DL189" s="79"/>
      <c r="DM189" s="79"/>
      <c r="DN189" s="69"/>
      <c r="DO189" s="69"/>
    </row>
    <row r="190" spans="4:119" s="68" customFormat="1">
      <c r="T190" s="225"/>
      <c r="U190" s="1526"/>
      <c r="V190" s="1526"/>
      <c r="W190" s="225"/>
      <c r="X190" s="225"/>
      <c r="CT190" s="70"/>
      <c r="CU190" s="161"/>
      <c r="CV190" s="161"/>
      <c r="CW190" s="383">
        <f>IF(Basisdaten!$B$15="English",CY190,CX190)</f>
        <v>0</v>
      </c>
      <c r="CX190" s="884"/>
      <c r="CY190" s="884"/>
      <c r="CZ190" s="834"/>
      <c r="DA190" s="79"/>
      <c r="DB190" s="79"/>
      <c r="DC190" s="79"/>
      <c r="DD190" s="79"/>
      <c r="DE190" s="79"/>
      <c r="DF190" s="79"/>
      <c r="DG190" s="79"/>
      <c r="DH190" s="79"/>
      <c r="DI190" s="79"/>
      <c r="DJ190" s="79"/>
      <c r="DK190" s="79"/>
      <c r="DL190" s="79"/>
      <c r="DM190" s="79"/>
      <c r="DN190" s="69"/>
      <c r="DO190" s="69"/>
    </row>
    <row r="191" spans="4:119" s="68" customFormat="1">
      <c r="T191" s="225"/>
      <c r="U191" s="1526"/>
      <c r="V191" s="1526"/>
      <c r="W191" s="225"/>
      <c r="X191" s="225"/>
      <c r="CT191" s="70"/>
      <c r="CU191" s="161"/>
      <c r="CV191" s="161"/>
      <c r="CW191" s="383"/>
      <c r="CX191" s="884"/>
      <c r="CY191" s="884"/>
      <c r="CZ191" s="834"/>
      <c r="DA191" s="79"/>
      <c r="DB191" s="79"/>
      <c r="DC191" s="79"/>
      <c r="DD191" s="79"/>
      <c r="DE191" s="79"/>
      <c r="DF191" s="79"/>
      <c r="DG191" s="79"/>
      <c r="DH191" s="79"/>
      <c r="DI191" s="79"/>
      <c r="DJ191" s="79"/>
      <c r="DK191" s="79"/>
      <c r="DL191" s="79"/>
      <c r="DM191" s="79"/>
      <c r="DN191" s="69"/>
      <c r="DO191" s="69"/>
    </row>
    <row r="192" spans="4:119" s="68" customFormat="1">
      <c r="T192" s="225"/>
      <c r="U192" s="1526"/>
      <c r="V192" s="1526"/>
      <c r="W192" s="225"/>
      <c r="X192" s="225"/>
      <c r="AE192" s="71"/>
      <c r="CT192" s="70"/>
      <c r="CU192" s="161"/>
      <c r="CV192" s="161"/>
      <c r="CW192" s="383"/>
      <c r="CX192" s="884"/>
      <c r="CY192" s="884"/>
      <c r="CZ192" s="834"/>
      <c r="DA192" s="79"/>
      <c r="DB192" s="79"/>
      <c r="DC192" s="79"/>
      <c r="DD192" s="79"/>
      <c r="DE192" s="79"/>
      <c r="DF192" s="79"/>
      <c r="DG192" s="79"/>
      <c r="DH192" s="79"/>
      <c r="DI192" s="79"/>
      <c r="DJ192" s="79"/>
      <c r="DK192" s="79"/>
      <c r="DL192" s="79"/>
      <c r="DM192" s="79"/>
      <c r="DN192" s="69"/>
      <c r="DO192" s="69"/>
    </row>
    <row r="193" spans="7:119" s="68" customFormat="1">
      <c r="T193" s="225"/>
      <c r="U193" s="1526"/>
      <c r="V193" s="1526"/>
      <c r="W193" s="225"/>
      <c r="X193" s="225"/>
      <c r="CT193" s="70"/>
      <c r="CU193" s="161"/>
      <c r="CV193" s="161"/>
      <c r="CW193" s="383"/>
      <c r="CX193" s="884"/>
      <c r="CY193" s="884"/>
      <c r="CZ193" s="834"/>
      <c r="DA193" s="79"/>
      <c r="DB193" s="79"/>
      <c r="DC193" s="79"/>
      <c r="DD193" s="79"/>
      <c r="DE193" s="79"/>
      <c r="DF193" s="79"/>
      <c r="DG193" s="79"/>
      <c r="DH193" s="79"/>
      <c r="DI193" s="79"/>
      <c r="DJ193" s="79"/>
      <c r="DK193" s="79"/>
      <c r="DL193" s="79"/>
      <c r="DM193" s="79"/>
      <c r="DN193" s="69"/>
      <c r="DO193" s="69"/>
    </row>
    <row r="194" spans="7:119" s="68" customFormat="1">
      <c r="T194" s="37"/>
      <c r="U194" s="249"/>
      <c r="V194" s="249"/>
      <c r="X194" s="37"/>
      <c r="CT194" s="70"/>
      <c r="CU194" s="161"/>
      <c r="CV194" s="161"/>
      <c r="CW194" s="383"/>
      <c r="CX194" s="884"/>
      <c r="CY194" s="884"/>
      <c r="CZ194" s="834"/>
      <c r="DA194" s="79"/>
      <c r="DB194" s="79"/>
      <c r="DC194" s="79"/>
      <c r="DD194" s="79"/>
      <c r="DE194" s="79"/>
      <c r="DF194" s="79"/>
      <c r="DG194" s="79"/>
      <c r="DH194" s="79"/>
      <c r="DI194" s="79"/>
      <c r="DJ194" s="79"/>
      <c r="DK194" s="79"/>
      <c r="DL194" s="79"/>
      <c r="DM194" s="79"/>
      <c r="DN194" s="69"/>
      <c r="DO194" s="69"/>
    </row>
    <row r="195" spans="7:119" s="68" customFormat="1">
      <c r="T195" s="37"/>
      <c r="U195" s="249"/>
      <c r="V195" s="249"/>
      <c r="X195" s="37"/>
      <c r="CT195" s="70"/>
      <c r="CU195" s="161"/>
      <c r="CV195" s="161"/>
      <c r="CW195" s="383"/>
      <c r="CX195" s="884"/>
      <c r="CY195" s="884"/>
      <c r="CZ195" s="834"/>
      <c r="DA195" s="79"/>
      <c r="DB195" s="79"/>
      <c r="DC195" s="79"/>
      <c r="DD195" s="79"/>
      <c r="DE195" s="79"/>
      <c r="DF195" s="79"/>
      <c r="DG195" s="79"/>
      <c r="DH195" s="79"/>
      <c r="DI195" s="79"/>
      <c r="DJ195" s="79"/>
      <c r="DK195" s="79"/>
      <c r="DL195" s="79"/>
      <c r="DM195" s="79"/>
      <c r="DN195" s="69"/>
      <c r="DO195" s="69"/>
    </row>
    <row r="196" spans="7:119" s="68" customFormat="1">
      <c r="T196" s="37"/>
      <c r="U196" s="249"/>
      <c r="V196" s="249"/>
      <c r="X196" s="37"/>
      <c r="CT196" s="70"/>
      <c r="CU196" s="161"/>
      <c r="CV196" s="161"/>
      <c r="CW196" s="383"/>
      <c r="CX196" s="884"/>
      <c r="CY196" s="884"/>
      <c r="CZ196" s="834"/>
      <c r="DA196" s="79"/>
      <c r="DB196" s="79"/>
      <c r="DC196" s="79"/>
      <c r="DD196" s="79"/>
      <c r="DE196" s="79"/>
      <c r="DF196" s="79"/>
      <c r="DG196" s="79"/>
      <c r="DH196" s="79"/>
      <c r="DI196" s="79"/>
      <c r="DJ196" s="79"/>
      <c r="DK196" s="79"/>
      <c r="DL196" s="79"/>
      <c r="DM196" s="79"/>
      <c r="DN196" s="69"/>
      <c r="DO196" s="69"/>
    </row>
    <row r="197" spans="7:119" s="68" customFormat="1">
      <c r="T197" s="37"/>
      <c r="U197" s="249"/>
      <c r="V197" s="249"/>
      <c r="X197" s="37"/>
      <c r="CT197" s="70"/>
      <c r="CU197" s="161"/>
      <c r="CV197" s="161"/>
      <c r="CW197" s="383"/>
      <c r="CX197" s="884"/>
      <c r="CY197" s="884"/>
      <c r="CZ197" s="834"/>
      <c r="DA197" s="79"/>
      <c r="DB197" s="79"/>
      <c r="DC197" s="79"/>
      <c r="DD197" s="79"/>
      <c r="DE197" s="79"/>
      <c r="DF197" s="79"/>
      <c r="DG197" s="79"/>
      <c r="DH197" s="79"/>
      <c r="DI197" s="79"/>
      <c r="DJ197" s="79"/>
      <c r="DK197" s="79"/>
      <c r="DL197" s="79"/>
      <c r="DM197" s="79"/>
      <c r="DN197" s="69"/>
      <c r="DO197" s="69"/>
    </row>
    <row r="198" spans="7:119" s="68" customFormat="1">
      <c r="T198" s="37"/>
      <c r="U198" s="249"/>
      <c r="V198" s="249"/>
      <c r="X198" s="37"/>
      <c r="CT198" s="70"/>
      <c r="CU198" s="161"/>
      <c r="CV198" s="161"/>
      <c r="CW198" s="383"/>
      <c r="CX198" s="884"/>
      <c r="CY198" s="884"/>
      <c r="CZ198" s="834"/>
      <c r="DA198" s="79"/>
      <c r="DB198" s="79"/>
      <c r="DC198" s="79"/>
      <c r="DD198" s="79"/>
      <c r="DE198" s="79"/>
      <c r="DF198" s="79"/>
      <c r="DG198" s="79"/>
      <c r="DH198" s="79"/>
      <c r="DI198" s="79"/>
      <c r="DJ198" s="79"/>
      <c r="DK198" s="79"/>
      <c r="DL198" s="79"/>
      <c r="DM198" s="79"/>
      <c r="DN198" s="69"/>
      <c r="DO198" s="69"/>
    </row>
    <row r="199" spans="7:119" s="68" customFormat="1">
      <c r="T199" s="37"/>
      <c r="U199" s="249"/>
      <c r="V199" s="249"/>
      <c r="X199" s="37"/>
      <c r="CT199" s="70"/>
      <c r="CU199" s="161"/>
      <c r="CV199" s="161"/>
      <c r="CW199" s="383"/>
      <c r="CX199" s="884"/>
      <c r="CY199" s="884"/>
      <c r="CZ199" s="834"/>
      <c r="DA199" s="79"/>
      <c r="DB199" s="79"/>
      <c r="DC199" s="79"/>
      <c r="DD199" s="79"/>
      <c r="DE199" s="79"/>
      <c r="DF199" s="79"/>
      <c r="DG199" s="79"/>
      <c r="DH199" s="79"/>
      <c r="DI199" s="79"/>
      <c r="DJ199" s="79"/>
      <c r="DK199" s="79"/>
      <c r="DL199" s="79"/>
      <c r="DM199" s="79"/>
      <c r="DN199" s="69"/>
      <c r="DO199" s="69"/>
    </row>
    <row r="200" spans="7:119" s="68" customFormat="1">
      <c r="T200" s="37"/>
      <c r="U200" s="249"/>
      <c r="V200" s="249"/>
      <c r="X200" s="37"/>
      <c r="CT200" s="70"/>
      <c r="CU200" s="161"/>
      <c r="CV200" s="161"/>
      <c r="CW200" s="383"/>
      <c r="CX200" s="884"/>
      <c r="CY200" s="884"/>
      <c r="CZ200" s="834"/>
      <c r="DA200" s="79"/>
      <c r="DB200" s="79"/>
      <c r="DC200" s="79"/>
      <c r="DD200" s="79"/>
      <c r="DE200" s="79"/>
      <c r="DF200" s="79"/>
      <c r="DG200" s="79"/>
      <c r="DH200" s="79"/>
      <c r="DI200" s="79"/>
      <c r="DJ200" s="79"/>
      <c r="DK200" s="79"/>
      <c r="DL200" s="79"/>
      <c r="DM200" s="79"/>
      <c r="DN200" s="69"/>
      <c r="DO200" s="69"/>
    </row>
    <row r="201" spans="7:119" s="68" customFormat="1">
      <c r="T201" s="37"/>
      <c r="U201" s="249"/>
      <c r="V201" s="249"/>
      <c r="X201" s="37"/>
      <c r="CT201" s="70"/>
      <c r="CU201" s="161"/>
      <c r="CV201" s="161"/>
      <c r="CW201" s="383"/>
      <c r="CX201" s="884"/>
      <c r="CY201" s="884"/>
      <c r="CZ201" s="834"/>
      <c r="DA201" s="79"/>
      <c r="DB201" s="79"/>
      <c r="DC201" s="79"/>
      <c r="DD201" s="79"/>
      <c r="DE201" s="79"/>
      <c r="DF201" s="79"/>
      <c r="DG201" s="79"/>
      <c r="DH201" s="79"/>
      <c r="DI201" s="79"/>
      <c r="DJ201" s="79"/>
      <c r="DK201" s="79"/>
      <c r="DL201" s="79"/>
      <c r="DM201" s="79"/>
      <c r="DN201" s="69"/>
      <c r="DO201" s="69"/>
    </row>
    <row r="202" spans="7:119" s="68" customFormat="1">
      <c r="T202" s="37"/>
      <c r="U202" s="249"/>
      <c r="V202" s="249"/>
      <c r="X202" s="37"/>
      <c r="CT202" s="70"/>
      <c r="CU202" s="161"/>
      <c r="CV202" s="161"/>
      <c r="CW202" s="383"/>
      <c r="CX202" s="884"/>
      <c r="CY202" s="884"/>
      <c r="CZ202" s="834"/>
      <c r="DA202" s="79"/>
      <c r="DB202" s="79"/>
      <c r="DC202" s="79"/>
      <c r="DD202" s="79"/>
      <c r="DE202" s="79"/>
      <c r="DF202" s="79"/>
      <c r="DG202" s="79"/>
      <c r="DH202" s="79"/>
      <c r="DI202" s="79"/>
      <c r="DJ202" s="79"/>
      <c r="DK202" s="79"/>
      <c r="DL202" s="79"/>
      <c r="DM202" s="79"/>
      <c r="DN202" s="69"/>
      <c r="DO202" s="69"/>
    </row>
    <row r="203" spans="7:119" s="68" customFormat="1">
      <c r="G203" s="126"/>
      <c r="H203" s="126"/>
      <c r="I203" s="126"/>
      <c r="J203" s="126"/>
      <c r="K203" s="126"/>
      <c r="L203" s="126"/>
      <c r="M203" s="126"/>
      <c r="N203" s="126"/>
      <c r="O203" s="126"/>
      <c r="P203" s="126"/>
      <c r="Q203" s="126"/>
      <c r="R203" s="126"/>
      <c r="T203" s="37"/>
      <c r="U203" s="249"/>
      <c r="V203" s="249"/>
      <c r="X203" s="37"/>
      <c r="CT203" s="70"/>
      <c r="CU203" s="161"/>
      <c r="CV203" s="161"/>
      <c r="CW203" s="383"/>
      <c r="CX203" s="884"/>
      <c r="CY203" s="884"/>
      <c r="CZ203" s="834"/>
      <c r="DA203" s="79"/>
      <c r="DB203" s="79"/>
      <c r="DC203" s="79"/>
      <c r="DD203" s="79"/>
      <c r="DE203" s="79"/>
      <c r="DF203" s="79"/>
      <c r="DG203" s="79"/>
      <c r="DH203" s="79"/>
      <c r="DI203" s="79"/>
      <c r="DJ203" s="79"/>
      <c r="DK203" s="79"/>
      <c r="DL203" s="79"/>
      <c r="DM203" s="79"/>
      <c r="DN203" s="69"/>
      <c r="DO203" s="69"/>
    </row>
    <row r="204" spans="7:119" s="68" customFormat="1">
      <c r="G204" s="126"/>
      <c r="H204" s="126"/>
      <c r="I204" s="126"/>
      <c r="J204" s="126"/>
      <c r="K204" s="126"/>
      <c r="L204" s="126"/>
      <c r="M204" s="126"/>
      <c r="N204" s="126"/>
      <c r="O204" s="126"/>
      <c r="P204" s="126"/>
      <c r="Q204" s="126"/>
      <c r="R204" s="126"/>
      <c r="T204" s="37"/>
      <c r="U204" s="249"/>
      <c r="V204" s="249"/>
      <c r="X204" s="37"/>
      <c r="CT204" s="70"/>
      <c r="CU204" s="161"/>
      <c r="CV204" s="161"/>
      <c r="CW204" s="383"/>
      <c r="CX204" s="884"/>
      <c r="CY204" s="884"/>
      <c r="CZ204" s="834"/>
      <c r="DA204" s="79"/>
      <c r="DB204" s="79"/>
      <c r="DC204" s="79"/>
      <c r="DD204" s="79"/>
      <c r="DE204" s="79"/>
      <c r="DF204" s="79"/>
      <c r="DG204" s="79"/>
      <c r="DH204" s="79"/>
      <c r="DI204" s="79"/>
      <c r="DJ204" s="79"/>
      <c r="DK204" s="79"/>
      <c r="DL204" s="79"/>
      <c r="DM204" s="79"/>
      <c r="DN204" s="69"/>
      <c r="DO204" s="69"/>
    </row>
    <row r="205" spans="7:119" s="68" customFormat="1">
      <c r="G205" s="126"/>
      <c r="H205" s="126"/>
      <c r="I205" s="126"/>
      <c r="J205" s="126"/>
      <c r="K205" s="126"/>
      <c r="L205" s="126"/>
      <c r="M205" s="126"/>
      <c r="N205" s="126"/>
      <c r="O205" s="126"/>
      <c r="P205" s="126"/>
      <c r="Q205" s="126"/>
      <c r="R205" s="126"/>
      <c r="T205" s="37"/>
      <c r="U205" s="249"/>
      <c r="V205" s="249"/>
      <c r="X205" s="37"/>
      <c r="CT205" s="70"/>
      <c r="CU205" s="161"/>
      <c r="CV205" s="161"/>
      <c r="CW205" s="383"/>
      <c r="CX205" s="884"/>
      <c r="CY205" s="884"/>
      <c r="CZ205" s="834"/>
      <c r="DA205" s="79"/>
      <c r="DB205" s="79"/>
      <c r="DC205" s="79"/>
      <c r="DD205" s="79"/>
      <c r="DE205" s="79"/>
      <c r="DF205" s="79"/>
      <c r="DG205" s="79"/>
      <c r="DH205" s="79"/>
      <c r="DI205" s="79"/>
      <c r="DJ205" s="79"/>
      <c r="DK205" s="79"/>
      <c r="DL205" s="79"/>
      <c r="DM205" s="79"/>
      <c r="DN205" s="69"/>
      <c r="DO205" s="69"/>
    </row>
    <row r="206" spans="7:119" s="68" customFormat="1">
      <c r="G206" s="126"/>
      <c r="H206" s="126"/>
      <c r="I206" s="126"/>
      <c r="J206" s="126"/>
      <c r="K206" s="126"/>
      <c r="L206" s="126"/>
      <c r="M206" s="126"/>
      <c r="N206" s="126"/>
      <c r="O206" s="126"/>
      <c r="P206" s="126"/>
      <c r="Q206" s="126"/>
      <c r="R206" s="126"/>
      <c r="T206" s="37"/>
      <c r="U206" s="249"/>
      <c r="V206" s="249"/>
      <c r="X206" s="37"/>
      <c r="CT206" s="70"/>
      <c r="CU206" s="161"/>
      <c r="CV206" s="161"/>
      <c r="CW206" s="383"/>
      <c r="CX206" s="884"/>
      <c r="CY206" s="884"/>
      <c r="CZ206" s="834"/>
      <c r="DA206" s="79"/>
      <c r="DB206" s="79"/>
      <c r="DC206" s="79"/>
      <c r="DD206" s="79"/>
      <c r="DE206" s="79"/>
      <c r="DF206" s="79"/>
      <c r="DG206" s="79"/>
      <c r="DH206" s="79"/>
      <c r="DI206" s="79"/>
      <c r="DJ206" s="79"/>
      <c r="DK206" s="79"/>
      <c r="DL206" s="79"/>
      <c r="DM206" s="79"/>
      <c r="DN206" s="69"/>
      <c r="DO206" s="69"/>
    </row>
    <row r="207" spans="7:119" s="68" customFormat="1">
      <c r="G207" s="126"/>
      <c r="H207" s="126"/>
      <c r="I207" s="126"/>
      <c r="J207" s="126"/>
      <c r="K207" s="126"/>
      <c r="L207" s="126"/>
      <c r="M207" s="126"/>
      <c r="N207" s="126"/>
      <c r="O207" s="126"/>
      <c r="P207" s="126"/>
      <c r="Q207" s="126"/>
      <c r="R207" s="126"/>
      <c r="T207" s="37"/>
      <c r="U207" s="249"/>
      <c r="V207" s="249"/>
      <c r="X207" s="37"/>
      <c r="CT207" s="70"/>
      <c r="CU207" s="161"/>
      <c r="CV207" s="161"/>
      <c r="CW207" s="383"/>
      <c r="CX207" s="884"/>
      <c r="CY207" s="884"/>
      <c r="CZ207" s="834"/>
      <c r="DA207" s="79"/>
      <c r="DB207" s="79"/>
      <c r="DC207" s="79"/>
      <c r="DD207" s="79"/>
      <c r="DE207" s="79"/>
      <c r="DF207" s="79"/>
      <c r="DG207" s="79"/>
      <c r="DH207" s="79"/>
      <c r="DI207" s="79"/>
      <c r="DJ207" s="79"/>
      <c r="DK207" s="79"/>
      <c r="DL207" s="79"/>
      <c r="DM207" s="79"/>
      <c r="DN207" s="69"/>
      <c r="DO207" s="69"/>
    </row>
    <row r="208" spans="7:119" s="68" customFormat="1">
      <c r="G208" s="126"/>
      <c r="H208" s="126"/>
      <c r="I208" s="126"/>
      <c r="J208" s="126"/>
      <c r="K208" s="126"/>
      <c r="L208" s="126"/>
      <c r="M208" s="126"/>
      <c r="N208" s="126"/>
      <c r="O208" s="126"/>
      <c r="P208" s="126"/>
      <c r="Q208" s="126"/>
      <c r="R208" s="126"/>
      <c r="T208" s="37"/>
      <c r="U208" s="249"/>
      <c r="V208" s="249"/>
      <c r="X208" s="37"/>
      <c r="CT208" s="70"/>
      <c r="CU208" s="161"/>
      <c r="CV208" s="161"/>
      <c r="CW208" s="383"/>
      <c r="CX208" s="884"/>
      <c r="CY208" s="884"/>
      <c r="CZ208" s="834"/>
      <c r="DA208" s="79"/>
      <c r="DB208" s="79"/>
      <c r="DC208" s="79"/>
      <c r="DD208" s="79"/>
      <c r="DE208" s="79"/>
      <c r="DF208" s="79"/>
      <c r="DG208" s="79"/>
      <c r="DH208" s="79"/>
      <c r="DI208" s="79"/>
      <c r="DJ208" s="79"/>
      <c r="DK208" s="79"/>
      <c r="DL208" s="79"/>
      <c r="DM208" s="79"/>
      <c r="DN208" s="69"/>
      <c r="DO208" s="69"/>
    </row>
    <row r="209" spans="6:119" s="68" customFormat="1">
      <c r="G209" s="126"/>
      <c r="H209" s="126"/>
      <c r="I209" s="126"/>
      <c r="J209" s="126"/>
      <c r="K209" s="126"/>
      <c r="L209" s="126"/>
      <c r="M209" s="126"/>
      <c r="N209" s="126"/>
      <c r="O209" s="126"/>
      <c r="P209" s="126"/>
      <c r="Q209" s="126"/>
      <c r="R209" s="126"/>
      <c r="T209" s="37"/>
      <c r="U209" s="249"/>
      <c r="V209" s="249"/>
      <c r="X209" s="37"/>
      <c r="CT209" s="70"/>
      <c r="CU209" s="161"/>
      <c r="CV209" s="161"/>
      <c r="CW209" s="383"/>
      <c r="CX209" s="884"/>
      <c r="CY209" s="884"/>
      <c r="CZ209" s="834"/>
      <c r="DA209" s="79"/>
      <c r="DB209" s="79"/>
      <c r="DC209" s="79"/>
      <c r="DD209" s="79"/>
      <c r="DE209" s="79"/>
      <c r="DF209" s="79"/>
      <c r="DG209" s="79"/>
      <c r="DH209" s="79"/>
      <c r="DI209" s="79"/>
      <c r="DJ209" s="79"/>
      <c r="DK209" s="79"/>
      <c r="DL209" s="79"/>
      <c r="DM209" s="79"/>
      <c r="DN209" s="69"/>
      <c r="DO209" s="69"/>
    </row>
    <row r="210" spans="6:119" s="68" customFormat="1">
      <c r="G210" s="126"/>
      <c r="H210" s="126"/>
      <c r="I210" s="126"/>
      <c r="J210" s="126"/>
      <c r="K210" s="126"/>
      <c r="L210" s="126"/>
      <c r="M210" s="126"/>
      <c r="N210" s="126"/>
      <c r="O210" s="126"/>
      <c r="P210" s="126"/>
      <c r="Q210" s="126"/>
      <c r="R210" s="126"/>
      <c r="T210" s="37"/>
      <c r="U210" s="249"/>
      <c r="V210" s="249"/>
      <c r="X210" s="37"/>
      <c r="CT210" s="70"/>
      <c r="CU210" s="161"/>
      <c r="CV210" s="161"/>
      <c r="CW210" s="383"/>
      <c r="CX210" s="884"/>
      <c r="CY210" s="884"/>
      <c r="CZ210" s="834"/>
      <c r="DA210" s="79"/>
      <c r="DB210" s="79"/>
      <c r="DC210" s="79"/>
      <c r="DD210" s="79"/>
      <c r="DE210" s="79"/>
      <c r="DF210" s="79"/>
      <c r="DG210" s="79"/>
      <c r="DH210" s="79"/>
      <c r="DI210" s="79"/>
      <c r="DJ210" s="79"/>
      <c r="DK210" s="79"/>
      <c r="DL210" s="79"/>
      <c r="DM210" s="79"/>
      <c r="DN210" s="69"/>
      <c r="DO210" s="69"/>
    </row>
    <row r="211" spans="6:119" s="68" customFormat="1">
      <c r="T211" s="37"/>
      <c r="U211" s="249"/>
      <c r="V211" s="249"/>
      <c r="X211" s="37"/>
      <c r="CT211" s="70"/>
      <c r="CU211" s="161"/>
      <c r="CV211" s="161"/>
      <c r="CW211" s="383"/>
      <c r="CX211" s="884"/>
      <c r="CY211" s="884"/>
      <c r="CZ211" s="834"/>
      <c r="DA211" s="79"/>
      <c r="DB211" s="79"/>
      <c r="DC211" s="79"/>
      <c r="DD211" s="79"/>
      <c r="DE211" s="79"/>
      <c r="DF211" s="79"/>
      <c r="DG211" s="79"/>
      <c r="DH211" s="79"/>
      <c r="DI211" s="79"/>
      <c r="DJ211" s="79"/>
      <c r="DK211" s="79"/>
      <c r="DL211" s="79"/>
      <c r="DM211" s="79"/>
      <c r="DN211" s="69"/>
      <c r="DO211" s="69"/>
    </row>
    <row r="212" spans="6:119" s="68" customFormat="1">
      <c r="T212" s="37"/>
      <c r="U212" s="249"/>
      <c r="V212" s="249"/>
      <c r="X212" s="37"/>
      <c r="CT212" s="70"/>
      <c r="CU212" s="161"/>
      <c r="CV212" s="161"/>
      <c r="CW212" s="383"/>
      <c r="CX212" s="884"/>
      <c r="CY212" s="884"/>
      <c r="CZ212" s="834"/>
      <c r="DA212" s="79"/>
      <c r="DB212" s="79"/>
      <c r="DC212" s="79"/>
      <c r="DD212" s="79"/>
      <c r="DE212" s="79"/>
      <c r="DF212" s="79"/>
      <c r="DG212" s="79"/>
      <c r="DH212" s="79"/>
      <c r="DI212" s="79"/>
      <c r="DJ212" s="79"/>
      <c r="DK212" s="79"/>
      <c r="DL212" s="79"/>
      <c r="DM212" s="79"/>
      <c r="DN212" s="69"/>
      <c r="DO212" s="69"/>
    </row>
    <row r="213" spans="6:119" s="68" customFormat="1">
      <c r="T213" s="37"/>
      <c r="U213" s="249"/>
      <c r="V213" s="249"/>
      <c r="X213" s="37"/>
      <c r="CT213" s="70"/>
      <c r="CU213" s="161"/>
      <c r="CV213" s="161"/>
      <c r="CW213" s="383"/>
      <c r="CX213" s="884"/>
      <c r="CY213" s="884"/>
      <c r="CZ213" s="834"/>
      <c r="DA213" s="79"/>
      <c r="DB213" s="79"/>
      <c r="DC213" s="79"/>
      <c r="DD213" s="79"/>
      <c r="DE213" s="79"/>
      <c r="DF213" s="79"/>
      <c r="DG213" s="79"/>
      <c r="DH213" s="79"/>
      <c r="DI213" s="79"/>
      <c r="DJ213" s="79"/>
      <c r="DK213" s="79"/>
      <c r="DL213" s="79"/>
      <c r="DM213" s="79"/>
      <c r="DN213" s="69"/>
      <c r="DO213" s="69"/>
    </row>
    <row r="214" spans="6:119" s="68" customFormat="1">
      <c r="T214" s="37"/>
      <c r="U214" s="249"/>
      <c r="V214" s="249"/>
      <c r="W214" s="247"/>
      <c r="X214" s="37"/>
      <c r="CT214" s="70"/>
      <c r="CU214" s="161"/>
      <c r="CV214" s="161"/>
      <c r="CW214" s="383"/>
      <c r="CX214" s="884"/>
      <c r="CY214" s="884"/>
      <c r="CZ214" s="834"/>
      <c r="DA214" s="79"/>
      <c r="DB214" s="79"/>
      <c r="DC214" s="79"/>
      <c r="DD214" s="79"/>
      <c r="DE214" s="79"/>
      <c r="DF214" s="79"/>
      <c r="DG214" s="79"/>
      <c r="DH214" s="79"/>
      <c r="DI214" s="79"/>
      <c r="DJ214" s="79"/>
      <c r="DK214" s="79"/>
      <c r="DL214" s="79"/>
      <c r="DM214" s="79"/>
      <c r="DN214" s="69"/>
      <c r="DO214" s="69"/>
    </row>
    <row r="215" spans="6:119" s="68" customFormat="1">
      <c r="T215" s="37"/>
      <c r="U215" s="249"/>
      <c r="V215" s="249"/>
      <c r="W215" s="247"/>
      <c r="X215" s="37"/>
      <c r="CT215" s="70"/>
      <c r="CU215" s="161"/>
      <c r="CV215" s="161"/>
      <c r="CW215" s="383"/>
      <c r="CX215" s="884"/>
      <c r="CY215" s="884"/>
      <c r="CZ215" s="834"/>
      <c r="DA215" s="79"/>
      <c r="DB215" s="79"/>
      <c r="DC215" s="79"/>
      <c r="DD215" s="79"/>
      <c r="DE215" s="79"/>
      <c r="DF215" s="79"/>
      <c r="DG215" s="79"/>
      <c r="DH215" s="79"/>
      <c r="DI215" s="79"/>
      <c r="DJ215" s="79"/>
      <c r="DK215" s="79"/>
      <c r="DL215" s="79"/>
      <c r="DM215" s="79"/>
      <c r="DN215" s="69"/>
      <c r="DO215" s="69"/>
    </row>
    <row r="216" spans="6:119" s="68" customFormat="1">
      <c r="T216" s="37"/>
      <c r="U216" s="249"/>
      <c r="V216" s="249"/>
      <c r="W216" s="248"/>
      <c r="X216" s="37"/>
      <c r="CT216" s="70"/>
      <c r="CU216" s="161"/>
      <c r="CV216" s="161"/>
      <c r="CW216" s="383"/>
      <c r="CX216" s="884"/>
      <c r="CY216" s="884"/>
      <c r="CZ216" s="834"/>
      <c r="DA216" s="79"/>
      <c r="DB216" s="79"/>
      <c r="DC216" s="79"/>
      <c r="DD216" s="79"/>
      <c r="DE216" s="79"/>
      <c r="DF216" s="79"/>
      <c r="DG216" s="79"/>
      <c r="DH216" s="79"/>
      <c r="DI216" s="79"/>
      <c r="DJ216" s="79"/>
      <c r="DK216" s="79"/>
      <c r="DL216" s="79"/>
      <c r="DM216" s="79"/>
      <c r="DN216" s="69"/>
      <c r="DO216" s="69"/>
    </row>
    <row r="217" spans="6:119" s="68" customFormat="1">
      <c r="T217" s="37"/>
      <c r="U217" s="249"/>
      <c r="V217" s="249"/>
      <c r="W217" s="248"/>
      <c r="X217" s="37"/>
      <c r="CT217" s="70"/>
      <c r="CU217" s="161"/>
      <c r="CV217" s="161"/>
      <c r="CW217" s="383"/>
      <c r="CX217" s="884"/>
      <c r="CY217" s="884"/>
      <c r="CZ217" s="834"/>
      <c r="DA217" s="79"/>
      <c r="DB217" s="79"/>
      <c r="DC217" s="79"/>
      <c r="DD217" s="79"/>
      <c r="DE217" s="79"/>
      <c r="DF217" s="79"/>
      <c r="DG217" s="79"/>
      <c r="DH217" s="79"/>
      <c r="DI217" s="79"/>
      <c r="DJ217" s="79"/>
      <c r="DK217" s="79"/>
      <c r="DL217" s="79"/>
      <c r="DM217" s="79"/>
      <c r="DN217" s="69"/>
      <c r="DO217" s="69"/>
    </row>
    <row r="218" spans="6:119" s="68" customFormat="1">
      <c r="T218" s="37"/>
      <c r="U218" s="249"/>
      <c r="V218" s="249"/>
      <c r="W218" s="248"/>
      <c r="X218" s="37"/>
      <c r="CT218" s="70"/>
      <c r="CU218" s="161"/>
      <c r="CV218" s="161"/>
      <c r="CW218" s="383"/>
      <c r="CX218" s="884"/>
      <c r="CY218" s="884"/>
      <c r="CZ218" s="834"/>
      <c r="DA218" s="79"/>
      <c r="DB218" s="79"/>
      <c r="DC218" s="79"/>
      <c r="DD218" s="79"/>
      <c r="DE218" s="79"/>
      <c r="DF218" s="79"/>
      <c r="DG218" s="79"/>
      <c r="DH218" s="79"/>
      <c r="DI218" s="79"/>
      <c r="DJ218" s="79"/>
      <c r="DK218" s="79"/>
      <c r="DL218" s="79"/>
      <c r="DM218" s="79"/>
      <c r="DN218" s="69"/>
      <c r="DO218" s="69"/>
    </row>
    <row r="219" spans="6:119" s="68" customFormat="1">
      <c r="T219" s="37"/>
      <c r="U219" s="249"/>
      <c r="V219" s="249"/>
      <c r="W219" s="248"/>
      <c r="X219" s="37"/>
      <c r="CT219" s="70"/>
      <c r="CU219" s="161"/>
      <c r="CV219" s="161"/>
      <c r="CW219" s="383"/>
      <c r="CX219" s="884"/>
      <c r="CY219" s="884"/>
      <c r="CZ219" s="834"/>
      <c r="DA219" s="79"/>
      <c r="DB219" s="79"/>
      <c r="DC219" s="79"/>
      <c r="DD219" s="79"/>
      <c r="DE219" s="79"/>
      <c r="DF219" s="79"/>
      <c r="DG219" s="79"/>
      <c r="DH219" s="79"/>
      <c r="DI219" s="79"/>
      <c r="DJ219" s="79"/>
      <c r="DK219" s="79"/>
      <c r="DL219" s="79"/>
      <c r="DM219" s="79"/>
      <c r="DN219" s="69"/>
      <c r="DO219" s="69"/>
    </row>
    <row r="220" spans="6:119" s="68" customFormat="1">
      <c r="T220" s="37"/>
      <c r="U220" s="249"/>
      <c r="V220" s="249"/>
      <c r="W220" s="248"/>
      <c r="X220" s="37"/>
      <c r="CT220" s="70"/>
      <c r="CU220" s="161"/>
      <c r="CV220" s="161"/>
      <c r="CW220" s="383"/>
      <c r="CX220" s="884"/>
      <c r="CY220" s="884"/>
      <c r="CZ220" s="834"/>
      <c r="DA220" s="79"/>
      <c r="DB220" s="79"/>
      <c r="DC220" s="79"/>
      <c r="DD220" s="79"/>
      <c r="DE220" s="79"/>
      <c r="DF220" s="79"/>
      <c r="DG220" s="79"/>
      <c r="DH220" s="79"/>
      <c r="DI220" s="79"/>
      <c r="DJ220" s="79"/>
      <c r="DK220" s="79"/>
      <c r="DL220" s="79"/>
      <c r="DM220" s="79"/>
      <c r="DN220" s="69"/>
      <c r="DO220" s="69"/>
    </row>
    <row r="221" spans="6:119" s="2057" customFormat="1">
      <c r="T221" s="2058"/>
      <c r="U221" s="2058"/>
      <c r="V221" s="2058"/>
      <c r="W221" s="2059"/>
      <c r="X221" s="2058"/>
      <c r="CT221" s="2060"/>
      <c r="CU221" s="2061"/>
      <c r="CV221" s="2061"/>
      <c r="CW221" s="2062"/>
      <c r="CX221" s="2063"/>
      <c r="CY221" s="2063"/>
      <c r="CZ221" s="2064"/>
    </row>
    <row r="222" spans="6:119" s="2057" customFormat="1" ht="15" customHeight="1">
      <c r="T222" s="2058"/>
      <c r="U222" s="2058"/>
      <c r="V222" s="2058"/>
      <c r="X222" s="2058"/>
      <c r="CT222" s="2060"/>
      <c r="CU222" s="2061"/>
      <c r="CV222" s="2061"/>
      <c r="CW222" s="2062" t="str">
        <f>IF(CR223="English",CY222,CX222)</f>
        <v>Gesamteinnahmen</v>
      </c>
      <c r="CX222" s="2063" t="s">
        <v>757</v>
      </c>
      <c r="CY222" s="2063" t="s">
        <v>758</v>
      </c>
      <c r="CZ222" s="2064"/>
    </row>
    <row r="223" spans="6:119" s="2067" customFormat="1">
      <c r="F223" s="2065"/>
      <c r="G223" s="2065">
        <v>1</v>
      </c>
      <c r="H223" s="2065">
        <v>2</v>
      </c>
      <c r="I223" s="2065">
        <v>3</v>
      </c>
      <c r="J223" s="2065">
        <v>4</v>
      </c>
      <c r="K223" s="2065">
        <v>5</v>
      </c>
      <c r="L223" s="2065">
        <v>6</v>
      </c>
      <c r="M223" s="2065">
        <v>7</v>
      </c>
      <c r="N223" s="2065">
        <v>8</v>
      </c>
      <c r="O223" s="2065">
        <v>9</v>
      </c>
      <c r="P223" s="2065">
        <v>10</v>
      </c>
      <c r="Q223" s="2065">
        <v>11</v>
      </c>
      <c r="R223" s="2065">
        <v>12</v>
      </c>
      <c r="S223" s="2066">
        <v>1</v>
      </c>
      <c r="T223" s="2066">
        <v>2</v>
      </c>
      <c r="U223" s="2066">
        <v>3</v>
      </c>
      <c r="V223" s="2066">
        <v>4</v>
      </c>
      <c r="W223" s="2066">
        <v>5</v>
      </c>
      <c r="X223" s="2066">
        <v>6</v>
      </c>
      <c r="Y223" s="2066">
        <v>7</v>
      </c>
      <c r="Z223" s="2066">
        <v>8</v>
      </c>
      <c r="AA223" s="2066">
        <v>9</v>
      </c>
      <c r="AB223" s="2066">
        <v>10</v>
      </c>
      <c r="AC223" s="2066">
        <v>11</v>
      </c>
      <c r="AD223" s="2066">
        <v>12</v>
      </c>
      <c r="CT223" s="2065"/>
      <c r="CU223" s="2068"/>
      <c r="CV223" s="2068"/>
      <c r="CW223" s="2062" t="str">
        <f>IF(CR224="English",CY223,CX223)</f>
        <v>Block</v>
      </c>
      <c r="CX223" s="2069" t="s">
        <v>1083</v>
      </c>
      <c r="CY223" s="2069" t="s">
        <v>1084</v>
      </c>
      <c r="CZ223" s="2070"/>
    </row>
    <row r="224" spans="6:119" s="2067" customFormat="1">
      <c r="F224" s="2065"/>
      <c r="G224" s="2065" t="str">
        <f ca="1">G223&amp;"."&amp;RIGHT(Basisdaten!$C$15,2)</f>
        <v>1.26</v>
      </c>
      <c r="H224" s="2065" t="str">
        <f ca="1">H223&amp;"."&amp;RIGHT(Basisdaten!$C$15,2)</f>
        <v>2.26</v>
      </c>
      <c r="I224" s="2065" t="str">
        <f ca="1">I223&amp;"."&amp;RIGHT(Basisdaten!$C$15,2)</f>
        <v>3.26</v>
      </c>
      <c r="J224" s="2065" t="str">
        <f ca="1">J223&amp;"."&amp;RIGHT(Basisdaten!$C$15,2)</f>
        <v>4.26</v>
      </c>
      <c r="K224" s="2065" t="str">
        <f ca="1">K223&amp;"."&amp;RIGHT(Basisdaten!$C$15,2)</f>
        <v>5.26</v>
      </c>
      <c r="L224" s="2065" t="str">
        <f ca="1">L223&amp;"."&amp;RIGHT(Basisdaten!$C$15,2)</f>
        <v>6.26</v>
      </c>
      <c r="M224" s="2065" t="str">
        <f ca="1">M223&amp;"."&amp;RIGHT(Basisdaten!$C$15,2)</f>
        <v>7.26</v>
      </c>
      <c r="N224" s="2065" t="str">
        <f ca="1">N223&amp;"."&amp;RIGHT(Basisdaten!$C$15,2)</f>
        <v>8.26</v>
      </c>
      <c r="O224" s="2065" t="str">
        <f ca="1">O223&amp;"."&amp;RIGHT(Basisdaten!$C$15,2)</f>
        <v>9.26</v>
      </c>
      <c r="P224" s="2065" t="str">
        <f ca="1">P223&amp;"."&amp;RIGHT(Basisdaten!$C$15,2)</f>
        <v>10.26</v>
      </c>
      <c r="Q224" s="2065" t="str">
        <f ca="1">Q223&amp;"."&amp;RIGHT(Basisdaten!$C$15,2)</f>
        <v>11.26</v>
      </c>
      <c r="R224" s="2065" t="str">
        <f ca="1">R223&amp;"."&amp;RIGHT(Basisdaten!$C$15,2)</f>
        <v>12.26</v>
      </c>
      <c r="S224" s="2066" t="str">
        <f ca="1">G223&amp;"."&amp;RIGHT(Basisdaten!$C$15+1,2)</f>
        <v>1.27</v>
      </c>
      <c r="T224" s="2066" t="str">
        <f ca="1">H223&amp;"."&amp;RIGHT(Basisdaten!$C$15+1,2)</f>
        <v>2.27</v>
      </c>
      <c r="U224" s="2066" t="str">
        <f ca="1">I223&amp;"."&amp;RIGHT(Basisdaten!$C$15+1,2)</f>
        <v>3.27</v>
      </c>
      <c r="V224" s="2066" t="str">
        <f ca="1">J223&amp;"."&amp;RIGHT(Basisdaten!$C$15+1,2)</f>
        <v>4.27</v>
      </c>
      <c r="W224" s="2066" t="str">
        <f ca="1">K223&amp;"."&amp;RIGHT(Basisdaten!$C$15+1,2)</f>
        <v>5.27</v>
      </c>
      <c r="X224" s="2066" t="str">
        <f ca="1">L223&amp;"."&amp;RIGHT(Basisdaten!$C$15+1,2)</f>
        <v>6.27</v>
      </c>
      <c r="Y224" s="2066" t="str">
        <f ca="1">M223&amp;"."&amp;RIGHT(Basisdaten!$C$15+1,2)</f>
        <v>7.27</v>
      </c>
      <c r="Z224" s="2066" t="str">
        <f ca="1">N223&amp;"."&amp;RIGHT(Basisdaten!$C$15+1,2)</f>
        <v>8.27</v>
      </c>
      <c r="AA224" s="2066" t="str">
        <f ca="1">O223&amp;"."&amp;RIGHT(Basisdaten!$C$15+1,2)</f>
        <v>9.27</v>
      </c>
      <c r="AB224" s="2066" t="str">
        <f ca="1">P223&amp;"."&amp;RIGHT(Basisdaten!$C$15+1,2)</f>
        <v>10.27</v>
      </c>
      <c r="AC224" s="2066" t="str">
        <f ca="1">Q223&amp;"."&amp;RIGHT(Basisdaten!$C$15+1,2)</f>
        <v>11.27</v>
      </c>
      <c r="AD224" s="2066" t="str">
        <f ca="1">R223&amp;"."&amp;RIGHT(Basisdaten!$C$15+1,2)</f>
        <v>12.27</v>
      </c>
      <c r="CT224" s="2065"/>
      <c r="CU224" s="2068"/>
      <c r="CV224" s="2068"/>
      <c r="CW224" s="2071"/>
      <c r="CX224" s="2069"/>
      <c r="CY224" s="2069"/>
      <c r="CZ224" s="2070"/>
    </row>
    <row r="225" spans="1:117" s="2067" customFormat="1">
      <c r="F225" s="2065" t="str">
        <f>IF(SUM(G225:AD225)=0,"",$E$5&amp;" "&amp;$CW$223&amp;" 1")</f>
        <v/>
      </c>
      <c r="G225" s="2072">
        <f t="shared" ref="G225:R225" si="58">H14</f>
        <v>0</v>
      </c>
      <c r="H225" s="2072">
        <f t="shared" si="58"/>
        <v>0</v>
      </c>
      <c r="I225" s="2072">
        <f t="shared" si="58"/>
        <v>0</v>
      </c>
      <c r="J225" s="2072">
        <f t="shared" si="58"/>
        <v>0</v>
      </c>
      <c r="K225" s="2072">
        <f t="shared" si="58"/>
        <v>0</v>
      </c>
      <c r="L225" s="2072">
        <f t="shared" si="58"/>
        <v>0</v>
      </c>
      <c r="M225" s="2072">
        <f t="shared" si="58"/>
        <v>0</v>
      </c>
      <c r="N225" s="2072">
        <f t="shared" si="58"/>
        <v>0</v>
      </c>
      <c r="O225" s="2072">
        <f t="shared" si="58"/>
        <v>0</v>
      </c>
      <c r="P225" s="2072">
        <f t="shared" si="58"/>
        <v>0</v>
      </c>
      <c r="Q225" s="2072">
        <f t="shared" si="58"/>
        <v>0</v>
      </c>
      <c r="R225" s="2072">
        <f t="shared" si="58"/>
        <v>0</v>
      </c>
      <c r="S225" s="2072">
        <f>H48</f>
        <v>0</v>
      </c>
      <c r="T225" s="2072">
        <f t="shared" ref="T225:AD225" si="59">I48</f>
        <v>0</v>
      </c>
      <c r="U225" s="2072">
        <f t="shared" si="59"/>
        <v>0</v>
      </c>
      <c r="V225" s="2072">
        <f t="shared" si="59"/>
        <v>0</v>
      </c>
      <c r="W225" s="2072">
        <f t="shared" si="59"/>
        <v>0</v>
      </c>
      <c r="X225" s="2072">
        <f t="shared" si="59"/>
        <v>0</v>
      </c>
      <c r="Y225" s="2072">
        <f t="shared" si="59"/>
        <v>0</v>
      </c>
      <c r="Z225" s="2072">
        <f t="shared" si="59"/>
        <v>0</v>
      </c>
      <c r="AA225" s="2072">
        <f t="shared" si="59"/>
        <v>0</v>
      </c>
      <c r="AB225" s="2072">
        <f t="shared" si="59"/>
        <v>0</v>
      </c>
      <c r="AC225" s="2072">
        <f t="shared" si="59"/>
        <v>0</v>
      </c>
      <c r="AD225" s="2072">
        <f t="shared" si="59"/>
        <v>0</v>
      </c>
      <c r="CT225" s="2065"/>
      <c r="CU225" s="2068"/>
      <c r="CV225" s="2068"/>
      <c r="CW225" s="2071"/>
      <c r="CX225" s="2069"/>
      <c r="CY225" s="2069"/>
      <c r="CZ225" s="2070"/>
    </row>
    <row r="226" spans="1:117" s="2067" customFormat="1">
      <c r="F226" s="2065" t="str">
        <f>IF(SUM(G226:AD226)=0,"",$E$16&amp;" "&amp;$CW$223&amp;" 2")</f>
        <v/>
      </c>
      <c r="G226" s="2072">
        <f>H25</f>
        <v>0</v>
      </c>
      <c r="H226" s="2072">
        <f t="shared" ref="H226:R226" si="60">I25</f>
        <v>0</v>
      </c>
      <c r="I226" s="2072">
        <f t="shared" si="60"/>
        <v>0</v>
      </c>
      <c r="J226" s="2072">
        <f t="shared" si="60"/>
        <v>0</v>
      </c>
      <c r="K226" s="2072">
        <f t="shared" si="60"/>
        <v>0</v>
      </c>
      <c r="L226" s="2072">
        <f t="shared" si="60"/>
        <v>0</v>
      </c>
      <c r="M226" s="2072">
        <f t="shared" si="60"/>
        <v>0</v>
      </c>
      <c r="N226" s="2072">
        <f t="shared" si="60"/>
        <v>0</v>
      </c>
      <c r="O226" s="2072">
        <f t="shared" si="60"/>
        <v>0</v>
      </c>
      <c r="P226" s="2072">
        <f t="shared" si="60"/>
        <v>0</v>
      </c>
      <c r="Q226" s="2072">
        <f t="shared" si="60"/>
        <v>0</v>
      </c>
      <c r="R226" s="2072">
        <f t="shared" si="60"/>
        <v>0</v>
      </c>
      <c r="S226" s="2072">
        <f>H59</f>
        <v>0</v>
      </c>
      <c r="T226" s="2072">
        <f t="shared" ref="T226:AD226" si="61">I59</f>
        <v>0</v>
      </c>
      <c r="U226" s="2072">
        <f t="shared" si="61"/>
        <v>0</v>
      </c>
      <c r="V226" s="2072">
        <f t="shared" si="61"/>
        <v>0</v>
      </c>
      <c r="W226" s="2072">
        <f t="shared" si="61"/>
        <v>0</v>
      </c>
      <c r="X226" s="2072">
        <f t="shared" si="61"/>
        <v>0</v>
      </c>
      <c r="Y226" s="2072">
        <f t="shared" si="61"/>
        <v>0</v>
      </c>
      <c r="Z226" s="2072">
        <f t="shared" si="61"/>
        <v>0</v>
      </c>
      <c r="AA226" s="2072">
        <f t="shared" si="61"/>
        <v>0</v>
      </c>
      <c r="AB226" s="2072">
        <f t="shared" si="61"/>
        <v>0</v>
      </c>
      <c r="AC226" s="2072">
        <f t="shared" si="61"/>
        <v>0</v>
      </c>
      <c r="AD226" s="2072">
        <f t="shared" si="61"/>
        <v>0</v>
      </c>
      <c r="CT226" s="2065"/>
      <c r="CU226" s="2068"/>
      <c r="CV226" s="2068"/>
      <c r="CW226" s="2071"/>
      <c r="CX226" s="2069"/>
      <c r="CY226" s="2069"/>
      <c r="CZ226" s="2070"/>
    </row>
    <row r="227" spans="1:117" s="2067" customFormat="1">
      <c r="F227" s="2065" t="str">
        <f>IF(SUM(G227:AD227)=0,"",$E$27)</f>
        <v/>
      </c>
      <c r="G227" s="2072">
        <f t="shared" ref="G227:R227" si="62">H30</f>
        <v>0</v>
      </c>
      <c r="H227" s="2072">
        <f t="shared" si="62"/>
        <v>0</v>
      </c>
      <c r="I227" s="2072">
        <f t="shared" si="62"/>
        <v>0</v>
      </c>
      <c r="J227" s="2072">
        <f t="shared" si="62"/>
        <v>0</v>
      </c>
      <c r="K227" s="2072">
        <f t="shared" si="62"/>
        <v>0</v>
      </c>
      <c r="L227" s="2072">
        <f t="shared" si="62"/>
        <v>0</v>
      </c>
      <c r="M227" s="2072">
        <f t="shared" si="62"/>
        <v>0</v>
      </c>
      <c r="N227" s="2072">
        <f t="shared" si="62"/>
        <v>0</v>
      </c>
      <c r="O227" s="2072">
        <f t="shared" si="62"/>
        <v>0</v>
      </c>
      <c r="P227" s="2072">
        <f t="shared" si="62"/>
        <v>0</v>
      </c>
      <c r="Q227" s="2072">
        <f t="shared" si="62"/>
        <v>0</v>
      </c>
      <c r="R227" s="2072">
        <f t="shared" si="62"/>
        <v>0</v>
      </c>
      <c r="S227" s="2072">
        <f t="shared" ref="S227:AD227" si="63">H64</f>
        <v>0</v>
      </c>
      <c r="T227" s="2072">
        <f t="shared" si="63"/>
        <v>0</v>
      </c>
      <c r="U227" s="2072">
        <f t="shared" si="63"/>
        <v>0</v>
      </c>
      <c r="V227" s="2072">
        <f t="shared" si="63"/>
        <v>0</v>
      </c>
      <c r="W227" s="2072">
        <f t="shared" si="63"/>
        <v>0</v>
      </c>
      <c r="X227" s="2072">
        <f t="shared" si="63"/>
        <v>0</v>
      </c>
      <c r="Y227" s="2072">
        <f t="shared" si="63"/>
        <v>0</v>
      </c>
      <c r="Z227" s="2072">
        <f t="shared" si="63"/>
        <v>0</v>
      </c>
      <c r="AA227" s="2072">
        <f t="shared" si="63"/>
        <v>0</v>
      </c>
      <c r="AB227" s="2072">
        <f t="shared" si="63"/>
        <v>0</v>
      </c>
      <c r="AC227" s="2072">
        <f t="shared" si="63"/>
        <v>0</v>
      </c>
      <c r="AD227" s="2072">
        <f t="shared" si="63"/>
        <v>0</v>
      </c>
      <c r="CT227" s="2065"/>
      <c r="CU227" s="2068"/>
      <c r="CV227" s="2068"/>
      <c r="CW227" s="2071"/>
      <c r="CX227" s="2069"/>
      <c r="CY227" s="2069"/>
      <c r="CZ227" s="2070"/>
      <c r="DA227" s="2073"/>
      <c r="DB227" s="2073"/>
      <c r="DC227" s="2073"/>
      <c r="DD227" s="2073"/>
      <c r="DE227" s="2073"/>
      <c r="DF227" s="2073"/>
      <c r="DG227" s="2073"/>
      <c r="DH227" s="2073"/>
      <c r="DI227" s="2073"/>
      <c r="DJ227" s="2073"/>
      <c r="DK227" s="2073"/>
      <c r="DL227" s="2073"/>
      <c r="DM227" s="2073"/>
    </row>
    <row r="228" spans="1:117" s="2067" customFormat="1">
      <c r="F228" s="2065" t="s">
        <v>346</v>
      </c>
      <c r="G228" s="2072">
        <f>G229</f>
        <v>0</v>
      </c>
      <c r="H228" s="2072">
        <f>H229+G228</f>
        <v>0</v>
      </c>
      <c r="I228" s="2072">
        <f t="shared" ref="I228:S228" si="64">I229+H228</f>
        <v>0</v>
      </c>
      <c r="J228" s="2072">
        <f t="shared" si="64"/>
        <v>0</v>
      </c>
      <c r="K228" s="2072">
        <f t="shared" si="64"/>
        <v>0</v>
      </c>
      <c r="L228" s="2072">
        <f t="shared" si="64"/>
        <v>0</v>
      </c>
      <c r="M228" s="2072">
        <f t="shared" si="64"/>
        <v>0</v>
      </c>
      <c r="N228" s="2072">
        <f t="shared" si="64"/>
        <v>0</v>
      </c>
      <c r="O228" s="2072">
        <f t="shared" si="64"/>
        <v>0</v>
      </c>
      <c r="P228" s="2072">
        <f t="shared" si="64"/>
        <v>0</v>
      </c>
      <c r="Q228" s="2072">
        <f t="shared" si="64"/>
        <v>0</v>
      </c>
      <c r="R228" s="2072">
        <f t="shared" si="64"/>
        <v>0</v>
      </c>
      <c r="S228" s="2072">
        <f t="shared" si="64"/>
        <v>0</v>
      </c>
      <c r="T228" s="2072">
        <f t="shared" ref="T228:AD228" si="65">T229+S228</f>
        <v>0</v>
      </c>
      <c r="U228" s="2072">
        <f t="shared" si="65"/>
        <v>0</v>
      </c>
      <c r="V228" s="2072">
        <f t="shared" si="65"/>
        <v>0</v>
      </c>
      <c r="W228" s="2072">
        <f t="shared" si="65"/>
        <v>0</v>
      </c>
      <c r="X228" s="2072">
        <f t="shared" si="65"/>
        <v>0</v>
      </c>
      <c r="Y228" s="2072">
        <f t="shared" si="65"/>
        <v>0</v>
      </c>
      <c r="Z228" s="2072">
        <f t="shared" si="65"/>
        <v>0</v>
      </c>
      <c r="AA228" s="2072">
        <f t="shared" si="65"/>
        <v>0</v>
      </c>
      <c r="AB228" s="2072">
        <f t="shared" si="65"/>
        <v>0</v>
      </c>
      <c r="AC228" s="2072">
        <f t="shared" si="65"/>
        <v>0</v>
      </c>
      <c r="AD228" s="2072">
        <f t="shared" si="65"/>
        <v>0</v>
      </c>
      <c r="CT228" s="2065"/>
      <c r="CU228" s="2068"/>
      <c r="CV228" s="2068"/>
      <c r="CW228" s="2071"/>
      <c r="CX228" s="2069"/>
      <c r="CY228" s="2069"/>
      <c r="CZ228" s="2070"/>
      <c r="DA228" s="2073"/>
      <c r="DB228" s="2073"/>
      <c r="DC228" s="2073"/>
      <c r="DD228" s="2073"/>
      <c r="DE228" s="2073"/>
      <c r="DF228" s="2073"/>
      <c r="DG228" s="2073"/>
      <c r="DH228" s="2073"/>
      <c r="DI228" s="2073"/>
      <c r="DJ228" s="2073"/>
      <c r="DK228" s="2073"/>
      <c r="DL228" s="2073"/>
      <c r="DM228" s="2073"/>
    </row>
    <row r="229" spans="1:117" s="2067" customFormat="1">
      <c r="F229" s="2065"/>
      <c r="G229" s="2072">
        <f>SUM(G225:G227)</f>
        <v>0</v>
      </c>
      <c r="H229" s="2072">
        <f t="shared" ref="H229:T229" si="66">SUM(H225:H227)</f>
        <v>0</v>
      </c>
      <c r="I229" s="2072">
        <f t="shared" si="66"/>
        <v>0</v>
      </c>
      <c r="J229" s="2072">
        <f t="shared" si="66"/>
        <v>0</v>
      </c>
      <c r="K229" s="2072">
        <f t="shared" si="66"/>
        <v>0</v>
      </c>
      <c r="L229" s="2072">
        <f t="shared" si="66"/>
        <v>0</v>
      </c>
      <c r="M229" s="2072">
        <f t="shared" si="66"/>
        <v>0</v>
      </c>
      <c r="N229" s="2072">
        <f t="shared" si="66"/>
        <v>0</v>
      </c>
      <c r="O229" s="2072">
        <f t="shared" si="66"/>
        <v>0</v>
      </c>
      <c r="P229" s="2072">
        <f t="shared" si="66"/>
        <v>0</v>
      </c>
      <c r="Q229" s="2072">
        <f t="shared" si="66"/>
        <v>0</v>
      </c>
      <c r="R229" s="2072">
        <f t="shared" si="66"/>
        <v>0</v>
      </c>
      <c r="S229" s="2072">
        <f t="shared" si="66"/>
        <v>0</v>
      </c>
      <c r="T229" s="2072">
        <f t="shared" si="66"/>
        <v>0</v>
      </c>
      <c r="U229" s="2072">
        <f t="shared" ref="U229:AD229" si="67">SUM(U225:U227)</f>
        <v>0</v>
      </c>
      <c r="V229" s="2072">
        <f>SUM(V225:V227)</f>
        <v>0</v>
      </c>
      <c r="W229" s="2074">
        <f>SUM(W225:W227)</f>
        <v>0</v>
      </c>
      <c r="X229" s="2074">
        <f t="shared" si="67"/>
        <v>0</v>
      </c>
      <c r="Y229" s="2074">
        <f t="shared" si="67"/>
        <v>0</v>
      </c>
      <c r="Z229" s="2074">
        <f t="shared" si="67"/>
        <v>0</v>
      </c>
      <c r="AA229" s="2074">
        <f t="shared" si="67"/>
        <v>0</v>
      </c>
      <c r="AB229" s="2074">
        <f t="shared" si="67"/>
        <v>0</v>
      </c>
      <c r="AC229" s="2074">
        <f t="shared" si="67"/>
        <v>0</v>
      </c>
      <c r="AD229" s="2074">
        <f t="shared" si="67"/>
        <v>0</v>
      </c>
      <c r="CT229" s="2065"/>
      <c r="CU229" s="2068"/>
      <c r="CV229" s="2068"/>
      <c r="CW229" s="2071"/>
      <c r="CX229" s="2069"/>
      <c r="CY229" s="2069"/>
      <c r="CZ229" s="2070"/>
      <c r="DA229" s="2073"/>
      <c r="DB229" s="2073"/>
      <c r="DC229" s="2073"/>
      <c r="DD229" s="2073"/>
      <c r="DE229" s="2073"/>
      <c r="DF229" s="2073"/>
      <c r="DG229" s="2073"/>
      <c r="DH229" s="2073"/>
      <c r="DI229" s="2073"/>
      <c r="DJ229" s="2073"/>
      <c r="DK229" s="2073"/>
      <c r="DL229" s="2073"/>
      <c r="DM229" s="2073"/>
    </row>
    <row r="230" spans="1:117" s="68" customFormat="1">
      <c r="T230" s="37"/>
      <c r="U230" s="37"/>
      <c r="V230" s="37"/>
      <c r="X230" s="37"/>
      <c r="CT230" s="70"/>
      <c r="CU230" s="161"/>
      <c r="CV230" s="161"/>
      <c r="CW230" s="383"/>
      <c r="CX230" s="305"/>
      <c r="CY230" s="305"/>
      <c r="CZ230" s="216"/>
      <c r="DA230" s="71"/>
      <c r="DB230" s="71"/>
      <c r="DC230" s="71"/>
      <c r="DD230" s="71"/>
      <c r="DE230" s="71"/>
      <c r="DF230" s="71"/>
      <c r="DG230" s="71"/>
      <c r="DH230" s="71"/>
      <c r="DI230" s="71"/>
      <c r="DJ230" s="71"/>
      <c r="DK230" s="71"/>
      <c r="DL230" s="71"/>
      <c r="DM230" s="71"/>
    </row>
    <row r="231" spans="1:117" s="68" customFormat="1">
      <c r="T231" s="37"/>
      <c r="U231" s="37"/>
      <c r="V231" s="37"/>
      <c r="X231" s="37"/>
      <c r="CT231" s="70"/>
      <c r="CU231" s="161"/>
      <c r="CV231" s="161"/>
      <c r="CW231" s="383"/>
      <c r="CX231" s="305"/>
      <c r="CY231" s="305"/>
      <c r="CZ231" s="216"/>
      <c r="DA231" s="71"/>
      <c r="DB231" s="71"/>
      <c r="DC231" s="71"/>
      <c r="DD231" s="71"/>
      <c r="DE231" s="71"/>
      <c r="DF231" s="71"/>
      <c r="DG231" s="71"/>
      <c r="DH231" s="71"/>
      <c r="DI231" s="71"/>
      <c r="DJ231" s="71"/>
      <c r="DK231" s="71"/>
      <c r="DL231" s="71"/>
      <c r="DM231" s="71"/>
    </row>
    <row r="232" spans="1:117" s="68" customFormat="1">
      <c r="G232" s="2039"/>
      <c r="H232" s="70"/>
      <c r="I232" s="70"/>
      <c r="J232" s="70"/>
      <c r="K232" s="70"/>
      <c r="T232" s="37"/>
      <c r="U232" s="37"/>
      <c r="V232" s="37"/>
      <c r="X232" s="37"/>
      <c r="CT232" s="70"/>
      <c r="CU232" s="161"/>
      <c r="CV232" s="161"/>
      <c r="CW232" s="383"/>
      <c r="CX232" s="305"/>
      <c r="CY232" s="305"/>
      <c r="CZ232" s="216"/>
      <c r="DA232" s="71"/>
      <c r="DB232" s="71"/>
      <c r="DC232" s="71"/>
      <c r="DD232" s="71"/>
      <c r="DE232" s="71"/>
      <c r="DF232" s="71"/>
      <c r="DG232" s="71"/>
      <c r="DH232" s="71"/>
      <c r="DI232" s="71"/>
      <c r="DJ232" s="71"/>
      <c r="DK232" s="71"/>
      <c r="DL232" s="71"/>
      <c r="DM232" s="71"/>
    </row>
    <row r="233" spans="1:117" s="69" customFormat="1">
      <c r="A233" s="247"/>
      <c r="B233" s="247"/>
      <c r="C233" s="247"/>
      <c r="D233" s="247"/>
      <c r="E233" s="247"/>
      <c r="F233" s="943"/>
      <c r="G233" s="944"/>
      <c r="H233" s="944"/>
      <c r="I233" s="944"/>
      <c r="J233" s="944"/>
      <c r="K233" s="944"/>
      <c r="L233" s="247"/>
      <c r="T233" s="45"/>
      <c r="U233" s="249"/>
      <c r="V233" s="249"/>
      <c r="X233" s="45"/>
      <c r="BC233" s="68"/>
      <c r="BD233" s="68"/>
      <c r="BE233" s="68"/>
      <c r="BF233" s="68"/>
      <c r="CT233" s="120"/>
      <c r="CU233" s="620"/>
      <c r="CV233" s="620"/>
      <c r="CW233" s="953"/>
      <c r="CX233" s="942"/>
      <c r="CY233" s="942"/>
      <c r="CZ233" s="654"/>
      <c r="DA233" s="88"/>
      <c r="DB233" s="88"/>
      <c r="DC233" s="88"/>
      <c r="DD233" s="88"/>
      <c r="DE233" s="88"/>
      <c r="DF233" s="88"/>
      <c r="DG233" s="88"/>
      <c r="DH233" s="88"/>
      <c r="DI233" s="88"/>
      <c r="DJ233" s="88"/>
      <c r="DK233" s="88"/>
      <c r="DL233" s="88"/>
      <c r="DM233" s="88"/>
    </row>
    <row r="234" spans="1:117" s="69" customFormat="1">
      <c r="A234" s="247"/>
      <c r="B234" s="247"/>
      <c r="C234" s="247"/>
      <c r="D234" s="247"/>
      <c r="E234" s="247"/>
      <c r="F234" s="943"/>
      <c r="G234" s="944"/>
      <c r="H234" s="944"/>
      <c r="I234" s="944"/>
      <c r="J234" s="944"/>
      <c r="K234" s="944"/>
      <c r="L234" s="247"/>
      <c r="T234" s="45"/>
      <c r="U234" s="249"/>
      <c r="V234" s="249"/>
      <c r="X234" s="45"/>
      <c r="BC234" s="68"/>
      <c r="BD234" s="68"/>
      <c r="BE234" s="68"/>
      <c r="BF234" s="68"/>
      <c r="CT234" s="120"/>
      <c r="CU234" s="620"/>
      <c r="CV234" s="620"/>
      <c r="CW234" s="953"/>
      <c r="CX234" s="942"/>
      <c r="CY234" s="942"/>
      <c r="CZ234" s="654"/>
      <c r="DA234" s="88"/>
      <c r="DB234" s="88"/>
      <c r="DC234" s="88"/>
      <c r="DD234" s="88"/>
      <c r="DE234" s="88"/>
      <c r="DF234" s="88"/>
      <c r="DG234" s="88"/>
      <c r="DH234" s="88"/>
      <c r="DI234" s="88"/>
      <c r="DJ234" s="88"/>
      <c r="DK234" s="88"/>
      <c r="DL234" s="88"/>
      <c r="DM234" s="88"/>
    </row>
    <row r="235" spans="1:117" s="69" customFormat="1">
      <c r="A235" s="247"/>
      <c r="B235" s="247"/>
      <c r="C235" s="247"/>
      <c r="D235" s="247"/>
      <c r="E235" s="247"/>
      <c r="F235" s="943"/>
      <c r="G235" s="944"/>
      <c r="H235" s="944"/>
      <c r="I235" s="944"/>
      <c r="J235" s="944"/>
      <c r="K235" s="944"/>
      <c r="L235" s="247"/>
      <c r="T235" s="45"/>
      <c r="U235" s="249"/>
      <c r="V235" s="249"/>
      <c r="X235" s="45"/>
      <c r="BC235" s="68"/>
      <c r="BD235" s="68"/>
      <c r="BE235" s="68"/>
      <c r="BF235" s="68"/>
      <c r="CT235" s="120"/>
      <c r="CU235" s="620"/>
      <c r="CV235" s="620"/>
      <c r="CW235" s="953"/>
      <c r="CX235" s="942"/>
      <c r="CY235" s="942"/>
      <c r="CZ235" s="654"/>
      <c r="DA235" s="88"/>
      <c r="DB235" s="88"/>
      <c r="DC235" s="88"/>
      <c r="DD235" s="88"/>
      <c r="DE235" s="88"/>
      <c r="DF235" s="88"/>
      <c r="DG235" s="88"/>
      <c r="DH235" s="88"/>
      <c r="DI235" s="88"/>
      <c r="DJ235" s="88"/>
      <c r="DK235" s="88"/>
      <c r="DL235" s="88"/>
      <c r="DM235" s="88"/>
    </row>
    <row r="236" spans="1:117" s="69" customFormat="1">
      <c r="A236" s="247"/>
      <c r="B236" s="247"/>
      <c r="C236" s="247"/>
      <c r="D236" s="247"/>
      <c r="E236" s="247"/>
      <c r="F236" s="247"/>
      <c r="G236" s="945"/>
      <c r="H236" s="945"/>
      <c r="I236" s="945"/>
      <c r="J236" s="945"/>
      <c r="K236" s="945"/>
      <c r="L236" s="247"/>
      <c r="T236" s="45"/>
      <c r="U236" s="249"/>
      <c r="V236" s="249"/>
      <c r="X236" s="45"/>
      <c r="BC236" s="68"/>
      <c r="BD236" s="68"/>
      <c r="BE236" s="68"/>
      <c r="BF236" s="68"/>
      <c r="CT236" s="120"/>
      <c r="CU236" s="620"/>
      <c r="CV236" s="620"/>
      <c r="CW236" s="953"/>
      <c r="CX236" s="942"/>
      <c r="CY236" s="942"/>
      <c r="CZ236" s="654"/>
      <c r="DA236" s="88"/>
      <c r="DB236" s="88"/>
      <c r="DC236" s="88"/>
      <c r="DD236" s="88"/>
      <c r="DE236" s="88"/>
      <c r="DF236" s="88"/>
      <c r="DG236" s="88"/>
      <c r="DH236" s="88"/>
      <c r="DI236" s="88"/>
      <c r="DJ236" s="88"/>
      <c r="DK236" s="88"/>
      <c r="DL236" s="88"/>
      <c r="DM236" s="88"/>
    </row>
    <row r="237" spans="1:117" s="69" customFormat="1">
      <c r="A237" s="247"/>
      <c r="B237" s="247"/>
      <c r="C237" s="247"/>
      <c r="D237" s="247"/>
      <c r="E237" s="247"/>
      <c r="F237" s="247"/>
      <c r="G237" s="247"/>
      <c r="H237" s="247"/>
      <c r="I237" s="247"/>
      <c r="J237" s="247"/>
      <c r="K237" s="247"/>
      <c r="L237" s="247"/>
      <c r="T237" s="45"/>
      <c r="U237" s="249"/>
      <c r="V237" s="249"/>
      <c r="X237" s="45"/>
      <c r="BC237" s="68"/>
      <c r="BD237" s="68"/>
      <c r="BE237" s="68"/>
      <c r="BF237" s="68"/>
      <c r="CT237" s="120"/>
      <c r="CU237" s="620"/>
      <c r="CV237" s="620"/>
      <c r="CW237" s="953"/>
      <c r="CX237" s="942"/>
      <c r="CY237" s="942"/>
      <c r="CZ237" s="654"/>
      <c r="DA237" s="88"/>
      <c r="DB237" s="88"/>
      <c r="DC237" s="88"/>
      <c r="DD237" s="88"/>
      <c r="DE237" s="88"/>
      <c r="DF237" s="88"/>
      <c r="DG237" s="88"/>
      <c r="DH237" s="88"/>
      <c r="DI237" s="88"/>
      <c r="DJ237" s="88"/>
      <c r="DK237" s="88"/>
      <c r="DL237" s="88"/>
      <c r="DM237" s="88"/>
    </row>
    <row r="238" spans="1:117" s="247" customFormat="1">
      <c r="T238" s="249"/>
      <c r="U238" s="249"/>
      <c r="V238" s="249"/>
      <c r="X238" s="249"/>
      <c r="BC238" s="68"/>
      <c r="BD238" s="68"/>
      <c r="BE238" s="68"/>
      <c r="BF238" s="68"/>
      <c r="CT238" s="493"/>
      <c r="CU238" s="489"/>
      <c r="CV238" s="489"/>
      <c r="CW238" s="885"/>
      <c r="CX238" s="353"/>
      <c r="CY238" s="353"/>
      <c r="CZ238" s="946"/>
      <c r="DA238" s="40"/>
      <c r="DB238" s="40"/>
      <c r="DC238" s="40"/>
      <c r="DD238" s="40"/>
      <c r="DE238" s="40"/>
      <c r="DF238" s="40"/>
      <c r="DG238" s="40"/>
      <c r="DH238" s="40"/>
      <c r="DI238" s="40"/>
      <c r="DJ238" s="40"/>
      <c r="DK238" s="40"/>
      <c r="DL238" s="40"/>
      <c r="DM238" s="40"/>
    </row>
    <row r="239" spans="1:117" s="247" customFormat="1">
      <c r="T239" s="249"/>
      <c r="U239" s="249"/>
      <c r="V239" s="249"/>
      <c r="X239" s="249"/>
      <c r="BC239" s="68"/>
      <c r="BD239" s="68"/>
      <c r="BE239" s="68"/>
      <c r="BF239" s="68"/>
      <c r="CT239" s="493"/>
      <c r="CU239" s="489"/>
      <c r="CV239" s="489"/>
      <c r="CW239" s="885"/>
      <c r="CX239" s="353"/>
      <c r="CY239" s="353"/>
      <c r="CZ239" s="946"/>
      <c r="DA239" s="40"/>
      <c r="DB239" s="40"/>
      <c r="DC239" s="40"/>
      <c r="DD239" s="40"/>
      <c r="DE239" s="40"/>
      <c r="DF239" s="40"/>
      <c r="DG239" s="40"/>
      <c r="DH239" s="40"/>
      <c r="DI239" s="40"/>
      <c r="DJ239" s="40"/>
      <c r="DK239" s="40"/>
      <c r="DL239" s="40"/>
      <c r="DM239" s="40"/>
    </row>
    <row r="240" spans="1:117" s="247" customFormat="1">
      <c r="T240" s="249"/>
      <c r="U240" s="249"/>
      <c r="V240" s="249"/>
      <c r="X240" s="249"/>
      <c r="BC240" s="68"/>
      <c r="BD240" s="68"/>
      <c r="BE240" s="68"/>
      <c r="BF240" s="68"/>
      <c r="CT240" s="493"/>
      <c r="CU240" s="489"/>
      <c r="CV240" s="489"/>
      <c r="CW240" s="885"/>
      <c r="CX240" s="353"/>
      <c r="CY240" s="353"/>
      <c r="CZ240" s="946"/>
      <c r="DA240" s="40"/>
      <c r="DB240" s="40"/>
      <c r="DC240" s="40"/>
      <c r="DD240" s="40"/>
      <c r="DE240" s="40"/>
      <c r="DF240" s="40"/>
      <c r="DG240" s="40"/>
      <c r="DH240" s="40"/>
      <c r="DI240" s="40"/>
      <c r="DJ240" s="40"/>
      <c r="DK240" s="40"/>
      <c r="DL240" s="40"/>
      <c r="DM240" s="40"/>
    </row>
    <row r="241" spans="7:117" s="247" customFormat="1">
      <c r="T241" s="249"/>
      <c r="U241" s="249"/>
      <c r="V241" s="249"/>
      <c r="X241" s="249"/>
      <c r="BC241" s="68"/>
      <c r="BD241" s="68"/>
      <c r="BE241" s="68"/>
      <c r="BF241" s="68"/>
      <c r="CT241" s="493"/>
      <c r="CU241" s="489"/>
      <c r="CV241" s="489"/>
      <c r="CW241" s="885"/>
      <c r="CX241" s="353"/>
      <c r="CY241" s="353"/>
      <c r="CZ241" s="946"/>
      <c r="DA241" s="40"/>
      <c r="DB241" s="40"/>
      <c r="DC241" s="40"/>
      <c r="DD241" s="40"/>
      <c r="DE241" s="40"/>
      <c r="DF241" s="40"/>
      <c r="DG241" s="40"/>
      <c r="DH241" s="40"/>
      <c r="DI241" s="40"/>
      <c r="DJ241" s="40"/>
      <c r="DK241" s="40"/>
      <c r="DL241" s="40"/>
      <c r="DM241" s="40"/>
    </row>
    <row r="242" spans="7:117" s="247" customFormat="1">
      <c r="T242" s="249"/>
      <c r="U242" s="249"/>
      <c r="V242" s="249"/>
      <c r="X242" s="249"/>
      <c r="BC242" s="68"/>
      <c r="BD242" s="68"/>
      <c r="BE242" s="68"/>
      <c r="BF242" s="68"/>
      <c r="CT242" s="493"/>
      <c r="CU242" s="489"/>
      <c r="CV242" s="489"/>
      <c r="CW242" s="885"/>
      <c r="CX242" s="353"/>
      <c r="CY242" s="353"/>
      <c r="CZ242" s="946"/>
      <c r="DA242" s="40"/>
      <c r="DB242" s="40"/>
      <c r="DC242" s="40"/>
      <c r="DD242" s="40"/>
      <c r="DE242" s="40"/>
      <c r="DF242" s="40"/>
      <c r="DG242" s="40"/>
      <c r="DH242" s="40"/>
      <c r="DI242" s="40"/>
      <c r="DJ242" s="40"/>
      <c r="DK242" s="40"/>
      <c r="DL242" s="40"/>
      <c r="DM242" s="40"/>
    </row>
    <row r="243" spans="7:117" s="247" customFormat="1">
      <c r="T243" s="249"/>
      <c r="U243" s="249"/>
      <c r="V243" s="249"/>
      <c r="X243" s="249"/>
      <c r="BC243" s="68"/>
      <c r="BD243" s="68"/>
      <c r="BE243" s="68"/>
      <c r="BF243" s="68"/>
      <c r="CT243" s="493"/>
      <c r="CU243" s="489"/>
      <c r="CV243" s="489"/>
      <c r="CW243" s="885"/>
      <c r="CX243" s="353"/>
      <c r="CY243" s="353"/>
      <c r="CZ243" s="946"/>
      <c r="DA243" s="40"/>
      <c r="DB243" s="40"/>
      <c r="DC243" s="40"/>
      <c r="DD243" s="40"/>
      <c r="DE243" s="40"/>
      <c r="DF243" s="40"/>
      <c r="DG243" s="40"/>
      <c r="DH243" s="40"/>
      <c r="DI243" s="40"/>
      <c r="DJ243" s="40"/>
      <c r="DK243" s="40"/>
      <c r="DL243" s="40"/>
      <c r="DM243" s="40"/>
    </row>
    <row r="244" spans="7:117" s="247" customFormat="1">
      <c r="T244" s="249"/>
      <c r="U244" s="249"/>
      <c r="V244" s="249"/>
      <c r="X244" s="249"/>
      <c r="BC244" s="68"/>
      <c r="BD244" s="68"/>
      <c r="BE244" s="68"/>
      <c r="BF244" s="68"/>
      <c r="CT244" s="493"/>
      <c r="CU244" s="489"/>
      <c r="CV244" s="489"/>
      <c r="CW244" s="885"/>
      <c r="CX244" s="353"/>
      <c r="CY244" s="353"/>
      <c r="CZ244" s="946"/>
      <c r="DA244" s="40"/>
      <c r="DB244" s="40"/>
      <c r="DC244" s="40"/>
      <c r="DD244" s="40"/>
      <c r="DE244" s="40"/>
      <c r="DF244" s="40"/>
      <c r="DG244" s="40"/>
      <c r="DH244" s="40"/>
      <c r="DI244" s="40"/>
      <c r="DJ244" s="40"/>
      <c r="DK244" s="40"/>
      <c r="DL244" s="40"/>
      <c r="DM244" s="40"/>
    </row>
    <row r="245" spans="7:117" s="247" customFormat="1">
      <c r="T245" s="249"/>
      <c r="U245" s="249"/>
      <c r="V245" s="249"/>
      <c r="X245" s="249"/>
      <c r="BC245" s="68"/>
      <c r="BD245" s="68"/>
      <c r="BE245" s="68"/>
      <c r="BF245" s="68"/>
      <c r="CT245" s="493"/>
      <c r="CU245" s="489"/>
      <c r="CV245" s="489"/>
      <c r="CW245" s="885"/>
      <c r="CX245" s="353"/>
      <c r="CY245" s="353"/>
      <c r="CZ245" s="946"/>
      <c r="DA245" s="40"/>
      <c r="DB245" s="40"/>
      <c r="DC245" s="40"/>
      <c r="DD245" s="40"/>
      <c r="DE245" s="40"/>
      <c r="DF245" s="40"/>
      <c r="DG245" s="40"/>
      <c r="DH245" s="40"/>
      <c r="DI245" s="40"/>
      <c r="DJ245" s="40"/>
      <c r="DK245" s="40"/>
      <c r="DL245" s="40"/>
      <c r="DM245" s="40"/>
    </row>
    <row r="246" spans="7:117" s="247" customFormat="1">
      <c r="G246" s="688"/>
      <c r="H246" s="688"/>
      <c r="I246" s="688"/>
      <c r="J246" s="688"/>
      <c r="K246" s="688"/>
      <c r="L246" s="688"/>
      <c r="M246" s="688"/>
      <c r="N246" s="688"/>
      <c r="O246" s="688"/>
      <c r="P246" s="688"/>
      <c r="Q246" s="688"/>
      <c r="R246" s="688"/>
      <c r="S246" s="688"/>
      <c r="T246" s="927"/>
      <c r="U246" s="249"/>
      <c r="V246" s="249"/>
      <c r="W246" s="688"/>
      <c r="X246" s="927"/>
      <c r="Y246" s="688"/>
      <c r="Z246" s="688"/>
      <c r="AA246" s="688"/>
      <c r="AB246" s="688"/>
      <c r="AC246" s="688"/>
      <c r="AD246" s="688"/>
      <c r="AE246" s="688"/>
      <c r="AF246" s="688"/>
      <c r="AG246" s="688"/>
      <c r="AH246" s="688"/>
      <c r="AI246" s="688"/>
      <c r="AJ246" s="688"/>
      <c r="AK246" s="688"/>
      <c r="AL246" s="688"/>
      <c r="AM246" s="688"/>
      <c r="AN246" s="688"/>
      <c r="AO246" s="688"/>
      <c r="AP246" s="688"/>
      <c r="AQ246" s="688"/>
      <c r="BC246" s="68"/>
      <c r="BD246" s="68"/>
      <c r="BE246" s="68"/>
      <c r="BF246" s="68"/>
      <c r="CT246" s="493"/>
      <c r="CU246" s="489"/>
      <c r="CV246" s="489"/>
      <c r="CW246" s="885"/>
      <c r="CX246" s="353"/>
      <c r="CY246" s="353"/>
      <c r="CZ246" s="946"/>
      <c r="DA246" s="40"/>
      <c r="DB246" s="40"/>
      <c r="DC246" s="40"/>
      <c r="DD246" s="40"/>
      <c r="DE246" s="40"/>
      <c r="DF246" s="40"/>
      <c r="DG246" s="40"/>
      <c r="DH246" s="40"/>
      <c r="DI246" s="40"/>
      <c r="DJ246" s="40"/>
      <c r="DK246" s="40"/>
      <c r="DL246" s="40"/>
      <c r="DM246" s="40"/>
    </row>
    <row r="247" spans="7:117" s="127" customFormat="1">
      <c r="G247" s="685"/>
      <c r="H247" s="685"/>
      <c r="I247" s="685"/>
      <c r="J247" s="685"/>
      <c r="K247" s="685"/>
      <c r="L247" s="685"/>
      <c r="M247" s="685"/>
      <c r="N247" s="685"/>
      <c r="O247" s="685"/>
      <c r="P247" s="685"/>
      <c r="Q247" s="685"/>
      <c r="R247" s="685"/>
      <c r="S247" s="685"/>
      <c r="T247" s="947"/>
      <c r="U247" s="1527"/>
      <c r="V247" s="1527"/>
      <c r="W247" s="685"/>
      <c r="X247" s="947"/>
      <c r="Y247" s="685"/>
      <c r="Z247" s="685"/>
      <c r="AA247" s="685"/>
      <c r="AB247" s="685"/>
      <c r="AC247" s="685"/>
      <c r="AD247" s="685"/>
      <c r="AE247" s="685"/>
      <c r="AF247" s="685"/>
      <c r="AG247" s="685"/>
      <c r="AH247" s="685"/>
      <c r="AI247" s="685"/>
      <c r="AJ247" s="685"/>
      <c r="AK247" s="685"/>
      <c r="AL247" s="685"/>
      <c r="AM247" s="685"/>
      <c r="AN247" s="685"/>
      <c r="AO247" s="685"/>
      <c r="AP247" s="685"/>
      <c r="AQ247" s="685"/>
      <c r="BC247" s="80"/>
      <c r="BD247" s="80"/>
      <c r="BE247" s="80"/>
      <c r="BF247" s="80"/>
      <c r="CT247" s="162"/>
      <c r="CU247" s="671"/>
      <c r="CV247" s="671"/>
      <c r="CW247" s="809"/>
      <c r="CX247" s="948"/>
      <c r="CY247" s="948"/>
      <c r="CZ247" s="949"/>
      <c r="DA247" s="130"/>
      <c r="DB247" s="130"/>
      <c r="DC247" s="130"/>
      <c r="DD247" s="130"/>
      <c r="DE247" s="130"/>
      <c r="DF247" s="130"/>
      <c r="DG247" s="130"/>
      <c r="DH247" s="130"/>
      <c r="DI247" s="130"/>
      <c r="DJ247" s="130"/>
      <c r="DK247" s="130"/>
      <c r="DL247" s="130"/>
      <c r="DM247" s="130"/>
    </row>
    <row r="248" spans="7:117" s="127" customFormat="1">
      <c r="U248" s="490"/>
      <c r="V248" s="490"/>
      <c r="AF248" s="685"/>
      <c r="AG248" s="685"/>
      <c r="AH248" s="685"/>
      <c r="AI248" s="685"/>
      <c r="AJ248" s="685"/>
      <c r="AK248" s="685"/>
      <c r="AL248" s="685"/>
      <c r="AM248" s="685"/>
      <c r="AN248" s="685"/>
      <c r="AO248" s="685"/>
      <c r="AP248" s="685"/>
      <c r="AQ248" s="685"/>
      <c r="BC248" s="80"/>
      <c r="BD248" s="80"/>
      <c r="BE248" s="80"/>
      <c r="BF248" s="80"/>
      <c r="CT248" s="162"/>
      <c r="CU248" s="671"/>
      <c r="CV248" s="671"/>
      <c r="CW248" s="809"/>
      <c r="CX248" s="948"/>
      <c r="CY248" s="948"/>
      <c r="CZ248" s="949"/>
      <c r="DA248" s="130"/>
      <c r="DB248" s="130"/>
      <c r="DC248" s="130"/>
      <c r="DD248" s="130"/>
      <c r="DE248" s="130"/>
      <c r="DF248" s="130"/>
      <c r="DG248" s="130"/>
      <c r="DH248" s="130"/>
      <c r="DI248" s="130"/>
      <c r="DJ248" s="130"/>
      <c r="DK248" s="130"/>
      <c r="DL248" s="130"/>
      <c r="DM248" s="130"/>
    </row>
    <row r="249" spans="7:117" s="127" customFormat="1">
      <c r="U249" s="490"/>
      <c r="V249" s="490"/>
      <c r="AF249" s="685"/>
      <c r="AG249" s="685"/>
      <c r="AH249" s="685"/>
      <c r="AI249" s="685"/>
      <c r="AJ249" s="685"/>
      <c r="AK249" s="685"/>
      <c r="AL249" s="685"/>
      <c r="AM249" s="685"/>
      <c r="AN249" s="685"/>
      <c r="AO249" s="685"/>
      <c r="AP249" s="685"/>
      <c r="AQ249" s="685"/>
      <c r="BC249" s="80"/>
      <c r="BD249" s="80"/>
      <c r="BE249" s="80"/>
      <c r="BF249" s="80"/>
      <c r="CT249" s="162"/>
      <c r="CU249" s="671"/>
      <c r="CV249" s="671"/>
      <c r="CW249" s="809"/>
      <c r="CX249" s="948"/>
      <c r="CY249" s="948"/>
      <c r="CZ249" s="949"/>
      <c r="DA249" s="130"/>
      <c r="DB249" s="130"/>
      <c r="DC249" s="130"/>
      <c r="DD249" s="130"/>
      <c r="DE249" s="130"/>
      <c r="DF249" s="130"/>
      <c r="DG249" s="130"/>
      <c r="DH249" s="130"/>
      <c r="DI249" s="130"/>
      <c r="DJ249" s="130"/>
      <c r="DK249" s="130"/>
      <c r="DL249" s="130"/>
      <c r="DM249" s="130"/>
    </row>
    <row r="250" spans="7:117" s="127" customFormat="1">
      <c r="U250" s="490"/>
      <c r="V250" s="490"/>
      <c r="AF250" s="685"/>
      <c r="AG250" s="685"/>
      <c r="AH250" s="685"/>
      <c r="AI250" s="685"/>
      <c r="AJ250" s="685"/>
      <c r="AK250" s="685"/>
      <c r="AL250" s="685"/>
      <c r="AM250" s="685"/>
      <c r="AN250" s="685"/>
      <c r="AO250" s="685"/>
      <c r="AP250" s="685"/>
      <c r="AQ250" s="685"/>
      <c r="BC250" s="80"/>
      <c r="BD250" s="80"/>
      <c r="BE250" s="80"/>
      <c r="BF250" s="80"/>
      <c r="CT250" s="162"/>
      <c r="CU250" s="671"/>
      <c r="CV250" s="671"/>
      <c r="CW250" s="809"/>
      <c r="CX250" s="948"/>
      <c r="CY250" s="948"/>
      <c r="CZ250" s="949"/>
      <c r="DA250" s="130"/>
      <c r="DB250" s="130"/>
      <c r="DC250" s="130"/>
      <c r="DD250" s="130"/>
      <c r="DE250" s="130"/>
      <c r="DF250" s="130"/>
      <c r="DG250" s="130"/>
      <c r="DH250" s="130"/>
      <c r="DI250" s="130"/>
      <c r="DJ250" s="130"/>
      <c r="DK250" s="130"/>
      <c r="DL250" s="130"/>
      <c r="DM250" s="130"/>
    </row>
    <row r="251" spans="7:117" s="127" customFormat="1">
      <c r="U251" s="490"/>
      <c r="V251" s="490"/>
      <c r="AF251" s="685"/>
      <c r="AG251" s="685"/>
      <c r="AH251" s="685"/>
      <c r="AI251" s="685"/>
      <c r="AJ251" s="685"/>
      <c r="AK251" s="685"/>
      <c r="AL251" s="685"/>
      <c r="AM251" s="685"/>
      <c r="AN251" s="685"/>
      <c r="AO251" s="685"/>
      <c r="AP251" s="685"/>
      <c r="AQ251" s="685"/>
      <c r="BC251" s="80"/>
      <c r="BD251" s="80"/>
      <c r="BE251" s="80"/>
      <c r="BF251" s="80"/>
      <c r="CT251" s="162"/>
      <c r="CU251" s="671"/>
      <c r="CV251" s="671"/>
      <c r="CW251" s="809"/>
      <c r="CX251" s="948"/>
      <c r="CY251" s="948"/>
      <c r="CZ251" s="949"/>
      <c r="DA251" s="130"/>
      <c r="DB251" s="130"/>
      <c r="DC251" s="130"/>
      <c r="DD251" s="130"/>
      <c r="DE251" s="130"/>
      <c r="DF251" s="130"/>
      <c r="DG251" s="130"/>
      <c r="DH251" s="130"/>
      <c r="DI251" s="130"/>
      <c r="DJ251" s="130"/>
      <c r="DK251" s="130"/>
      <c r="DL251" s="130"/>
      <c r="DM251" s="130"/>
    </row>
    <row r="252" spans="7:117" s="127" customFormat="1">
      <c r="U252" s="490"/>
      <c r="V252" s="490"/>
      <c r="AF252" s="685"/>
      <c r="AG252" s="685"/>
      <c r="AH252" s="685"/>
      <c r="AI252" s="685"/>
      <c r="AJ252" s="685"/>
      <c r="AK252" s="685"/>
      <c r="AL252" s="685"/>
      <c r="AM252" s="685"/>
      <c r="AN252" s="685"/>
      <c r="AO252" s="685"/>
      <c r="AP252" s="685"/>
      <c r="AQ252" s="685"/>
      <c r="BC252" s="80"/>
      <c r="BD252" s="80"/>
      <c r="BE252" s="80"/>
      <c r="BF252" s="80"/>
      <c r="CT252" s="162"/>
      <c r="CU252" s="671"/>
      <c r="CV252" s="671"/>
      <c r="CW252" s="809"/>
      <c r="CX252" s="948"/>
      <c r="CY252" s="948"/>
      <c r="CZ252" s="949"/>
      <c r="DA252" s="130"/>
      <c r="DB252" s="130"/>
      <c r="DC252" s="130"/>
      <c r="DD252" s="130"/>
      <c r="DE252" s="130"/>
      <c r="DF252" s="130"/>
      <c r="DG252" s="130"/>
      <c r="DH252" s="130"/>
      <c r="DI252" s="130"/>
      <c r="DJ252" s="130"/>
      <c r="DK252" s="130"/>
      <c r="DL252" s="130"/>
      <c r="DM252" s="130"/>
    </row>
    <row r="253" spans="7:117" s="247" customFormat="1">
      <c r="AF253" s="688"/>
      <c r="AG253" s="688"/>
      <c r="AH253" s="688"/>
      <c r="AI253" s="688"/>
      <c r="AJ253" s="688"/>
      <c r="AK253" s="688"/>
      <c r="AL253" s="688"/>
      <c r="AM253" s="688"/>
      <c r="AN253" s="688"/>
      <c r="AO253" s="688"/>
      <c r="AP253" s="688"/>
      <c r="AQ253" s="688"/>
      <c r="BC253" s="68"/>
      <c r="BD253" s="68"/>
      <c r="BE253" s="68"/>
      <c r="BF253" s="68"/>
      <c r="CT253" s="493"/>
      <c r="CU253" s="489"/>
      <c r="CV253" s="489"/>
      <c r="CW253" s="885"/>
      <c r="CX253" s="353"/>
      <c r="CY253" s="353"/>
      <c r="CZ253" s="946"/>
      <c r="DA253" s="40"/>
      <c r="DB253" s="40"/>
      <c r="DC253" s="40"/>
      <c r="DD253" s="40"/>
      <c r="DE253" s="40"/>
      <c r="DF253" s="40"/>
      <c r="DG253" s="40"/>
      <c r="DH253" s="40"/>
      <c r="DI253" s="40"/>
      <c r="DJ253" s="40"/>
      <c r="DK253" s="40"/>
      <c r="DL253" s="40"/>
      <c r="DM253" s="40"/>
    </row>
    <row r="254" spans="7:117" s="247" customFormat="1">
      <c r="AF254" s="688"/>
      <c r="AG254" s="688"/>
      <c r="AH254" s="688"/>
      <c r="AI254" s="688"/>
      <c r="AJ254" s="688"/>
      <c r="AK254" s="688"/>
      <c r="AL254" s="688"/>
      <c r="AM254" s="688"/>
      <c r="AN254" s="688"/>
      <c r="AO254" s="688"/>
      <c r="AP254" s="688"/>
      <c r="AQ254" s="688"/>
      <c r="BC254" s="68"/>
      <c r="BD254" s="68"/>
      <c r="BE254" s="68"/>
      <c r="BF254" s="68"/>
      <c r="CT254" s="493"/>
      <c r="CU254" s="489"/>
      <c r="CV254" s="489"/>
      <c r="CW254" s="885"/>
      <c r="CX254" s="353"/>
      <c r="CY254" s="353"/>
      <c r="CZ254" s="946"/>
      <c r="DA254" s="40"/>
      <c r="DB254" s="40"/>
      <c r="DC254" s="40"/>
      <c r="DD254" s="40"/>
      <c r="DE254" s="40"/>
      <c r="DF254" s="40"/>
      <c r="DG254" s="40"/>
      <c r="DH254" s="40"/>
      <c r="DI254" s="40"/>
      <c r="DJ254" s="40"/>
      <c r="DK254" s="40"/>
      <c r="DL254" s="40"/>
      <c r="DM254" s="40"/>
    </row>
    <row r="255" spans="7:117" s="247" customFormat="1">
      <c r="G255" s="688"/>
      <c r="H255" s="688"/>
      <c r="I255" s="688"/>
      <c r="J255" s="688"/>
      <c r="K255" s="688"/>
      <c r="L255" s="688"/>
      <c r="M255" s="688"/>
      <c r="N255" s="688"/>
      <c r="O255" s="688"/>
      <c r="P255" s="688"/>
      <c r="Q255" s="688"/>
      <c r="R255" s="688"/>
      <c r="S255" s="688"/>
      <c r="T255" s="927"/>
      <c r="U255" s="249"/>
      <c r="V255" s="249"/>
      <c r="W255" s="688"/>
      <c r="X255" s="927"/>
      <c r="Y255" s="688"/>
      <c r="Z255" s="688"/>
      <c r="AA255" s="688"/>
      <c r="AB255" s="688"/>
      <c r="AC255" s="688"/>
      <c r="AD255" s="688"/>
      <c r="AE255" s="688"/>
      <c r="AF255" s="688"/>
      <c r="AG255" s="688"/>
      <c r="AH255" s="688"/>
      <c r="AI255" s="688"/>
      <c r="AJ255" s="688"/>
      <c r="AK255" s="688"/>
      <c r="AL255" s="688"/>
      <c r="AM255" s="688"/>
      <c r="AN255" s="688"/>
      <c r="AO255" s="688"/>
      <c r="AP255" s="688"/>
      <c r="AQ255" s="688"/>
      <c r="BC255" s="68"/>
      <c r="BD255" s="68"/>
      <c r="BE255" s="68"/>
      <c r="BF255" s="68"/>
      <c r="CT255" s="493"/>
      <c r="CU255" s="489"/>
      <c r="CV255" s="489"/>
      <c r="CW255" s="885"/>
      <c r="CX255" s="353"/>
      <c r="CY255" s="353"/>
      <c r="CZ255" s="946"/>
      <c r="DA255" s="40"/>
      <c r="DB255" s="40"/>
      <c r="DC255" s="40"/>
      <c r="DD255" s="40"/>
      <c r="DE255" s="40"/>
      <c r="DF255" s="40"/>
      <c r="DG255" s="40"/>
      <c r="DH255" s="40"/>
      <c r="DI255" s="40"/>
      <c r="DJ255" s="40"/>
      <c r="DK255" s="40"/>
      <c r="DL255" s="40"/>
      <c r="DM255" s="40"/>
    </row>
    <row r="256" spans="7:117" s="247" customFormat="1">
      <c r="G256" s="688"/>
      <c r="H256" s="688"/>
      <c r="I256" s="688"/>
      <c r="J256" s="688"/>
      <c r="K256" s="688"/>
      <c r="L256" s="688"/>
      <c r="M256" s="688"/>
      <c r="N256" s="688"/>
      <c r="O256" s="688"/>
      <c r="P256" s="688"/>
      <c r="Q256" s="688"/>
      <c r="R256" s="688"/>
      <c r="S256" s="688"/>
      <c r="T256" s="927"/>
      <c r="U256" s="249"/>
      <c r="V256" s="249"/>
      <c r="W256" s="688"/>
      <c r="X256" s="927"/>
      <c r="Y256" s="688"/>
      <c r="Z256" s="688"/>
      <c r="AA256" s="688"/>
      <c r="AB256" s="688"/>
      <c r="AC256" s="688"/>
      <c r="AD256" s="688"/>
      <c r="AE256" s="688"/>
      <c r="AF256" s="688"/>
      <c r="AG256" s="688"/>
      <c r="AH256" s="688"/>
      <c r="AI256" s="688"/>
      <c r="AJ256" s="688"/>
      <c r="AK256" s="688"/>
      <c r="AL256" s="688"/>
      <c r="AM256" s="688"/>
      <c r="AN256" s="688"/>
      <c r="AO256" s="688"/>
      <c r="AP256" s="688"/>
      <c r="AQ256" s="688"/>
      <c r="BC256" s="68"/>
      <c r="BD256" s="68"/>
      <c r="BE256" s="68"/>
      <c r="BF256" s="68"/>
      <c r="CT256" s="493"/>
      <c r="CU256" s="489"/>
      <c r="CV256" s="489"/>
      <c r="CW256" s="885"/>
      <c r="CX256" s="353"/>
      <c r="CY256" s="353"/>
      <c r="CZ256" s="946"/>
      <c r="DA256" s="40"/>
      <c r="DB256" s="40"/>
      <c r="DC256" s="40"/>
      <c r="DD256" s="40"/>
      <c r="DE256" s="40"/>
      <c r="DF256" s="40"/>
      <c r="DG256" s="40"/>
      <c r="DH256" s="40"/>
      <c r="DI256" s="40"/>
      <c r="DJ256" s="40"/>
      <c r="DK256" s="40"/>
      <c r="DL256" s="40"/>
      <c r="DM256" s="40"/>
    </row>
    <row r="257" spans="6:119" s="247" customFormat="1">
      <c r="G257" s="688"/>
      <c r="H257" s="688"/>
      <c r="I257" s="688"/>
      <c r="J257" s="688"/>
      <c r="K257" s="688"/>
      <c r="L257" s="688"/>
      <c r="M257" s="688"/>
      <c r="N257" s="688"/>
      <c r="O257" s="688"/>
      <c r="P257" s="688"/>
      <c r="Q257" s="688"/>
      <c r="R257" s="688"/>
      <c r="S257" s="688"/>
      <c r="T257" s="927"/>
      <c r="U257" s="249"/>
      <c r="V257" s="249"/>
      <c r="W257" s="688"/>
      <c r="X257" s="927"/>
      <c r="AP257" s="688"/>
      <c r="AQ257" s="688"/>
      <c r="BC257" s="68"/>
      <c r="BD257" s="68"/>
      <c r="BE257" s="68"/>
      <c r="BF257" s="68"/>
      <c r="CT257" s="493"/>
      <c r="CU257" s="489"/>
      <c r="CV257" s="489"/>
      <c r="CW257" s="885"/>
      <c r="CX257" s="353"/>
      <c r="CY257" s="353"/>
      <c r="CZ257" s="946"/>
      <c r="DA257" s="40"/>
      <c r="DB257" s="40"/>
      <c r="DC257" s="40"/>
      <c r="DD257" s="40"/>
      <c r="DE257" s="40"/>
      <c r="DF257" s="40"/>
      <c r="DG257" s="40"/>
      <c r="DH257" s="40"/>
      <c r="DI257" s="40"/>
      <c r="DJ257" s="40"/>
      <c r="DK257" s="40"/>
      <c r="DL257" s="40"/>
      <c r="DM257" s="40"/>
    </row>
    <row r="258" spans="6:119" s="247" customFormat="1">
      <c r="G258" s="688"/>
      <c r="H258" s="688"/>
      <c r="I258" s="688"/>
      <c r="J258" s="688"/>
      <c r="K258" s="688"/>
      <c r="L258" s="688"/>
      <c r="M258" s="688"/>
      <c r="N258" s="688"/>
      <c r="O258" s="688"/>
      <c r="P258" s="688"/>
      <c r="Q258" s="688"/>
      <c r="R258" s="688"/>
      <c r="S258" s="688"/>
      <c r="T258" s="927"/>
      <c r="U258" s="249"/>
      <c r="V258" s="249"/>
      <c r="W258" s="688"/>
      <c r="X258" s="927"/>
      <c r="AP258" s="688"/>
      <c r="AQ258" s="688"/>
      <c r="BC258" s="68"/>
      <c r="BD258" s="68"/>
      <c r="BE258" s="68"/>
      <c r="BF258" s="68"/>
      <c r="CT258" s="493"/>
      <c r="CU258" s="489"/>
      <c r="CV258" s="489"/>
      <c r="CW258" s="885"/>
      <c r="CX258" s="353"/>
      <c r="CY258" s="353"/>
      <c r="CZ258" s="946"/>
      <c r="DA258" s="40"/>
      <c r="DB258" s="40"/>
      <c r="DC258" s="40"/>
      <c r="DD258" s="40"/>
      <c r="DE258" s="40"/>
      <c r="DF258" s="40"/>
      <c r="DG258" s="40"/>
      <c r="DH258" s="40"/>
      <c r="DI258" s="40"/>
      <c r="DJ258" s="40"/>
      <c r="DK258" s="40"/>
      <c r="DL258" s="40"/>
      <c r="DM258" s="40"/>
    </row>
    <row r="259" spans="6:119" s="247" customFormat="1">
      <c r="G259" s="688"/>
      <c r="H259" s="688"/>
      <c r="I259" s="688"/>
      <c r="J259" s="688"/>
      <c r="K259" s="688"/>
      <c r="L259" s="688"/>
      <c r="M259" s="688"/>
      <c r="N259" s="688"/>
      <c r="O259" s="688"/>
      <c r="P259" s="688"/>
      <c r="Q259" s="688"/>
      <c r="R259" s="688"/>
      <c r="S259" s="688"/>
      <c r="T259" s="927"/>
      <c r="U259" s="249"/>
      <c r="V259" s="249"/>
      <c r="W259" s="688"/>
      <c r="X259" s="927"/>
      <c r="AP259" s="688"/>
      <c r="AQ259" s="688"/>
      <c r="BC259" s="68"/>
      <c r="BD259" s="68"/>
      <c r="BE259" s="68"/>
      <c r="BF259" s="68"/>
      <c r="CT259" s="493"/>
      <c r="CU259" s="489"/>
      <c r="CV259" s="489"/>
      <c r="CW259" s="885"/>
      <c r="CX259" s="353"/>
      <c r="CY259" s="353"/>
      <c r="CZ259" s="946"/>
      <c r="DA259" s="40"/>
      <c r="DB259" s="40"/>
      <c r="DC259" s="40"/>
      <c r="DD259" s="40"/>
      <c r="DE259" s="40"/>
      <c r="DF259" s="40"/>
      <c r="DG259" s="40"/>
      <c r="DH259" s="40"/>
      <c r="DI259" s="40"/>
      <c r="DJ259" s="40"/>
      <c r="DK259" s="40"/>
      <c r="DL259" s="40"/>
      <c r="DM259" s="40"/>
    </row>
    <row r="260" spans="6:119" s="247" customFormat="1">
      <c r="G260" s="688"/>
      <c r="H260" s="688"/>
      <c r="I260" s="688"/>
      <c r="J260" s="688"/>
      <c r="K260" s="688"/>
      <c r="L260" s="688"/>
      <c r="M260" s="688"/>
      <c r="N260" s="688"/>
      <c r="O260" s="688"/>
      <c r="P260" s="688"/>
      <c r="Q260" s="688"/>
      <c r="R260" s="688"/>
      <c r="S260" s="688"/>
      <c r="T260" s="927"/>
      <c r="U260" s="249"/>
      <c r="V260" s="249"/>
      <c r="W260" s="688"/>
      <c r="X260" s="927"/>
      <c r="AP260" s="688"/>
      <c r="AQ260" s="688"/>
      <c r="BC260" s="68"/>
      <c r="BD260" s="68"/>
      <c r="BE260" s="68"/>
      <c r="BF260" s="68"/>
      <c r="CT260" s="493"/>
      <c r="CU260" s="489"/>
      <c r="CV260" s="489"/>
      <c r="CW260" s="885"/>
      <c r="CX260" s="353"/>
      <c r="CY260" s="353"/>
      <c r="CZ260" s="946"/>
      <c r="DA260" s="40"/>
      <c r="DB260" s="40"/>
      <c r="DC260" s="40"/>
      <c r="DD260" s="40"/>
      <c r="DE260" s="40"/>
      <c r="DF260" s="40"/>
      <c r="DG260" s="40"/>
      <c r="DH260" s="40"/>
      <c r="DI260" s="40"/>
      <c r="DJ260" s="40"/>
      <c r="DK260" s="40"/>
      <c r="DL260" s="40"/>
      <c r="DM260" s="40"/>
    </row>
    <row r="261" spans="6:119" s="247" customFormat="1">
      <c r="G261" s="688"/>
      <c r="H261" s="688"/>
      <c r="I261" s="688"/>
      <c r="J261" s="688"/>
      <c r="K261" s="688"/>
      <c r="L261" s="688"/>
      <c r="M261" s="688"/>
      <c r="N261" s="688"/>
      <c r="O261" s="688"/>
      <c r="P261" s="688"/>
      <c r="Q261" s="688"/>
      <c r="R261" s="688"/>
      <c r="S261" s="688"/>
      <c r="T261" s="927"/>
      <c r="U261" s="249"/>
      <c r="V261" s="249"/>
      <c r="W261" s="688"/>
      <c r="X261" s="927"/>
      <c r="AP261" s="688"/>
      <c r="AQ261" s="688"/>
      <c r="BC261" s="68"/>
      <c r="BD261" s="68"/>
      <c r="BE261" s="68"/>
      <c r="BF261" s="68"/>
      <c r="CT261" s="493"/>
      <c r="CU261" s="489"/>
      <c r="CV261" s="489"/>
      <c r="CW261" s="885"/>
      <c r="CX261" s="353"/>
      <c r="CY261" s="353"/>
      <c r="CZ261" s="946"/>
      <c r="DA261" s="40"/>
      <c r="DB261" s="40"/>
      <c r="DC261" s="40"/>
      <c r="DD261" s="40"/>
      <c r="DE261" s="40"/>
      <c r="DF261" s="40"/>
      <c r="DG261" s="40"/>
      <c r="DH261" s="40"/>
      <c r="DI261" s="40"/>
      <c r="DJ261" s="40"/>
      <c r="DK261" s="40"/>
      <c r="DL261" s="40"/>
      <c r="DM261" s="40"/>
    </row>
    <row r="262" spans="6:119" s="247" customFormat="1">
      <c r="F262" s="943"/>
      <c r="G262" s="688"/>
      <c r="H262" s="688"/>
      <c r="I262" s="688"/>
      <c r="J262" s="688"/>
      <c r="K262" s="688"/>
      <c r="L262" s="688"/>
      <c r="M262" s="688"/>
      <c r="N262" s="688"/>
      <c r="O262" s="688"/>
      <c r="P262" s="688"/>
      <c r="Q262" s="688"/>
      <c r="R262" s="688"/>
      <c r="S262" s="688"/>
      <c r="T262" s="927"/>
      <c r="U262" s="249"/>
      <c r="V262" s="249"/>
      <c r="W262" s="688"/>
      <c r="X262" s="927"/>
      <c r="AP262" s="688"/>
      <c r="AQ262" s="688"/>
      <c r="BC262" s="68"/>
      <c r="BD262" s="68"/>
      <c r="BE262" s="68"/>
      <c r="BF262" s="68"/>
      <c r="CT262" s="493"/>
      <c r="CU262" s="489"/>
      <c r="CV262" s="489"/>
      <c r="CW262" s="885"/>
      <c r="CX262" s="353"/>
      <c r="CY262" s="353"/>
      <c r="CZ262" s="946"/>
      <c r="DA262" s="40"/>
      <c r="DB262" s="40"/>
      <c r="DC262" s="40"/>
      <c r="DD262" s="40"/>
      <c r="DE262" s="40"/>
      <c r="DF262" s="40"/>
      <c r="DG262" s="40"/>
      <c r="DH262" s="40"/>
      <c r="DI262" s="40"/>
      <c r="DJ262" s="40"/>
      <c r="DK262" s="40"/>
      <c r="DL262" s="40"/>
      <c r="DM262" s="40"/>
    </row>
    <row r="263" spans="6:119" s="247" customFormat="1">
      <c r="T263" s="927"/>
      <c r="U263" s="249"/>
      <c r="V263" s="249"/>
      <c r="W263" s="688"/>
      <c r="X263" s="927"/>
      <c r="AP263" s="688"/>
      <c r="AQ263" s="688"/>
      <c r="BC263" s="68"/>
      <c r="BD263" s="68"/>
      <c r="BE263" s="68"/>
      <c r="BF263" s="68"/>
      <c r="CT263" s="493"/>
      <c r="CU263" s="489"/>
      <c r="CV263" s="489"/>
      <c r="CW263" s="885"/>
      <c r="CX263" s="353"/>
      <c r="CY263" s="353"/>
      <c r="CZ263" s="946"/>
      <c r="DA263" s="40"/>
      <c r="DB263" s="40"/>
      <c r="DC263" s="40"/>
      <c r="DD263" s="40"/>
      <c r="DE263" s="40"/>
      <c r="DF263" s="40"/>
      <c r="DG263" s="40"/>
      <c r="DH263" s="40"/>
      <c r="DI263" s="40"/>
      <c r="DJ263" s="40"/>
      <c r="DK263" s="40"/>
      <c r="DL263" s="40"/>
      <c r="DM263" s="40"/>
    </row>
    <row r="264" spans="6:119" s="247" customFormat="1">
      <c r="T264" s="927"/>
      <c r="U264" s="249"/>
      <c r="V264" s="249"/>
      <c r="W264" s="688"/>
      <c r="X264" s="927"/>
      <c r="AP264" s="688"/>
      <c r="AQ264" s="688"/>
      <c r="BC264" s="68"/>
      <c r="BD264" s="68"/>
      <c r="BE264" s="68"/>
      <c r="BF264" s="68"/>
      <c r="CT264" s="493"/>
      <c r="CU264" s="489"/>
      <c r="CV264" s="489"/>
      <c r="CW264" s="885"/>
      <c r="CX264" s="353"/>
      <c r="CY264" s="353"/>
      <c r="CZ264" s="946"/>
      <c r="DA264" s="40"/>
      <c r="DB264" s="40"/>
      <c r="DC264" s="40"/>
      <c r="DD264" s="40"/>
      <c r="DE264" s="40"/>
      <c r="DF264" s="40"/>
      <c r="DG264" s="40"/>
      <c r="DH264" s="40"/>
      <c r="DI264" s="40"/>
      <c r="DJ264" s="40"/>
      <c r="DK264" s="40"/>
      <c r="DL264" s="40"/>
      <c r="DM264" s="40"/>
    </row>
    <row r="265" spans="6:119" s="247" customFormat="1">
      <c r="T265" s="927"/>
      <c r="U265" s="249"/>
      <c r="V265" s="249"/>
      <c r="W265" s="688"/>
      <c r="X265" s="927"/>
      <c r="AP265" s="688"/>
      <c r="AQ265" s="688"/>
      <c r="BC265" s="68"/>
      <c r="BD265" s="68"/>
      <c r="BE265" s="68"/>
      <c r="BF265" s="68"/>
      <c r="CT265" s="493"/>
      <c r="CU265" s="489"/>
      <c r="CV265" s="489"/>
      <c r="CW265" s="885"/>
      <c r="CX265" s="353"/>
      <c r="CY265" s="353"/>
      <c r="CZ265" s="946"/>
      <c r="DA265" s="40"/>
      <c r="DB265" s="40"/>
      <c r="DC265" s="40"/>
      <c r="DD265" s="40"/>
      <c r="DE265" s="40"/>
      <c r="DF265" s="40"/>
      <c r="DG265" s="40"/>
      <c r="DH265" s="40"/>
      <c r="DI265" s="40"/>
      <c r="DJ265" s="40"/>
      <c r="DK265" s="40"/>
      <c r="DL265" s="40"/>
      <c r="DM265" s="40"/>
    </row>
    <row r="266" spans="6:119" s="247" customFormat="1">
      <c r="T266" s="927"/>
      <c r="U266" s="249"/>
      <c r="V266" s="249"/>
      <c r="W266" s="688"/>
      <c r="X266" s="927"/>
      <c r="AP266" s="688"/>
      <c r="AQ266" s="688"/>
      <c r="BC266" s="68"/>
      <c r="BD266" s="68"/>
      <c r="BE266" s="68"/>
      <c r="BF266" s="68"/>
      <c r="CT266" s="493"/>
      <c r="CU266" s="489"/>
      <c r="CV266" s="489"/>
      <c r="CW266" s="885"/>
      <c r="CX266" s="353"/>
      <c r="CY266" s="353"/>
      <c r="CZ266" s="946"/>
      <c r="DA266" s="40"/>
      <c r="DB266" s="40"/>
      <c r="DC266" s="40"/>
      <c r="DD266" s="40"/>
      <c r="DE266" s="40"/>
      <c r="DF266" s="40"/>
      <c r="DG266" s="40"/>
      <c r="DH266" s="40"/>
      <c r="DI266" s="40"/>
      <c r="DJ266" s="40"/>
      <c r="DK266" s="40"/>
      <c r="DL266" s="40"/>
      <c r="DM266" s="40"/>
    </row>
    <row r="267" spans="6:119" s="68" customFormat="1">
      <c r="G267" s="688"/>
      <c r="H267" s="688"/>
      <c r="I267" s="688"/>
      <c r="J267" s="688"/>
      <c r="K267" s="688"/>
      <c r="L267" s="688"/>
      <c r="M267" s="688"/>
      <c r="N267" s="688"/>
      <c r="O267" s="688"/>
      <c r="P267" s="688"/>
      <c r="Q267" s="688"/>
      <c r="R267" s="688"/>
      <c r="S267" s="688"/>
      <c r="T267" s="927"/>
      <c r="U267" s="249"/>
      <c r="V267" s="249"/>
      <c r="W267" s="688"/>
      <c r="X267" s="927"/>
      <c r="AP267" s="688"/>
      <c r="AQ267" s="688"/>
      <c r="CT267" s="70"/>
      <c r="CU267" s="161"/>
      <c r="CV267" s="161"/>
      <c r="CW267" s="383"/>
      <c r="CX267" s="884"/>
      <c r="CY267" s="884"/>
      <c r="CZ267" s="834"/>
      <c r="DA267" s="107"/>
      <c r="DB267" s="107"/>
      <c r="DC267" s="107"/>
      <c r="DD267" s="107"/>
      <c r="DE267" s="107"/>
      <c r="DF267" s="107"/>
      <c r="DG267" s="107"/>
      <c r="DH267" s="107"/>
      <c r="DI267" s="107"/>
      <c r="DJ267" s="107"/>
      <c r="DK267" s="107"/>
      <c r="DL267" s="107"/>
      <c r="DM267" s="107"/>
      <c r="DN267" s="69"/>
      <c r="DO267" s="69"/>
    </row>
    <row r="268" spans="6:119" s="68" customFormat="1">
      <c r="G268" s="688"/>
      <c r="H268" s="688"/>
      <c r="I268" s="688"/>
      <c r="J268" s="688"/>
      <c r="K268" s="688"/>
      <c r="L268" s="688"/>
      <c r="M268" s="688"/>
      <c r="N268" s="688"/>
      <c r="O268" s="688"/>
      <c r="P268" s="688"/>
      <c r="Q268" s="688"/>
      <c r="R268" s="688"/>
      <c r="S268" s="688"/>
      <c r="T268" s="927"/>
      <c r="U268" s="249"/>
      <c r="V268" s="249"/>
      <c r="W268" s="688"/>
      <c r="X268" s="927"/>
      <c r="AP268" s="688"/>
      <c r="AQ268" s="688"/>
      <c r="CT268" s="70"/>
      <c r="CU268" s="161"/>
      <c r="CV268" s="161"/>
      <c r="CW268" s="383"/>
      <c r="CX268" s="884"/>
      <c r="CY268" s="884"/>
      <c r="CZ268" s="834"/>
      <c r="DA268" s="107"/>
      <c r="DB268" s="107"/>
      <c r="DC268" s="107"/>
      <c r="DD268" s="107"/>
      <c r="DE268" s="107"/>
      <c r="DF268" s="107"/>
      <c r="DG268" s="107"/>
      <c r="DH268" s="107"/>
      <c r="DI268" s="107"/>
      <c r="DJ268" s="107"/>
      <c r="DK268" s="107"/>
      <c r="DL268" s="107"/>
      <c r="DM268" s="107"/>
      <c r="DN268" s="69"/>
      <c r="DO268" s="69"/>
    </row>
    <row r="269" spans="6:119" s="68" customFormat="1">
      <c r="G269" s="688"/>
      <c r="H269" s="688"/>
      <c r="I269" s="688"/>
      <c r="J269" s="688"/>
      <c r="K269" s="688"/>
      <c r="L269" s="688"/>
      <c r="M269" s="688"/>
      <c r="N269" s="688"/>
      <c r="O269" s="688"/>
      <c r="P269" s="688"/>
      <c r="Q269" s="688"/>
      <c r="R269" s="688"/>
      <c r="S269" s="688"/>
      <c r="T269" s="927"/>
      <c r="U269" s="249"/>
      <c r="V269" s="249"/>
      <c r="W269" s="688"/>
      <c r="X269" s="927"/>
      <c r="AP269" s="688"/>
      <c r="AQ269" s="688"/>
      <c r="CT269" s="70"/>
      <c r="CU269" s="161"/>
      <c r="CV269" s="161"/>
      <c r="CW269" s="383"/>
      <c r="CX269" s="884"/>
      <c r="CY269" s="884"/>
      <c r="CZ269" s="834"/>
      <c r="DA269" s="107"/>
      <c r="DB269" s="107"/>
      <c r="DC269" s="107"/>
      <c r="DD269" s="107"/>
      <c r="DE269" s="107"/>
      <c r="DF269" s="107"/>
      <c r="DG269" s="107"/>
      <c r="DH269" s="107"/>
      <c r="DI269" s="107"/>
      <c r="DJ269" s="107"/>
      <c r="DK269" s="107"/>
      <c r="DL269" s="107"/>
      <c r="DM269" s="107"/>
      <c r="DN269" s="69"/>
      <c r="DO269" s="69"/>
    </row>
    <row r="270" spans="6:119" s="68" customFormat="1">
      <c r="G270" s="688"/>
      <c r="H270" s="688"/>
      <c r="I270" s="688"/>
      <c r="J270" s="688"/>
      <c r="K270" s="688"/>
      <c r="L270" s="688"/>
      <c r="M270" s="688"/>
      <c r="N270" s="688"/>
      <c r="O270" s="688"/>
      <c r="P270" s="688"/>
      <c r="Q270" s="688"/>
      <c r="R270" s="688"/>
      <c r="S270" s="688"/>
      <c r="T270" s="927"/>
      <c r="U270" s="249"/>
      <c r="V270" s="249"/>
      <c r="W270" s="688"/>
      <c r="X270" s="927"/>
      <c r="AP270" s="688"/>
      <c r="AQ270" s="688"/>
      <c r="CT270" s="70"/>
      <c r="CU270" s="161"/>
      <c r="CV270" s="161"/>
      <c r="CW270" s="383"/>
      <c r="CX270" s="884"/>
      <c r="CY270" s="884"/>
      <c r="CZ270" s="834"/>
      <c r="DA270" s="107"/>
      <c r="DB270" s="107"/>
      <c r="DC270" s="107"/>
      <c r="DD270" s="107"/>
      <c r="DE270" s="107"/>
      <c r="DF270" s="107"/>
      <c r="DG270" s="107"/>
      <c r="DH270" s="107"/>
      <c r="DI270" s="107"/>
      <c r="DJ270" s="107"/>
      <c r="DK270" s="107"/>
      <c r="DL270" s="107"/>
      <c r="DM270" s="107"/>
      <c r="DN270" s="69"/>
      <c r="DO270" s="69"/>
    </row>
    <row r="271" spans="6:119" s="68" customFormat="1">
      <c r="G271" s="688"/>
      <c r="H271" s="688"/>
      <c r="I271" s="688"/>
      <c r="J271" s="688"/>
      <c r="K271" s="688"/>
      <c r="L271" s="688"/>
      <c r="M271" s="688"/>
      <c r="N271" s="688"/>
      <c r="O271" s="688"/>
      <c r="P271" s="688"/>
      <c r="Q271" s="688"/>
      <c r="R271" s="688"/>
      <c r="S271" s="688"/>
      <c r="T271" s="927"/>
      <c r="U271" s="249"/>
      <c r="V271" s="249"/>
      <c r="W271" s="688"/>
      <c r="X271" s="927"/>
      <c r="AP271" s="688"/>
      <c r="AQ271" s="688"/>
      <c r="CT271" s="70"/>
      <c r="CU271" s="161"/>
      <c r="CV271" s="161"/>
      <c r="CW271" s="383"/>
      <c r="CX271" s="884"/>
      <c r="CY271" s="884"/>
      <c r="CZ271" s="834"/>
      <c r="DA271" s="107"/>
      <c r="DB271" s="107"/>
      <c r="DC271" s="107"/>
      <c r="DD271" s="107"/>
      <c r="DE271" s="107"/>
      <c r="DF271" s="107"/>
      <c r="DG271" s="107"/>
      <c r="DH271" s="107"/>
      <c r="DI271" s="107"/>
      <c r="DJ271" s="107"/>
      <c r="DK271" s="107"/>
      <c r="DL271" s="107"/>
      <c r="DM271" s="107"/>
      <c r="DN271" s="69"/>
      <c r="DO271" s="69"/>
    </row>
    <row r="272" spans="6:119" s="68" customFormat="1">
      <c r="G272" s="688"/>
      <c r="H272" s="688"/>
      <c r="I272" s="688"/>
      <c r="J272" s="688"/>
      <c r="K272" s="688"/>
      <c r="L272" s="688"/>
      <c r="M272" s="688"/>
      <c r="N272" s="688"/>
      <c r="O272" s="688"/>
      <c r="P272" s="688"/>
      <c r="Q272" s="688"/>
      <c r="R272" s="688"/>
      <c r="S272" s="688"/>
      <c r="T272" s="927"/>
      <c r="U272" s="249"/>
      <c r="V272" s="249"/>
      <c r="W272" s="688"/>
      <c r="X272" s="927"/>
      <c r="AP272" s="688"/>
      <c r="AQ272" s="688"/>
      <c r="CT272" s="70"/>
      <c r="CU272" s="161"/>
      <c r="CV272" s="161"/>
      <c r="CW272" s="383"/>
      <c r="CX272" s="884"/>
      <c r="CY272" s="884"/>
      <c r="CZ272" s="834"/>
      <c r="DA272" s="107"/>
      <c r="DB272" s="107"/>
      <c r="DC272" s="107"/>
      <c r="DD272" s="107"/>
      <c r="DE272" s="107"/>
      <c r="DF272" s="107"/>
      <c r="DG272" s="107"/>
      <c r="DH272" s="107"/>
      <c r="DI272" s="107"/>
      <c r="DJ272" s="107"/>
      <c r="DK272" s="107"/>
      <c r="DL272" s="107"/>
      <c r="DM272" s="107"/>
      <c r="DN272" s="69"/>
      <c r="DO272" s="69"/>
    </row>
    <row r="273" spans="7:119" s="68" customFormat="1">
      <c r="G273" s="688"/>
      <c r="H273" s="688"/>
      <c r="I273" s="688"/>
      <c r="J273" s="688"/>
      <c r="K273" s="688"/>
      <c r="L273" s="688"/>
      <c r="M273" s="688"/>
      <c r="N273" s="688"/>
      <c r="O273" s="688"/>
      <c r="P273" s="688"/>
      <c r="Q273" s="688"/>
      <c r="R273" s="688"/>
      <c r="S273" s="688"/>
      <c r="T273" s="927"/>
      <c r="U273" s="249"/>
      <c r="V273" s="249"/>
      <c r="W273" s="950"/>
      <c r="X273" s="927"/>
      <c r="AP273" s="688"/>
      <c r="AQ273" s="688"/>
      <c r="CT273" s="70"/>
      <c r="CU273" s="161"/>
      <c r="CV273" s="161"/>
      <c r="CW273" s="383"/>
      <c r="CX273" s="884"/>
      <c r="CY273" s="884"/>
      <c r="CZ273" s="834"/>
      <c r="DA273" s="107"/>
      <c r="DB273" s="107"/>
      <c r="DC273" s="107"/>
      <c r="DD273" s="107"/>
      <c r="DE273" s="107"/>
      <c r="DF273" s="107"/>
      <c r="DG273" s="107"/>
      <c r="DH273" s="107"/>
      <c r="DI273" s="107"/>
      <c r="DJ273" s="107"/>
      <c r="DK273" s="107"/>
      <c r="DL273" s="107"/>
      <c r="DM273" s="107"/>
      <c r="DN273" s="69"/>
      <c r="DO273" s="69"/>
    </row>
    <row r="274" spans="7:119" s="68" customFormat="1">
      <c r="G274" s="688"/>
      <c r="H274" s="688"/>
      <c r="I274" s="688"/>
      <c r="J274" s="688"/>
      <c r="K274" s="688"/>
      <c r="L274" s="688"/>
      <c r="M274" s="688"/>
      <c r="N274" s="688"/>
      <c r="O274" s="688"/>
      <c r="P274" s="688"/>
      <c r="Q274" s="688"/>
      <c r="R274" s="688"/>
      <c r="S274" s="688"/>
      <c r="T274" s="927"/>
      <c r="U274" s="249"/>
      <c r="V274" s="249"/>
      <c r="W274" s="950"/>
      <c r="X274" s="927"/>
      <c r="AP274" s="688"/>
      <c r="AQ274" s="688"/>
      <c r="CT274" s="70"/>
      <c r="CU274" s="161"/>
      <c r="CV274" s="161"/>
      <c r="CW274" s="383"/>
      <c r="CX274" s="884"/>
      <c r="CY274" s="884"/>
      <c r="CZ274" s="834"/>
      <c r="DA274" s="107"/>
      <c r="DB274" s="107"/>
      <c r="DC274" s="107"/>
      <c r="DD274" s="107"/>
      <c r="DE274" s="107"/>
      <c r="DF274" s="107"/>
      <c r="DG274" s="107"/>
      <c r="DH274" s="107"/>
      <c r="DI274" s="107"/>
      <c r="DJ274" s="107"/>
      <c r="DK274" s="107"/>
      <c r="DL274" s="107"/>
      <c r="DM274" s="107"/>
      <c r="DN274" s="69"/>
      <c r="DO274" s="69"/>
    </row>
    <row r="275" spans="7:119" s="68" customFormat="1">
      <c r="G275" s="688"/>
      <c r="H275" s="688"/>
      <c r="I275" s="688"/>
      <c r="J275" s="688"/>
      <c r="K275" s="688"/>
      <c r="L275" s="688"/>
      <c r="M275" s="688"/>
      <c r="N275" s="688"/>
      <c r="O275" s="688"/>
      <c r="P275" s="688"/>
      <c r="Q275" s="688"/>
      <c r="R275" s="688"/>
      <c r="S275" s="688"/>
      <c r="T275" s="927"/>
      <c r="U275" s="249"/>
      <c r="V275" s="249"/>
      <c r="W275" s="950"/>
      <c r="X275" s="927"/>
      <c r="AP275" s="688"/>
      <c r="AQ275" s="688"/>
      <c r="CT275" s="70"/>
      <c r="CU275" s="161"/>
      <c r="CV275" s="161"/>
      <c r="CW275" s="383"/>
      <c r="CX275" s="884"/>
      <c r="CY275" s="884"/>
      <c r="CZ275" s="834"/>
      <c r="DA275" s="107"/>
      <c r="DB275" s="107"/>
      <c r="DC275" s="107"/>
      <c r="DD275" s="107"/>
      <c r="DE275" s="107"/>
      <c r="DF275" s="107"/>
      <c r="DG275" s="107"/>
      <c r="DH275" s="107"/>
      <c r="DI275" s="107"/>
      <c r="DJ275" s="107"/>
      <c r="DK275" s="107"/>
      <c r="DL275" s="107"/>
      <c r="DM275" s="107"/>
      <c r="DN275" s="69"/>
      <c r="DO275" s="69"/>
    </row>
    <row r="276" spans="7:119" s="68" customFormat="1">
      <c r="G276" s="688"/>
      <c r="H276" s="688"/>
      <c r="I276" s="688"/>
      <c r="J276" s="688"/>
      <c r="K276" s="688"/>
      <c r="L276" s="688"/>
      <c r="M276" s="688"/>
      <c r="N276" s="688"/>
      <c r="O276" s="688"/>
      <c r="P276" s="688"/>
      <c r="Q276" s="688"/>
      <c r="R276" s="688"/>
      <c r="S276" s="688"/>
      <c r="T276" s="927"/>
      <c r="U276" s="249"/>
      <c r="V276" s="249"/>
      <c r="W276" s="950"/>
      <c r="X276" s="927"/>
      <c r="AP276" s="688"/>
      <c r="AQ276" s="688"/>
      <c r="CT276" s="70"/>
      <c r="CU276" s="161"/>
      <c r="CV276" s="161"/>
      <c r="CW276" s="383"/>
      <c r="CX276" s="884"/>
      <c r="CY276" s="884"/>
      <c r="CZ276" s="834"/>
      <c r="DA276" s="107"/>
      <c r="DB276" s="107"/>
      <c r="DC276" s="107"/>
      <c r="DD276" s="107"/>
      <c r="DE276" s="107"/>
      <c r="DF276" s="107"/>
      <c r="DG276" s="107"/>
      <c r="DH276" s="107"/>
      <c r="DI276" s="107"/>
      <c r="DJ276" s="107"/>
      <c r="DK276" s="107"/>
      <c r="DL276" s="107"/>
      <c r="DM276" s="107"/>
      <c r="DN276" s="69"/>
      <c r="DO276" s="69"/>
    </row>
    <row r="277" spans="7:119" s="68" customFormat="1">
      <c r="G277" s="688"/>
      <c r="H277" s="688"/>
      <c r="I277" s="688"/>
      <c r="J277" s="688"/>
      <c r="K277" s="688"/>
      <c r="L277" s="688"/>
      <c r="M277" s="688"/>
      <c r="N277" s="688"/>
      <c r="O277" s="688"/>
      <c r="P277" s="688"/>
      <c r="Q277" s="688"/>
      <c r="R277" s="688"/>
      <c r="S277" s="688"/>
      <c r="T277" s="927"/>
      <c r="U277" s="249"/>
      <c r="V277" s="249"/>
      <c r="W277" s="950"/>
      <c r="X277" s="927"/>
      <c r="AP277" s="688"/>
      <c r="AQ277" s="688"/>
      <c r="CT277" s="70"/>
      <c r="CU277" s="161"/>
      <c r="CV277" s="161"/>
      <c r="CW277" s="383"/>
      <c r="CX277" s="884"/>
      <c r="CY277" s="884"/>
      <c r="CZ277" s="834"/>
      <c r="DA277" s="107"/>
      <c r="DB277" s="107"/>
      <c r="DC277" s="107"/>
      <c r="DD277" s="107"/>
      <c r="DE277" s="107"/>
      <c r="DF277" s="107"/>
      <c r="DG277" s="107"/>
      <c r="DH277" s="107"/>
      <c r="DI277" s="107"/>
      <c r="DJ277" s="107"/>
      <c r="DK277" s="107"/>
      <c r="DL277" s="107"/>
      <c r="DM277" s="107"/>
      <c r="DN277" s="69"/>
      <c r="DO277" s="69"/>
    </row>
    <row r="278" spans="7:119" s="68" customFormat="1">
      <c r="G278" s="688"/>
      <c r="H278" s="688"/>
      <c r="I278" s="688"/>
      <c r="J278" s="688"/>
      <c r="K278" s="688"/>
      <c r="L278" s="688"/>
      <c r="M278" s="688"/>
      <c r="N278" s="688"/>
      <c r="O278" s="688"/>
      <c r="P278" s="688"/>
      <c r="Q278" s="688"/>
      <c r="R278" s="688"/>
      <c r="S278" s="688"/>
      <c r="T278" s="927"/>
      <c r="U278" s="249"/>
      <c r="V278" s="249"/>
      <c r="W278" s="950"/>
      <c r="X278" s="927"/>
      <c r="AP278" s="688"/>
      <c r="AQ278" s="688"/>
      <c r="CT278" s="70"/>
      <c r="CU278" s="161"/>
      <c r="CV278" s="161"/>
      <c r="CW278" s="383"/>
      <c r="CX278" s="884"/>
      <c r="CY278" s="884"/>
      <c r="CZ278" s="834"/>
      <c r="DA278" s="107"/>
      <c r="DB278" s="107"/>
      <c r="DC278" s="107"/>
      <c r="DD278" s="107"/>
      <c r="DE278" s="107"/>
      <c r="DF278" s="107"/>
      <c r="DG278" s="107"/>
      <c r="DH278" s="107"/>
      <c r="DI278" s="107"/>
      <c r="DJ278" s="107"/>
      <c r="DK278" s="107"/>
      <c r="DL278" s="107"/>
      <c r="DM278" s="107"/>
      <c r="DN278" s="69"/>
      <c r="DO278" s="69"/>
    </row>
    <row r="279" spans="7:119" s="68" customFormat="1">
      <c r="G279" s="688"/>
      <c r="H279" s="688"/>
      <c r="I279" s="688"/>
      <c r="J279" s="688"/>
      <c r="K279" s="688"/>
      <c r="L279" s="688"/>
      <c r="M279" s="688"/>
      <c r="N279" s="688"/>
      <c r="O279" s="688"/>
      <c r="P279" s="688"/>
      <c r="Q279" s="688"/>
      <c r="R279" s="688"/>
      <c r="S279" s="688"/>
      <c r="T279" s="927"/>
      <c r="U279" s="249"/>
      <c r="V279" s="249"/>
      <c r="W279" s="950"/>
      <c r="X279" s="927"/>
      <c r="Y279" s="688"/>
      <c r="Z279" s="688"/>
      <c r="AA279" s="688"/>
      <c r="AB279" s="688"/>
      <c r="AC279" s="688"/>
      <c r="AD279" s="688"/>
      <c r="AE279" s="688"/>
      <c r="AF279" s="688"/>
      <c r="AG279" s="688"/>
      <c r="AH279" s="688"/>
      <c r="AI279" s="688"/>
      <c r="AJ279" s="688"/>
      <c r="AK279" s="688"/>
      <c r="AL279" s="688"/>
      <c r="AM279" s="688"/>
      <c r="AN279" s="688"/>
      <c r="AO279" s="688"/>
      <c r="AP279" s="688"/>
      <c r="AQ279" s="688"/>
      <c r="CT279" s="70"/>
      <c r="CU279" s="161"/>
      <c r="CV279" s="161"/>
      <c r="CW279" s="383"/>
      <c r="CX279" s="884"/>
      <c r="CY279" s="884"/>
      <c r="CZ279" s="834"/>
      <c r="DA279" s="107"/>
      <c r="DB279" s="107"/>
      <c r="DC279" s="107"/>
      <c r="DD279" s="107"/>
      <c r="DE279" s="107"/>
      <c r="DF279" s="107"/>
      <c r="DG279" s="107"/>
      <c r="DH279" s="107"/>
      <c r="DI279" s="107"/>
      <c r="DJ279" s="107"/>
      <c r="DK279" s="107"/>
      <c r="DL279" s="107"/>
      <c r="DM279" s="107"/>
      <c r="DN279" s="69"/>
      <c r="DO279" s="69"/>
    </row>
    <row r="280" spans="7:119" s="68" customFormat="1">
      <c r="G280" s="688"/>
      <c r="H280" s="688"/>
      <c r="I280" s="688"/>
      <c r="J280" s="688"/>
      <c r="K280" s="688"/>
      <c r="L280" s="688"/>
      <c r="M280" s="688"/>
      <c r="N280" s="688"/>
      <c r="O280" s="688"/>
      <c r="P280" s="688"/>
      <c r="Q280" s="688"/>
      <c r="R280" s="688"/>
      <c r="S280" s="688"/>
      <c r="T280" s="927"/>
      <c r="U280" s="249"/>
      <c r="V280" s="249"/>
      <c r="W280" s="950"/>
      <c r="X280" s="927"/>
      <c r="Y280" s="688"/>
      <c r="Z280" s="688"/>
      <c r="AA280" s="688"/>
      <c r="AB280" s="688"/>
      <c r="AC280" s="688"/>
      <c r="AD280" s="688"/>
      <c r="AE280" s="688"/>
      <c r="AF280" s="688"/>
      <c r="AG280" s="688"/>
      <c r="AH280" s="688"/>
      <c r="AI280" s="688"/>
      <c r="AJ280" s="688"/>
      <c r="AK280" s="688"/>
      <c r="AL280" s="688"/>
      <c r="AM280" s="688"/>
      <c r="AN280" s="688"/>
      <c r="AO280" s="688"/>
      <c r="AP280" s="688"/>
      <c r="AQ280" s="688"/>
      <c r="CT280" s="70"/>
      <c r="CU280" s="161"/>
      <c r="CV280" s="161"/>
      <c r="CW280" s="383"/>
      <c r="CX280" s="884"/>
      <c r="CY280" s="884"/>
      <c r="CZ280" s="834"/>
      <c r="DA280" s="107"/>
      <c r="DB280" s="107"/>
      <c r="DC280" s="107"/>
      <c r="DD280" s="107"/>
      <c r="DE280" s="107"/>
      <c r="DF280" s="107"/>
      <c r="DG280" s="107"/>
      <c r="DH280" s="107"/>
      <c r="DI280" s="107"/>
      <c r="DJ280" s="107"/>
      <c r="DK280" s="107"/>
      <c r="DL280" s="107"/>
      <c r="DM280" s="107"/>
      <c r="DN280" s="69"/>
      <c r="DO280" s="69"/>
    </row>
    <row r="281" spans="7:119" s="68" customFormat="1">
      <c r="G281" s="688"/>
      <c r="H281" s="688"/>
      <c r="I281" s="688"/>
      <c r="J281" s="688"/>
      <c r="K281" s="688"/>
      <c r="L281" s="688"/>
      <c r="M281" s="688"/>
      <c r="N281" s="688"/>
      <c r="O281" s="688"/>
      <c r="P281" s="688"/>
      <c r="Q281" s="688"/>
      <c r="R281" s="688"/>
      <c r="S281" s="688"/>
      <c r="T281" s="927"/>
      <c r="U281" s="249"/>
      <c r="V281" s="249"/>
      <c r="W281" s="950"/>
      <c r="X281" s="927"/>
      <c r="Y281" s="688"/>
      <c r="Z281" s="688"/>
      <c r="AA281" s="688"/>
      <c r="AB281" s="688"/>
      <c r="AC281" s="688"/>
      <c r="AD281" s="688"/>
      <c r="AE281" s="688"/>
      <c r="AF281" s="688"/>
      <c r="AG281" s="688"/>
      <c r="AH281" s="688"/>
      <c r="AI281" s="688"/>
      <c r="AJ281" s="688"/>
      <c r="AK281" s="688"/>
      <c r="AL281" s="688"/>
      <c r="AM281" s="688"/>
      <c r="AN281" s="688"/>
      <c r="AO281" s="688"/>
      <c r="AP281" s="688"/>
      <c r="AQ281" s="688"/>
      <c r="CT281" s="70"/>
      <c r="CU281" s="161"/>
      <c r="CV281" s="161"/>
      <c r="CW281" s="383"/>
      <c r="CX281" s="884"/>
      <c r="CY281" s="884"/>
      <c r="CZ281" s="834"/>
      <c r="DA281" s="107"/>
      <c r="DB281" s="107"/>
      <c r="DC281" s="107"/>
      <c r="DD281" s="107"/>
      <c r="DE281" s="107"/>
      <c r="DF281" s="107"/>
      <c r="DG281" s="107"/>
      <c r="DH281" s="107"/>
      <c r="DI281" s="107"/>
      <c r="DJ281" s="107"/>
      <c r="DK281" s="107"/>
      <c r="DL281" s="107"/>
      <c r="DM281" s="107"/>
      <c r="DN281" s="69"/>
      <c r="DO281" s="69"/>
    </row>
    <row r="282" spans="7:119" s="68" customFormat="1">
      <c r="G282" s="688"/>
      <c r="H282" s="688"/>
      <c r="I282" s="688"/>
      <c r="J282" s="688"/>
      <c r="K282" s="688"/>
      <c r="L282" s="688"/>
      <c r="M282" s="688"/>
      <c r="N282" s="688"/>
      <c r="O282" s="688"/>
      <c r="P282" s="688"/>
      <c r="Q282" s="688"/>
      <c r="R282" s="688"/>
      <c r="S282" s="688"/>
      <c r="T282" s="927"/>
      <c r="U282" s="249"/>
      <c r="V282" s="249"/>
      <c r="W282" s="950"/>
      <c r="X282" s="927"/>
      <c r="Y282" s="688"/>
      <c r="Z282" s="688"/>
      <c r="AA282" s="688"/>
      <c r="AB282" s="688"/>
      <c r="AC282" s="688"/>
      <c r="AD282" s="688"/>
      <c r="AE282" s="688"/>
      <c r="AF282" s="688"/>
      <c r="AG282" s="688"/>
      <c r="AH282" s="688"/>
      <c r="AI282" s="688"/>
      <c r="AJ282" s="688"/>
      <c r="AK282" s="688"/>
      <c r="AL282" s="688"/>
      <c r="AM282" s="688"/>
      <c r="AN282" s="688"/>
      <c r="AO282" s="688"/>
      <c r="AP282" s="688"/>
      <c r="AQ282" s="688"/>
      <c r="CT282" s="70"/>
      <c r="CU282" s="161"/>
      <c r="CV282" s="161"/>
      <c r="CW282" s="383"/>
      <c r="CX282" s="884"/>
      <c r="CY282" s="884"/>
      <c r="CZ282" s="834"/>
      <c r="DA282" s="107"/>
      <c r="DB282" s="107"/>
      <c r="DC282" s="107"/>
      <c r="DD282" s="107"/>
      <c r="DE282" s="107"/>
      <c r="DF282" s="107"/>
      <c r="DG282" s="107"/>
      <c r="DH282" s="107"/>
      <c r="DI282" s="107"/>
      <c r="DJ282" s="107"/>
      <c r="DK282" s="107"/>
      <c r="DL282" s="107"/>
      <c r="DM282" s="107"/>
      <c r="DN282" s="69"/>
      <c r="DO282" s="69"/>
    </row>
    <row r="283" spans="7:119" s="68" customFormat="1">
      <c r="G283" s="688"/>
      <c r="H283" s="688"/>
      <c r="I283" s="688"/>
      <c r="J283" s="688"/>
      <c r="K283" s="688"/>
      <c r="L283" s="688"/>
      <c r="M283" s="688"/>
      <c r="N283" s="688"/>
      <c r="O283" s="688"/>
      <c r="P283" s="688"/>
      <c r="Q283" s="688"/>
      <c r="R283" s="688"/>
      <c r="S283" s="688"/>
      <c r="T283" s="927"/>
      <c r="U283" s="249"/>
      <c r="V283" s="249"/>
      <c r="W283" s="950"/>
      <c r="X283" s="927"/>
      <c r="Y283" s="688"/>
      <c r="Z283" s="688"/>
      <c r="AA283" s="688"/>
      <c r="AB283" s="688"/>
      <c r="AC283" s="688"/>
      <c r="AD283" s="688"/>
      <c r="AE283" s="688"/>
      <c r="AF283" s="688"/>
      <c r="AG283" s="688"/>
      <c r="AH283" s="688"/>
      <c r="AI283" s="688"/>
      <c r="AJ283" s="688"/>
      <c r="AK283" s="688"/>
      <c r="AL283" s="688"/>
      <c r="AM283" s="688"/>
      <c r="AN283" s="688"/>
      <c r="AO283" s="688"/>
      <c r="AP283" s="688"/>
      <c r="AQ283" s="688"/>
      <c r="CT283" s="70"/>
      <c r="CU283" s="161"/>
      <c r="CV283" s="161"/>
      <c r="CW283" s="383"/>
      <c r="CX283" s="884"/>
      <c r="CY283" s="884"/>
      <c r="CZ283" s="834"/>
      <c r="DA283" s="107"/>
      <c r="DB283" s="107"/>
      <c r="DC283" s="107"/>
      <c r="DD283" s="107"/>
      <c r="DE283" s="107"/>
      <c r="DF283" s="107"/>
      <c r="DG283" s="107"/>
      <c r="DH283" s="107"/>
      <c r="DI283" s="107"/>
      <c r="DJ283" s="107"/>
      <c r="DK283" s="107"/>
      <c r="DL283" s="107"/>
      <c r="DM283" s="107"/>
      <c r="DN283" s="69"/>
      <c r="DO283" s="69"/>
    </row>
    <row r="284" spans="7:119" s="68" customFormat="1">
      <c r="G284" s="688"/>
      <c r="H284" s="688"/>
      <c r="I284" s="688"/>
      <c r="J284" s="688"/>
      <c r="K284" s="688"/>
      <c r="L284" s="688"/>
      <c r="M284" s="688"/>
      <c r="N284" s="688"/>
      <c r="O284" s="688"/>
      <c r="P284" s="688"/>
      <c r="Q284" s="688"/>
      <c r="R284" s="688"/>
      <c r="S284" s="688"/>
      <c r="T284" s="927"/>
      <c r="U284" s="249"/>
      <c r="V284" s="249"/>
      <c r="W284" s="950"/>
      <c r="X284" s="927"/>
      <c r="Y284" s="688"/>
      <c r="Z284" s="688"/>
      <c r="AA284" s="688"/>
      <c r="AB284" s="688"/>
      <c r="AC284" s="688"/>
      <c r="AD284" s="688"/>
      <c r="AE284" s="688"/>
      <c r="AF284" s="688"/>
      <c r="AG284" s="688"/>
      <c r="AH284" s="688"/>
      <c r="AI284" s="688"/>
      <c r="AJ284" s="688"/>
      <c r="AK284" s="688"/>
      <c r="AL284" s="688"/>
      <c r="AM284" s="688"/>
      <c r="AN284" s="688"/>
      <c r="AO284" s="688"/>
      <c r="AP284" s="688"/>
      <c r="AQ284" s="688"/>
      <c r="CT284" s="70"/>
      <c r="CU284" s="161"/>
      <c r="CV284" s="161"/>
      <c r="CW284" s="383"/>
      <c r="CX284" s="884"/>
      <c r="CY284" s="884"/>
      <c r="CZ284" s="834"/>
      <c r="DA284" s="107"/>
      <c r="DB284" s="107"/>
      <c r="DC284" s="107"/>
      <c r="DD284" s="107"/>
      <c r="DE284" s="107"/>
      <c r="DF284" s="107"/>
      <c r="DG284" s="107"/>
      <c r="DH284" s="107"/>
      <c r="DI284" s="107"/>
      <c r="DJ284" s="107"/>
      <c r="DK284" s="107"/>
      <c r="DL284" s="107"/>
      <c r="DM284" s="107"/>
      <c r="DN284" s="69"/>
      <c r="DO284" s="69"/>
    </row>
    <row r="285" spans="7:119" s="68" customFormat="1">
      <c r="G285" s="688"/>
      <c r="H285" s="688"/>
      <c r="I285" s="688"/>
      <c r="J285" s="688"/>
      <c r="K285" s="688"/>
      <c r="L285" s="688"/>
      <c r="M285" s="688"/>
      <c r="N285" s="688"/>
      <c r="O285" s="688"/>
      <c r="P285" s="688"/>
      <c r="Q285" s="688"/>
      <c r="R285" s="688"/>
      <c r="S285" s="688"/>
      <c r="T285" s="927"/>
      <c r="U285" s="249"/>
      <c r="V285" s="249"/>
      <c r="W285" s="950"/>
      <c r="X285" s="927"/>
      <c r="Y285" s="688"/>
      <c r="Z285" s="688"/>
      <c r="AA285" s="688"/>
      <c r="AB285" s="688"/>
      <c r="AC285" s="688"/>
      <c r="AD285" s="688"/>
      <c r="AE285" s="688"/>
      <c r="AF285" s="688"/>
      <c r="AG285" s="688"/>
      <c r="AH285" s="688"/>
      <c r="AI285" s="688"/>
      <c r="AJ285" s="688"/>
      <c r="AK285" s="688"/>
      <c r="AL285" s="688"/>
      <c r="AM285" s="688"/>
      <c r="AN285" s="688"/>
      <c r="AO285" s="688"/>
      <c r="AP285" s="688"/>
      <c r="AQ285" s="688"/>
      <c r="CT285" s="70"/>
      <c r="CU285" s="161"/>
      <c r="CV285" s="161"/>
      <c r="CW285" s="383"/>
      <c r="CX285" s="884"/>
      <c r="CY285" s="884"/>
      <c r="CZ285" s="834"/>
      <c r="DA285" s="107"/>
      <c r="DB285" s="107"/>
      <c r="DC285" s="107"/>
      <c r="DD285" s="107"/>
      <c r="DE285" s="107"/>
      <c r="DF285" s="107"/>
      <c r="DG285" s="107"/>
      <c r="DH285" s="107"/>
      <c r="DI285" s="107"/>
      <c r="DJ285" s="107"/>
      <c r="DK285" s="107"/>
      <c r="DL285" s="107"/>
      <c r="DM285" s="107"/>
      <c r="DN285" s="69"/>
      <c r="DO285" s="69"/>
    </row>
    <row r="286" spans="7:119" s="68" customFormat="1">
      <c r="G286" s="688"/>
      <c r="H286" s="688"/>
      <c r="I286" s="688"/>
      <c r="J286" s="688"/>
      <c r="K286" s="688"/>
      <c r="L286" s="688"/>
      <c r="M286" s="688"/>
      <c r="N286" s="688"/>
      <c r="O286" s="688"/>
      <c r="P286" s="688"/>
      <c r="Q286" s="688"/>
      <c r="R286" s="688"/>
      <c r="S286" s="688"/>
      <c r="T286" s="927"/>
      <c r="U286" s="249"/>
      <c r="V286" s="249"/>
      <c r="W286" s="950"/>
      <c r="X286" s="927"/>
      <c r="Y286" s="688"/>
      <c r="Z286" s="688"/>
      <c r="AA286" s="688"/>
      <c r="AB286" s="688"/>
      <c r="AC286" s="688"/>
      <c r="AD286" s="688"/>
      <c r="AE286" s="688"/>
      <c r="AF286" s="688"/>
      <c r="AG286" s="688"/>
      <c r="AH286" s="688"/>
      <c r="AI286" s="688"/>
      <c r="AJ286" s="688"/>
      <c r="AK286" s="688"/>
      <c r="AL286" s="688"/>
      <c r="AM286" s="688"/>
      <c r="AN286" s="688"/>
      <c r="AO286" s="688"/>
      <c r="AP286" s="688"/>
      <c r="AQ286" s="688"/>
      <c r="CT286" s="70"/>
      <c r="CU286" s="161"/>
      <c r="CV286" s="161"/>
      <c r="CW286" s="383"/>
      <c r="CX286" s="884"/>
      <c r="CY286" s="884"/>
      <c r="CZ286" s="834"/>
      <c r="DA286" s="107"/>
      <c r="DB286" s="107"/>
      <c r="DC286" s="107"/>
      <c r="DD286" s="107"/>
      <c r="DE286" s="107"/>
      <c r="DF286" s="107"/>
      <c r="DG286" s="107"/>
      <c r="DH286" s="107"/>
      <c r="DI286" s="107"/>
      <c r="DJ286" s="107"/>
      <c r="DK286" s="107"/>
      <c r="DL286" s="107"/>
      <c r="DM286" s="107"/>
      <c r="DN286" s="69"/>
      <c r="DO286" s="69"/>
    </row>
    <row r="287" spans="7:119" s="68" customFormat="1">
      <c r="G287" s="688"/>
      <c r="H287" s="688"/>
      <c r="I287" s="688"/>
      <c r="J287" s="688"/>
      <c r="K287" s="688"/>
      <c r="L287" s="688"/>
      <c r="M287" s="688"/>
      <c r="N287" s="688"/>
      <c r="O287" s="688"/>
      <c r="P287" s="688"/>
      <c r="Q287" s="688"/>
      <c r="R287" s="688"/>
      <c r="S287" s="688"/>
      <c r="T287" s="927"/>
      <c r="U287" s="249"/>
      <c r="V287" s="249"/>
      <c r="W287" s="950"/>
      <c r="X287" s="927"/>
      <c r="Y287" s="688"/>
      <c r="Z287" s="688"/>
      <c r="AA287" s="688"/>
      <c r="AB287" s="688"/>
      <c r="AC287" s="688"/>
      <c r="AD287" s="688"/>
      <c r="AE287" s="688"/>
      <c r="AF287" s="688"/>
      <c r="AG287" s="688"/>
      <c r="AH287" s="688"/>
      <c r="AI287" s="688"/>
      <c r="AJ287" s="688"/>
      <c r="AK287" s="688"/>
      <c r="AL287" s="688"/>
      <c r="AM287" s="688"/>
      <c r="AN287" s="688"/>
      <c r="AO287" s="688"/>
      <c r="AP287" s="688"/>
      <c r="AQ287" s="688"/>
      <c r="CT287" s="70"/>
      <c r="CU287" s="161"/>
      <c r="CV287" s="161"/>
      <c r="CW287" s="383"/>
      <c r="CX287" s="884"/>
      <c r="CY287" s="884"/>
      <c r="CZ287" s="834"/>
      <c r="DA287" s="107"/>
      <c r="DB287" s="107"/>
      <c r="DC287" s="107"/>
      <c r="DD287" s="107"/>
      <c r="DE287" s="107"/>
      <c r="DF287" s="107"/>
      <c r="DG287" s="107"/>
      <c r="DH287" s="107"/>
      <c r="DI287" s="107"/>
      <c r="DJ287" s="107"/>
      <c r="DK287" s="107"/>
      <c r="DL287" s="107"/>
      <c r="DM287" s="107"/>
      <c r="DN287" s="69"/>
      <c r="DO287" s="69"/>
    </row>
    <row r="288" spans="7:119" s="68" customFormat="1">
      <c r="G288" s="688"/>
      <c r="H288" s="688"/>
      <c r="I288" s="688"/>
      <c r="J288" s="688"/>
      <c r="K288" s="688"/>
      <c r="L288" s="688"/>
      <c r="M288" s="688"/>
      <c r="N288" s="688"/>
      <c r="O288" s="688"/>
      <c r="P288" s="688"/>
      <c r="Q288" s="688"/>
      <c r="R288" s="688"/>
      <c r="S288" s="688"/>
      <c r="T288" s="927"/>
      <c r="U288" s="249"/>
      <c r="V288" s="249"/>
      <c r="W288" s="950"/>
      <c r="X288" s="927"/>
      <c r="Y288" s="688"/>
      <c r="Z288" s="688"/>
      <c r="AA288" s="688"/>
      <c r="AB288" s="688"/>
      <c r="AC288" s="688"/>
      <c r="AD288" s="688"/>
      <c r="AE288" s="688"/>
      <c r="AF288" s="688"/>
      <c r="AG288" s="688"/>
      <c r="AH288" s="688"/>
      <c r="AI288" s="688"/>
      <c r="AJ288" s="688"/>
      <c r="AK288" s="688"/>
      <c r="AL288" s="688"/>
      <c r="AM288" s="688"/>
      <c r="AN288" s="688"/>
      <c r="AO288" s="688"/>
      <c r="AP288" s="688"/>
      <c r="AQ288" s="688"/>
      <c r="CT288" s="70"/>
      <c r="CU288" s="161"/>
      <c r="CV288" s="161"/>
      <c r="CW288" s="383"/>
      <c r="CX288" s="884"/>
      <c r="CY288" s="884"/>
      <c r="CZ288" s="834"/>
      <c r="DA288" s="107"/>
      <c r="DB288" s="107"/>
      <c r="DC288" s="107"/>
      <c r="DD288" s="107"/>
      <c r="DE288" s="107"/>
      <c r="DF288" s="107"/>
      <c r="DG288" s="107"/>
      <c r="DH288" s="107"/>
      <c r="DI288" s="107"/>
      <c r="DJ288" s="107"/>
      <c r="DK288" s="107"/>
      <c r="DL288" s="107"/>
      <c r="DM288" s="107"/>
      <c r="DN288" s="69"/>
      <c r="DO288" s="69"/>
    </row>
    <row r="289" spans="7:119" s="68" customFormat="1">
      <c r="G289" s="688"/>
      <c r="H289" s="688"/>
      <c r="I289" s="688"/>
      <c r="J289" s="688"/>
      <c r="K289" s="688"/>
      <c r="L289" s="688"/>
      <c r="M289" s="688"/>
      <c r="N289" s="688"/>
      <c r="O289" s="688"/>
      <c r="P289" s="688"/>
      <c r="Q289" s="688"/>
      <c r="R289" s="688"/>
      <c r="S289" s="688"/>
      <c r="T289" s="927"/>
      <c r="U289" s="249"/>
      <c r="V289" s="249"/>
      <c r="W289" s="950"/>
      <c r="X289" s="927"/>
      <c r="Y289" s="688"/>
      <c r="Z289" s="688"/>
      <c r="AA289" s="688"/>
      <c r="AB289" s="688"/>
      <c r="AC289" s="688"/>
      <c r="AD289" s="688"/>
      <c r="AE289" s="688"/>
      <c r="AF289" s="688"/>
      <c r="AG289" s="688"/>
      <c r="AH289" s="688"/>
      <c r="AI289" s="688"/>
      <c r="AJ289" s="688"/>
      <c r="AK289" s="688"/>
      <c r="AL289" s="688"/>
      <c r="AM289" s="688"/>
      <c r="AN289" s="688"/>
      <c r="AO289" s="688"/>
      <c r="AP289" s="688"/>
      <c r="AQ289" s="688"/>
      <c r="CT289" s="70"/>
      <c r="CU289" s="161"/>
      <c r="CV289" s="161"/>
      <c r="CW289" s="383"/>
      <c r="CX289" s="884"/>
      <c r="CY289" s="884"/>
      <c r="CZ289" s="834"/>
      <c r="DA289" s="107"/>
      <c r="DB289" s="107"/>
      <c r="DC289" s="107"/>
      <c r="DD289" s="107"/>
      <c r="DE289" s="107"/>
      <c r="DF289" s="107"/>
      <c r="DG289" s="107"/>
      <c r="DH289" s="107"/>
      <c r="DI289" s="107"/>
      <c r="DJ289" s="107"/>
      <c r="DK289" s="107"/>
      <c r="DL289" s="107"/>
      <c r="DM289" s="107"/>
      <c r="DN289" s="69"/>
      <c r="DO289" s="69"/>
    </row>
    <row r="290" spans="7:119" s="68" customFormat="1">
      <c r="G290" s="688"/>
      <c r="H290" s="688"/>
      <c r="I290" s="688"/>
      <c r="J290" s="688"/>
      <c r="K290" s="688"/>
      <c r="L290" s="688"/>
      <c r="M290" s="688"/>
      <c r="N290" s="688"/>
      <c r="O290" s="688"/>
      <c r="P290" s="688"/>
      <c r="Q290" s="688"/>
      <c r="R290" s="688"/>
      <c r="S290" s="688"/>
      <c r="T290" s="927"/>
      <c r="U290" s="249"/>
      <c r="V290" s="249"/>
      <c r="W290" s="950"/>
      <c r="X290" s="927"/>
      <c r="Y290" s="688"/>
      <c r="Z290" s="688"/>
      <c r="AA290" s="688"/>
      <c r="AB290" s="688"/>
      <c r="AC290" s="688"/>
      <c r="AD290" s="688"/>
      <c r="AE290" s="688"/>
      <c r="AF290" s="688"/>
      <c r="AG290" s="688"/>
      <c r="AH290" s="688"/>
      <c r="AI290" s="688"/>
      <c r="AJ290" s="688"/>
      <c r="AK290" s="688"/>
      <c r="AL290" s="688"/>
      <c r="AM290" s="688"/>
      <c r="AN290" s="688"/>
      <c r="AO290" s="688"/>
      <c r="AP290" s="688"/>
      <c r="AQ290" s="688"/>
      <c r="CT290" s="70"/>
      <c r="CU290" s="161"/>
      <c r="CV290" s="161"/>
      <c r="CW290" s="383"/>
      <c r="CX290" s="884"/>
      <c r="CY290" s="884"/>
      <c r="CZ290" s="834"/>
      <c r="DA290" s="107"/>
      <c r="DB290" s="107"/>
      <c r="DC290" s="107"/>
      <c r="DD290" s="107"/>
      <c r="DE290" s="107"/>
      <c r="DF290" s="107"/>
      <c r="DG290" s="107"/>
      <c r="DH290" s="107"/>
      <c r="DI290" s="107"/>
      <c r="DJ290" s="107"/>
      <c r="DK290" s="107"/>
      <c r="DL290" s="107"/>
      <c r="DM290" s="107"/>
      <c r="DN290" s="69"/>
      <c r="DO290" s="69"/>
    </row>
    <row r="291" spans="7:119" s="68" customFormat="1">
      <c r="G291" s="688"/>
      <c r="H291" s="688"/>
      <c r="I291" s="688"/>
      <c r="J291" s="688"/>
      <c r="K291" s="688"/>
      <c r="L291" s="688"/>
      <c r="M291" s="688"/>
      <c r="N291" s="688"/>
      <c r="O291" s="688"/>
      <c r="P291" s="688"/>
      <c r="Q291" s="688"/>
      <c r="R291" s="688"/>
      <c r="S291" s="688"/>
      <c r="T291" s="927"/>
      <c r="U291" s="249"/>
      <c r="V291" s="249"/>
      <c r="W291" s="950"/>
      <c r="X291" s="927"/>
      <c r="Y291" s="688"/>
      <c r="Z291" s="688"/>
      <c r="AA291" s="688"/>
      <c r="AB291" s="688"/>
      <c r="AC291" s="688"/>
      <c r="AD291" s="688"/>
      <c r="AE291" s="688"/>
      <c r="AF291" s="688"/>
      <c r="AG291" s="688"/>
      <c r="AH291" s="688"/>
      <c r="AI291" s="688"/>
      <c r="AJ291" s="688"/>
      <c r="AK291" s="688"/>
      <c r="AL291" s="688"/>
      <c r="AM291" s="688"/>
      <c r="AN291" s="688"/>
      <c r="AO291" s="688"/>
      <c r="AP291" s="688"/>
      <c r="AQ291" s="688"/>
      <c r="CT291" s="70"/>
      <c r="CU291" s="161"/>
      <c r="CV291" s="161"/>
      <c r="CW291" s="383"/>
      <c r="CX291" s="884"/>
      <c r="CY291" s="884"/>
      <c r="CZ291" s="834"/>
      <c r="DA291" s="107"/>
      <c r="DB291" s="107"/>
      <c r="DC291" s="107"/>
      <c r="DD291" s="107"/>
      <c r="DE291" s="107"/>
      <c r="DF291" s="107"/>
      <c r="DG291" s="107"/>
      <c r="DH291" s="107"/>
      <c r="DI291" s="107"/>
      <c r="DJ291" s="107"/>
      <c r="DK291" s="107"/>
      <c r="DL291" s="107"/>
      <c r="DM291" s="107"/>
      <c r="DN291" s="69"/>
      <c r="DO291" s="69"/>
    </row>
    <row r="292" spans="7:119" s="68" customFormat="1">
      <c r="G292" s="688"/>
      <c r="H292" s="688"/>
      <c r="I292" s="688"/>
      <c r="J292" s="688"/>
      <c r="K292" s="688"/>
      <c r="L292" s="688"/>
      <c r="M292" s="688"/>
      <c r="N292" s="688"/>
      <c r="O292" s="688"/>
      <c r="P292" s="688"/>
      <c r="Q292" s="688"/>
      <c r="R292" s="688"/>
      <c r="S292" s="688"/>
      <c r="T292" s="927"/>
      <c r="U292" s="249"/>
      <c r="V292" s="249"/>
      <c r="W292" s="950"/>
      <c r="X292" s="927"/>
      <c r="Y292" s="688"/>
      <c r="Z292" s="688"/>
      <c r="AA292" s="688"/>
      <c r="AB292" s="688"/>
      <c r="AC292" s="688"/>
      <c r="AD292" s="688"/>
      <c r="AE292" s="688"/>
      <c r="AF292" s="688"/>
      <c r="AG292" s="688"/>
      <c r="AH292" s="688"/>
      <c r="AI292" s="688"/>
      <c r="AJ292" s="688"/>
      <c r="AK292" s="688"/>
      <c r="AL292" s="688"/>
      <c r="AM292" s="688"/>
      <c r="AN292" s="688"/>
      <c r="AO292" s="688"/>
      <c r="AP292" s="688"/>
      <c r="AQ292" s="688"/>
      <c r="CT292" s="70"/>
      <c r="CU292" s="161"/>
      <c r="CV292" s="161"/>
      <c r="CW292" s="383"/>
      <c r="CX292" s="884"/>
      <c r="CY292" s="884"/>
      <c r="CZ292" s="834"/>
      <c r="DA292" s="107"/>
      <c r="DB292" s="107"/>
      <c r="DC292" s="107"/>
      <c r="DD292" s="107"/>
      <c r="DE292" s="107"/>
      <c r="DF292" s="107"/>
      <c r="DG292" s="107"/>
      <c r="DH292" s="107"/>
      <c r="DI292" s="107"/>
      <c r="DJ292" s="107"/>
      <c r="DK292" s="107"/>
      <c r="DL292" s="107"/>
      <c r="DM292" s="107"/>
      <c r="DN292" s="69"/>
      <c r="DO292" s="69"/>
    </row>
    <row r="293" spans="7:119" s="68" customFormat="1">
      <c r="T293" s="37"/>
      <c r="U293" s="249"/>
      <c r="V293" s="249"/>
      <c r="W293" s="248"/>
      <c r="X293" s="37"/>
      <c r="CT293" s="70"/>
      <c r="CU293" s="161"/>
      <c r="CV293" s="161"/>
      <c r="CW293" s="383"/>
      <c r="CX293" s="884"/>
      <c r="CY293" s="884"/>
      <c r="CZ293" s="834"/>
      <c r="DA293" s="107"/>
      <c r="DB293" s="107"/>
      <c r="DC293" s="107"/>
      <c r="DD293" s="107"/>
      <c r="DE293" s="107"/>
      <c r="DF293" s="107"/>
      <c r="DG293" s="107"/>
      <c r="DH293" s="107"/>
      <c r="DI293" s="107"/>
      <c r="DJ293" s="107"/>
      <c r="DK293" s="107"/>
      <c r="DL293" s="107"/>
      <c r="DM293" s="107"/>
      <c r="DN293" s="69"/>
      <c r="DO293" s="69"/>
    </row>
    <row r="294" spans="7:119" s="68" customFormat="1">
      <c r="T294" s="37"/>
      <c r="U294" s="249"/>
      <c r="V294" s="249"/>
      <c r="W294" s="248"/>
      <c r="X294" s="37"/>
      <c r="CT294" s="70"/>
      <c r="CU294" s="161"/>
      <c r="CV294" s="161"/>
      <c r="CW294" s="383"/>
      <c r="CX294" s="884"/>
      <c r="CY294" s="884"/>
      <c r="CZ294" s="834"/>
      <c r="DA294" s="107"/>
      <c r="DB294" s="107"/>
      <c r="DC294" s="107"/>
      <c r="DD294" s="107"/>
      <c r="DE294" s="107"/>
      <c r="DF294" s="107"/>
      <c r="DG294" s="107"/>
      <c r="DH294" s="107"/>
      <c r="DI294" s="107"/>
      <c r="DJ294" s="107"/>
      <c r="DK294" s="107"/>
      <c r="DL294" s="107"/>
      <c r="DM294" s="107"/>
      <c r="DN294" s="69"/>
      <c r="DO294" s="69"/>
    </row>
    <row r="295" spans="7:119" s="68" customFormat="1">
      <c r="T295" s="37"/>
      <c r="U295" s="249"/>
      <c r="V295" s="249"/>
      <c r="W295" s="248"/>
      <c r="X295" s="37"/>
      <c r="CT295" s="70"/>
      <c r="CU295" s="161"/>
      <c r="CV295" s="161"/>
      <c r="CW295" s="383"/>
      <c r="CX295" s="884"/>
      <c r="CY295" s="884"/>
      <c r="CZ295" s="834"/>
      <c r="DA295" s="107"/>
      <c r="DB295" s="107"/>
      <c r="DC295" s="107"/>
      <c r="DD295" s="107"/>
      <c r="DE295" s="107"/>
      <c r="DF295" s="107"/>
      <c r="DG295" s="107"/>
      <c r="DH295" s="107"/>
      <c r="DI295" s="107"/>
      <c r="DJ295" s="107"/>
      <c r="DK295" s="107"/>
      <c r="DL295" s="107"/>
      <c r="DM295" s="107"/>
      <c r="DN295" s="69"/>
      <c r="DO295" s="69"/>
    </row>
    <row r="296" spans="7:119" s="68" customFormat="1">
      <c r="T296" s="37"/>
      <c r="U296" s="249"/>
      <c r="V296" s="249"/>
      <c r="W296" s="248"/>
      <c r="X296" s="37"/>
      <c r="CT296" s="70"/>
      <c r="CU296" s="161"/>
      <c r="CV296" s="161"/>
      <c r="CW296" s="383"/>
      <c r="CX296" s="884"/>
      <c r="CY296" s="884"/>
      <c r="CZ296" s="834"/>
      <c r="DA296" s="107"/>
      <c r="DB296" s="107"/>
      <c r="DC296" s="107"/>
      <c r="DD296" s="107"/>
      <c r="DE296" s="107"/>
      <c r="DF296" s="107"/>
      <c r="DG296" s="107"/>
      <c r="DH296" s="107"/>
      <c r="DI296" s="107"/>
      <c r="DJ296" s="107"/>
      <c r="DK296" s="107"/>
      <c r="DL296" s="107"/>
      <c r="DM296" s="107"/>
      <c r="DN296" s="69"/>
      <c r="DO296" s="69"/>
    </row>
    <row r="297" spans="7:119" s="68" customFormat="1">
      <c r="T297" s="37"/>
      <c r="U297" s="249"/>
      <c r="V297" s="249"/>
      <c r="W297" s="248"/>
      <c r="X297" s="37"/>
      <c r="CT297" s="70"/>
      <c r="CU297" s="161"/>
      <c r="CV297" s="161"/>
      <c r="CW297" s="383"/>
      <c r="CX297" s="884"/>
      <c r="CY297" s="884"/>
      <c r="CZ297" s="834"/>
      <c r="DA297" s="107"/>
      <c r="DB297" s="107"/>
      <c r="DC297" s="107"/>
      <c r="DD297" s="107"/>
      <c r="DE297" s="107"/>
      <c r="DF297" s="107"/>
      <c r="DG297" s="107"/>
      <c r="DH297" s="107"/>
      <c r="DI297" s="107"/>
      <c r="DJ297" s="107"/>
      <c r="DK297" s="107"/>
      <c r="DL297" s="107"/>
      <c r="DM297" s="107"/>
      <c r="DN297" s="69"/>
      <c r="DO297" s="69"/>
    </row>
    <row r="298" spans="7:119" s="68" customFormat="1">
      <c r="T298" s="37"/>
      <c r="U298" s="249"/>
      <c r="V298" s="249"/>
      <c r="W298" s="248"/>
      <c r="X298" s="37"/>
      <c r="CT298" s="70"/>
      <c r="CU298" s="161"/>
      <c r="CV298" s="161"/>
      <c r="CW298" s="383"/>
      <c r="CX298" s="884"/>
      <c r="CY298" s="884"/>
      <c r="CZ298" s="834"/>
      <c r="DA298" s="107"/>
      <c r="DB298" s="107"/>
      <c r="DC298" s="107"/>
      <c r="DD298" s="107"/>
      <c r="DE298" s="107"/>
      <c r="DF298" s="107"/>
      <c r="DG298" s="107"/>
      <c r="DH298" s="107"/>
      <c r="DI298" s="107"/>
      <c r="DJ298" s="107"/>
      <c r="DK298" s="107"/>
      <c r="DL298" s="107"/>
      <c r="DM298" s="107"/>
      <c r="DN298" s="69"/>
      <c r="DO298" s="69"/>
    </row>
    <row r="299" spans="7:119" s="68" customFormat="1">
      <c r="T299" s="37"/>
      <c r="U299" s="249"/>
      <c r="V299" s="249"/>
      <c r="W299" s="248"/>
      <c r="X299" s="37"/>
      <c r="CT299" s="70"/>
      <c r="CU299" s="161"/>
      <c r="CV299" s="161"/>
      <c r="CW299" s="383"/>
      <c r="CX299" s="884"/>
      <c r="CY299" s="884"/>
      <c r="CZ299" s="834"/>
      <c r="DA299" s="107"/>
      <c r="DB299" s="107"/>
      <c r="DC299" s="107"/>
      <c r="DD299" s="107"/>
      <c r="DE299" s="107"/>
      <c r="DF299" s="107"/>
      <c r="DG299" s="107"/>
      <c r="DH299" s="107"/>
      <c r="DI299" s="107"/>
      <c r="DJ299" s="107"/>
      <c r="DK299" s="107"/>
      <c r="DL299" s="107"/>
      <c r="DM299" s="107"/>
      <c r="DN299" s="69"/>
      <c r="DO299" s="69"/>
    </row>
    <row r="300" spans="7:119" s="68" customFormat="1">
      <c r="T300" s="37"/>
      <c r="U300" s="249"/>
      <c r="V300" s="249"/>
      <c r="W300" s="248"/>
      <c r="X300" s="37"/>
      <c r="CT300" s="70"/>
      <c r="CU300" s="161"/>
      <c r="CV300" s="161"/>
      <c r="CW300" s="383"/>
      <c r="CX300" s="884"/>
      <c r="CY300" s="884"/>
      <c r="CZ300" s="834"/>
      <c r="DA300" s="107"/>
      <c r="DB300" s="107"/>
      <c r="DC300" s="107"/>
      <c r="DD300" s="107"/>
      <c r="DE300" s="107"/>
      <c r="DF300" s="107"/>
      <c r="DG300" s="107"/>
      <c r="DH300" s="107"/>
      <c r="DI300" s="107"/>
      <c r="DJ300" s="107"/>
      <c r="DK300" s="107"/>
      <c r="DL300" s="107"/>
      <c r="DM300" s="107"/>
      <c r="DN300" s="69"/>
      <c r="DO300" s="69"/>
    </row>
    <row r="301" spans="7:119" s="68" customFormat="1">
      <c r="T301" s="37"/>
      <c r="U301" s="249"/>
      <c r="V301" s="249"/>
      <c r="W301" s="248"/>
      <c r="X301" s="37"/>
      <c r="CT301" s="70"/>
      <c r="CU301" s="161"/>
      <c r="CV301" s="161"/>
      <c r="CW301" s="383"/>
      <c r="CX301" s="884"/>
      <c r="CY301" s="884"/>
      <c r="CZ301" s="834"/>
      <c r="DA301" s="107"/>
      <c r="DB301" s="107"/>
      <c r="DC301" s="107"/>
      <c r="DD301" s="107"/>
      <c r="DE301" s="107"/>
      <c r="DF301" s="107"/>
      <c r="DG301" s="107"/>
      <c r="DH301" s="107"/>
      <c r="DI301" s="107"/>
      <c r="DJ301" s="107"/>
      <c r="DK301" s="107"/>
      <c r="DL301" s="107"/>
      <c r="DM301" s="107"/>
      <c r="DN301" s="69"/>
      <c r="DO301" s="69"/>
    </row>
    <row r="302" spans="7:119" s="68" customFormat="1">
      <c r="T302" s="37"/>
      <c r="U302" s="249"/>
      <c r="V302" s="249"/>
      <c r="W302" s="248"/>
      <c r="X302" s="37"/>
      <c r="CT302" s="70"/>
      <c r="CU302" s="161"/>
      <c r="CV302" s="161"/>
      <c r="CW302" s="383"/>
      <c r="CX302" s="884"/>
      <c r="CY302" s="884"/>
      <c r="CZ302" s="834"/>
      <c r="DA302" s="107"/>
      <c r="DB302" s="107"/>
      <c r="DC302" s="107"/>
      <c r="DD302" s="107"/>
      <c r="DE302" s="107"/>
      <c r="DF302" s="107"/>
      <c r="DG302" s="107"/>
      <c r="DH302" s="107"/>
      <c r="DI302" s="107"/>
      <c r="DJ302" s="107"/>
      <c r="DK302" s="107"/>
      <c r="DL302" s="107"/>
      <c r="DM302" s="107"/>
      <c r="DN302" s="69"/>
      <c r="DO302" s="69"/>
    </row>
    <row r="303" spans="7:119" s="68" customFormat="1">
      <c r="T303" s="37"/>
      <c r="U303" s="249"/>
      <c r="V303" s="249"/>
      <c r="W303" s="248"/>
      <c r="X303" s="37"/>
      <c r="CT303" s="70"/>
      <c r="CU303" s="161"/>
      <c r="CV303" s="161"/>
      <c r="CW303" s="383"/>
      <c r="CX303" s="884"/>
      <c r="CY303" s="884"/>
      <c r="CZ303" s="834"/>
      <c r="DA303" s="107"/>
      <c r="DB303" s="107"/>
      <c r="DC303" s="107"/>
      <c r="DD303" s="107"/>
      <c r="DE303" s="107"/>
      <c r="DF303" s="107"/>
      <c r="DG303" s="107"/>
      <c r="DH303" s="107"/>
      <c r="DI303" s="107"/>
      <c r="DJ303" s="107"/>
      <c r="DK303" s="107"/>
      <c r="DL303" s="107"/>
      <c r="DM303" s="107"/>
      <c r="DN303" s="69"/>
      <c r="DO303" s="69"/>
    </row>
    <row r="304" spans="7:119" s="68" customFormat="1">
      <c r="T304" s="37"/>
      <c r="U304" s="249"/>
      <c r="V304" s="249"/>
      <c r="W304" s="248"/>
      <c r="X304" s="37"/>
      <c r="CT304" s="70"/>
      <c r="CU304" s="161"/>
      <c r="CV304" s="161"/>
      <c r="CW304" s="383"/>
      <c r="CX304" s="884"/>
      <c r="CY304" s="884"/>
      <c r="CZ304" s="834"/>
      <c r="DA304" s="107"/>
      <c r="DB304" s="107"/>
      <c r="DC304" s="107"/>
      <c r="DD304" s="107"/>
      <c r="DE304" s="107"/>
      <c r="DF304" s="107"/>
      <c r="DG304" s="107"/>
      <c r="DH304" s="107"/>
      <c r="DI304" s="107"/>
      <c r="DJ304" s="107"/>
      <c r="DK304" s="107"/>
      <c r="DL304" s="107"/>
      <c r="DM304" s="107"/>
      <c r="DN304" s="69"/>
      <c r="DO304" s="69"/>
    </row>
    <row r="305" spans="20:119" s="68" customFormat="1">
      <c r="T305" s="37"/>
      <c r="U305" s="249"/>
      <c r="V305" s="249"/>
      <c r="W305" s="248"/>
      <c r="X305" s="37"/>
      <c r="CT305" s="70"/>
      <c r="CU305" s="161"/>
      <c r="CV305" s="161"/>
      <c r="CW305" s="383"/>
      <c r="CX305" s="884"/>
      <c r="CY305" s="884"/>
      <c r="CZ305" s="834"/>
      <c r="DA305" s="107"/>
      <c r="DB305" s="107"/>
      <c r="DC305" s="107"/>
      <c r="DD305" s="107"/>
      <c r="DE305" s="107"/>
      <c r="DF305" s="107"/>
      <c r="DG305" s="107"/>
      <c r="DH305" s="107"/>
      <c r="DI305" s="107"/>
      <c r="DJ305" s="107"/>
      <c r="DK305" s="107"/>
      <c r="DL305" s="107"/>
      <c r="DM305" s="107"/>
      <c r="DN305" s="69"/>
      <c r="DO305" s="69"/>
    </row>
    <row r="306" spans="20:119" s="68" customFormat="1">
      <c r="T306" s="37"/>
      <c r="U306" s="249"/>
      <c r="V306" s="249"/>
      <c r="W306" s="248"/>
      <c r="X306" s="37"/>
      <c r="CT306" s="70"/>
      <c r="CU306" s="161"/>
      <c r="CV306" s="161"/>
      <c r="CW306" s="383"/>
      <c r="CX306" s="884"/>
      <c r="CY306" s="884"/>
      <c r="CZ306" s="834"/>
      <c r="DA306" s="107"/>
      <c r="DB306" s="107"/>
      <c r="DC306" s="107"/>
      <c r="DD306" s="107"/>
      <c r="DE306" s="107"/>
      <c r="DF306" s="107"/>
      <c r="DG306" s="107"/>
      <c r="DH306" s="107"/>
      <c r="DI306" s="107"/>
      <c r="DJ306" s="107"/>
      <c r="DK306" s="107"/>
      <c r="DL306" s="107"/>
      <c r="DM306" s="107"/>
      <c r="DN306" s="69"/>
      <c r="DO306" s="69"/>
    </row>
    <row r="307" spans="20:119" s="68" customFormat="1">
      <c r="T307" s="37"/>
      <c r="U307" s="249"/>
      <c r="V307" s="249"/>
      <c r="W307" s="248"/>
      <c r="X307" s="37"/>
      <c r="CT307" s="70"/>
      <c r="CU307" s="161"/>
      <c r="CV307" s="161"/>
      <c r="CW307" s="383"/>
      <c r="CX307" s="884"/>
      <c r="CY307" s="884"/>
      <c r="CZ307" s="834"/>
      <c r="DA307" s="107"/>
      <c r="DB307" s="107"/>
      <c r="DC307" s="107"/>
      <c r="DD307" s="107"/>
      <c r="DE307" s="107"/>
      <c r="DF307" s="107"/>
      <c r="DG307" s="107"/>
      <c r="DH307" s="107"/>
      <c r="DI307" s="107"/>
      <c r="DJ307" s="107"/>
      <c r="DK307" s="107"/>
      <c r="DL307" s="107"/>
      <c r="DM307" s="107"/>
      <c r="DN307" s="69"/>
      <c r="DO307" s="69"/>
    </row>
    <row r="308" spans="20:119" s="68" customFormat="1">
      <c r="T308" s="37"/>
      <c r="U308" s="249"/>
      <c r="V308" s="249"/>
      <c r="W308" s="248"/>
      <c r="X308" s="37"/>
      <c r="CT308" s="70"/>
      <c r="CU308" s="161"/>
      <c r="CV308" s="161"/>
      <c r="CW308" s="383"/>
      <c r="CX308" s="884"/>
      <c r="CY308" s="884"/>
      <c r="CZ308" s="834"/>
      <c r="DA308" s="107"/>
      <c r="DB308" s="107"/>
      <c r="DC308" s="107"/>
      <c r="DD308" s="107"/>
      <c r="DE308" s="107"/>
      <c r="DF308" s="107"/>
      <c r="DG308" s="107"/>
      <c r="DH308" s="107"/>
      <c r="DI308" s="107"/>
      <c r="DJ308" s="107"/>
      <c r="DK308" s="107"/>
      <c r="DL308" s="107"/>
      <c r="DM308" s="107"/>
      <c r="DN308" s="69"/>
      <c r="DO308" s="69"/>
    </row>
    <row r="309" spans="20:119" s="68" customFormat="1">
      <c r="T309" s="37"/>
      <c r="U309" s="249"/>
      <c r="V309" s="249"/>
      <c r="W309" s="248"/>
      <c r="X309" s="37"/>
      <c r="CT309" s="70"/>
      <c r="CU309" s="161"/>
      <c r="CV309" s="161"/>
      <c r="CW309" s="383"/>
      <c r="CX309" s="884"/>
      <c r="CY309" s="884"/>
      <c r="CZ309" s="834"/>
      <c r="DA309" s="107"/>
      <c r="DB309" s="107"/>
      <c r="DC309" s="107"/>
      <c r="DD309" s="107"/>
      <c r="DE309" s="107"/>
      <c r="DF309" s="107"/>
      <c r="DG309" s="107"/>
      <c r="DH309" s="107"/>
      <c r="DI309" s="107"/>
      <c r="DJ309" s="107"/>
      <c r="DK309" s="107"/>
      <c r="DL309" s="107"/>
      <c r="DM309" s="107"/>
      <c r="DN309" s="69"/>
      <c r="DO309" s="69"/>
    </row>
    <row r="310" spans="20:119" s="68" customFormat="1">
      <c r="T310" s="37"/>
      <c r="U310" s="249"/>
      <c r="V310" s="249"/>
      <c r="W310" s="248"/>
      <c r="X310" s="37"/>
      <c r="CT310" s="70"/>
      <c r="CU310" s="161"/>
      <c r="CV310" s="161"/>
      <c r="CW310" s="383"/>
      <c r="CX310" s="884"/>
      <c r="CY310" s="884"/>
      <c r="CZ310" s="834"/>
      <c r="DA310" s="107"/>
      <c r="DB310" s="107"/>
      <c r="DC310" s="107"/>
      <c r="DD310" s="107"/>
      <c r="DE310" s="107"/>
      <c r="DF310" s="107"/>
      <c r="DG310" s="107"/>
      <c r="DH310" s="107"/>
      <c r="DI310" s="107"/>
      <c r="DJ310" s="107"/>
      <c r="DK310" s="107"/>
      <c r="DL310" s="107"/>
      <c r="DM310" s="107"/>
      <c r="DN310" s="69"/>
      <c r="DO310" s="69"/>
    </row>
    <row r="311" spans="20:119" s="68" customFormat="1">
      <c r="T311" s="37"/>
      <c r="U311" s="249"/>
      <c r="V311" s="249"/>
      <c r="W311" s="248"/>
      <c r="X311" s="37"/>
      <c r="CT311" s="70"/>
      <c r="CU311" s="161"/>
      <c r="CV311" s="161"/>
      <c r="CW311" s="383"/>
      <c r="CX311" s="884"/>
      <c r="CY311" s="884"/>
      <c r="CZ311" s="834"/>
      <c r="DA311" s="107"/>
      <c r="DB311" s="107"/>
      <c r="DC311" s="107"/>
      <c r="DD311" s="107"/>
      <c r="DE311" s="107"/>
      <c r="DF311" s="107"/>
      <c r="DG311" s="107"/>
      <c r="DH311" s="107"/>
      <c r="DI311" s="107"/>
      <c r="DJ311" s="107"/>
      <c r="DK311" s="107"/>
      <c r="DL311" s="107"/>
      <c r="DM311" s="107"/>
      <c r="DN311" s="69"/>
      <c r="DO311" s="69"/>
    </row>
    <row r="312" spans="20:119" s="68" customFormat="1">
      <c r="T312" s="37"/>
      <c r="U312" s="249"/>
      <c r="V312" s="249"/>
      <c r="W312" s="248"/>
      <c r="X312" s="37"/>
      <c r="CT312" s="70"/>
      <c r="CU312" s="161"/>
      <c r="CV312" s="161"/>
      <c r="CW312" s="383"/>
      <c r="CX312" s="884"/>
      <c r="CY312" s="884"/>
      <c r="CZ312" s="834"/>
      <c r="DA312" s="107"/>
      <c r="DB312" s="107"/>
      <c r="DC312" s="107"/>
      <c r="DD312" s="107"/>
      <c r="DE312" s="107"/>
      <c r="DF312" s="107"/>
      <c r="DG312" s="107"/>
      <c r="DH312" s="107"/>
      <c r="DI312" s="107"/>
      <c r="DJ312" s="107"/>
      <c r="DK312" s="107"/>
      <c r="DL312" s="107"/>
      <c r="DM312" s="107"/>
      <c r="DN312" s="69"/>
      <c r="DO312" s="69"/>
    </row>
    <row r="313" spans="20:119" s="68" customFormat="1">
      <c r="T313" s="37"/>
      <c r="U313" s="249"/>
      <c r="V313" s="249"/>
      <c r="W313" s="248"/>
      <c r="X313" s="37"/>
      <c r="CT313" s="70"/>
      <c r="CU313" s="161"/>
      <c r="CV313" s="161"/>
      <c r="CW313" s="383"/>
      <c r="CX313" s="884"/>
      <c r="CY313" s="884"/>
      <c r="CZ313" s="834"/>
      <c r="DA313" s="107"/>
      <c r="DB313" s="107"/>
      <c r="DC313" s="107"/>
      <c r="DD313" s="107"/>
      <c r="DE313" s="107"/>
      <c r="DF313" s="107"/>
      <c r="DG313" s="107"/>
      <c r="DH313" s="107"/>
      <c r="DI313" s="107"/>
      <c r="DJ313" s="107"/>
      <c r="DK313" s="107"/>
      <c r="DL313" s="107"/>
      <c r="DM313" s="107"/>
      <c r="DN313" s="69"/>
      <c r="DO313" s="69"/>
    </row>
    <row r="314" spans="20:119" s="68" customFormat="1">
      <c r="T314" s="37"/>
      <c r="U314" s="249"/>
      <c r="V314" s="249"/>
      <c r="W314" s="248"/>
      <c r="X314" s="37"/>
      <c r="CT314" s="70"/>
      <c r="CU314" s="161"/>
      <c r="CV314" s="161"/>
      <c r="CW314" s="383"/>
      <c r="CX314" s="884"/>
      <c r="CY314" s="884"/>
      <c r="CZ314" s="834"/>
      <c r="DA314" s="107"/>
      <c r="DB314" s="107"/>
      <c r="DC314" s="107"/>
      <c r="DD314" s="107"/>
      <c r="DE314" s="107"/>
      <c r="DF314" s="107"/>
      <c r="DG314" s="107"/>
      <c r="DH314" s="107"/>
      <c r="DI314" s="107"/>
      <c r="DJ314" s="107"/>
      <c r="DK314" s="107"/>
      <c r="DL314" s="107"/>
      <c r="DM314" s="107"/>
      <c r="DN314" s="69"/>
      <c r="DO314" s="69"/>
    </row>
    <row r="315" spans="20:119" s="68" customFormat="1">
      <c r="T315" s="37"/>
      <c r="U315" s="249"/>
      <c r="V315" s="249"/>
      <c r="W315" s="248"/>
      <c r="X315" s="37"/>
      <c r="CT315" s="70"/>
      <c r="CU315" s="161"/>
      <c r="CV315" s="161"/>
      <c r="CW315" s="383"/>
      <c r="CX315" s="884"/>
      <c r="CY315" s="884"/>
      <c r="CZ315" s="834"/>
      <c r="DA315" s="107"/>
      <c r="DB315" s="107"/>
      <c r="DC315" s="107"/>
      <c r="DD315" s="107"/>
      <c r="DE315" s="107"/>
      <c r="DF315" s="107"/>
      <c r="DG315" s="107"/>
      <c r="DH315" s="107"/>
      <c r="DI315" s="107"/>
      <c r="DJ315" s="107"/>
      <c r="DK315" s="107"/>
      <c r="DL315" s="107"/>
      <c r="DM315" s="107"/>
      <c r="DN315" s="69"/>
      <c r="DO315" s="69"/>
    </row>
    <row r="316" spans="20:119" s="68" customFormat="1">
      <c r="T316" s="37"/>
      <c r="U316" s="249"/>
      <c r="V316" s="249"/>
      <c r="W316" s="248"/>
      <c r="X316" s="37"/>
      <c r="CT316" s="70"/>
      <c r="CU316" s="161"/>
      <c r="CV316" s="161"/>
      <c r="CW316" s="383"/>
      <c r="CX316" s="884"/>
      <c r="CY316" s="884"/>
      <c r="CZ316" s="834"/>
      <c r="DA316" s="107"/>
      <c r="DB316" s="107"/>
      <c r="DC316" s="107"/>
      <c r="DD316" s="107"/>
      <c r="DE316" s="107"/>
      <c r="DF316" s="107"/>
      <c r="DG316" s="107"/>
      <c r="DH316" s="107"/>
      <c r="DI316" s="107"/>
      <c r="DJ316" s="107"/>
      <c r="DK316" s="107"/>
      <c r="DL316" s="107"/>
      <c r="DM316" s="107"/>
      <c r="DN316" s="69"/>
      <c r="DO316" s="69"/>
    </row>
    <row r="317" spans="20:119" s="68" customFormat="1">
      <c r="T317" s="37"/>
      <c r="U317" s="249"/>
      <c r="V317" s="249"/>
      <c r="W317" s="248"/>
      <c r="X317" s="37"/>
      <c r="CT317" s="70"/>
      <c r="CU317" s="161"/>
      <c r="CV317" s="161"/>
      <c r="CW317" s="383"/>
      <c r="CX317" s="884"/>
      <c r="CY317" s="884"/>
      <c r="CZ317" s="834"/>
      <c r="DA317" s="107"/>
      <c r="DB317" s="107"/>
      <c r="DC317" s="107"/>
      <c r="DD317" s="107"/>
      <c r="DE317" s="107"/>
      <c r="DF317" s="107"/>
      <c r="DG317" s="107"/>
      <c r="DH317" s="107"/>
      <c r="DI317" s="107"/>
      <c r="DJ317" s="107"/>
      <c r="DK317" s="107"/>
      <c r="DL317" s="107"/>
      <c r="DM317" s="107"/>
      <c r="DN317" s="69"/>
      <c r="DO317" s="69"/>
    </row>
    <row r="318" spans="20:119" s="68" customFormat="1">
      <c r="T318" s="37"/>
      <c r="U318" s="249"/>
      <c r="V318" s="249"/>
      <c r="W318" s="248"/>
      <c r="X318" s="37"/>
      <c r="CT318" s="70"/>
      <c r="CU318" s="161"/>
      <c r="CV318" s="161"/>
      <c r="CW318" s="383"/>
      <c r="CX318" s="884"/>
      <c r="CY318" s="884"/>
      <c r="CZ318" s="834"/>
      <c r="DA318" s="107"/>
      <c r="DB318" s="107"/>
      <c r="DC318" s="107"/>
      <c r="DD318" s="107"/>
      <c r="DE318" s="107"/>
      <c r="DF318" s="107"/>
      <c r="DG318" s="107"/>
      <c r="DH318" s="107"/>
      <c r="DI318" s="107"/>
      <c r="DJ318" s="107"/>
      <c r="DK318" s="107"/>
      <c r="DL318" s="107"/>
      <c r="DM318" s="107"/>
      <c r="DN318" s="69"/>
      <c r="DO318" s="69"/>
    </row>
    <row r="319" spans="20:119" s="68" customFormat="1">
      <c r="T319" s="37"/>
      <c r="U319" s="249"/>
      <c r="V319" s="249"/>
      <c r="W319" s="248"/>
      <c r="X319" s="37"/>
      <c r="CT319" s="70"/>
      <c r="CU319" s="161"/>
      <c r="CV319" s="161"/>
      <c r="CW319" s="383"/>
      <c r="CX319" s="884"/>
      <c r="CY319" s="884"/>
      <c r="CZ319" s="834"/>
      <c r="DA319" s="107"/>
      <c r="DB319" s="107"/>
      <c r="DC319" s="107"/>
      <c r="DD319" s="107"/>
      <c r="DE319" s="107"/>
      <c r="DF319" s="107"/>
      <c r="DG319" s="107"/>
      <c r="DH319" s="107"/>
      <c r="DI319" s="107"/>
      <c r="DJ319" s="107"/>
      <c r="DK319" s="107"/>
      <c r="DL319" s="107"/>
      <c r="DM319" s="107"/>
      <c r="DN319" s="69"/>
      <c r="DO319" s="69"/>
    </row>
    <row r="320" spans="20:119" s="68" customFormat="1">
      <c r="T320" s="37"/>
      <c r="U320" s="249"/>
      <c r="V320" s="249"/>
      <c r="W320" s="248"/>
      <c r="X320" s="37"/>
      <c r="CT320" s="70"/>
      <c r="CU320" s="161"/>
      <c r="CV320" s="161"/>
      <c r="CW320" s="383"/>
      <c r="CX320" s="884"/>
      <c r="CY320" s="884"/>
      <c r="CZ320" s="834"/>
      <c r="DA320" s="107"/>
      <c r="DB320" s="107"/>
      <c r="DC320" s="107"/>
      <c r="DD320" s="107"/>
      <c r="DE320" s="107"/>
      <c r="DF320" s="107"/>
      <c r="DG320" s="107"/>
      <c r="DH320" s="107"/>
      <c r="DI320" s="107"/>
      <c r="DJ320" s="107"/>
      <c r="DK320" s="107"/>
      <c r="DL320" s="107"/>
      <c r="DM320" s="107"/>
      <c r="DN320" s="69"/>
      <c r="DO320" s="69"/>
    </row>
    <row r="321" spans="20:119" s="68" customFormat="1">
      <c r="T321" s="37"/>
      <c r="U321" s="249"/>
      <c r="V321" s="249"/>
      <c r="W321" s="248"/>
      <c r="X321" s="37"/>
      <c r="CT321" s="70"/>
      <c r="CU321" s="161"/>
      <c r="CV321" s="161"/>
      <c r="CW321" s="383"/>
      <c r="CX321" s="884"/>
      <c r="CY321" s="884"/>
      <c r="CZ321" s="834"/>
      <c r="DA321" s="107"/>
      <c r="DB321" s="107"/>
      <c r="DC321" s="107"/>
      <c r="DD321" s="107"/>
      <c r="DE321" s="107"/>
      <c r="DF321" s="107"/>
      <c r="DG321" s="107"/>
      <c r="DH321" s="107"/>
      <c r="DI321" s="107"/>
      <c r="DJ321" s="107"/>
      <c r="DK321" s="107"/>
      <c r="DL321" s="107"/>
      <c r="DM321" s="107"/>
      <c r="DN321" s="69"/>
      <c r="DO321" s="69"/>
    </row>
    <row r="322" spans="20:119" s="68" customFormat="1">
      <c r="T322" s="37"/>
      <c r="U322" s="249"/>
      <c r="V322" s="249"/>
      <c r="W322" s="248"/>
      <c r="X322" s="37"/>
      <c r="CT322" s="70"/>
      <c r="CU322" s="161"/>
      <c r="CV322" s="161"/>
      <c r="CW322" s="383"/>
      <c r="CX322" s="884"/>
      <c r="CY322" s="884"/>
      <c r="CZ322" s="834"/>
      <c r="DA322" s="107"/>
      <c r="DB322" s="107"/>
      <c r="DC322" s="107"/>
      <c r="DD322" s="107"/>
      <c r="DE322" s="107"/>
      <c r="DF322" s="107"/>
      <c r="DG322" s="107"/>
      <c r="DH322" s="107"/>
      <c r="DI322" s="107"/>
      <c r="DJ322" s="107"/>
      <c r="DK322" s="107"/>
      <c r="DL322" s="107"/>
      <c r="DM322" s="107"/>
      <c r="DN322" s="69"/>
      <c r="DO322" s="69"/>
    </row>
    <row r="323" spans="20:119" s="68" customFormat="1">
      <c r="T323" s="37"/>
      <c r="U323" s="249"/>
      <c r="V323" s="249"/>
      <c r="W323" s="248"/>
      <c r="X323" s="37"/>
      <c r="CT323" s="70"/>
      <c r="CU323" s="161"/>
      <c r="CV323" s="161"/>
      <c r="CW323" s="383"/>
      <c r="CX323" s="884"/>
      <c r="CY323" s="884"/>
      <c r="CZ323" s="834"/>
      <c r="DA323" s="107"/>
      <c r="DB323" s="107"/>
      <c r="DC323" s="107"/>
      <c r="DD323" s="107"/>
      <c r="DE323" s="107"/>
      <c r="DF323" s="107"/>
      <c r="DG323" s="107"/>
      <c r="DH323" s="107"/>
      <c r="DI323" s="107"/>
      <c r="DJ323" s="107"/>
      <c r="DK323" s="107"/>
      <c r="DL323" s="107"/>
      <c r="DM323" s="107"/>
      <c r="DN323" s="69"/>
      <c r="DO323" s="69"/>
    </row>
    <row r="324" spans="20:119" s="68" customFormat="1">
      <c r="T324" s="37"/>
      <c r="U324" s="249"/>
      <c r="V324" s="249"/>
      <c r="W324" s="248"/>
      <c r="X324" s="37"/>
      <c r="CT324" s="70"/>
      <c r="CU324" s="161"/>
      <c r="CV324" s="161"/>
      <c r="CW324" s="383"/>
      <c r="CX324" s="884"/>
      <c r="CY324" s="884"/>
      <c r="CZ324" s="834"/>
      <c r="DA324" s="107"/>
      <c r="DB324" s="107"/>
      <c r="DC324" s="107"/>
      <c r="DD324" s="107"/>
      <c r="DE324" s="107"/>
      <c r="DF324" s="107"/>
      <c r="DG324" s="107"/>
      <c r="DH324" s="107"/>
      <c r="DI324" s="107"/>
      <c r="DJ324" s="107"/>
      <c r="DK324" s="107"/>
      <c r="DL324" s="107"/>
      <c r="DM324" s="107"/>
      <c r="DN324" s="69"/>
      <c r="DO324" s="69"/>
    </row>
    <row r="325" spans="20:119" s="68" customFormat="1">
      <c r="T325" s="37"/>
      <c r="U325" s="249"/>
      <c r="V325" s="249"/>
      <c r="W325" s="248"/>
      <c r="X325" s="37"/>
      <c r="CT325" s="70"/>
      <c r="CU325" s="161"/>
      <c r="CV325" s="161"/>
      <c r="CW325" s="383"/>
      <c r="CX325" s="884"/>
      <c r="CY325" s="884"/>
      <c r="CZ325" s="834"/>
      <c r="DA325" s="107"/>
      <c r="DB325" s="107"/>
      <c r="DC325" s="107"/>
      <c r="DD325" s="107"/>
      <c r="DE325" s="107"/>
      <c r="DF325" s="107"/>
      <c r="DG325" s="107"/>
      <c r="DH325" s="107"/>
      <c r="DI325" s="107"/>
      <c r="DJ325" s="107"/>
      <c r="DK325" s="107"/>
      <c r="DL325" s="107"/>
      <c r="DM325" s="107"/>
      <c r="DN325" s="69"/>
      <c r="DO325" s="69"/>
    </row>
    <row r="326" spans="20:119" s="68" customFormat="1">
      <c r="T326" s="37"/>
      <c r="U326" s="249"/>
      <c r="V326" s="249"/>
      <c r="W326" s="248"/>
      <c r="X326" s="37"/>
      <c r="CT326" s="70"/>
      <c r="CU326" s="161"/>
      <c r="CV326" s="161"/>
      <c r="CW326" s="383"/>
      <c r="CX326" s="884"/>
      <c r="CY326" s="884"/>
      <c r="CZ326" s="834"/>
      <c r="DA326" s="107"/>
      <c r="DB326" s="107"/>
      <c r="DC326" s="107"/>
      <c r="DD326" s="107"/>
      <c r="DE326" s="107"/>
      <c r="DF326" s="107"/>
      <c r="DG326" s="107"/>
      <c r="DH326" s="107"/>
      <c r="DI326" s="107"/>
      <c r="DJ326" s="107"/>
      <c r="DK326" s="107"/>
      <c r="DL326" s="107"/>
      <c r="DM326" s="107"/>
      <c r="DN326" s="69"/>
      <c r="DO326" s="69"/>
    </row>
    <row r="327" spans="20:119" s="68" customFormat="1">
      <c r="T327" s="37"/>
      <c r="U327" s="249"/>
      <c r="V327" s="249"/>
      <c r="W327" s="248"/>
      <c r="X327" s="37"/>
      <c r="CT327" s="70"/>
      <c r="CU327" s="161"/>
      <c r="CV327" s="161"/>
      <c r="CW327" s="383"/>
      <c r="CX327" s="884"/>
      <c r="CY327" s="884"/>
      <c r="CZ327" s="834"/>
      <c r="DA327" s="107"/>
      <c r="DB327" s="107"/>
      <c r="DC327" s="107"/>
      <c r="DD327" s="107"/>
      <c r="DE327" s="107"/>
      <c r="DF327" s="107"/>
      <c r="DG327" s="107"/>
      <c r="DH327" s="107"/>
      <c r="DI327" s="107"/>
      <c r="DJ327" s="107"/>
      <c r="DK327" s="107"/>
      <c r="DL327" s="107"/>
      <c r="DM327" s="107"/>
      <c r="DN327" s="69"/>
      <c r="DO327" s="69"/>
    </row>
    <row r="328" spans="20:119" s="68" customFormat="1">
      <c r="T328" s="37"/>
      <c r="U328" s="249"/>
      <c r="V328" s="249"/>
      <c r="W328" s="248"/>
      <c r="X328" s="37"/>
      <c r="CT328" s="70"/>
      <c r="CU328" s="161"/>
      <c r="CV328" s="161"/>
      <c r="CW328" s="383"/>
      <c r="CX328" s="884"/>
      <c r="CY328" s="884"/>
      <c r="CZ328" s="834"/>
      <c r="DA328" s="107"/>
      <c r="DB328" s="107"/>
      <c r="DC328" s="107"/>
      <c r="DD328" s="107"/>
      <c r="DE328" s="107"/>
      <c r="DF328" s="107"/>
      <c r="DG328" s="107"/>
      <c r="DH328" s="107"/>
      <c r="DI328" s="107"/>
      <c r="DJ328" s="107"/>
      <c r="DK328" s="107"/>
      <c r="DL328" s="107"/>
      <c r="DM328" s="107"/>
      <c r="DN328" s="69"/>
      <c r="DO328" s="69"/>
    </row>
    <row r="329" spans="20:119" s="68" customFormat="1">
      <c r="T329" s="37"/>
      <c r="U329" s="249"/>
      <c r="V329" s="249"/>
      <c r="W329" s="248"/>
      <c r="X329" s="37"/>
      <c r="CT329" s="70"/>
      <c r="CU329" s="161"/>
      <c r="CV329" s="161"/>
      <c r="CW329" s="383"/>
      <c r="CX329" s="884"/>
      <c r="CY329" s="884"/>
      <c r="CZ329" s="834"/>
      <c r="DA329" s="107"/>
      <c r="DB329" s="107"/>
      <c r="DC329" s="107"/>
      <c r="DD329" s="107"/>
      <c r="DE329" s="107"/>
      <c r="DF329" s="107"/>
      <c r="DG329" s="107"/>
      <c r="DH329" s="107"/>
      <c r="DI329" s="107"/>
      <c r="DJ329" s="107"/>
      <c r="DK329" s="107"/>
      <c r="DL329" s="107"/>
      <c r="DM329" s="107"/>
      <c r="DN329" s="69"/>
      <c r="DO329" s="69"/>
    </row>
    <row r="330" spans="20:119" s="68" customFormat="1">
      <c r="T330" s="37"/>
      <c r="U330" s="249"/>
      <c r="V330" s="249"/>
      <c r="W330" s="248"/>
      <c r="X330" s="37"/>
      <c r="CT330" s="70"/>
      <c r="CU330" s="161"/>
      <c r="CV330" s="161"/>
      <c r="CW330" s="383"/>
      <c r="CX330" s="884"/>
      <c r="CY330" s="884"/>
      <c r="CZ330" s="834"/>
      <c r="DA330" s="107"/>
      <c r="DB330" s="107"/>
      <c r="DC330" s="107"/>
      <c r="DD330" s="107"/>
      <c r="DE330" s="107"/>
      <c r="DF330" s="107"/>
      <c r="DG330" s="107"/>
      <c r="DH330" s="107"/>
      <c r="DI330" s="107"/>
      <c r="DJ330" s="107"/>
      <c r="DK330" s="107"/>
      <c r="DL330" s="107"/>
      <c r="DM330" s="107"/>
      <c r="DN330" s="69"/>
      <c r="DO330" s="69"/>
    </row>
    <row r="331" spans="20:119" s="68" customFormat="1">
      <c r="T331" s="37"/>
      <c r="U331" s="249"/>
      <c r="V331" s="249"/>
      <c r="W331" s="248"/>
      <c r="X331" s="37"/>
      <c r="CT331" s="70"/>
      <c r="CU331" s="161"/>
      <c r="CV331" s="161"/>
      <c r="CW331" s="383"/>
      <c r="CX331" s="884"/>
      <c r="CY331" s="884"/>
      <c r="CZ331" s="834"/>
      <c r="DA331" s="107"/>
      <c r="DB331" s="107"/>
      <c r="DC331" s="107"/>
      <c r="DD331" s="107"/>
      <c r="DE331" s="107"/>
      <c r="DF331" s="107"/>
      <c r="DG331" s="107"/>
      <c r="DH331" s="107"/>
      <c r="DI331" s="107"/>
      <c r="DJ331" s="107"/>
      <c r="DK331" s="107"/>
      <c r="DL331" s="107"/>
      <c r="DM331" s="107"/>
      <c r="DN331" s="69"/>
      <c r="DO331" s="69"/>
    </row>
    <row r="332" spans="20:119" s="68" customFormat="1">
      <c r="T332" s="37"/>
      <c r="U332" s="249"/>
      <c r="V332" s="249"/>
      <c r="W332" s="248"/>
      <c r="X332" s="37"/>
      <c r="CT332" s="70"/>
      <c r="CU332" s="161"/>
      <c r="CV332" s="161"/>
      <c r="CW332" s="383"/>
      <c r="CX332" s="884"/>
      <c r="CY332" s="884"/>
      <c r="CZ332" s="834"/>
      <c r="DA332" s="107"/>
      <c r="DB332" s="107"/>
      <c r="DC332" s="107"/>
      <c r="DD332" s="107"/>
      <c r="DE332" s="107"/>
      <c r="DF332" s="107"/>
      <c r="DG332" s="107"/>
      <c r="DH332" s="107"/>
      <c r="DI332" s="107"/>
      <c r="DJ332" s="107"/>
      <c r="DK332" s="107"/>
      <c r="DL332" s="107"/>
      <c r="DM332" s="107"/>
      <c r="DN332" s="69"/>
      <c r="DO332" s="69"/>
    </row>
    <row r="333" spans="20:119" s="68" customFormat="1">
      <c r="T333" s="37"/>
      <c r="U333" s="249"/>
      <c r="V333" s="249"/>
      <c r="W333" s="248"/>
      <c r="X333" s="37"/>
      <c r="CT333" s="70"/>
      <c r="CU333" s="161"/>
      <c r="CV333" s="161"/>
      <c r="CW333" s="383"/>
      <c r="CX333" s="884"/>
      <c r="CY333" s="884"/>
      <c r="CZ333" s="834"/>
      <c r="DA333" s="107"/>
      <c r="DB333" s="107"/>
      <c r="DC333" s="107"/>
      <c r="DD333" s="107"/>
      <c r="DE333" s="107"/>
      <c r="DF333" s="107"/>
      <c r="DG333" s="107"/>
      <c r="DH333" s="107"/>
      <c r="DI333" s="107"/>
      <c r="DJ333" s="107"/>
      <c r="DK333" s="107"/>
      <c r="DL333" s="107"/>
      <c r="DM333" s="107"/>
      <c r="DN333" s="69"/>
      <c r="DO333" s="69"/>
    </row>
    <row r="334" spans="20:119" s="68" customFormat="1">
      <c r="T334" s="37"/>
      <c r="U334" s="249"/>
      <c r="V334" s="249"/>
      <c r="W334" s="248"/>
      <c r="X334" s="37"/>
      <c r="CT334" s="70"/>
      <c r="CU334" s="161"/>
      <c r="CV334" s="161"/>
      <c r="CW334" s="383"/>
      <c r="CX334" s="884"/>
      <c r="CY334" s="884"/>
      <c r="CZ334" s="834"/>
      <c r="DA334" s="107"/>
      <c r="DB334" s="107"/>
      <c r="DC334" s="107"/>
      <c r="DD334" s="107"/>
      <c r="DE334" s="107"/>
      <c r="DF334" s="107"/>
      <c r="DG334" s="107"/>
      <c r="DH334" s="107"/>
      <c r="DI334" s="107"/>
      <c r="DJ334" s="107"/>
      <c r="DK334" s="107"/>
      <c r="DL334" s="107"/>
      <c r="DM334" s="107"/>
      <c r="DN334" s="69"/>
      <c r="DO334" s="69"/>
    </row>
    <row r="335" spans="20:119" s="68" customFormat="1">
      <c r="T335" s="37"/>
      <c r="U335" s="249"/>
      <c r="V335" s="249"/>
      <c r="W335" s="248"/>
      <c r="X335" s="37"/>
      <c r="CT335" s="70"/>
      <c r="CU335" s="161"/>
      <c r="CV335" s="161"/>
      <c r="CW335" s="383"/>
      <c r="CX335" s="884"/>
      <c r="CY335" s="884"/>
      <c r="CZ335" s="834"/>
      <c r="DA335" s="107"/>
      <c r="DB335" s="107"/>
      <c r="DC335" s="107"/>
      <c r="DD335" s="107"/>
      <c r="DE335" s="107"/>
      <c r="DF335" s="107"/>
      <c r="DG335" s="107"/>
      <c r="DH335" s="107"/>
      <c r="DI335" s="107"/>
      <c r="DJ335" s="107"/>
      <c r="DK335" s="107"/>
      <c r="DL335" s="107"/>
      <c r="DM335" s="107"/>
      <c r="DN335" s="69"/>
      <c r="DO335" s="69"/>
    </row>
    <row r="336" spans="20:119" s="68" customFormat="1">
      <c r="T336" s="37"/>
      <c r="U336" s="249"/>
      <c r="V336" s="249"/>
      <c r="W336" s="248"/>
      <c r="X336" s="37"/>
      <c r="CT336" s="70"/>
      <c r="CU336" s="161"/>
      <c r="CV336" s="161"/>
      <c r="CW336" s="383"/>
      <c r="CX336" s="884"/>
      <c r="CY336" s="884"/>
      <c r="CZ336" s="834"/>
      <c r="DA336" s="107"/>
      <c r="DB336" s="107"/>
      <c r="DC336" s="107"/>
      <c r="DD336" s="107"/>
      <c r="DE336" s="107"/>
      <c r="DF336" s="107"/>
      <c r="DG336" s="107"/>
      <c r="DH336" s="107"/>
      <c r="DI336" s="107"/>
      <c r="DJ336" s="107"/>
      <c r="DK336" s="107"/>
      <c r="DL336" s="107"/>
      <c r="DM336" s="107"/>
      <c r="DN336" s="69"/>
      <c r="DO336" s="69"/>
    </row>
    <row r="337" spans="20:119" s="68" customFormat="1">
      <c r="T337" s="37"/>
      <c r="U337" s="249"/>
      <c r="V337" s="249"/>
      <c r="W337" s="248"/>
      <c r="X337" s="37"/>
      <c r="CT337" s="70"/>
      <c r="CU337" s="161"/>
      <c r="CV337" s="161"/>
      <c r="CW337" s="383"/>
      <c r="CX337" s="884"/>
      <c r="CY337" s="884"/>
      <c r="CZ337" s="834"/>
      <c r="DA337" s="107"/>
      <c r="DB337" s="107"/>
      <c r="DC337" s="107"/>
      <c r="DD337" s="107"/>
      <c r="DE337" s="107"/>
      <c r="DF337" s="107"/>
      <c r="DG337" s="107"/>
      <c r="DH337" s="107"/>
      <c r="DI337" s="107"/>
      <c r="DJ337" s="107"/>
      <c r="DK337" s="107"/>
      <c r="DL337" s="107"/>
      <c r="DM337" s="107"/>
      <c r="DN337" s="69"/>
      <c r="DO337" s="69"/>
    </row>
    <row r="338" spans="20:119" s="68" customFormat="1">
      <c r="T338" s="37"/>
      <c r="U338" s="249"/>
      <c r="V338" s="249"/>
      <c r="W338" s="248"/>
      <c r="X338" s="37"/>
      <c r="CT338" s="70"/>
      <c r="CU338" s="161"/>
      <c r="CV338" s="161"/>
      <c r="CW338" s="383"/>
      <c r="CX338" s="884"/>
      <c r="CY338" s="884"/>
      <c r="CZ338" s="834"/>
      <c r="DA338" s="107"/>
      <c r="DB338" s="107"/>
      <c r="DC338" s="107"/>
      <c r="DD338" s="107"/>
      <c r="DE338" s="107"/>
      <c r="DF338" s="107"/>
      <c r="DG338" s="107"/>
      <c r="DH338" s="107"/>
      <c r="DI338" s="107"/>
      <c r="DJ338" s="107"/>
      <c r="DK338" s="107"/>
      <c r="DL338" s="107"/>
      <c r="DM338" s="107"/>
      <c r="DN338" s="69"/>
      <c r="DO338" s="69"/>
    </row>
    <row r="339" spans="20:119" s="68" customFormat="1">
      <c r="T339" s="37"/>
      <c r="U339" s="249"/>
      <c r="V339" s="249"/>
      <c r="W339" s="248"/>
      <c r="X339" s="37"/>
      <c r="CT339" s="70"/>
      <c r="CU339" s="161"/>
      <c r="CV339" s="161"/>
      <c r="CW339" s="383"/>
      <c r="CX339" s="884"/>
      <c r="CY339" s="884"/>
      <c r="CZ339" s="834"/>
      <c r="DA339" s="107"/>
      <c r="DB339" s="107"/>
      <c r="DC339" s="107"/>
      <c r="DD339" s="107"/>
      <c r="DE339" s="107"/>
      <c r="DF339" s="107"/>
      <c r="DG339" s="107"/>
      <c r="DH339" s="107"/>
      <c r="DI339" s="107"/>
      <c r="DJ339" s="107"/>
      <c r="DK339" s="107"/>
      <c r="DL339" s="107"/>
      <c r="DM339" s="107"/>
      <c r="DN339" s="69"/>
      <c r="DO339" s="69"/>
    </row>
    <row r="340" spans="20:119" s="68" customFormat="1">
      <c r="T340" s="37"/>
      <c r="U340" s="249"/>
      <c r="V340" s="249"/>
      <c r="W340" s="248"/>
      <c r="X340" s="37"/>
      <c r="CT340" s="70"/>
      <c r="CU340" s="161"/>
      <c r="CV340" s="161"/>
      <c r="CW340" s="383"/>
      <c r="CX340" s="884"/>
      <c r="CY340" s="884"/>
      <c r="CZ340" s="834"/>
      <c r="DA340" s="107"/>
      <c r="DB340" s="107"/>
      <c r="DC340" s="107"/>
      <c r="DD340" s="107"/>
      <c r="DE340" s="107"/>
      <c r="DF340" s="107"/>
      <c r="DG340" s="107"/>
      <c r="DH340" s="107"/>
      <c r="DI340" s="107"/>
      <c r="DJ340" s="107"/>
      <c r="DK340" s="107"/>
      <c r="DL340" s="107"/>
      <c r="DM340" s="107"/>
      <c r="DN340" s="69"/>
      <c r="DO340" s="69"/>
    </row>
    <row r="341" spans="20:119" s="68" customFormat="1">
      <c r="T341" s="37"/>
      <c r="U341" s="249"/>
      <c r="V341" s="249"/>
      <c r="W341" s="248"/>
      <c r="X341" s="37"/>
      <c r="CT341" s="70"/>
      <c r="CU341" s="161"/>
      <c r="CV341" s="161"/>
      <c r="CW341" s="383"/>
      <c r="CX341" s="884"/>
      <c r="CY341" s="884"/>
      <c r="CZ341" s="834"/>
      <c r="DA341" s="107"/>
      <c r="DB341" s="107"/>
      <c r="DC341" s="107"/>
      <c r="DD341" s="107"/>
      <c r="DE341" s="107"/>
      <c r="DF341" s="107"/>
      <c r="DG341" s="107"/>
      <c r="DH341" s="107"/>
      <c r="DI341" s="107"/>
      <c r="DJ341" s="107"/>
      <c r="DK341" s="107"/>
      <c r="DL341" s="107"/>
      <c r="DM341" s="107"/>
      <c r="DN341" s="69"/>
      <c r="DO341" s="69"/>
    </row>
    <row r="342" spans="20:119" s="68" customFormat="1">
      <c r="T342" s="37"/>
      <c r="U342" s="249"/>
      <c r="V342" s="249"/>
      <c r="W342" s="248"/>
      <c r="X342" s="37"/>
      <c r="CT342" s="70"/>
      <c r="CU342" s="161"/>
      <c r="CV342" s="161"/>
      <c r="CW342" s="383"/>
      <c r="CX342" s="884"/>
      <c r="CY342" s="884"/>
      <c r="CZ342" s="834"/>
      <c r="DA342" s="107"/>
      <c r="DB342" s="107"/>
      <c r="DC342" s="107"/>
      <c r="DD342" s="107"/>
      <c r="DE342" s="107"/>
      <c r="DF342" s="107"/>
      <c r="DG342" s="107"/>
      <c r="DH342" s="107"/>
      <c r="DI342" s="107"/>
      <c r="DJ342" s="107"/>
      <c r="DK342" s="107"/>
      <c r="DL342" s="107"/>
      <c r="DM342" s="107"/>
      <c r="DN342" s="69"/>
      <c r="DO342" s="69"/>
    </row>
    <row r="343" spans="20:119" s="68" customFormat="1">
      <c r="T343" s="37"/>
      <c r="U343" s="249"/>
      <c r="V343" s="249"/>
      <c r="W343" s="248"/>
      <c r="X343" s="37"/>
      <c r="CT343" s="70"/>
      <c r="CU343" s="161"/>
      <c r="CV343" s="161"/>
      <c r="CW343" s="383"/>
      <c r="CX343" s="884"/>
      <c r="CY343" s="884"/>
      <c r="CZ343" s="834"/>
      <c r="DA343" s="107"/>
      <c r="DB343" s="107"/>
      <c r="DC343" s="107"/>
      <c r="DD343" s="107"/>
      <c r="DE343" s="107"/>
      <c r="DF343" s="107"/>
      <c r="DG343" s="107"/>
      <c r="DH343" s="107"/>
      <c r="DI343" s="107"/>
      <c r="DJ343" s="107"/>
      <c r="DK343" s="107"/>
      <c r="DL343" s="107"/>
      <c r="DM343" s="107"/>
      <c r="DN343" s="69"/>
      <c r="DO343" s="69"/>
    </row>
    <row r="344" spans="20:119" s="68" customFormat="1">
      <c r="T344" s="37"/>
      <c r="U344" s="249"/>
      <c r="V344" s="249"/>
      <c r="W344" s="248"/>
      <c r="X344" s="37"/>
      <c r="CT344" s="70"/>
      <c r="CU344" s="161"/>
      <c r="CV344" s="161"/>
      <c r="CW344" s="383"/>
      <c r="CX344" s="884"/>
      <c r="CY344" s="884"/>
      <c r="CZ344" s="834"/>
      <c r="DA344" s="107"/>
      <c r="DB344" s="107"/>
      <c r="DC344" s="107"/>
      <c r="DD344" s="107"/>
      <c r="DE344" s="107"/>
      <c r="DF344" s="107"/>
      <c r="DG344" s="107"/>
      <c r="DH344" s="107"/>
      <c r="DI344" s="107"/>
      <c r="DJ344" s="107"/>
      <c r="DK344" s="107"/>
      <c r="DL344" s="107"/>
      <c r="DM344" s="107"/>
      <c r="DN344" s="69"/>
      <c r="DO344" s="69"/>
    </row>
    <row r="345" spans="20:119" s="68" customFormat="1">
      <c r="T345" s="37"/>
      <c r="U345" s="249"/>
      <c r="V345" s="249"/>
      <c r="W345" s="248"/>
      <c r="X345" s="37"/>
      <c r="CT345" s="70"/>
      <c r="CU345" s="161"/>
      <c r="CV345" s="161"/>
      <c r="CW345" s="383"/>
      <c r="CX345" s="884"/>
      <c r="CY345" s="884"/>
      <c r="CZ345" s="834"/>
      <c r="DA345" s="107"/>
      <c r="DB345" s="107"/>
      <c r="DC345" s="107"/>
      <c r="DD345" s="107"/>
      <c r="DE345" s="107"/>
      <c r="DF345" s="107"/>
      <c r="DG345" s="107"/>
      <c r="DH345" s="107"/>
      <c r="DI345" s="107"/>
      <c r="DJ345" s="107"/>
      <c r="DK345" s="107"/>
      <c r="DL345" s="107"/>
      <c r="DM345" s="107"/>
      <c r="DN345" s="69"/>
      <c r="DO345" s="69"/>
    </row>
    <row r="346" spans="20:119" s="68" customFormat="1">
      <c r="T346" s="37"/>
      <c r="U346" s="249"/>
      <c r="V346" s="249"/>
      <c r="W346" s="248"/>
      <c r="X346" s="37"/>
      <c r="CT346" s="70"/>
      <c r="CU346" s="161"/>
      <c r="CV346" s="161"/>
      <c r="CW346" s="383"/>
      <c r="CX346" s="884"/>
      <c r="CY346" s="884"/>
      <c r="CZ346" s="834"/>
      <c r="DA346" s="107"/>
      <c r="DB346" s="107"/>
      <c r="DC346" s="107"/>
      <c r="DD346" s="107"/>
      <c r="DE346" s="107"/>
      <c r="DF346" s="107"/>
      <c r="DG346" s="107"/>
      <c r="DH346" s="107"/>
      <c r="DI346" s="107"/>
      <c r="DJ346" s="107"/>
      <c r="DK346" s="107"/>
      <c r="DL346" s="107"/>
      <c r="DM346" s="107"/>
      <c r="DN346" s="69"/>
      <c r="DO346" s="69"/>
    </row>
    <row r="347" spans="20:119" s="68" customFormat="1">
      <c r="T347" s="37"/>
      <c r="U347" s="249"/>
      <c r="V347" s="249"/>
      <c r="W347" s="248"/>
      <c r="X347" s="37"/>
      <c r="CT347" s="70"/>
      <c r="CU347" s="161"/>
      <c r="CV347" s="161"/>
      <c r="CW347" s="383"/>
      <c r="CX347" s="884"/>
      <c r="CY347" s="884"/>
      <c r="CZ347" s="834"/>
      <c r="DA347" s="107"/>
      <c r="DB347" s="107"/>
      <c r="DC347" s="107"/>
      <c r="DD347" s="107"/>
      <c r="DE347" s="107"/>
      <c r="DF347" s="107"/>
      <c r="DG347" s="107"/>
      <c r="DH347" s="107"/>
      <c r="DI347" s="107"/>
      <c r="DJ347" s="107"/>
      <c r="DK347" s="107"/>
      <c r="DL347" s="107"/>
      <c r="DM347" s="107"/>
      <c r="DN347" s="69"/>
      <c r="DO347" s="69"/>
    </row>
    <row r="348" spans="20:119" s="68" customFormat="1">
      <c r="T348" s="37"/>
      <c r="U348" s="249"/>
      <c r="V348" s="249"/>
      <c r="W348" s="248"/>
      <c r="X348" s="37"/>
      <c r="CT348" s="70"/>
      <c r="CU348" s="161"/>
      <c r="CV348" s="161"/>
      <c r="CW348" s="383"/>
      <c r="CX348" s="884"/>
      <c r="CY348" s="884"/>
      <c r="CZ348" s="834"/>
      <c r="DA348" s="107"/>
      <c r="DB348" s="107"/>
      <c r="DC348" s="107"/>
      <c r="DD348" s="107"/>
      <c r="DE348" s="107"/>
      <c r="DF348" s="107"/>
      <c r="DG348" s="107"/>
      <c r="DH348" s="107"/>
      <c r="DI348" s="107"/>
      <c r="DJ348" s="107"/>
      <c r="DK348" s="107"/>
      <c r="DL348" s="107"/>
      <c r="DM348" s="107"/>
      <c r="DN348" s="69"/>
      <c r="DO348" s="69"/>
    </row>
    <row r="349" spans="20:119" s="68" customFormat="1">
      <c r="T349" s="37"/>
      <c r="U349" s="249"/>
      <c r="V349" s="249"/>
      <c r="W349" s="248"/>
      <c r="X349" s="37"/>
      <c r="CT349" s="70"/>
      <c r="CU349" s="161"/>
      <c r="CV349" s="161"/>
      <c r="CW349" s="383"/>
      <c r="CX349" s="884"/>
      <c r="CY349" s="884"/>
      <c r="CZ349" s="834"/>
      <c r="DA349" s="107"/>
      <c r="DB349" s="107"/>
      <c r="DC349" s="107"/>
      <c r="DD349" s="107"/>
      <c r="DE349" s="107"/>
      <c r="DF349" s="107"/>
      <c r="DG349" s="107"/>
      <c r="DH349" s="107"/>
      <c r="DI349" s="107"/>
      <c r="DJ349" s="107"/>
      <c r="DK349" s="107"/>
      <c r="DL349" s="107"/>
      <c r="DM349" s="107"/>
      <c r="DN349" s="69"/>
      <c r="DO349" s="69"/>
    </row>
    <row r="350" spans="20:119" s="68" customFormat="1">
      <c r="T350" s="37"/>
      <c r="U350" s="249"/>
      <c r="V350" s="249"/>
      <c r="W350" s="248"/>
      <c r="X350" s="37"/>
      <c r="CT350" s="70"/>
      <c r="CU350" s="161"/>
      <c r="CV350" s="161"/>
      <c r="CW350" s="383"/>
      <c r="CX350" s="884"/>
      <c r="CY350" s="884"/>
      <c r="CZ350" s="834"/>
      <c r="DA350" s="107"/>
      <c r="DB350" s="107"/>
      <c r="DC350" s="107"/>
      <c r="DD350" s="107"/>
      <c r="DE350" s="107"/>
      <c r="DF350" s="107"/>
      <c r="DG350" s="107"/>
      <c r="DH350" s="107"/>
      <c r="DI350" s="107"/>
      <c r="DJ350" s="107"/>
      <c r="DK350" s="107"/>
      <c r="DL350" s="107"/>
      <c r="DM350" s="107"/>
      <c r="DN350" s="69"/>
      <c r="DO350" s="69"/>
    </row>
    <row r="351" spans="20:119" s="68" customFormat="1">
      <c r="T351" s="37"/>
      <c r="U351" s="249"/>
      <c r="V351" s="249"/>
      <c r="W351" s="248"/>
      <c r="X351" s="37"/>
      <c r="CT351" s="70"/>
      <c r="CU351" s="161"/>
      <c r="CV351" s="161"/>
      <c r="CW351" s="383"/>
      <c r="CX351" s="884"/>
      <c r="CY351" s="884"/>
      <c r="CZ351" s="834"/>
      <c r="DA351" s="107"/>
      <c r="DB351" s="107"/>
      <c r="DC351" s="107"/>
      <c r="DD351" s="107"/>
      <c r="DE351" s="107"/>
      <c r="DF351" s="107"/>
      <c r="DG351" s="107"/>
      <c r="DH351" s="107"/>
      <c r="DI351" s="107"/>
      <c r="DJ351" s="107"/>
      <c r="DK351" s="107"/>
      <c r="DL351" s="107"/>
      <c r="DM351" s="107"/>
      <c r="DN351" s="69"/>
      <c r="DO351" s="69"/>
    </row>
    <row r="352" spans="20:119" s="68" customFormat="1">
      <c r="T352" s="37"/>
      <c r="U352" s="249"/>
      <c r="V352" s="249"/>
      <c r="W352" s="248"/>
      <c r="X352" s="37"/>
      <c r="CT352" s="70"/>
      <c r="CU352" s="161"/>
      <c r="CV352" s="161"/>
      <c r="CW352" s="383"/>
      <c r="CX352" s="884"/>
      <c r="CY352" s="884"/>
      <c r="CZ352" s="834"/>
      <c r="DA352" s="107"/>
      <c r="DB352" s="107"/>
      <c r="DC352" s="107"/>
      <c r="DD352" s="107"/>
      <c r="DE352" s="107"/>
      <c r="DF352" s="107"/>
      <c r="DG352" s="107"/>
      <c r="DH352" s="107"/>
      <c r="DI352" s="107"/>
      <c r="DJ352" s="107"/>
      <c r="DK352" s="107"/>
      <c r="DL352" s="107"/>
      <c r="DM352" s="107"/>
      <c r="DN352" s="69"/>
      <c r="DO352" s="69"/>
    </row>
    <row r="353" spans="20:119" s="68" customFormat="1">
      <c r="T353" s="37"/>
      <c r="U353" s="249"/>
      <c r="V353" s="249"/>
      <c r="W353" s="248"/>
      <c r="X353" s="37"/>
      <c r="CT353" s="70"/>
      <c r="CU353" s="161"/>
      <c r="CV353" s="161"/>
      <c r="CW353" s="383"/>
      <c r="CX353" s="884"/>
      <c r="CY353" s="884"/>
      <c r="CZ353" s="834"/>
      <c r="DA353" s="107"/>
      <c r="DB353" s="107"/>
      <c r="DC353" s="107"/>
      <c r="DD353" s="107"/>
      <c r="DE353" s="107"/>
      <c r="DF353" s="107"/>
      <c r="DG353" s="107"/>
      <c r="DH353" s="107"/>
      <c r="DI353" s="107"/>
      <c r="DJ353" s="107"/>
      <c r="DK353" s="107"/>
      <c r="DL353" s="107"/>
      <c r="DM353" s="107"/>
      <c r="DN353" s="69"/>
      <c r="DO353" s="69"/>
    </row>
    <row r="354" spans="20:119" s="68" customFormat="1">
      <c r="T354" s="37"/>
      <c r="U354" s="249"/>
      <c r="V354" s="249"/>
      <c r="W354" s="248"/>
      <c r="X354" s="37"/>
      <c r="CT354" s="70"/>
      <c r="CU354" s="161"/>
      <c r="CV354" s="161"/>
      <c r="CW354" s="383"/>
      <c r="CX354" s="884"/>
      <c r="CY354" s="884"/>
      <c r="CZ354" s="834"/>
      <c r="DA354" s="107"/>
      <c r="DB354" s="107"/>
      <c r="DC354" s="107"/>
      <c r="DD354" s="107"/>
      <c r="DE354" s="107"/>
      <c r="DF354" s="107"/>
      <c r="DG354" s="107"/>
      <c r="DH354" s="107"/>
      <c r="DI354" s="107"/>
      <c r="DJ354" s="107"/>
      <c r="DK354" s="107"/>
      <c r="DL354" s="107"/>
      <c r="DM354" s="107"/>
      <c r="DN354" s="69"/>
      <c r="DO354" s="69"/>
    </row>
    <row r="355" spans="20:119" s="68" customFormat="1">
      <c r="T355" s="37"/>
      <c r="U355" s="249"/>
      <c r="V355" s="249"/>
      <c r="W355" s="248"/>
      <c r="X355" s="37"/>
      <c r="CT355" s="70"/>
      <c r="CU355" s="161"/>
      <c r="CV355" s="161"/>
      <c r="CW355" s="383"/>
      <c r="CX355" s="884"/>
      <c r="CY355" s="884"/>
      <c r="CZ355" s="834"/>
      <c r="DA355" s="107"/>
      <c r="DB355" s="107"/>
      <c r="DC355" s="107"/>
      <c r="DD355" s="107"/>
      <c r="DE355" s="107"/>
      <c r="DF355" s="107"/>
      <c r="DG355" s="107"/>
      <c r="DH355" s="107"/>
      <c r="DI355" s="107"/>
      <c r="DJ355" s="107"/>
      <c r="DK355" s="107"/>
      <c r="DL355" s="107"/>
      <c r="DM355" s="107"/>
      <c r="DN355" s="69"/>
      <c r="DO355" s="69"/>
    </row>
    <row r="356" spans="20:119" s="68" customFormat="1">
      <c r="T356" s="37"/>
      <c r="U356" s="249"/>
      <c r="V356" s="249"/>
      <c r="W356" s="248"/>
      <c r="X356" s="37"/>
      <c r="CT356" s="70"/>
      <c r="CU356" s="161"/>
      <c r="CV356" s="161"/>
      <c r="CW356" s="383"/>
      <c r="CX356" s="884"/>
      <c r="CY356" s="884"/>
      <c r="CZ356" s="834"/>
      <c r="DA356" s="107"/>
      <c r="DB356" s="107"/>
      <c r="DC356" s="107"/>
      <c r="DD356" s="107"/>
      <c r="DE356" s="107"/>
      <c r="DF356" s="107"/>
      <c r="DG356" s="107"/>
      <c r="DH356" s="107"/>
      <c r="DI356" s="107"/>
      <c r="DJ356" s="107"/>
      <c r="DK356" s="107"/>
      <c r="DL356" s="107"/>
      <c r="DM356" s="107"/>
      <c r="DN356" s="69"/>
      <c r="DO356" s="69"/>
    </row>
    <row r="357" spans="20:119" s="68" customFormat="1">
      <c r="T357" s="37"/>
      <c r="U357" s="249"/>
      <c r="V357" s="249"/>
      <c r="W357" s="248"/>
      <c r="X357" s="37"/>
      <c r="CT357" s="70"/>
      <c r="CU357" s="161"/>
      <c r="CV357" s="161"/>
      <c r="CW357" s="383"/>
      <c r="CX357" s="884"/>
      <c r="CY357" s="884"/>
      <c r="CZ357" s="834"/>
      <c r="DA357" s="107"/>
      <c r="DB357" s="107"/>
      <c r="DC357" s="107"/>
      <c r="DD357" s="107"/>
      <c r="DE357" s="107"/>
      <c r="DF357" s="107"/>
      <c r="DG357" s="107"/>
      <c r="DH357" s="107"/>
      <c r="DI357" s="107"/>
      <c r="DJ357" s="107"/>
      <c r="DK357" s="107"/>
      <c r="DL357" s="107"/>
      <c r="DM357" s="107"/>
      <c r="DN357" s="69"/>
      <c r="DO357" s="69"/>
    </row>
    <row r="358" spans="20:119" s="68" customFormat="1">
      <c r="T358" s="37"/>
      <c r="U358" s="249"/>
      <c r="V358" s="249"/>
      <c r="W358" s="248"/>
      <c r="X358" s="37"/>
      <c r="CT358" s="70"/>
      <c r="CU358" s="161"/>
      <c r="CV358" s="161"/>
      <c r="CW358" s="383"/>
      <c r="CX358" s="884"/>
      <c r="CY358" s="884"/>
      <c r="CZ358" s="834"/>
      <c r="DA358" s="107"/>
      <c r="DB358" s="107"/>
      <c r="DC358" s="107"/>
      <c r="DD358" s="107"/>
      <c r="DE358" s="107"/>
      <c r="DF358" s="107"/>
      <c r="DG358" s="107"/>
      <c r="DH358" s="107"/>
      <c r="DI358" s="107"/>
      <c r="DJ358" s="107"/>
      <c r="DK358" s="107"/>
      <c r="DL358" s="107"/>
      <c r="DM358" s="107"/>
      <c r="DN358" s="69"/>
      <c r="DO358" s="69"/>
    </row>
    <row r="359" spans="20:119" s="68" customFormat="1">
      <c r="T359" s="37"/>
      <c r="U359" s="249"/>
      <c r="V359" s="249"/>
      <c r="W359" s="248"/>
      <c r="X359" s="37"/>
      <c r="CT359" s="70"/>
      <c r="CU359" s="161"/>
      <c r="CV359" s="161"/>
      <c r="CW359" s="383"/>
      <c r="CX359" s="884"/>
      <c r="CY359" s="884"/>
      <c r="CZ359" s="834"/>
      <c r="DA359" s="107"/>
      <c r="DB359" s="107"/>
      <c r="DC359" s="107"/>
      <c r="DD359" s="107"/>
      <c r="DE359" s="107"/>
      <c r="DF359" s="107"/>
      <c r="DG359" s="107"/>
      <c r="DH359" s="107"/>
      <c r="DI359" s="107"/>
      <c r="DJ359" s="107"/>
      <c r="DK359" s="107"/>
      <c r="DL359" s="107"/>
      <c r="DM359" s="107"/>
      <c r="DN359" s="69"/>
      <c r="DO359" s="69"/>
    </row>
    <row r="360" spans="20:119" s="68" customFormat="1">
      <c r="T360" s="37"/>
      <c r="U360" s="249"/>
      <c r="V360" s="249"/>
      <c r="W360" s="248"/>
      <c r="X360" s="37"/>
      <c r="CT360" s="70"/>
      <c r="CU360" s="161"/>
      <c r="CV360" s="161"/>
      <c r="CW360" s="383"/>
      <c r="CX360" s="884"/>
      <c r="CY360" s="884"/>
      <c r="CZ360" s="834"/>
      <c r="DA360" s="107"/>
      <c r="DB360" s="107"/>
      <c r="DC360" s="107"/>
      <c r="DD360" s="107"/>
      <c r="DE360" s="107"/>
      <c r="DF360" s="107"/>
      <c r="DG360" s="107"/>
      <c r="DH360" s="107"/>
      <c r="DI360" s="107"/>
      <c r="DJ360" s="107"/>
      <c r="DK360" s="107"/>
      <c r="DL360" s="107"/>
      <c r="DM360" s="107"/>
      <c r="DN360" s="69"/>
      <c r="DO360" s="69"/>
    </row>
    <row r="361" spans="20:119" s="68" customFormat="1">
      <c r="T361" s="37"/>
      <c r="U361" s="249"/>
      <c r="V361" s="249"/>
      <c r="W361" s="248"/>
      <c r="X361" s="37"/>
      <c r="CT361" s="70"/>
      <c r="CU361" s="161"/>
      <c r="CV361" s="161"/>
      <c r="CW361" s="383"/>
      <c r="CX361" s="884"/>
      <c r="CY361" s="884"/>
      <c r="CZ361" s="834"/>
      <c r="DA361" s="107"/>
      <c r="DB361" s="107"/>
      <c r="DC361" s="107"/>
      <c r="DD361" s="107"/>
      <c r="DE361" s="107"/>
      <c r="DF361" s="107"/>
      <c r="DG361" s="107"/>
      <c r="DH361" s="107"/>
      <c r="DI361" s="107"/>
      <c r="DJ361" s="107"/>
      <c r="DK361" s="107"/>
      <c r="DL361" s="107"/>
      <c r="DM361" s="107"/>
      <c r="DN361" s="69"/>
      <c r="DO361" s="69"/>
    </row>
    <row r="362" spans="20:119" s="68" customFormat="1">
      <c r="T362" s="37"/>
      <c r="U362" s="249"/>
      <c r="V362" s="249"/>
      <c r="W362" s="248"/>
      <c r="X362" s="37"/>
      <c r="CT362" s="70"/>
      <c r="CU362" s="161"/>
      <c r="CV362" s="161"/>
      <c r="CW362" s="383"/>
      <c r="CX362" s="884"/>
      <c r="CY362" s="884"/>
      <c r="CZ362" s="834"/>
      <c r="DA362" s="107"/>
      <c r="DB362" s="107"/>
      <c r="DC362" s="107"/>
      <c r="DD362" s="107"/>
      <c r="DE362" s="107"/>
      <c r="DF362" s="107"/>
      <c r="DG362" s="107"/>
      <c r="DH362" s="107"/>
      <c r="DI362" s="107"/>
      <c r="DJ362" s="107"/>
      <c r="DK362" s="107"/>
      <c r="DL362" s="107"/>
      <c r="DM362" s="107"/>
      <c r="DN362" s="69"/>
      <c r="DO362" s="69"/>
    </row>
    <row r="363" spans="20:119" s="68" customFormat="1">
      <c r="T363" s="37"/>
      <c r="U363" s="249"/>
      <c r="V363" s="249"/>
      <c r="W363" s="248"/>
      <c r="X363" s="37"/>
      <c r="CT363" s="70"/>
      <c r="CU363" s="161"/>
      <c r="CV363" s="161"/>
      <c r="CW363" s="383"/>
      <c r="CX363" s="884"/>
      <c r="CY363" s="884"/>
      <c r="CZ363" s="834"/>
      <c r="DA363" s="107"/>
      <c r="DB363" s="107"/>
      <c r="DC363" s="107"/>
      <c r="DD363" s="107"/>
      <c r="DE363" s="107"/>
      <c r="DF363" s="107"/>
      <c r="DG363" s="107"/>
      <c r="DH363" s="107"/>
      <c r="DI363" s="107"/>
      <c r="DJ363" s="107"/>
      <c r="DK363" s="107"/>
      <c r="DL363" s="107"/>
      <c r="DM363" s="107"/>
      <c r="DN363" s="69"/>
      <c r="DO363" s="69"/>
    </row>
    <row r="364" spans="20:119" s="68" customFormat="1">
      <c r="T364" s="37"/>
      <c r="U364" s="249"/>
      <c r="V364" s="249"/>
      <c r="W364" s="248"/>
      <c r="X364" s="37"/>
      <c r="CT364" s="70"/>
      <c r="CU364" s="161"/>
      <c r="CV364" s="161"/>
      <c r="CW364" s="383"/>
      <c r="CX364" s="884"/>
      <c r="CY364" s="884"/>
      <c r="CZ364" s="834"/>
      <c r="DA364" s="107"/>
      <c r="DB364" s="107"/>
      <c r="DC364" s="107"/>
      <c r="DD364" s="107"/>
      <c r="DE364" s="107"/>
      <c r="DF364" s="107"/>
      <c r="DG364" s="107"/>
      <c r="DH364" s="107"/>
      <c r="DI364" s="107"/>
      <c r="DJ364" s="107"/>
      <c r="DK364" s="107"/>
      <c r="DL364" s="107"/>
      <c r="DM364" s="107"/>
      <c r="DN364" s="69"/>
      <c r="DO364" s="69"/>
    </row>
    <row r="365" spans="20:119" s="68" customFormat="1">
      <c r="T365" s="37"/>
      <c r="U365" s="249"/>
      <c r="V365" s="249"/>
      <c r="W365" s="248"/>
      <c r="X365" s="37"/>
      <c r="CT365" s="70"/>
      <c r="CU365" s="161"/>
      <c r="CV365" s="161"/>
      <c r="CW365" s="383"/>
      <c r="CX365" s="884"/>
      <c r="CY365" s="884"/>
      <c r="CZ365" s="834"/>
      <c r="DA365" s="107"/>
      <c r="DB365" s="107"/>
      <c r="DC365" s="107"/>
      <c r="DD365" s="107"/>
      <c r="DE365" s="107"/>
      <c r="DF365" s="107"/>
      <c r="DG365" s="107"/>
      <c r="DH365" s="107"/>
      <c r="DI365" s="107"/>
      <c r="DJ365" s="107"/>
      <c r="DK365" s="107"/>
      <c r="DL365" s="107"/>
      <c r="DM365" s="107"/>
      <c r="DN365" s="69"/>
      <c r="DO365" s="69"/>
    </row>
    <row r="366" spans="20:119" s="68" customFormat="1">
      <c r="T366" s="37"/>
      <c r="U366" s="249"/>
      <c r="V366" s="249"/>
      <c r="W366" s="248"/>
      <c r="X366" s="37"/>
      <c r="CT366" s="70"/>
      <c r="CU366" s="161"/>
      <c r="CV366" s="161"/>
      <c r="CW366" s="383"/>
      <c r="CX366" s="884"/>
      <c r="CY366" s="884"/>
      <c r="CZ366" s="834"/>
      <c r="DA366" s="107"/>
      <c r="DB366" s="107"/>
      <c r="DC366" s="107"/>
      <c r="DD366" s="107"/>
      <c r="DE366" s="107"/>
      <c r="DF366" s="107"/>
      <c r="DG366" s="107"/>
      <c r="DH366" s="107"/>
      <c r="DI366" s="107"/>
      <c r="DJ366" s="107"/>
      <c r="DK366" s="107"/>
      <c r="DL366" s="107"/>
      <c r="DM366" s="107"/>
      <c r="DN366" s="69"/>
      <c r="DO366" s="69"/>
    </row>
    <row r="367" spans="20:119" s="68" customFormat="1">
      <c r="T367" s="37"/>
      <c r="U367" s="249"/>
      <c r="V367" s="249"/>
      <c r="W367" s="248"/>
      <c r="X367" s="37"/>
      <c r="CT367" s="70"/>
      <c r="CU367" s="161"/>
      <c r="CV367" s="161"/>
      <c r="CW367" s="383"/>
      <c r="CX367" s="884"/>
      <c r="CY367" s="884"/>
      <c r="CZ367" s="834"/>
      <c r="DA367" s="107"/>
      <c r="DB367" s="107"/>
      <c r="DC367" s="107"/>
      <c r="DD367" s="107"/>
      <c r="DE367" s="107"/>
      <c r="DF367" s="107"/>
      <c r="DG367" s="107"/>
      <c r="DH367" s="107"/>
      <c r="DI367" s="107"/>
      <c r="DJ367" s="107"/>
      <c r="DK367" s="107"/>
      <c r="DL367" s="107"/>
      <c r="DM367" s="107"/>
      <c r="DN367" s="69"/>
      <c r="DO367" s="69"/>
    </row>
    <row r="368" spans="20:119" s="68" customFormat="1">
      <c r="T368" s="37"/>
      <c r="U368" s="249"/>
      <c r="V368" s="249"/>
      <c r="W368" s="248"/>
      <c r="X368" s="37"/>
      <c r="CT368" s="70"/>
      <c r="CU368" s="161"/>
      <c r="CV368" s="161"/>
      <c r="CW368" s="383"/>
      <c r="CX368" s="884"/>
      <c r="CY368" s="884"/>
      <c r="CZ368" s="834"/>
      <c r="DA368" s="107"/>
      <c r="DB368" s="107"/>
      <c r="DC368" s="107"/>
      <c r="DD368" s="107"/>
      <c r="DE368" s="107"/>
      <c r="DF368" s="107"/>
      <c r="DG368" s="107"/>
      <c r="DH368" s="107"/>
      <c r="DI368" s="107"/>
      <c r="DJ368" s="107"/>
      <c r="DK368" s="107"/>
      <c r="DL368" s="107"/>
      <c r="DM368" s="107"/>
      <c r="DN368" s="69"/>
      <c r="DO368" s="69"/>
    </row>
    <row r="369" spans="20:119" s="68" customFormat="1">
      <c r="T369" s="37"/>
      <c r="U369" s="249"/>
      <c r="V369" s="249"/>
      <c r="W369" s="248"/>
      <c r="X369" s="37"/>
      <c r="CT369" s="70"/>
      <c r="CU369" s="161"/>
      <c r="CV369" s="161"/>
      <c r="CW369" s="383"/>
      <c r="CX369" s="884"/>
      <c r="CY369" s="884"/>
      <c r="CZ369" s="834"/>
      <c r="DA369" s="107"/>
      <c r="DB369" s="107"/>
      <c r="DC369" s="107"/>
      <c r="DD369" s="107"/>
      <c r="DE369" s="107"/>
      <c r="DF369" s="107"/>
      <c r="DG369" s="107"/>
      <c r="DH369" s="107"/>
      <c r="DI369" s="107"/>
      <c r="DJ369" s="107"/>
      <c r="DK369" s="107"/>
      <c r="DL369" s="107"/>
      <c r="DM369" s="107"/>
      <c r="DN369" s="69"/>
      <c r="DO369" s="69"/>
    </row>
    <row r="370" spans="20:119" s="68" customFormat="1">
      <c r="T370" s="37"/>
      <c r="U370" s="249"/>
      <c r="V370" s="249"/>
      <c r="W370" s="248"/>
      <c r="X370" s="37"/>
      <c r="CT370" s="70"/>
      <c r="CU370" s="161"/>
      <c r="CV370" s="161"/>
      <c r="CW370" s="383"/>
      <c r="CX370" s="884"/>
      <c r="CY370" s="884"/>
      <c r="CZ370" s="834"/>
      <c r="DA370" s="107"/>
      <c r="DB370" s="107"/>
      <c r="DC370" s="107"/>
      <c r="DD370" s="107"/>
      <c r="DE370" s="107"/>
      <c r="DF370" s="107"/>
      <c r="DG370" s="107"/>
      <c r="DH370" s="107"/>
      <c r="DI370" s="107"/>
      <c r="DJ370" s="107"/>
      <c r="DK370" s="107"/>
      <c r="DL370" s="107"/>
      <c r="DM370" s="107"/>
      <c r="DN370" s="69"/>
      <c r="DO370" s="69"/>
    </row>
    <row r="371" spans="20:119" s="68" customFormat="1">
      <c r="T371" s="37"/>
      <c r="U371" s="249"/>
      <c r="V371" s="249"/>
      <c r="W371" s="248"/>
      <c r="X371" s="37"/>
      <c r="CT371" s="70"/>
      <c r="CU371" s="161"/>
      <c r="CV371" s="161"/>
      <c r="CW371" s="383"/>
      <c r="CX371" s="884"/>
      <c r="CY371" s="884"/>
      <c r="CZ371" s="834"/>
      <c r="DA371" s="107"/>
      <c r="DB371" s="107"/>
      <c r="DC371" s="107"/>
      <c r="DD371" s="107"/>
      <c r="DE371" s="107"/>
      <c r="DF371" s="107"/>
      <c r="DG371" s="107"/>
      <c r="DH371" s="107"/>
      <c r="DI371" s="107"/>
      <c r="DJ371" s="107"/>
      <c r="DK371" s="107"/>
      <c r="DL371" s="107"/>
      <c r="DM371" s="107"/>
      <c r="DN371" s="69"/>
      <c r="DO371" s="69"/>
    </row>
    <row r="372" spans="20:119" s="68" customFormat="1">
      <c r="T372" s="37"/>
      <c r="U372" s="249"/>
      <c r="V372" s="249"/>
      <c r="W372" s="248"/>
      <c r="X372" s="37"/>
      <c r="CT372" s="70"/>
      <c r="CU372" s="161"/>
      <c r="CV372" s="161"/>
      <c r="CW372" s="383"/>
      <c r="CX372" s="884"/>
      <c r="CY372" s="884"/>
      <c r="CZ372" s="834"/>
      <c r="DA372" s="107"/>
      <c r="DB372" s="107"/>
      <c r="DC372" s="107"/>
      <c r="DD372" s="107"/>
      <c r="DE372" s="107"/>
      <c r="DF372" s="107"/>
      <c r="DG372" s="107"/>
      <c r="DH372" s="107"/>
      <c r="DI372" s="107"/>
      <c r="DJ372" s="107"/>
      <c r="DK372" s="107"/>
      <c r="DL372" s="107"/>
      <c r="DM372" s="107"/>
      <c r="DN372" s="69"/>
      <c r="DO372" s="69"/>
    </row>
    <row r="373" spans="20:119" s="68" customFormat="1">
      <c r="T373" s="37"/>
      <c r="U373" s="249"/>
      <c r="V373" s="249"/>
      <c r="W373" s="248"/>
      <c r="X373" s="37"/>
      <c r="CT373" s="70"/>
      <c r="CU373" s="161"/>
      <c r="CV373" s="161"/>
      <c r="CW373" s="383"/>
      <c r="CX373" s="884"/>
      <c r="CY373" s="884"/>
      <c r="CZ373" s="834"/>
      <c r="DA373" s="107"/>
      <c r="DB373" s="107"/>
      <c r="DC373" s="107"/>
      <c r="DD373" s="107"/>
      <c r="DE373" s="107"/>
      <c r="DF373" s="107"/>
      <c r="DG373" s="107"/>
      <c r="DH373" s="107"/>
      <c r="DI373" s="107"/>
      <c r="DJ373" s="107"/>
      <c r="DK373" s="107"/>
      <c r="DL373" s="107"/>
      <c r="DM373" s="107"/>
      <c r="DN373" s="69"/>
      <c r="DO373" s="69"/>
    </row>
    <row r="374" spans="20:119" s="68" customFormat="1">
      <c r="T374" s="37"/>
      <c r="U374" s="249"/>
      <c r="V374" s="249"/>
      <c r="W374" s="248"/>
      <c r="X374" s="37"/>
      <c r="CT374" s="70"/>
      <c r="CU374" s="161"/>
      <c r="CV374" s="161"/>
      <c r="CW374" s="383"/>
      <c r="CX374" s="884"/>
      <c r="CY374" s="884"/>
      <c r="CZ374" s="834"/>
      <c r="DA374" s="107"/>
      <c r="DB374" s="107"/>
      <c r="DC374" s="107"/>
      <c r="DD374" s="107"/>
      <c r="DE374" s="107"/>
      <c r="DF374" s="107"/>
      <c r="DG374" s="107"/>
      <c r="DH374" s="107"/>
      <c r="DI374" s="107"/>
      <c r="DJ374" s="107"/>
      <c r="DK374" s="107"/>
      <c r="DL374" s="107"/>
      <c r="DM374" s="107"/>
      <c r="DN374" s="69"/>
      <c r="DO374" s="69"/>
    </row>
    <row r="375" spans="20:119" s="68" customFormat="1">
      <c r="T375" s="37"/>
      <c r="U375" s="249"/>
      <c r="V375" s="249"/>
      <c r="W375" s="248"/>
      <c r="X375" s="37"/>
      <c r="CT375" s="70"/>
      <c r="CU375" s="161"/>
      <c r="CV375" s="161"/>
      <c r="CW375" s="383"/>
      <c r="CX375" s="884"/>
      <c r="CY375" s="884"/>
      <c r="CZ375" s="834"/>
      <c r="DA375" s="107"/>
      <c r="DB375" s="107"/>
      <c r="DC375" s="107"/>
      <c r="DD375" s="107"/>
      <c r="DE375" s="107"/>
      <c r="DF375" s="107"/>
      <c r="DG375" s="107"/>
      <c r="DH375" s="107"/>
      <c r="DI375" s="107"/>
      <c r="DJ375" s="107"/>
      <c r="DK375" s="107"/>
      <c r="DL375" s="107"/>
      <c r="DM375" s="107"/>
      <c r="DN375" s="69"/>
      <c r="DO375" s="69"/>
    </row>
    <row r="376" spans="20:119" s="68" customFormat="1">
      <c r="T376" s="37"/>
      <c r="U376" s="249"/>
      <c r="V376" s="249"/>
      <c r="W376" s="248"/>
      <c r="X376" s="37"/>
      <c r="CT376" s="70"/>
      <c r="CU376" s="161"/>
      <c r="CV376" s="161"/>
      <c r="CW376" s="383"/>
      <c r="CX376" s="884"/>
      <c r="CY376" s="884"/>
      <c r="CZ376" s="834"/>
      <c r="DA376" s="107"/>
      <c r="DB376" s="107"/>
      <c r="DC376" s="107"/>
      <c r="DD376" s="107"/>
      <c r="DE376" s="107"/>
      <c r="DF376" s="107"/>
      <c r="DG376" s="107"/>
      <c r="DH376" s="107"/>
      <c r="DI376" s="107"/>
      <c r="DJ376" s="107"/>
      <c r="DK376" s="107"/>
      <c r="DL376" s="107"/>
      <c r="DM376" s="107"/>
      <c r="DN376" s="69"/>
      <c r="DO376" s="69"/>
    </row>
    <row r="377" spans="20:119" s="68" customFormat="1">
      <c r="T377" s="37"/>
      <c r="U377" s="249"/>
      <c r="V377" s="249"/>
      <c r="W377" s="248"/>
      <c r="X377" s="37"/>
      <c r="CT377" s="70"/>
      <c r="CU377" s="161"/>
      <c r="CV377" s="161"/>
      <c r="CW377" s="383"/>
      <c r="CX377" s="884"/>
      <c r="CY377" s="884"/>
      <c r="CZ377" s="834"/>
      <c r="DA377" s="107"/>
      <c r="DB377" s="107"/>
      <c r="DC377" s="107"/>
      <c r="DD377" s="107"/>
      <c r="DE377" s="107"/>
      <c r="DF377" s="107"/>
      <c r="DG377" s="107"/>
      <c r="DH377" s="107"/>
      <c r="DI377" s="107"/>
      <c r="DJ377" s="107"/>
      <c r="DK377" s="107"/>
      <c r="DL377" s="107"/>
      <c r="DM377" s="107"/>
      <c r="DN377" s="69"/>
      <c r="DO377" s="69"/>
    </row>
    <row r="378" spans="20:119" s="68" customFormat="1">
      <c r="T378" s="37"/>
      <c r="U378" s="249"/>
      <c r="V378" s="249"/>
      <c r="W378" s="248"/>
      <c r="X378" s="37"/>
      <c r="CT378" s="70"/>
      <c r="CU378" s="161"/>
      <c r="CV378" s="161"/>
      <c r="CW378" s="383"/>
      <c r="CX378" s="884"/>
      <c r="CY378" s="884"/>
      <c r="CZ378" s="834"/>
      <c r="DA378" s="107"/>
      <c r="DB378" s="107"/>
      <c r="DC378" s="107"/>
      <c r="DD378" s="107"/>
      <c r="DE378" s="107"/>
      <c r="DF378" s="107"/>
      <c r="DG378" s="107"/>
      <c r="DH378" s="107"/>
      <c r="DI378" s="107"/>
      <c r="DJ378" s="107"/>
      <c r="DK378" s="107"/>
      <c r="DL378" s="107"/>
      <c r="DM378" s="107"/>
      <c r="DN378" s="69"/>
      <c r="DO378" s="69"/>
    </row>
    <row r="379" spans="20:119" s="68" customFormat="1">
      <c r="T379" s="37"/>
      <c r="U379" s="249"/>
      <c r="V379" s="249"/>
      <c r="W379" s="248"/>
      <c r="X379" s="37"/>
      <c r="CT379" s="70"/>
      <c r="CU379" s="161"/>
      <c r="CV379" s="161"/>
      <c r="CW379" s="383"/>
      <c r="CX379" s="884"/>
      <c r="CY379" s="884"/>
      <c r="CZ379" s="834"/>
      <c r="DA379" s="107"/>
      <c r="DB379" s="107"/>
      <c r="DC379" s="107"/>
      <c r="DD379" s="107"/>
      <c r="DE379" s="107"/>
      <c r="DF379" s="107"/>
      <c r="DG379" s="107"/>
      <c r="DH379" s="107"/>
      <c r="DI379" s="107"/>
      <c r="DJ379" s="107"/>
      <c r="DK379" s="107"/>
      <c r="DL379" s="107"/>
      <c r="DM379" s="107"/>
      <c r="DN379" s="69"/>
      <c r="DO379" s="69"/>
    </row>
    <row r="380" spans="20:119" s="68" customFormat="1">
      <c r="T380" s="37"/>
      <c r="U380" s="249"/>
      <c r="V380" s="249"/>
      <c r="W380" s="248"/>
      <c r="X380" s="37"/>
      <c r="CT380" s="70"/>
      <c r="CU380" s="161"/>
      <c r="CV380" s="161"/>
      <c r="CW380" s="383"/>
      <c r="CX380" s="884"/>
      <c r="CY380" s="884"/>
      <c r="CZ380" s="834"/>
      <c r="DA380" s="107"/>
      <c r="DB380" s="107"/>
      <c r="DC380" s="107"/>
      <c r="DD380" s="107"/>
      <c r="DE380" s="107"/>
      <c r="DF380" s="107"/>
      <c r="DG380" s="107"/>
      <c r="DH380" s="107"/>
      <c r="DI380" s="107"/>
      <c r="DJ380" s="107"/>
      <c r="DK380" s="107"/>
      <c r="DL380" s="107"/>
      <c r="DM380" s="107"/>
      <c r="DN380" s="69"/>
      <c r="DO380" s="69"/>
    </row>
    <row r="381" spans="20:119" s="68" customFormat="1">
      <c r="T381" s="37"/>
      <c r="U381" s="249"/>
      <c r="V381" s="249"/>
      <c r="W381" s="248"/>
      <c r="X381" s="37"/>
      <c r="CT381" s="70"/>
      <c r="CU381" s="161"/>
      <c r="CV381" s="161"/>
      <c r="CW381" s="383"/>
      <c r="CX381" s="884"/>
      <c r="CY381" s="884"/>
      <c r="CZ381" s="834"/>
      <c r="DA381" s="107"/>
      <c r="DB381" s="107"/>
      <c r="DC381" s="107"/>
      <c r="DD381" s="107"/>
      <c r="DE381" s="107"/>
      <c r="DF381" s="107"/>
      <c r="DG381" s="107"/>
      <c r="DH381" s="107"/>
      <c r="DI381" s="107"/>
      <c r="DJ381" s="107"/>
      <c r="DK381" s="107"/>
      <c r="DL381" s="107"/>
      <c r="DM381" s="107"/>
      <c r="DN381" s="69"/>
      <c r="DO381" s="69"/>
    </row>
    <row r="382" spans="20:119" s="68" customFormat="1">
      <c r="T382" s="37"/>
      <c r="U382" s="249"/>
      <c r="V382" s="249"/>
      <c r="W382" s="248"/>
      <c r="X382" s="37"/>
      <c r="CT382" s="70"/>
      <c r="CU382" s="161"/>
      <c r="CV382" s="161"/>
      <c r="CW382" s="383"/>
      <c r="CX382" s="884"/>
      <c r="CY382" s="884"/>
      <c r="CZ382" s="834"/>
      <c r="DA382" s="107"/>
      <c r="DB382" s="107"/>
      <c r="DC382" s="107"/>
      <c r="DD382" s="107"/>
      <c r="DE382" s="107"/>
      <c r="DF382" s="107"/>
      <c r="DG382" s="107"/>
      <c r="DH382" s="107"/>
      <c r="DI382" s="107"/>
      <c r="DJ382" s="107"/>
      <c r="DK382" s="107"/>
      <c r="DL382" s="107"/>
      <c r="DM382" s="107"/>
      <c r="DN382" s="69"/>
      <c r="DO382" s="69"/>
    </row>
    <row r="383" spans="20:119" s="68" customFormat="1">
      <c r="T383" s="37"/>
      <c r="U383" s="249"/>
      <c r="V383" s="249"/>
      <c r="W383" s="248"/>
      <c r="X383" s="37"/>
      <c r="CT383" s="70"/>
      <c r="CU383" s="161"/>
      <c r="CV383" s="161"/>
      <c r="CW383" s="383"/>
      <c r="CX383" s="884"/>
      <c r="CY383" s="884"/>
      <c r="CZ383" s="834"/>
      <c r="DA383" s="107"/>
      <c r="DB383" s="107"/>
      <c r="DC383" s="107"/>
      <c r="DD383" s="107"/>
      <c r="DE383" s="107"/>
      <c r="DF383" s="107"/>
      <c r="DG383" s="107"/>
      <c r="DH383" s="107"/>
      <c r="DI383" s="107"/>
      <c r="DJ383" s="107"/>
      <c r="DK383" s="107"/>
      <c r="DL383" s="107"/>
      <c r="DM383" s="107"/>
      <c r="DN383" s="69"/>
      <c r="DO383" s="69"/>
    </row>
    <row r="384" spans="20:119" s="68" customFormat="1">
      <c r="T384" s="37"/>
      <c r="U384" s="249"/>
      <c r="V384" s="249"/>
      <c r="W384" s="248"/>
      <c r="X384" s="37"/>
      <c r="CT384" s="70"/>
      <c r="CU384" s="161"/>
      <c r="CV384" s="161"/>
      <c r="CW384" s="383"/>
      <c r="CX384" s="884"/>
      <c r="CY384" s="884"/>
      <c r="CZ384" s="834"/>
      <c r="DA384" s="107"/>
      <c r="DB384" s="107"/>
      <c r="DC384" s="107"/>
      <c r="DD384" s="107"/>
      <c r="DE384" s="107"/>
      <c r="DF384" s="107"/>
      <c r="DG384" s="107"/>
      <c r="DH384" s="107"/>
      <c r="DI384" s="107"/>
      <c r="DJ384" s="107"/>
      <c r="DK384" s="107"/>
      <c r="DL384" s="107"/>
      <c r="DM384" s="107"/>
      <c r="DN384" s="69"/>
      <c r="DO384" s="69"/>
    </row>
    <row r="385" spans="20:119" s="68" customFormat="1">
      <c r="T385" s="37"/>
      <c r="U385" s="249"/>
      <c r="V385" s="249"/>
      <c r="W385" s="248"/>
      <c r="X385" s="37"/>
      <c r="CT385" s="70"/>
      <c r="CU385" s="161"/>
      <c r="CV385" s="161"/>
      <c r="CW385" s="383"/>
      <c r="CX385" s="884"/>
      <c r="CY385" s="884"/>
      <c r="CZ385" s="834"/>
      <c r="DA385" s="107"/>
      <c r="DB385" s="107"/>
      <c r="DC385" s="107"/>
      <c r="DD385" s="107"/>
      <c r="DE385" s="107"/>
      <c r="DF385" s="107"/>
      <c r="DG385" s="107"/>
      <c r="DH385" s="107"/>
      <c r="DI385" s="107"/>
      <c r="DJ385" s="107"/>
      <c r="DK385" s="107"/>
      <c r="DL385" s="107"/>
      <c r="DM385" s="107"/>
      <c r="DN385" s="69"/>
      <c r="DO385" s="69"/>
    </row>
    <row r="386" spans="20:119" s="68" customFormat="1">
      <c r="T386" s="37"/>
      <c r="U386" s="249"/>
      <c r="V386" s="249"/>
      <c r="W386" s="248"/>
      <c r="X386" s="37"/>
      <c r="CT386" s="70"/>
      <c r="CU386" s="161"/>
      <c r="CV386" s="161"/>
      <c r="CW386" s="383"/>
      <c r="CX386" s="884"/>
      <c r="CY386" s="884"/>
      <c r="CZ386" s="834"/>
      <c r="DA386" s="107"/>
      <c r="DB386" s="107"/>
      <c r="DC386" s="107"/>
      <c r="DD386" s="107"/>
      <c r="DE386" s="107"/>
      <c r="DF386" s="107"/>
      <c r="DG386" s="107"/>
      <c r="DH386" s="107"/>
      <c r="DI386" s="107"/>
      <c r="DJ386" s="107"/>
      <c r="DK386" s="107"/>
      <c r="DL386" s="107"/>
      <c r="DM386" s="107"/>
      <c r="DN386" s="69"/>
      <c r="DO386" s="69"/>
    </row>
    <row r="387" spans="20:119" s="68" customFormat="1">
      <c r="T387" s="37"/>
      <c r="U387" s="249"/>
      <c r="V387" s="249"/>
      <c r="W387" s="248"/>
      <c r="X387" s="37"/>
      <c r="CT387" s="70"/>
      <c r="CU387" s="161"/>
      <c r="CV387" s="161"/>
      <c r="CW387" s="383"/>
      <c r="CX387" s="884"/>
      <c r="CY387" s="884"/>
      <c r="CZ387" s="834"/>
      <c r="DA387" s="107"/>
      <c r="DB387" s="107"/>
      <c r="DC387" s="107"/>
      <c r="DD387" s="107"/>
      <c r="DE387" s="107"/>
      <c r="DF387" s="107"/>
      <c r="DG387" s="107"/>
      <c r="DH387" s="107"/>
      <c r="DI387" s="107"/>
      <c r="DJ387" s="107"/>
      <c r="DK387" s="107"/>
      <c r="DL387" s="107"/>
      <c r="DM387" s="107"/>
      <c r="DN387" s="69"/>
      <c r="DO387" s="69"/>
    </row>
    <row r="388" spans="20:119" s="68" customFormat="1">
      <c r="T388" s="37"/>
      <c r="U388" s="249"/>
      <c r="V388" s="249"/>
      <c r="W388" s="248"/>
      <c r="X388" s="37"/>
      <c r="CT388" s="70"/>
      <c r="CU388" s="161"/>
      <c r="CV388" s="161"/>
      <c r="CW388" s="383"/>
      <c r="CX388" s="884"/>
      <c r="CY388" s="884"/>
      <c r="CZ388" s="834"/>
      <c r="DA388" s="107"/>
      <c r="DB388" s="107"/>
      <c r="DC388" s="107"/>
      <c r="DD388" s="107"/>
      <c r="DE388" s="107"/>
      <c r="DF388" s="107"/>
      <c r="DG388" s="107"/>
      <c r="DH388" s="107"/>
      <c r="DI388" s="107"/>
      <c r="DJ388" s="107"/>
      <c r="DK388" s="107"/>
      <c r="DL388" s="107"/>
      <c r="DM388" s="107"/>
      <c r="DN388" s="69"/>
      <c r="DO388" s="69"/>
    </row>
    <row r="389" spans="20:119" s="68" customFormat="1">
      <c r="T389" s="37"/>
      <c r="U389" s="249"/>
      <c r="V389" s="249"/>
      <c r="W389" s="248"/>
      <c r="X389" s="37"/>
      <c r="CT389" s="70"/>
      <c r="CU389" s="161"/>
      <c r="CV389" s="161"/>
      <c r="CW389" s="383"/>
      <c r="CX389" s="884"/>
      <c r="CY389" s="884"/>
      <c r="CZ389" s="834"/>
      <c r="DA389" s="107"/>
      <c r="DB389" s="107"/>
      <c r="DC389" s="107"/>
      <c r="DD389" s="107"/>
      <c r="DE389" s="107"/>
      <c r="DF389" s="107"/>
      <c r="DG389" s="107"/>
      <c r="DH389" s="107"/>
      <c r="DI389" s="107"/>
      <c r="DJ389" s="107"/>
      <c r="DK389" s="107"/>
      <c r="DL389" s="107"/>
      <c r="DM389" s="107"/>
      <c r="DN389" s="69"/>
      <c r="DO389" s="69"/>
    </row>
    <row r="390" spans="20:119" s="68" customFormat="1">
      <c r="T390" s="37"/>
      <c r="U390" s="249"/>
      <c r="V390" s="249"/>
      <c r="W390" s="248"/>
      <c r="X390" s="37"/>
      <c r="CT390" s="70"/>
      <c r="CU390" s="161"/>
      <c r="CV390" s="161"/>
      <c r="CW390" s="383"/>
      <c r="CX390" s="884"/>
      <c r="CY390" s="884"/>
      <c r="CZ390" s="834"/>
      <c r="DA390" s="107"/>
      <c r="DB390" s="107"/>
      <c r="DC390" s="107"/>
      <c r="DD390" s="107"/>
      <c r="DE390" s="107"/>
      <c r="DF390" s="107"/>
      <c r="DG390" s="107"/>
      <c r="DH390" s="107"/>
      <c r="DI390" s="107"/>
      <c r="DJ390" s="107"/>
      <c r="DK390" s="107"/>
      <c r="DL390" s="107"/>
      <c r="DM390" s="107"/>
      <c r="DN390" s="69"/>
      <c r="DO390" s="69"/>
    </row>
    <row r="391" spans="20:119" s="68" customFormat="1">
      <c r="T391" s="37"/>
      <c r="U391" s="249"/>
      <c r="V391" s="249"/>
      <c r="W391" s="248"/>
      <c r="X391" s="37"/>
      <c r="CT391" s="70"/>
      <c r="CU391" s="161"/>
      <c r="CV391" s="161"/>
      <c r="CW391" s="383"/>
      <c r="CX391" s="884"/>
      <c r="CY391" s="884"/>
      <c r="CZ391" s="834"/>
      <c r="DA391" s="107"/>
      <c r="DB391" s="107"/>
      <c r="DC391" s="107"/>
      <c r="DD391" s="107"/>
      <c r="DE391" s="107"/>
      <c r="DF391" s="107"/>
      <c r="DG391" s="107"/>
      <c r="DH391" s="107"/>
      <c r="DI391" s="107"/>
      <c r="DJ391" s="107"/>
      <c r="DK391" s="107"/>
      <c r="DL391" s="107"/>
      <c r="DM391" s="107"/>
      <c r="DN391" s="69"/>
      <c r="DO391" s="69"/>
    </row>
    <row r="392" spans="20:119" s="68" customFormat="1">
      <c r="T392" s="37"/>
      <c r="U392" s="249"/>
      <c r="V392" s="249"/>
      <c r="W392" s="248"/>
      <c r="X392" s="37"/>
      <c r="CT392" s="70"/>
      <c r="CU392" s="161"/>
      <c r="CV392" s="161"/>
      <c r="CW392" s="383"/>
      <c r="CX392" s="884"/>
      <c r="CY392" s="884"/>
      <c r="CZ392" s="834"/>
      <c r="DA392" s="107"/>
      <c r="DB392" s="107"/>
      <c r="DC392" s="107"/>
      <c r="DD392" s="107"/>
      <c r="DE392" s="107"/>
      <c r="DF392" s="107"/>
      <c r="DG392" s="107"/>
      <c r="DH392" s="107"/>
      <c r="DI392" s="107"/>
      <c r="DJ392" s="107"/>
      <c r="DK392" s="107"/>
      <c r="DL392" s="107"/>
      <c r="DM392" s="107"/>
      <c r="DN392" s="69"/>
      <c r="DO392" s="69"/>
    </row>
    <row r="393" spans="20:119" s="68" customFormat="1">
      <c r="T393" s="37"/>
      <c r="U393" s="249"/>
      <c r="V393" s="249"/>
      <c r="W393" s="248"/>
      <c r="X393" s="37"/>
      <c r="CT393" s="70"/>
      <c r="CU393" s="161"/>
      <c r="CV393" s="161"/>
      <c r="CW393" s="383"/>
      <c r="CX393" s="884"/>
      <c r="CY393" s="884"/>
      <c r="CZ393" s="834"/>
      <c r="DA393" s="107"/>
      <c r="DB393" s="107"/>
      <c r="DC393" s="107"/>
      <c r="DD393" s="107"/>
      <c r="DE393" s="107"/>
      <c r="DF393" s="107"/>
      <c r="DG393" s="107"/>
      <c r="DH393" s="107"/>
      <c r="DI393" s="107"/>
      <c r="DJ393" s="107"/>
      <c r="DK393" s="107"/>
      <c r="DL393" s="107"/>
      <c r="DM393" s="107"/>
      <c r="DN393" s="69"/>
      <c r="DO393" s="69"/>
    </row>
    <row r="394" spans="20:119" s="68" customFormat="1">
      <c r="T394" s="37"/>
      <c r="U394" s="249"/>
      <c r="V394" s="249"/>
      <c r="W394" s="248"/>
      <c r="X394" s="37"/>
      <c r="CT394" s="70"/>
      <c r="CU394" s="161"/>
      <c r="CV394" s="161"/>
      <c r="CW394" s="383"/>
      <c r="CX394" s="884"/>
      <c r="CY394" s="884"/>
      <c r="CZ394" s="834"/>
      <c r="DA394" s="107"/>
      <c r="DB394" s="107"/>
      <c r="DC394" s="107"/>
      <c r="DD394" s="107"/>
      <c r="DE394" s="107"/>
      <c r="DF394" s="107"/>
      <c r="DG394" s="107"/>
      <c r="DH394" s="107"/>
      <c r="DI394" s="107"/>
      <c r="DJ394" s="107"/>
      <c r="DK394" s="107"/>
      <c r="DL394" s="107"/>
      <c r="DM394" s="107"/>
      <c r="DN394" s="69"/>
      <c r="DO394" s="69"/>
    </row>
    <row r="395" spans="20:119" s="68" customFormat="1">
      <c r="T395" s="37"/>
      <c r="U395" s="249"/>
      <c r="V395" s="249"/>
      <c r="W395" s="248"/>
      <c r="X395" s="37"/>
      <c r="CT395" s="70"/>
      <c r="CU395" s="161"/>
      <c r="CV395" s="161"/>
      <c r="CW395" s="383"/>
      <c r="CX395" s="884"/>
      <c r="CY395" s="884"/>
      <c r="CZ395" s="834"/>
      <c r="DA395" s="107"/>
      <c r="DB395" s="107"/>
      <c r="DC395" s="107"/>
      <c r="DD395" s="107"/>
      <c r="DE395" s="107"/>
      <c r="DF395" s="107"/>
      <c r="DG395" s="107"/>
      <c r="DH395" s="107"/>
      <c r="DI395" s="107"/>
      <c r="DJ395" s="107"/>
      <c r="DK395" s="107"/>
      <c r="DL395" s="107"/>
      <c r="DM395" s="107"/>
      <c r="DN395" s="69"/>
      <c r="DO395" s="69"/>
    </row>
    <row r="396" spans="20:119" s="68" customFormat="1">
      <c r="T396" s="37"/>
      <c r="U396" s="249"/>
      <c r="V396" s="249"/>
      <c r="W396" s="248"/>
      <c r="X396" s="37"/>
      <c r="CT396" s="70"/>
      <c r="CU396" s="161"/>
      <c r="CV396" s="161"/>
      <c r="CW396" s="383"/>
      <c r="CX396" s="884"/>
      <c r="CY396" s="884"/>
      <c r="CZ396" s="834"/>
      <c r="DA396" s="107"/>
      <c r="DB396" s="107"/>
      <c r="DC396" s="107"/>
      <c r="DD396" s="107"/>
      <c r="DE396" s="107"/>
      <c r="DF396" s="107"/>
      <c r="DG396" s="107"/>
      <c r="DH396" s="107"/>
      <c r="DI396" s="107"/>
      <c r="DJ396" s="107"/>
      <c r="DK396" s="107"/>
      <c r="DL396" s="107"/>
      <c r="DM396" s="107"/>
      <c r="DN396" s="69"/>
      <c r="DO396" s="69"/>
    </row>
    <row r="397" spans="20:119" s="68" customFormat="1">
      <c r="T397" s="37"/>
      <c r="U397" s="249"/>
      <c r="V397" s="249"/>
      <c r="W397" s="248"/>
      <c r="X397" s="37"/>
      <c r="CT397" s="70"/>
      <c r="CU397" s="161"/>
      <c r="CV397" s="161"/>
      <c r="CW397" s="383"/>
      <c r="CX397" s="884"/>
      <c r="CY397" s="884"/>
      <c r="CZ397" s="834"/>
      <c r="DA397" s="107"/>
      <c r="DB397" s="107"/>
      <c r="DC397" s="107"/>
      <c r="DD397" s="107"/>
      <c r="DE397" s="107"/>
      <c r="DF397" s="107"/>
      <c r="DG397" s="107"/>
      <c r="DH397" s="107"/>
      <c r="DI397" s="107"/>
      <c r="DJ397" s="107"/>
      <c r="DK397" s="107"/>
      <c r="DL397" s="107"/>
      <c r="DM397" s="107"/>
      <c r="DN397" s="69"/>
      <c r="DO397" s="69"/>
    </row>
    <row r="398" spans="20:119" s="68" customFormat="1">
      <c r="T398" s="37"/>
      <c r="U398" s="249"/>
      <c r="V398" s="249"/>
      <c r="W398" s="248"/>
      <c r="X398" s="37"/>
      <c r="CT398" s="70"/>
      <c r="CU398" s="161"/>
      <c r="CV398" s="161"/>
      <c r="CW398" s="383"/>
      <c r="CX398" s="884"/>
      <c r="CY398" s="884"/>
      <c r="CZ398" s="834"/>
      <c r="DA398" s="107"/>
      <c r="DB398" s="107"/>
      <c r="DC398" s="107"/>
      <c r="DD398" s="107"/>
      <c r="DE398" s="107"/>
      <c r="DF398" s="107"/>
      <c r="DG398" s="107"/>
      <c r="DH398" s="107"/>
      <c r="DI398" s="107"/>
      <c r="DJ398" s="107"/>
      <c r="DK398" s="107"/>
      <c r="DL398" s="107"/>
      <c r="DM398" s="107"/>
      <c r="DN398" s="69"/>
      <c r="DO398" s="69"/>
    </row>
    <row r="399" spans="20:119" s="68" customFormat="1">
      <c r="T399" s="37"/>
      <c r="U399" s="249"/>
      <c r="V399" s="249"/>
      <c r="W399" s="248"/>
      <c r="X399" s="37"/>
      <c r="CT399" s="70"/>
      <c r="CU399" s="161"/>
      <c r="CV399" s="161"/>
      <c r="CW399" s="383"/>
      <c r="CX399" s="884"/>
      <c r="CY399" s="884"/>
      <c r="CZ399" s="834"/>
      <c r="DA399" s="107"/>
      <c r="DB399" s="107"/>
      <c r="DC399" s="107"/>
      <c r="DD399" s="107"/>
      <c r="DE399" s="107"/>
      <c r="DF399" s="107"/>
      <c r="DG399" s="107"/>
      <c r="DH399" s="107"/>
      <c r="DI399" s="107"/>
      <c r="DJ399" s="107"/>
      <c r="DK399" s="107"/>
      <c r="DL399" s="107"/>
      <c r="DM399" s="107"/>
      <c r="DN399" s="69"/>
      <c r="DO399" s="69"/>
    </row>
    <row r="400" spans="20:119" s="68" customFormat="1">
      <c r="T400" s="37"/>
      <c r="U400" s="249"/>
      <c r="V400" s="249"/>
      <c r="W400" s="248"/>
      <c r="X400" s="37"/>
      <c r="CT400" s="70"/>
      <c r="CU400" s="161"/>
      <c r="CV400" s="161"/>
      <c r="CW400" s="383"/>
      <c r="CX400" s="884"/>
      <c r="CY400" s="884"/>
      <c r="CZ400" s="834"/>
      <c r="DA400" s="107"/>
      <c r="DB400" s="107"/>
      <c r="DC400" s="107"/>
      <c r="DD400" s="107"/>
      <c r="DE400" s="107"/>
      <c r="DF400" s="107"/>
      <c r="DG400" s="107"/>
      <c r="DH400" s="107"/>
      <c r="DI400" s="107"/>
      <c r="DJ400" s="107"/>
      <c r="DK400" s="107"/>
      <c r="DL400" s="107"/>
      <c r="DM400" s="107"/>
      <c r="DN400" s="69"/>
      <c r="DO400" s="69"/>
    </row>
    <row r="401" spans="20:119" s="68" customFormat="1">
      <c r="T401" s="37"/>
      <c r="U401" s="249"/>
      <c r="V401" s="249"/>
      <c r="W401" s="248"/>
      <c r="X401" s="37"/>
      <c r="CT401" s="70"/>
      <c r="CU401" s="161"/>
      <c r="CV401" s="161"/>
      <c r="CW401" s="383"/>
      <c r="CX401" s="884"/>
      <c r="CY401" s="884"/>
      <c r="CZ401" s="834"/>
      <c r="DA401" s="107"/>
      <c r="DB401" s="107"/>
      <c r="DC401" s="107"/>
      <c r="DD401" s="107"/>
      <c r="DE401" s="107"/>
      <c r="DF401" s="107"/>
      <c r="DG401" s="107"/>
      <c r="DH401" s="107"/>
      <c r="DI401" s="107"/>
      <c r="DJ401" s="107"/>
      <c r="DK401" s="107"/>
      <c r="DL401" s="107"/>
      <c r="DM401" s="107"/>
      <c r="DN401" s="69"/>
      <c r="DO401" s="69"/>
    </row>
    <row r="402" spans="20:119" s="68" customFormat="1">
      <c r="T402" s="37"/>
      <c r="U402" s="249"/>
      <c r="V402" s="249"/>
      <c r="W402" s="248"/>
      <c r="X402" s="37"/>
      <c r="CT402" s="70"/>
      <c r="CU402" s="161"/>
      <c r="CV402" s="161"/>
      <c r="CW402" s="383"/>
      <c r="CX402" s="884"/>
      <c r="CY402" s="884"/>
      <c r="CZ402" s="834"/>
      <c r="DA402" s="107"/>
      <c r="DB402" s="107"/>
      <c r="DC402" s="107"/>
      <c r="DD402" s="107"/>
      <c r="DE402" s="107"/>
      <c r="DF402" s="107"/>
      <c r="DG402" s="107"/>
      <c r="DH402" s="107"/>
      <c r="DI402" s="107"/>
      <c r="DJ402" s="107"/>
      <c r="DK402" s="107"/>
      <c r="DL402" s="107"/>
      <c r="DM402" s="107"/>
      <c r="DN402" s="69"/>
      <c r="DO402" s="69"/>
    </row>
    <row r="403" spans="20:119" s="68" customFormat="1">
      <c r="T403" s="37"/>
      <c r="U403" s="249"/>
      <c r="V403" s="249"/>
      <c r="W403" s="248"/>
      <c r="X403" s="37"/>
      <c r="CT403" s="70"/>
      <c r="CU403" s="161"/>
      <c r="CV403" s="161"/>
      <c r="CW403" s="383"/>
      <c r="CX403" s="884"/>
      <c r="CY403" s="884"/>
      <c r="CZ403" s="834"/>
      <c r="DA403" s="107"/>
      <c r="DB403" s="107"/>
      <c r="DC403" s="107"/>
      <c r="DD403" s="107"/>
      <c r="DE403" s="107"/>
      <c r="DF403" s="107"/>
      <c r="DG403" s="107"/>
      <c r="DH403" s="107"/>
      <c r="DI403" s="107"/>
      <c r="DJ403" s="107"/>
      <c r="DK403" s="107"/>
      <c r="DL403" s="107"/>
      <c r="DM403" s="107"/>
      <c r="DN403" s="69"/>
      <c r="DO403" s="69"/>
    </row>
    <row r="404" spans="20:119" s="68" customFormat="1">
      <c r="T404" s="37"/>
      <c r="U404" s="249"/>
      <c r="V404" s="249"/>
      <c r="W404" s="248"/>
      <c r="X404" s="37"/>
      <c r="CT404" s="70"/>
      <c r="CU404" s="161"/>
      <c r="CV404" s="161"/>
      <c r="CW404" s="383"/>
      <c r="CX404" s="884"/>
      <c r="CY404" s="884"/>
      <c r="CZ404" s="834"/>
      <c r="DA404" s="107"/>
      <c r="DB404" s="107"/>
      <c r="DC404" s="107"/>
      <c r="DD404" s="107"/>
      <c r="DE404" s="107"/>
      <c r="DF404" s="107"/>
      <c r="DG404" s="107"/>
      <c r="DH404" s="107"/>
      <c r="DI404" s="107"/>
      <c r="DJ404" s="107"/>
      <c r="DK404" s="107"/>
      <c r="DL404" s="107"/>
      <c r="DM404" s="107"/>
      <c r="DN404" s="69"/>
      <c r="DO404" s="69"/>
    </row>
    <row r="405" spans="20:119" s="68" customFormat="1">
      <c r="T405" s="37"/>
      <c r="U405" s="249"/>
      <c r="V405" s="249"/>
      <c r="W405" s="248"/>
      <c r="X405" s="37"/>
      <c r="CT405" s="70"/>
      <c r="CU405" s="161"/>
      <c r="CV405" s="161"/>
      <c r="CW405" s="383"/>
      <c r="CX405" s="884"/>
      <c r="CY405" s="884"/>
      <c r="CZ405" s="834"/>
      <c r="DA405" s="107"/>
      <c r="DB405" s="107"/>
      <c r="DC405" s="107"/>
      <c r="DD405" s="107"/>
      <c r="DE405" s="107"/>
      <c r="DF405" s="107"/>
      <c r="DG405" s="107"/>
      <c r="DH405" s="107"/>
      <c r="DI405" s="107"/>
      <c r="DJ405" s="107"/>
      <c r="DK405" s="107"/>
      <c r="DL405" s="107"/>
      <c r="DM405" s="107"/>
      <c r="DN405" s="69"/>
      <c r="DO405" s="69"/>
    </row>
    <row r="406" spans="20:119" s="68" customFormat="1">
      <c r="T406" s="37"/>
      <c r="U406" s="249"/>
      <c r="V406" s="249"/>
      <c r="W406" s="248"/>
      <c r="X406" s="37"/>
      <c r="CT406" s="70"/>
      <c r="CU406" s="161"/>
      <c r="CV406" s="161"/>
      <c r="CW406" s="383"/>
      <c r="CX406" s="884"/>
      <c r="CY406" s="884"/>
      <c r="CZ406" s="834"/>
      <c r="DA406" s="107"/>
      <c r="DB406" s="107"/>
      <c r="DC406" s="107"/>
      <c r="DD406" s="107"/>
      <c r="DE406" s="107"/>
      <c r="DF406" s="107"/>
      <c r="DG406" s="107"/>
      <c r="DH406" s="107"/>
      <c r="DI406" s="107"/>
      <c r="DJ406" s="107"/>
      <c r="DK406" s="107"/>
      <c r="DL406" s="107"/>
      <c r="DM406" s="107"/>
      <c r="DN406" s="69"/>
      <c r="DO406" s="69"/>
    </row>
    <row r="407" spans="20:119" s="68" customFormat="1">
      <c r="T407" s="37"/>
      <c r="U407" s="249"/>
      <c r="V407" s="249"/>
      <c r="W407" s="248"/>
      <c r="X407" s="37"/>
      <c r="CT407" s="70"/>
      <c r="CU407" s="161"/>
      <c r="CV407" s="161"/>
      <c r="CW407" s="383"/>
      <c r="CX407" s="884"/>
      <c r="CY407" s="884"/>
      <c r="CZ407" s="834"/>
      <c r="DA407" s="107"/>
      <c r="DB407" s="107"/>
      <c r="DC407" s="107"/>
      <c r="DD407" s="107"/>
      <c r="DE407" s="107"/>
      <c r="DF407" s="107"/>
      <c r="DG407" s="107"/>
      <c r="DH407" s="107"/>
      <c r="DI407" s="107"/>
      <c r="DJ407" s="107"/>
      <c r="DK407" s="107"/>
      <c r="DL407" s="107"/>
      <c r="DM407" s="107"/>
      <c r="DN407" s="69"/>
      <c r="DO407" s="69"/>
    </row>
    <row r="408" spans="20:119" s="68" customFormat="1">
      <c r="T408" s="37"/>
      <c r="U408" s="249"/>
      <c r="V408" s="249"/>
      <c r="W408" s="248"/>
      <c r="X408" s="37"/>
      <c r="CT408" s="70"/>
      <c r="CU408" s="161"/>
      <c r="CV408" s="161"/>
      <c r="CW408" s="383"/>
      <c r="CX408" s="884"/>
      <c r="CY408" s="884"/>
      <c r="CZ408" s="834"/>
      <c r="DA408" s="107"/>
      <c r="DB408" s="107"/>
      <c r="DC408" s="107"/>
      <c r="DD408" s="107"/>
      <c r="DE408" s="107"/>
      <c r="DF408" s="107"/>
      <c r="DG408" s="107"/>
      <c r="DH408" s="107"/>
      <c r="DI408" s="107"/>
      <c r="DJ408" s="107"/>
      <c r="DK408" s="107"/>
      <c r="DL408" s="107"/>
      <c r="DM408" s="107"/>
      <c r="DN408" s="69"/>
      <c r="DO408" s="69"/>
    </row>
    <row r="409" spans="20:119" s="68" customFormat="1">
      <c r="T409" s="37"/>
      <c r="U409" s="249"/>
      <c r="V409" s="249"/>
      <c r="W409" s="248"/>
      <c r="X409" s="37"/>
      <c r="CT409" s="70"/>
      <c r="CU409" s="161"/>
      <c r="CV409" s="161"/>
      <c r="CW409" s="383"/>
      <c r="CX409" s="884"/>
      <c r="CY409" s="884"/>
      <c r="CZ409" s="834"/>
      <c r="DA409" s="107"/>
      <c r="DB409" s="107"/>
      <c r="DC409" s="107"/>
      <c r="DD409" s="107"/>
      <c r="DE409" s="107"/>
      <c r="DF409" s="107"/>
      <c r="DG409" s="107"/>
      <c r="DH409" s="107"/>
      <c r="DI409" s="107"/>
      <c r="DJ409" s="107"/>
      <c r="DK409" s="107"/>
      <c r="DL409" s="107"/>
      <c r="DM409" s="107"/>
      <c r="DN409" s="69"/>
      <c r="DO409" s="69"/>
    </row>
    <row r="410" spans="20:119" s="68" customFormat="1">
      <c r="T410" s="37"/>
      <c r="U410" s="249"/>
      <c r="V410" s="249"/>
      <c r="W410" s="248"/>
      <c r="X410" s="37"/>
      <c r="CT410" s="70"/>
      <c r="CU410" s="161"/>
      <c r="CV410" s="161"/>
      <c r="CW410" s="383"/>
      <c r="CX410" s="884"/>
      <c r="CY410" s="884"/>
      <c r="CZ410" s="834"/>
      <c r="DA410" s="107"/>
      <c r="DB410" s="107"/>
      <c r="DC410" s="107"/>
      <c r="DD410" s="107"/>
      <c r="DE410" s="107"/>
      <c r="DF410" s="107"/>
      <c r="DG410" s="107"/>
      <c r="DH410" s="107"/>
      <c r="DI410" s="107"/>
      <c r="DJ410" s="107"/>
      <c r="DK410" s="107"/>
      <c r="DL410" s="107"/>
      <c r="DM410" s="107"/>
      <c r="DN410" s="69"/>
      <c r="DO410" s="69"/>
    </row>
    <row r="411" spans="20:119" s="68" customFormat="1">
      <c r="T411" s="37"/>
      <c r="U411" s="249"/>
      <c r="V411" s="249"/>
      <c r="W411" s="248"/>
      <c r="X411" s="37"/>
      <c r="CT411" s="70"/>
      <c r="CU411" s="161"/>
      <c r="CV411" s="161"/>
      <c r="CW411" s="383"/>
      <c r="CX411" s="884"/>
      <c r="CY411" s="884"/>
      <c r="CZ411" s="834"/>
      <c r="DA411" s="107"/>
      <c r="DB411" s="107"/>
      <c r="DC411" s="107"/>
      <c r="DD411" s="107"/>
      <c r="DE411" s="107"/>
      <c r="DF411" s="107"/>
      <c r="DG411" s="107"/>
      <c r="DH411" s="107"/>
      <c r="DI411" s="107"/>
      <c r="DJ411" s="107"/>
      <c r="DK411" s="107"/>
      <c r="DL411" s="107"/>
      <c r="DM411" s="107"/>
      <c r="DN411" s="69"/>
      <c r="DO411" s="69"/>
    </row>
    <row r="412" spans="20:119" s="68" customFormat="1">
      <c r="T412" s="37"/>
      <c r="U412" s="249"/>
      <c r="V412" s="249"/>
      <c r="W412" s="248"/>
      <c r="X412" s="37"/>
      <c r="CT412" s="70"/>
      <c r="CU412" s="161"/>
      <c r="CV412" s="161"/>
      <c r="CW412" s="383"/>
      <c r="CX412" s="884"/>
      <c r="CY412" s="884"/>
      <c r="CZ412" s="834"/>
      <c r="DA412" s="107"/>
      <c r="DB412" s="107"/>
      <c r="DC412" s="107"/>
      <c r="DD412" s="107"/>
      <c r="DE412" s="107"/>
      <c r="DF412" s="107"/>
      <c r="DG412" s="107"/>
      <c r="DH412" s="107"/>
      <c r="DI412" s="107"/>
      <c r="DJ412" s="107"/>
      <c r="DK412" s="107"/>
      <c r="DL412" s="107"/>
      <c r="DM412" s="107"/>
      <c r="DN412" s="69"/>
      <c r="DO412" s="69"/>
    </row>
    <row r="413" spans="20:119" s="68" customFormat="1">
      <c r="T413" s="37"/>
      <c r="U413" s="249"/>
      <c r="V413" s="249"/>
      <c r="W413" s="248"/>
      <c r="X413" s="37"/>
      <c r="CT413" s="70"/>
      <c r="CU413" s="161"/>
      <c r="CV413" s="161"/>
      <c r="CW413" s="383"/>
      <c r="CX413" s="884"/>
      <c r="CY413" s="884"/>
      <c r="CZ413" s="834"/>
      <c r="DA413" s="107"/>
      <c r="DB413" s="107"/>
      <c r="DC413" s="107"/>
      <c r="DD413" s="107"/>
      <c r="DE413" s="107"/>
      <c r="DF413" s="107"/>
      <c r="DG413" s="107"/>
      <c r="DH413" s="107"/>
      <c r="DI413" s="107"/>
      <c r="DJ413" s="107"/>
      <c r="DK413" s="107"/>
      <c r="DL413" s="107"/>
      <c r="DM413" s="107"/>
      <c r="DN413" s="69"/>
      <c r="DO413" s="69"/>
    </row>
    <row r="414" spans="20:119" s="68" customFormat="1">
      <c r="T414" s="37"/>
      <c r="U414" s="249"/>
      <c r="V414" s="249"/>
      <c r="W414" s="248"/>
      <c r="X414" s="37"/>
      <c r="CT414" s="70"/>
      <c r="CU414" s="161"/>
      <c r="CV414" s="161"/>
      <c r="CW414" s="383"/>
      <c r="CX414" s="884"/>
      <c r="CY414" s="884"/>
      <c r="CZ414" s="834"/>
      <c r="DA414" s="107"/>
      <c r="DB414" s="107"/>
      <c r="DC414" s="107"/>
      <c r="DD414" s="107"/>
      <c r="DE414" s="107"/>
      <c r="DF414" s="107"/>
      <c r="DG414" s="107"/>
      <c r="DH414" s="107"/>
      <c r="DI414" s="107"/>
      <c r="DJ414" s="107"/>
      <c r="DK414" s="107"/>
      <c r="DL414" s="107"/>
      <c r="DM414" s="107"/>
      <c r="DN414" s="69"/>
      <c r="DO414" s="69"/>
    </row>
    <row r="415" spans="20:119" s="68" customFormat="1">
      <c r="T415" s="37"/>
      <c r="U415" s="249"/>
      <c r="V415" s="249"/>
      <c r="W415" s="248"/>
      <c r="X415" s="37"/>
      <c r="CT415" s="70"/>
      <c r="CU415" s="161"/>
      <c r="CV415" s="161"/>
      <c r="CW415" s="383"/>
      <c r="CX415" s="884"/>
      <c r="CY415" s="884"/>
      <c r="CZ415" s="834"/>
      <c r="DA415" s="107"/>
      <c r="DB415" s="107"/>
      <c r="DC415" s="107"/>
      <c r="DD415" s="107"/>
      <c r="DE415" s="107"/>
      <c r="DF415" s="107"/>
      <c r="DG415" s="107"/>
      <c r="DH415" s="107"/>
      <c r="DI415" s="107"/>
      <c r="DJ415" s="107"/>
      <c r="DK415" s="107"/>
      <c r="DL415" s="107"/>
      <c r="DM415" s="107"/>
      <c r="DN415" s="69"/>
      <c r="DO415" s="69"/>
    </row>
    <row r="416" spans="20:119" s="68" customFormat="1">
      <c r="T416" s="37"/>
      <c r="U416" s="249"/>
      <c r="V416" s="249"/>
      <c r="W416" s="248"/>
      <c r="X416" s="37"/>
      <c r="CT416" s="70"/>
      <c r="CU416" s="161"/>
      <c r="CV416" s="161"/>
      <c r="CW416" s="383"/>
      <c r="CX416" s="884"/>
      <c r="CY416" s="884"/>
      <c r="CZ416" s="834"/>
      <c r="DA416" s="107"/>
      <c r="DB416" s="107"/>
      <c r="DC416" s="107"/>
      <c r="DD416" s="107"/>
      <c r="DE416" s="107"/>
      <c r="DF416" s="107"/>
      <c r="DG416" s="107"/>
      <c r="DH416" s="107"/>
      <c r="DI416" s="107"/>
      <c r="DJ416" s="107"/>
      <c r="DK416" s="107"/>
      <c r="DL416" s="107"/>
      <c r="DM416" s="107"/>
      <c r="DN416" s="69"/>
      <c r="DO416" s="69"/>
    </row>
    <row r="417" spans="20:119" s="68" customFormat="1">
      <c r="T417" s="37"/>
      <c r="U417" s="249"/>
      <c r="V417" s="249"/>
      <c r="W417" s="248"/>
      <c r="X417" s="37"/>
      <c r="CT417" s="70"/>
      <c r="CU417" s="161"/>
      <c r="CV417" s="161"/>
      <c r="CW417" s="383"/>
      <c r="CX417" s="884"/>
      <c r="CY417" s="884"/>
      <c r="CZ417" s="834"/>
      <c r="DA417" s="107"/>
      <c r="DB417" s="107"/>
      <c r="DC417" s="107"/>
      <c r="DD417" s="107"/>
      <c r="DE417" s="107"/>
      <c r="DF417" s="107"/>
      <c r="DG417" s="107"/>
      <c r="DH417" s="107"/>
      <c r="DI417" s="107"/>
      <c r="DJ417" s="107"/>
      <c r="DK417" s="107"/>
      <c r="DL417" s="107"/>
      <c r="DM417" s="107"/>
      <c r="DN417" s="69"/>
      <c r="DO417" s="69"/>
    </row>
    <row r="418" spans="20:119" s="68" customFormat="1">
      <c r="T418" s="37"/>
      <c r="U418" s="249"/>
      <c r="V418" s="249"/>
      <c r="W418" s="248"/>
      <c r="X418" s="37"/>
      <c r="CT418" s="70"/>
      <c r="CU418" s="161"/>
      <c r="CV418" s="161"/>
      <c r="CW418" s="383"/>
      <c r="CX418" s="884"/>
      <c r="CY418" s="884"/>
      <c r="CZ418" s="834"/>
      <c r="DA418" s="107"/>
      <c r="DB418" s="107"/>
      <c r="DC418" s="107"/>
      <c r="DD418" s="107"/>
      <c r="DE418" s="107"/>
      <c r="DF418" s="107"/>
      <c r="DG418" s="107"/>
      <c r="DH418" s="107"/>
      <c r="DI418" s="107"/>
      <c r="DJ418" s="107"/>
      <c r="DK418" s="107"/>
      <c r="DL418" s="107"/>
      <c r="DM418" s="107"/>
      <c r="DN418" s="69"/>
      <c r="DO418" s="69"/>
    </row>
    <row r="419" spans="20:119" s="68" customFormat="1">
      <c r="T419" s="37"/>
      <c r="U419" s="249"/>
      <c r="V419" s="249"/>
      <c r="W419" s="248"/>
      <c r="X419" s="37"/>
      <c r="CT419" s="70"/>
      <c r="CU419" s="161"/>
      <c r="CV419" s="161"/>
      <c r="CW419" s="383"/>
      <c r="CX419" s="884"/>
      <c r="CY419" s="884"/>
      <c r="CZ419" s="834"/>
      <c r="DA419" s="107"/>
      <c r="DB419" s="107"/>
      <c r="DC419" s="107"/>
      <c r="DD419" s="107"/>
      <c r="DE419" s="107"/>
      <c r="DF419" s="107"/>
      <c r="DG419" s="107"/>
      <c r="DH419" s="107"/>
      <c r="DI419" s="107"/>
      <c r="DJ419" s="107"/>
      <c r="DK419" s="107"/>
      <c r="DL419" s="107"/>
      <c r="DM419" s="107"/>
      <c r="DN419" s="69"/>
      <c r="DO419" s="69"/>
    </row>
    <row r="420" spans="20:119" s="68" customFormat="1">
      <c r="T420" s="37"/>
      <c r="U420" s="249"/>
      <c r="V420" s="249"/>
      <c r="W420" s="248"/>
      <c r="X420" s="37"/>
      <c r="CT420" s="70"/>
      <c r="CU420" s="161"/>
      <c r="CV420" s="161"/>
      <c r="CW420" s="383"/>
      <c r="CX420" s="884"/>
      <c r="CY420" s="884"/>
      <c r="CZ420" s="834"/>
      <c r="DA420" s="107"/>
      <c r="DB420" s="107"/>
      <c r="DC420" s="107"/>
      <c r="DD420" s="107"/>
      <c r="DE420" s="107"/>
      <c r="DF420" s="107"/>
      <c r="DG420" s="107"/>
      <c r="DH420" s="107"/>
      <c r="DI420" s="107"/>
      <c r="DJ420" s="107"/>
      <c r="DK420" s="107"/>
      <c r="DL420" s="107"/>
      <c r="DM420" s="107"/>
      <c r="DN420" s="69"/>
      <c r="DO420" s="69"/>
    </row>
    <row r="421" spans="20:119" s="68" customFormat="1">
      <c r="T421" s="37"/>
      <c r="U421" s="249"/>
      <c r="V421" s="249"/>
      <c r="W421" s="248"/>
      <c r="X421" s="37"/>
      <c r="CT421" s="70"/>
      <c r="CU421" s="161"/>
      <c r="CV421" s="161"/>
      <c r="CW421" s="383"/>
      <c r="CX421" s="884"/>
      <c r="CY421" s="884"/>
      <c r="CZ421" s="834"/>
      <c r="DA421" s="107"/>
      <c r="DB421" s="107"/>
      <c r="DC421" s="107"/>
      <c r="DD421" s="107"/>
      <c r="DE421" s="107"/>
      <c r="DF421" s="107"/>
      <c r="DG421" s="107"/>
      <c r="DH421" s="107"/>
      <c r="DI421" s="107"/>
      <c r="DJ421" s="107"/>
      <c r="DK421" s="107"/>
      <c r="DL421" s="107"/>
      <c r="DM421" s="107"/>
      <c r="DN421" s="69"/>
      <c r="DO421" s="69"/>
    </row>
    <row r="422" spans="20:119" s="68" customFormat="1">
      <c r="T422" s="37"/>
      <c r="U422" s="249"/>
      <c r="V422" s="249"/>
      <c r="W422" s="248"/>
      <c r="X422" s="37"/>
      <c r="CT422" s="70"/>
      <c r="CU422" s="161"/>
      <c r="CV422" s="161"/>
      <c r="CW422" s="383"/>
      <c r="CX422" s="884"/>
      <c r="CY422" s="884"/>
      <c r="CZ422" s="834"/>
      <c r="DA422" s="107"/>
      <c r="DB422" s="107"/>
      <c r="DC422" s="107"/>
      <c r="DD422" s="107"/>
      <c r="DE422" s="107"/>
      <c r="DF422" s="107"/>
      <c r="DG422" s="107"/>
      <c r="DH422" s="107"/>
      <c r="DI422" s="107"/>
      <c r="DJ422" s="107"/>
      <c r="DK422" s="107"/>
      <c r="DL422" s="107"/>
      <c r="DM422" s="107"/>
      <c r="DN422" s="69"/>
      <c r="DO422" s="69"/>
    </row>
    <row r="423" spans="20:119" s="68" customFormat="1">
      <c r="T423" s="37"/>
      <c r="U423" s="249"/>
      <c r="V423" s="249"/>
      <c r="W423" s="248"/>
      <c r="X423" s="37"/>
      <c r="CT423" s="70"/>
      <c r="CU423" s="161"/>
      <c r="CV423" s="161"/>
      <c r="CW423" s="383"/>
      <c r="CX423" s="884"/>
      <c r="CY423" s="884"/>
      <c r="CZ423" s="834"/>
      <c r="DA423" s="107"/>
      <c r="DB423" s="107"/>
      <c r="DC423" s="107"/>
      <c r="DD423" s="107"/>
      <c r="DE423" s="107"/>
      <c r="DF423" s="107"/>
      <c r="DG423" s="107"/>
      <c r="DH423" s="107"/>
      <c r="DI423" s="107"/>
      <c r="DJ423" s="107"/>
      <c r="DK423" s="107"/>
      <c r="DL423" s="107"/>
      <c r="DM423" s="107"/>
      <c r="DN423" s="69"/>
      <c r="DO423" s="69"/>
    </row>
    <row r="424" spans="20:119" s="68" customFormat="1">
      <c r="T424" s="37"/>
      <c r="U424" s="249"/>
      <c r="V424" s="249"/>
      <c r="W424" s="248"/>
      <c r="X424" s="37"/>
      <c r="CT424" s="70"/>
      <c r="CU424" s="161"/>
      <c r="CV424" s="161"/>
      <c r="CW424" s="383"/>
      <c r="CX424" s="884"/>
      <c r="CY424" s="884"/>
      <c r="CZ424" s="834"/>
      <c r="DA424" s="107"/>
      <c r="DB424" s="107"/>
      <c r="DC424" s="107"/>
      <c r="DD424" s="107"/>
      <c r="DE424" s="107"/>
      <c r="DF424" s="107"/>
      <c r="DG424" s="107"/>
      <c r="DH424" s="107"/>
      <c r="DI424" s="107"/>
      <c r="DJ424" s="107"/>
      <c r="DK424" s="107"/>
      <c r="DL424" s="107"/>
      <c r="DM424" s="107"/>
      <c r="DN424" s="69"/>
      <c r="DO424" s="69"/>
    </row>
    <row r="425" spans="20:119" s="68" customFormat="1">
      <c r="T425" s="37"/>
      <c r="U425" s="249"/>
      <c r="V425" s="249"/>
      <c r="W425" s="248"/>
      <c r="X425" s="37"/>
      <c r="CT425" s="70"/>
      <c r="CU425" s="161"/>
      <c r="CV425" s="161"/>
      <c r="CW425" s="383"/>
      <c r="CX425" s="884"/>
      <c r="CY425" s="884"/>
      <c r="CZ425" s="834"/>
      <c r="DA425" s="107"/>
      <c r="DB425" s="107"/>
      <c r="DC425" s="107"/>
      <c r="DD425" s="107"/>
      <c r="DE425" s="107"/>
      <c r="DF425" s="107"/>
      <c r="DG425" s="107"/>
      <c r="DH425" s="107"/>
      <c r="DI425" s="107"/>
      <c r="DJ425" s="107"/>
      <c r="DK425" s="107"/>
      <c r="DL425" s="107"/>
      <c r="DM425" s="107"/>
      <c r="DN425" s="69"/>
      <c r="DO425" s="69"/>
    </row>
    <row r="426" spans="20:119" s="68" customFormat="1">
      <c r="T426" s="37"/>
      <c r="U426" s="249"/>
      <c r="V426" s="249"/>
      <c r="W426" s="248"/>
      <c r="X426" s="37"/>
      <c r="CT426" s="70"/>
      <c r="CU426" s="161"/>
      <c r="CV426" s="161"/>
      <c r="CW426" s="383"/>
      <c r="CX426" s="884"/>
      <c r="CY426" s="884"/>
      <c r="CZ426" s="834"/>
      <c r="DA426" s="107"/>
      <c r="DB426" s="107"/>
      <c r="DC426" s="107"/>
      <c r="DD426" s="107"/>
      <c r="DE426" s="107"/>
      <c r="DF426" s="107"/>
      <c r="DG426" s="107"/>
      <c r="DH426" s="107"/>
      <c r="DI426" s="107"/>
      <c r="DJ426" s="107"/>
      <c r="DK426" s="107"/>
      <c r="DL426" s="107"/>
      <c r="DM426" s="107"/>
      <c r="DN426" s="69"/>
      <c r="DO426" s="69"/>
    </row>
    <row r="427" spans="20:119" s="68" customFormat="1">
      <c r="T427" s="37"/>
      <c r="U427" s="249"/>
      <c r="V427" s="249"/>
      <c r="W427" s="248"/>
      <c r="X427" s="37"/>
      <c r="CT427" s="70"/>
      <c r="CU427" s="161"/>
      <c r="CV427" s="161"/>
      <c r="CW427" s="383"/>
      <c r="CX427" s="884"/>
      <c r="CY427" s="884"/>
      <c r="CZ427" s="834"/>
      <c r="DA427" s="107"/>
      <c r="DB427" s="107"/>
      <c r="DC427" s="107"/>
      <c r="DD427" s="107"/>
      <c r="DE427" s="107"/>
      <c r="DF427" s="107"/>
      <c r="DG427" s="107"/>
      <c r="DH427" s="107"/>
      <c r="DI427" s="107"/>
      <c r="DJ427" s="107"/>
      <c r="DK427" s="107"/>
      <c r="DL427" s="107"/>
      <c r="DM427" s="107"/>
      <c r="DN427" s="69"/>
      <c r="DO427" s="69"/>
    </row>
    <row r="428" spans="20:119" s="68" customFormat="1">
      <c r="T428" s="37"/>
      <c r="U428" s="249"/>
      <c r="V428" s="249"/>
      <c r="W428" s="248"/>
      <c r="X428" s="37"/>
      <c r="CT428" s="70"/>
      <c r="CU428" s="161"/>
      <c r="CV428" s="161"/>
      <c r="CW428" s="383"/>
      <c r="CX428" s="884"/>
      <c r="CY428" s="884"/>
      <c r="CZ428" s="834"/>
      <c r="DA428" s="107"/>
      <c r="DB428" s="107"/>
      <c r="DC428" s="107"/>
      <c r="DD428" s="107"/>
      <c r="DE428" s="107"/>
      <c r="DF428" s="107"/>
      <c r="DG428" s="107"/>
      <c r="DH428" s="107"/>
      <c r="DI428" s="107"/>
      <c r="DJ428" s="107"/>
      <c r="DK428" s="107"/>
      <c r="DL428" s="107"/>
      <c r="DM428" s="107"/>
      <c r="DN428" s="69"/>
      <c r="DO428" s="69"/>
    </row>
    <row r="429" spans="20:119" s="68" customFormat="1">
      <c r="T429" s="37"/>
      <c r="U429" s="249"/>
      <c r="V429" s="249"/>
      <c r="W429" s="248"/>
      <c r="X429" s="37"/>
      <c r="CT429" s="70"/>
      <c r="CU429" s="161"/>
      <c r="CV429" s="161"/>
      <c r="CW429" s="383"/>
      <c r="CX429" s="884"/>
      <c r="CY429" s="884"/>
      <c r="CZ429" s="834"/>
      <c r="DA429" s="107"/>
      <c r="DB429" s="107"/>
      <c r="DC429" s="107"/>
      <c r="DD429" s="107"/>
      <c r="DE429" s="107"/>
      <c r="DF429" s="107"/>
      <c r="DG429" s="107"/>
      <c r="DH429" s="107"/>
      <c r="DI429" s="107"/>
      <c r="DJ429" s="107"/>
      <c r="DK429" s="107"/>
      <c r="DL429" s="107"/>
      <c r="DM429" s="107"/>
      <c r="DN429" s="69"/>
      <c r="DO429" s="69"/>
    </row>
    <row r="430" spans="20:119" s="68" customFormat="1">
      <c r="T430" s="37"/>
      <c r="U430" s="249"/>
      <c r="V430" s="249"/>
      <c r="W430" s="248"/>
      <c r="X430" s="37"/>
      <c r="CT430" s="70"/>
      <c r="CU430" s="161"/>
      <c r="CV430" s="161"/>
      <c r="CW430" s="383"/>
      <c r="CX430" s="884"/>
      <c r="CY430" s="884"/>
      <c r="CZ430" s="834"/>
      <c r="DA430" s="107"/>
      <c r="DB430" s="107"/>
      <c r="DC430" s="107"/>
      <c r="DD430" s="107"/>
      <c r="DE430" s="107"/>
      <c r="DF430" s="107"/>
      <c r="DG430" s="107"/>
      <c r="DH430" s="107"/>
      <c r="DI430" s="107"/>
      <c r="DJ430" s="107"/>
      <c r="DK430" s="107"/>
      <c r="DL430" s="107"/>
      <c r="DM430" s="107"/>
      <c r="DN430" s="69"/>
      <c r="DO430" s="69"/>
    </row>
    <row r="431" spans="20:119" s="68" customFormat="1">
      <c r="T431" s="37"/>
      <c r="U431" s="249"/>
      <c r="V431" s="249"/>
      <c r="W431" s="248"/>
      <c r="X431" s="37"/>
      <c r="CT431" s="70"/>
      <c r="CU431" s="161"/>
      <c r="CV431" s="161"/>
      <c r="CW431" s="383"/>
      <c r="CX431" s="884"/>
      <c r="CY431" s="884"/>
      <c r="CZ431" s="834"/>
      <c r="DA431" s="107"/>
      <c r="DB431" s="107"/>
      <c r="DC431" s="107"/>
      <c r="DD431" s="107"/>
      <c r="DE431" s="107"/>
      <c r="DF431" s="107"/>
      <c r="DG431" s="107"/>
      <c r="DH431" s="107"/>
      <c r="DI431" s="107"/>
      <c r="DJ431" s="107"/>
      <c r="DK431" s="107"/>
      <c r="DL431" s="107"/>
      <c r="DM431" s="107"/>
      <c r="DN431" s="69"/>
      <c r="DO431" s="69"/>
    </row>
    <row r="432" spans="20:119" s="68" customFormat="1">
      <c r="T432" s="37"/>
      <c r="U432" s="249"/>
      <c r="V432" s="249"/>
      <c r="W432" s="248"/>
      <c r="X432" s="37"/>
      <c r="CT432" s="70"/>
      <c r="CU432" s="161"/>
      <c r="CV432" s="161"/>
      <c r="CW432" s="383"/>
      <c r="CX432" s="884"/>
      <c r="CY432" s="884"/>
      <c r="CZ432" s="834"/>
      <c r="DA432" s="107"/>
      <c r="DB432" s="107"/>
      <c r="DC432" s="107"/>
      <c r="DD432" s="107"/>
      <c r="DE432" s="107"/>
      <c r="DF432" s="107"/>
      <c r="DG432" s="107"/>
      <c r="DH432" s="107"/>
      <c r="DI432" s="107"/>
      <c r="DJ432" s="107"/>
      <c r="DK432" s="107"/>
      <c r="DL432" s="107"/>
      <c r="DM432" s="107"/>
      <c r="DN432" s="69"/>
      <c r="DO432" s="69"/>
    </row>
    <row r="433" spans="20:119" s="68" customFormat="1">
      <c r="T433" s="37"/>
      <c r="U433" s="249"/>
      <c r="V433" s="249"/>
      <c r="W433" s="248"/>
      <c r="X433" s="37"/>
      <c r="CT433" s="70"/>
      <c r="CU433" s="161"/>
      <c r="CV433" s="161"/>
      <c r="CW433" s="383"/>
      <c r="CX433" s="884"/>
      <c r="CY433" s="884"/>
      <c r="CZ433" s="834"/>
      <c r="DA433" s="107"/>
      <c r="DB433" s="107"/>
      <c r="DC433" s="107"/>
      <c r="DD433" s="107"/>
      <c r="DE433" s="107"/>
      <c r="DF433" s="107"/>
      <c r="DG433" s="107"/>
      <c r="DH433" s="107"/>
      <c r="DI433" s="107"/>
      <c r="DJ433" s="107"/>
      <c r="DK433" s="107"/>
      <c r="DL433" s="107"/>
      <c r="DM433" s="107"/>
      <c r="DN433" s="69"/>
      <c r="DO433" s="69"/>
    </row>
    <row r="434" spans="20:119" s="68" customFormat="1">
      <c r="T434" s="37"/>
      <c r="U434" s="249"/>
      <c r="V434" s="249"/>
      <c r="W434" s="248"/>
      <c r="X434" s="37"/>
      <c r="CT434" s="70"/>
      <c r="CU434" s="161"/>
      <c r="CV434" s="161"/>
      <c r="CW434" s="383"/>
      <c r="CX434" s="884"/>
      <c r="CY434" s="884"/>
      <c r="CZ434" s="834"/>
      <c r="DA434" s="107"/>
      <c r="DB434" s="107"/>
      <c r="DC434" s="107"/>
      <c r="DD434" s="107"/>
      <c r="DE434" s="107"/>
      <c r="DF434" s="107"/>
      <c r="DG434" s="107"/>
      <c r="DH434" s="107"/>
      <c r="DI434" s="107"/>
      <c r="DJ434" s="107"/>
      <c r="DK434" s="107"/>
      <c r="DL434" s="107"/>
      <c r="DM434" s="107"/>
      <c r="DN434" s="69"/>
      <c r="DO434" s="69"/>
    </row>
    <row r="435" spans="20:119" s="68" customFormat="1">
      <c r="T435" s="37"/>
      <c r="U435" s="249"/>
      <c r="V435" s="249"/>
      <c r="W435" s="248"/>
      <c r="X435" s="37"/>
      <c r="CT435" s="70"/>
      <c r="CU435" s="161"/>
      <c r="CV435" s="161"/>
      <c r="CW435" s="383"/>
      <c r="CX435" s="884"/>
      <c r="CY435" s="884"/>
      <c r="CZ435" s="834"/>
      <c r="DA435" s="107"/>
      <c r="DB435" s="107"/>
      <c r="DC435" s="107"/>
      <c r="DD435" s="107"/>
      <c r="DE435" s="107"/>
      <c r="DF435" s="107"/>
      <c r="DG435" s="107"/>
      <c r="DH435" s="107"/>
      <c r="DI435" s="107"/>
      <c r="DJ435" s="107"/>
      <c r="DK435" s="107"/>
      <c r="DL435" s="107"/>
      <c r="DM435" s="107"/>
      <c r="DN435" s="69"/>
      <c r="DO435" s="69"/>
    </row>
    <row r="436" spans="20:119" s="68" customFormat="1">
      <c r="T436" s="37"/>
      <c r="U436" s="249"/>
      <c r="V436" s="249"/>
      <c r="W436" s="248"/>
      <c r="X436" s="37"/>
      <c r="CT436" s="70"/>
      <c r="CU436" s="161"/>
      <c r="CV436" s="161"/>
      <c r="CW436" s="383"/>
      <c r="CX436" s="884"/>
      <c r="CY436" s="884"/>
      <c r="CZ436" s="834"/>
      <c r="DA436" s="107"/>
      <c r="DB436" s="107"/>
      <c r="DC436" s="107"/>
      <c r="DD436" s="107"/>
      <c r="DE436" s="107"/>
      <c r="DF436" s="107"/>
      <c r="DG436" s="107"/>
      <c r="DH436" s="107"/>
      <c r="DI436" s="107"/>
      <c r="DJ436" s="107"/>
      <c r="DK436" s="107"/>
      <c r="DL436" s="107"/>
      <c r="DM436" s="107"/>
      <c r="DN436" s="69"/>
      <c r="DO436" s="69"/>
    </row>
    <row r="437" spans="20:119" s="68" customFormat="1">
      <c r="T437" s="37"/>
      <c r="U437" s="249"/>
      <c r="V437" s="249"/>
      <c r="W437" s="248"/>
      <c r="X437" s="37"/>
      <c r="CT437" s="70"/>
      <c r="CU437" s="161"/>
      <c r="CV437" s="161"/>
      <c r="CW437" s="383"/>
      <c r="CX437" s="884"/>
      <c r="CY437" s="884"/>
      <c r="CZ437" s="834"/>
      <c r="DA437" s="107"/>
      <c r="DB437" s="107"/>
      <c r="DC437" s="107"/>
      <c r="DD437" s="107"/>
      <c r="DE437" s="107"/>
      <c r="DF437" s="107"/>
      <c r="DG437" s="107"/>
      <c r="DH437" s="107"/>
      <c r="DI437" s="107"/>
      <c r="DJ437" s="107"/>
      <c r="DK437" s="107"/>
      <c r="DL437" s="107"/>
      <c r="DM437" s="107"/>
      <c r="DN437" s="69"/>
      <c r="DO437" s="69"/>
    </row>
    <row r="438" spans="20:119" s="68" customFormat="1">
      <c r="T438" s="37"/>
      <c r="U438" s="249"/>
      <c r="V438" s="249"/>
      <c r="W438" s="248"/>
      <c r="X438" s="37"/>
      <c r="CT438" s="70"/>
      <c r="CU438" s="161"/>
      <c r="CV438" s="161"/>
      <c r="CW438" s="383"/>
      <c r="CX438" s="884"/>
      <c r="CY438" s="884"/>
      <c r="CZ438" s="834"/>
      <c r="DA438" s="107"/>
      <c r="DB438" s="107"/>
      <c r="DC438" s="107"/>
      <c r="DD438" s="107"/>
      <c r="DE438" s="107"/>
      <c r="DF438" s="107"/>
      <c r="DG438" s="107"/>
      <c r="DH438" s="107"/>
      <c r="DI438" s="107"/>
      <c r="DJ438" s="107"/>
      <c r="DK438" s="107"/>
      <c r="DL438" s="107"/>
      <c r="DM438" s="107"/>
      <c r="DN438" s="69"/>
      <c r="DO438" s="69"/>
    </row>
    <row r="439" spans="20:119" s="68" customFormat="1">
      <c r="T439" s="37"/>
      <c r="U439" s="249"/>
      <c r="V439" s="249"/>
      <c r="W439" s="248"/>
      <c r="X439" s="37"/>
      <c r="CT439" s="70"/>
      <c r="CU439" s="161"/>
      <c r="CV439" s="161"/>
      <c r="CW439" s="383"/>
      <c r="CX439" s="884"/>
      <c r="CY439" s="884"/>
      <c r="CZ439" s="834"/>
      <c r="DA439" s="107"/>
      <c r="DB439" s="107"/>
      <c r="DC439" s="107"/>
      <c r="DD439" s="107"/>
      <c r="DE439" s="107"/>
      <c r="DF439" s="107"/>
      <c r="DG439" s="107"/>
      <c r="DH439" s="107"/>
      <c r="DI439" s="107"/>
      <c r="DJ439" s="107"/>
      <c r="DK439" s="107"/>
      <c r="DL439" s="107"/>
      <c r="DM439" s="107"/>
      <c r="DN439" s="69"/>
      <c r="DO439" s="69"/>
    </row>
    <row r="440" spans="20:119" s="68" customFormat="1">
      <c r="T440" s="37"/>
      <c r="U440" s="249"/>
      <c r="V440" s="249"/>
      <c r="W440" s="248"/>
      <c r="X440" s="37"/>
      <c r="CT440" s="70"/>
      <c r="CU440" s="161"/>
      <c r="CV440" s="161"/>
      <c r="CW440" s="383"/>
      <c r="CX440" s="884"/>
      <c r="CY440" s="884"/>
      <c r="CZ440" s="834"/>
      <c r="DA440" s="107"/>
      <c r="DB440" s="107"/>
      <c r="DC440" s="107"/>
      <c r="DD440" s="107"/>
      <c r="DE440" s="107"/>
      <c r="DF440" s="107"/>
      <c r="DG440" s="107"/>
      <c r="DH440" s="107"/>
      <c r="DI440" s="107"/>
      <c r="DJ440" s="107"/>
      <c r="DK440" s="107"/>
      <c r="DL440" s="107"/>
      <c r="DM440" s="107"/>
      <c r="DN440" s="69"/>
      <c r="DO440" s="69"/>
    </row>
    <row r="441" spans="20:119" s="68" customFormat="1">
      <c r="T441" s="37"/>
      <c r="U441" s="249"/>
      <c r="V441" s="249"/>
      <c r="W441" s="248"/>
      <c r="X441" s="37"/>
      <c r="CT441" s="70"/>
      <c r="CU441" s="161"/>
      <c r="CV441" s="161"/>
      <c r="CW441" s="383"/>
      <c r="CX441" s="884"/>
      <c r="CY441" s="884"/>
      <c r="CZ441" s="834"/>
      <c r="DA441" s="107"/>
      <c r="DB441" s="107"/>
      <c r="DC441" s="107"/>
      <c r="DD441" s="107"/>
      <c r="DE441" s="107"/>
      <c r="DF441" s="107"/>
      <c r="DG441" s="107"/>
      <c r="DH441" s="107"/>
      <c r="DI441" s="107"/>
      <c r="DJ441" s="107"/>
      <c r="DK441" s="107"/>
      <c r="DL441" s="107"/>
      <c r="DM441" s="107"/>
      <c r="DN441" s="69"/>
      <c r="DO441" s="69"/>
    </row>
    <row r="442" spans="20:119" s="68" customFormat="1">
      <c r="T442" s="37"/>
      <c r="U442" s="249"/>
      <c r="V442" s="249"/>
      <c r="W442" s="248"/>
      <c r="X442" s="37"/>
      <c r="CT442" s="70"/>
      <c r="CU442" s="161"/>
      <c r="CV442" s="161"/>
      <c r="CW442" s="383"/>
      <c r="CX442" s="884"/>
      <c r="CY442" s="884"/>
      <c r="CZ442" s="834"/>
      <c r="DA442" s="107"/>
      <c r="DB442" s="107"/>
      <c r="DC442" s="107"/>
      <c r="DD442" s="107"/>
      <c r="DE442" s="107"/>
      <c r="DF442" s="107"/>
      <c r="DG442" s="107"/>
      <c r="DH442" s="107"/>
      <c r="DI442" s="107"/>
      <c r="DJ442" s="107"/>
      <c r="DK442" s="107"/>
      <c r="DL442" s="107"/>
      <c r="DM442" s="107"/>
      <c r="DN442" s="69"/>
      <c r="DO442" s="69"/>
    </row>
    <row r="443" spans="20:119" s="68" customFormat="1">
      <c r="T443" s="37"/>
      <c r="U443" s="249"/>
      <c r="V443" s="249"/>
      <c r="W443" s="248"/>
      <c r="X443" s="37"/>
      <c r="CT443" s="70"/>
      <c r="CU443" s="161"/>
      <c r="CV443" s="161"/>
      <c r="CW443" s="383"/>
      <c r="CX443" s="884"/>
      <c r="CY443" s="884"/>
      <c r="CZ443" s="834"/>
      <c r="DA443" s="107"/>
      <c r="DB443" s="107"/>
      <c r="DC443" s="107"/>
      <c r="DD443" s="107"/>
      <c r="DE443" s="107"/>
      <c r="DF443" s="107"/>
      <c r="DG443" s="107"/>
      <c r="DH443" s="107"/>
      <c r="DI443" s="107"/>
      <c r="DJ443" s="107"/>
      <c r="DK443" s="107"/>
      <c r="DL443" s="107"/>
      <c r="DM443" s="107"/>
      <c r="DN443" s="69"/>
      <c r="DO443" s="69"/>
    </row>
    <row r="444" spans="20:119" s="68" customFormat="1">
      <c r="T444" s="37"/>
      <c r="U444" s="249"/>
      <c r="V444" s="249"/>
      <c r="W444" s="248"/>
      <c r="X444" s="37"/>
      <c r="CT444" s="70"/>
      <c r="CU444" s="161"/>
      <c r="CV444" s="161"/>
      <c r="CW444" s="383"/>
      <c r="CX444" s="884"/>
      <c r="CY444" s="884"/>
      <c r="CZ444" s="834"/>
      <c r="DA444" s="107"/>
      <c r="DB444" s="107"/>
      <c r="DC444" s="107"/>
      <c r="DD444" s="107"/>
      <c r="DE444" s="107"/>
      <c r="DF444" s="107"/>
      <c r="DG444" s="107"/>
      <c r="DH444" s="107"/>
      <c r="DI444" s="107"/>
      <c r="DJ444" s="107"/>
      <c r="DK444" s="107"/>
      <c r="DL444" s="107"/>
      <c r="DM444" s="107"/>
      <c r="DN444" s="69"/>
      <c r="DO444" s="69"/>
    </row>
    <row r="445" spans="20:119" s="68" customFormat="1">
      <c r="T445" s="37"/>
      <c r="U445" s="249"/>
      <c r="V445" s="249"/>
      <c r="W445" s="248"/>
      <c r="X445" s="37"/>
      <c r="CT445" s="70"/>
      <c r="CU445" s="161"/>
      <c r="CV445" s="161"/>
      <c r="CW445" s="383"/>
      <c r="CX445" s="884"/>
      <c r="CY445" s="884"/>
      <c r="CZ445" s="834"/>
      <c r="DA445" s="107"/>
      <c r="DB445" s="107"/>
      <c r="DC445" s="107"/>
      <c r="DD445" s="107"/>
      <c r="DE445" s="107"/>
      <c r="DF445" s="107"/>
      <c r="DG445" s="107"/>
      <c r="DH445" s="107"/>
      <c r="DI445" s="107"/>
      <c r="DJ445" s="107"/>
      <c r="DK445" s="107"/>
      <c r="DL445" s="107"/>
      <c r="DM445" s="107"/>
      <c r="DN445" s="69"/>
      <c r="DO445" s="69"/>
    </row>
    <row r="446" spans="20:119" s="68" customFormat="1">
      <c r="T446" s="37"/>
      <c r="U446" s="249"/>
      <c r="V446" s="249"/>
      <c r="W446" s="248"/>
      <c r="X446" s="37"/>
      <c r="CT446" s="70"/>
      <c r="CU446" s="161"/>
      <c r="CV446" s="161"/>
      <c r="CW446" s="383"/>
      <c r="CX446" s="884"/>
      <c r="CY446" s="884"/>
      <c r="CZ446" s="834"/>
      <c r="DA446" s="107"/>
      <c r="DB446" s="107"/>
      <c r="DC446" s="107"/>
      <c r="DD446" s="107"/>
      <c r="DE446" s="107"/>
      <c r="DF446" s="107"/>
      <c r="DG446" s="107"/>
      <c r="DH446" s="107"/>
      <c r="DI446" s="107"/>
      <c r="DJ446" s="107"/>
      <c r="DK446" s="107"/>
      <c r="DL446" s="107"/>
      <c r="DM446" s="107"/>
      <c r="DN446" s="69"/>
      <c r="DO446" s="69"/>
    </row>
    <row r="447" spans="20:119" s="68" customFormat="1">
      <c r="T447" s="37"/>
      <c r="U447" s="249"/>
      <c r="V447" s="249"/>
      <c r="W447" s="248"/>
      <c r="X447" s="37"/>
      <c r="CT447" s="70"/>
      <c r="CU447" s="161"/>
      <c r="CV447" s="161"/>
      <c r="CW447" s="383"/>
      <c r="CX447" s="884"/>
      <c r="CY447" s="884"/>
      <c r="CZ447" s="834"/>
      <c r="DA447" s="107"/>
      <c r="DB447" s="107"/>
      <c r="DC447" s="107"/>
      <c r="DD447" s="107"/>
      <c r="DE447" s="107"/>
      <c r="DF447" s="107"/>
      <c r="DG447" s="107"/>
      <c r="DH447" s="107"/>
      <c r="DI447" s="107"/>
      <c r="DJ447" s="107"/>
      <c r="DK447" s="107"/>
      <c r="DL447" s="107"/>
      <c r="DM447" s="107"/>
      <c r="DN447" s="69"/>
      <c r="DO447" s="69"/>
    </row>
    <row r="448" spans="20:119" s="68" customFormat="1">
      <c r="T448" s="37"/>
      <c r="U448" s="249"/>
      <c r="V448" s="249"/>
      <c r="W448" s="248"/>
      <c r="X448" s="37"/>
      <c r="CT448" s="70"/>
      <c r="CU448" s="161"/>
      <c r="CV448" s="161"/>
      <c r="CW448" s="383"/>
      <c r="CX448" s="884"/>
      <c r="CY448" s="884"/>
      <c r="CZ448" s="834"/>
      <c r="DA448" s="107"/>
      <c r="DB448" s="107"/>
      <c r="DC448" s="107"/>
      <c r="DD448" s="107"/>
      <c r="DE448" s="107"/>
      <c r="DF448" s="107"/>
      <c r="DG448" s="107"/>
      <c r="DH448" s="107"/>
      <c r="DI448" s="107"/>
      <c r="DJ448" s="107"/>
      <c r="DK448" s="107"/>
      <c r="DL448" s="107"/>
      <c r="DM448" s="107"/>
      <c r="DN448" s="69"/>
      <c r="DO448" s="69"/>
    </row>
    <row r="449" spans="20:119" s="68" customFormat="1">
      <c r="T449" s="37"/>
      <c r="U449" s="249"/>
      <c r="V449" s="249"/>
      <c r="W449" s="248"/>
      <c r="X449" s="37"/>
      <c r="CT449" s="70"/>
      <c r="CU449" s="161"/>
      <c r="CV449" s="161"/>
      <c r="CW449" s="383"/>
      <c r="CX449" s="884"/>
      <c r="CY449" s="884"/>
      <c r="CZ449" s="834"/>
      <c r="DA449" s="107"/>
      <c r="DB449" s="107"/>
      <c r="DC449" s="107"/>
      <c r="DD449" s="107"/>
      <c r="DE449" s="107"/>
      <c r="DF449" s="107"/>
      <c r="DG449" s="107"/>
      <c r="DH449" s="107"/>
      <c r="DI449" s="107"/>
      <c r="DJ449" s="107"/>
      <c r="DK449" s="107"/>
      <c r="DL449" s="107"/>
      <c r="DM449" s="107"/>
      <c r="DN449" s="69"/>
      <c r="DO449" s="69"/>
    </row>
    <row r="450" spans="20:119" s="68" customFormat="1">
      <c r="T450" s="37"/>
      <c r="U450" s="249"/>
      <c r="V450" s="249"/>
      <c r="W450" s="248"/>
      <c r="X450" s="37"/>
      <c r="CT450" s="70"/>
      <c r="CU450" s="161"/>
      <c r="CV450" s="161"/>
      <c r="CW450" s="383"/>
      <c r="CX450" s="884"/>
      <c r="CY450" s="884"/>
      <c r="CZ450" s="834"/>
      <c r="DA450" s="107"/>
      <c r="DB450" s="107"/>
      <c r="DC450" s="107"/>
      <c r="DD450" s="107"/>
      <c r="DE450" s="107"/>
      <c r="DF450" s="107"/>
      <c r="DG450" s="107"/>
      <c r="DH450" s="107"/>
      <c r="DI450" s="107"/>
      <c r="DJ450" s="107"/>
      <c r="DK450" s="107"/>
      <c r="DL450" s="107"/>
      <c r="DM450" s="107"/>
      <c r="DN450" s="69"/>
      <c r="DO450" s="69"/>
    </row>
    <row r="451" spans="20:119" s="68" customFormat="1">
      <c r="T451" s="37"/>
      <c r="U451" s="249"/>
      <c r="V451" s="249"/>
      <c r="W451" s="248"/>
      <c r="X451" s="37"/>
      <c r="CT451" s="70"/>
      <c r="CU451" s="161"/>
      <c r="CV451" s="161"/>
      <c r="CW451" s="383"/>
      <c r="CX451" s="884"/>
      <c r="CY451" s="884"/>
      <c r="CZ451" s="834"/>
      <c r="DA451" s="107"/>
      <c r="DB451" s="107"/>
      <c r="DC451" s="107"/>
      <c r="DD451" s="107"/>
      <c r="DE451" s="107"/>
      <c r="DF451" s="107"/>
      <c r="DG451" s="107"/>
      <c r="DH451" s="107"/>
      <c r="DI451" s="107"/>
      <c r="DJ451" s="107"/>
      <c r="DK451" s="107"/>
      <c r="DL451" s="107"/>
      <c r="DM451" s="107"/>
      <c r="DN451" s="69"/>
      <c r="DO451" s="69"/>
    </row>
    <row r="452" spans="20:119" s="68" customFormat="1">
      <c r="T452" s="37"/>
      <c r="U452" s="249"/>
      <c r="V452" s="249"/>
      <c r="W452" s="248"/>
      <c r="X452" s="37"/>
      <c r="CT452" s="70"/>
      <c r="CU452" s="161"/>
      <c r="CV452" s="161"/>
      <c r="CW452" s="383"/>
      <c r="CX452" s="884"/>
      <c r="CY452" s="884"/>
      <c r="CZ452" s="834"/>
      <c r="DA452" s="107"/>
      <c r="DB452" s="107"/>
      <c r="DC452" s="107"/>
      <c r="DD452" s="107"/>
      <c r="DE452" s="107"/>
      <c r="DF452" s="107"/>
      <c r="DG452" s="107"/>
      <c r="DH452" s="107"/>
      <c r="DI452" s="107"/>
      <c r="DJ452" s="107"/>
      <c r="DK452" s="107"/>
      <c r="DL452" s="107"/>
      <c r="DM452" s="107"/>
      <c r="DN452" s="69"/>
      <c r="DO452" s="69"/>
    </row>
    <row r="453" spans="20:119" s="68" customFormat="1">
      <c r="T453" s="37"/>
      <c r="U453" s="249"/>
      <c r="V453" s="249"/>
      <c r="W453" s="248"/>
      <c r="X453" s="37"/>
      <c r="CT453" s="70"/>
      <c r="CU453" s="161"/>
      <c r="CV453" s="161"/>
      <c r="CW453" s="383"/>
      <c r="CX453" s="884"/>
      <c r="CY453" s="884"/>
      <c r="CZ453" s="834"/>
      <c r="DA453" s="107"/>
      <c r="DB453" s="107"/>
      <c r="DC453" s="107"/>
      <c r="DD453" s="107"/>
      <c r="DE453" s="107"/>
      <c r="DF453" s="107"/>
      <c r="DG453" s="107"/>
      <c r="DH453" s="107"/>
      <c r="DI453" s="107"/>
      <c r="DJ453" s="107"/>
      <c r="DK453" s="107"/>
      <c r="DL453" s="107"/>
      <c r="DM453" s="107"/>
      <c r="DN453" s="69"/>
      <c r="DO453" s="69"/>
    </row>
    <row r="454" spans="20:119" s="68" customFormat="1">
      <c r="T454" s="37"/>
      <c r="U454" s="249"/>
      <c r="V454" s="249"/>
      <c r="W454" s="248"/>
      <c r="X454" s="37"/>
      <c r="CT454" s="70"/>
      <c r="CU454" s="161"/>
      <c r="CV454" s="161"/>
      <c r="CW454" s="383"/>
      <c r="CX454" s="884"/>
      <c r="CY454" s="884"/>
      <c r="CZ454" s="834"/>
      <c r="DA454" s="107"/>
      <c r="DB454" s="107"/>
      <c r="DC454" s="107"/>
      <c r="DD454" s="107"/>
      <c r="DE454" s="107"/>
      <c r="DF454" s="107"/>
      <c r="DG454" s="107"/>
      <c r="DH454" s="107"/>
      <c r="DI454" s="107"/>
      <c r="DJ454" s="107"/>
      <c r="DK454" s="107"/>
      <c r="DL454" s="107"/>
      <c r="DM454" s="107"/>
      <c r="DN454" s="69"/>
      <c r="DO454" s="69"/>
    </row>
    <row r="455" spans="20:119" s="68" customFormat="1">
      <c r="T455" s="37"/>
      <c r="U455" s="249"/>
      <c r="V455" s="249"/>
      <c r="W455" s="248"/>
      <c r="X455" s="37"/>
      <c r="CT455" s="70"/>
      <c r="CU455" s="161"/>
      <c r="CV455" s="161"/>
      <c r="CW455" s="383"/>
      <c r="CX455" s="884"/>
      <c r="CY455" s="884"/>
      <c r="CZ455" s="834"/>
      <c r="DA455" s="107"/>
      <c r="DB455" s="107"/>
      <c r="DC455" s="107"/>
      <c r="DD455" s="107"/>
      <c r="DE455" s="107"/>
      <c r="DF455" s="107"/>
      <c r="DG455" s="107"/>
      <c r="DH455" s="107"/>
      <c r="DI455" s="107"/>
      <c r="DJ455" s="107"/>
      <c r="DK455" s="107"/>
      <c r="DL455" s="107"/>
      <c r="DM455" s="107"/>
      <c r="DN455" s="69"/>
      <c r="DO455" s="69"/>
    </row>
    <row r="456" spans="20:119" s="68" customFormat="1">
      <c r="T456" s="37"/>
      <c r="U456" s="249"/>
      <c r="V456" s="249"/>
      <c r="W456" s="248"/>
      <c r="X456" s="37"/>
      <c r="CT456" s="70"/>
      <c r="CU456" s="161"/>
      <c r="CV456" s="161"/>
      <c r="CW456" s="383"/>
      <c r="CX456" s="884"/>
      <c r="CY456" s="884"/>
      <c r="CZ456" s="834"/>
      <c r="DA456" s="107"/>
      <c r="DB456" s="107"/>
      <c r="DC456" s="107"/>
      <c r="DD456" s="107"/>
      <c r="DE456" s="107"/>
      <c r="DF456" s="107"/>
      <c r="DG456" s="107"/>
      <c r="DH456" s="107"/>
      <c r="DI456" s="107"/>
      <c r="DJ456" s="107"/>
      <c r="DK456" s="107"/>
      <c r="DL456" s="107"/>
      <c r="DM456" s="107"/>
      <c r="DN456" s="69"/>
      <c r="DO456" s="69"/>
    </row>
    <row r="457" spans="20:119" s="68" customFormat="1">
      <c r="T457" s="37"/>
      <c r="U457" s="249"/>
      <c r="V457" s="249"/>
      <c r="W457" s="248"/>
      <c r="X457" s="37"/>
      <c r="CT457" s="70"/>
      <c r="CU457" s="161"/>
      <c r="CV457" s="161"/>
      <c r="CW457" s="383"/>
      <c r="CX457" s="884"/>
      <c r="CY457" s="884"/>
      <c r="CZ457" s="834"/>
      <c r="DA457" s="107"/>
      <c r="DB457" s="107"/>
      <c r="DC457" s="107"/>
      <c r="DD457" s="107"/>
      <c r="DE457" s="107"/>
      <c r="DF457" s="107"/>
      <c r="DG457" s="107"/>
      <c r="DH457" s="107"/>
      <c r="DI457" s="107"/>
      <c r="DJ457" s="107"/>
      <c r="DK457" s="107"/>
      <c r="DL457" s="107"/>
      <c r="DM457" s="107"/>
      <c r="DN457" s="69"/>
      <c r="DO457" s="69"/>
    </row>
    <row r="458" spans="20:119" s="68" customFormat="1">
      <c r="T458" s="37"/>
      <c r="U458" s="249"/>
      <c r="V458" s="249"/>
      <c r="W458" s="248"/>
      <c r="X458" s="37"/>
      <c r="CT458" s="70"/>
      <c r="CU458" s="161"/>
      <c r="CV458" s="161"/>
      <c r="CW458" s="383"/>
      <c r="CX458" s="884"/>
      <c r="CY458" s="884"/>
      <c r="CZ458" s="834"/>
      <c r="DA458" s="107"/>
      <c r="DB458" s="107"/>
      <c r="DC458" s="107"/>
      <c r="DD458" s="107"/>
      <c r="DE458" s="107"/>
      <c r="DF458" s="107"/>
      <c r="DG458" s="107"/>
      <c r="DH458" s="107"/>
      <c r="DI458" s="107"/>
      <c r="DJ458" s="107"/>
      <c r="DK458" s="107"/>
      <c r="DL458" s="107"/>
      <c r="DM458" s="107"/>
      <c r="DN458" s="69"/>
      <c r="DO458" s="69"/>
    </row>
    <row r="459" spans="20:119" s="68" customFormat="1">
      <c r="T459" s="37"/>
      <c r="U459" s="249"/>
      <c r="V459" s="249"/>
      <c r="W459" s="248"/>
      <c r="X459" s="37"/>
      <c r="CT459" s="70"/>
      <c r="CU459" s="161"/>
      <c r="CV459" s="161"/>
      <c r="CW459" s="383"/>
      <c r="CX459" s="884"/>
      <c r="CY459" s="884"/>
      <c r="CZ459" s="834"/>
      <c r="DA459" s="107"/>
      <c r="DB459" s="107"/>
      <c r="DC459" s="107"/>
      <c r="DD459" s="107"/>
      <c r="DE459" s="107"/>
      <c r="DF459" s="107"/>
      <c r="DG459" s="107"/>
      <c r="DH459" s="107"/>
      <c r="DI459" s="107"/>
      <c r="DJ459" s="107"/>
      <c r="DK459" s="107"/>
      <c r="DL459" s="107"/>
      <c r="DM459" s="107"/>
      <c r="DN459" s="69"/>
      <c r="DO459" s="69"/>
    </row>
    <row r="460" spans="20:119" s="68" customFormat="1">
      <c r="T460" s="37"/>
      <c r="U460" s="249"/>
      <c r="V460" s="249"/>
      <c r="W460" s="248"/>
      <c r="X460" s="37"/>
      <c r="CT460" s="70"/>
      <c r="CU460" s="161"/>
      <c r="CV460" s="161"/>
      <c r="CW460" s="383"/>
      <c r="CX460" s="884"/>
      <c r="CY460" s="884"/>
      <c r="CZ460" s="834"/>
      <c r="DA460" s="107"/>
      <c r="DB460" s="107"/>
      <c r="DC460" s="107"/>
      <c r="DD460" s="107"/>
      <c r="DE460" s="107"/>
      <c r="DF460" s="107"/>
      <c r="DG460" s="107"/>
      <c r="DH460" s="107"/>
      <c r="DI460" s="107"/>
      <c r="DJ460" s="107"/>
      <c r="DK460" s="107"/>
      <c r="DL460" s="107"/>
      <c r="DM460" s="107"/>
      <c r="DN460" s="69"/>
      <c r="DO460" s="69"/>
    </row>
    <row r="461" spans="20:119" s="68" customFormat="1">
      <c r="T461" s="37"/>
      <c r="U461" s="249"/>
      <c r="V461" s="249"/>
      <c r="W461" s="248"/>
      <c r="X461" s="37"/>
      <c r="CT461" s="70"/>
      <c r="CU461" s="161"/>
      <c r="CV461" s="161"/>
      <c r="CW461" s="383"/>
      <c r="CX461" s="884"/>
      <c r="CY461" s="884"/>
      <c r="CZ461" s="834"/>
      <c r="DA461" s="107"/>
      <c r="DB461" s="107"/>
      <c r="DC461" s="107"/>
      <c r="DD461" s="107"/>
      <c r="DE461" s="107"/>
      <c r="DF461" s="107"/>
      <c r="DG461" s="107"/>
      <c r="DH461" s="107"/>
      <c r="DI461" s="107"/>
      <c r="DJ461" s="107"/>
      <c r="DK461" s="107"/>
      <c r="DL461" s="107"/>
      <c r="DM461" s="107"/>
      <c r="DN461" s="69"/>
      <c r="DO461" s="69"/>
    </row>
    <row r="462" spans="20:119" s="68" customFormat="1">
      <c r="T462" s="37"/>
      <c r="U462" s="249"/>
      <c r="V462" s="249"/>
      <c r="W462" s="248"/>
      <c r="X462" s="37"/>
      <c r="CT462" s="70"/>
      <c r="CU462" s="161"/>
      <c r="CV462" s="161"/>
      <c r="CW462" s="383"/>
      <c r="CX462" s="884"/>
      <c r="CY462" s="884"/>
      <c r="CZ462" s="834"/>
      <c r="DA462" s="107"/>
      <c r="DB462" s="107"/>
      <c r="DC462" s="107"/>
      <c r="DD462" s="107"/>
      <c r="DE462" s="107"/>
      <c r="DF462" s="107"/>
      <c r="DG462" s="107"/>
      <c r="DH462" s="107"/>
      <c r="DI462" s="107"/>
      <c r="DJ462" s="107"/>
      <c r="DK462" s="107"/>
      <c r="DL462" s="107"/>
      <c r="DM462" s="107"/>
      <c r="DN462" s="69"/>
      <c r="DO462" s="69"/>
    </row>
    <row r="463" spans="20:119" s="68" customFormat="1">
      <c r="T463" s="37"/>
      <c r="U463" s="249"/>
      <c r="V463" s="249"/>
      <c r="W463" s="248"/>
      <c r="X463" s="37"/>
      <c r="CT463" s="70"/>
      <c r="CU463" s="161"/>
      <c r="CV463" s="161"/>
      <c r="CW463" s="383"/>
      <c r="CX463" s="884"/>
      <c r="CY463" s="884"/>
      <c r="CZ463" s="834"/>
      <c r="DA463" s="107"/>
      <c r="DB463" s="107"/>
      <c r="DC463" s="107"/>
      <c r="DD463" s="107"/>
      <c r="DE463" s="107"/>
      <c r="DF463" s="107"/>
      <c r="DG463" s="107"/>
      <c r="DH463" s="107"/>
      <c r="DI463" s="107"/>
      <c r="DJ463" s="107"/>
      <c r="DK463" s="107"/>
      <c r="DL463" s="107"/>
      <c r="DM463" s="107"/>
      <c r="DN463" s="69"/>
      <c r="DO463" s="69"/>
    </row>
    <row r="464" spans="20:119" s="68" customFormat="1">
      <c r="T464" s="37"/>
      <c r="U464" s="249"/>
      <c r="V464" s="249"/>
      <c r="W464" s="248"/>
      <c r="X464" s="37"/>
      <c r="CT464" s="70"/>
      <c r="CU464" s="161"/>
      <c r="CV464" s="161"/>
      <c r="CW464" s="383"/>
      <c r="CX464" s="884"/>
      <c r="CY464" s="884"/>
      <c r="CZ464" s="834"/>
      <c r="DA464" s="107"/>
      <c r="DB464" s="107"/>
      <c r="DC464" s="107"/>
      <c r="DD464" s="107"/>
      <c r="DE464" s="107"/>
      <c r="DF464" s="107"/>
      <c r="DG464" s="107"/>
      <c r="DH464" s="107"/>
      <c r="DI464" s="107"/>
      <c r="DJ464" s="107"/>
      <c r="DK464" s="107"/>
      <c r="DL464" s="107"/>
      <c r="DM464" s="107"/>
      <c r="DN464" s="69"/>
      <c r="DO464" s="69"/>
    </row>
    <row r="465" spans="20:119" s="68" customFormat="1">
      <c r="T465" s="37"/>
      <c r="U465" s="249"/>
      <c r="V465" s="249"/>
      <c r="W465" s="248"/>
      <c r="X465" s="37"/>
      <c r="CT465" s="70"/>
      <c r="CU465" s="161"/>
      <c r="CV465" s="161"/>
      <c r="CW465" s="383"/>
      <c r="CX465" s="884"/>
      <c r="CY465" s="884"/>
      <c r="CZ465" s="834"/>
      <c r="DA465" s="107"/>
      <c r="DB465" s="107"/>
      <c r="DC465" s="107"/>
      <c r="DD465" s="107"/>
      <c r="DE465" s="107"/>
      <c r="DF465" s="107"/>
      <c r="DG465" s="107"/>
      <c r="DH465" s="107"/>
      <c r="DI465" s="107"/>
      <c r="DJ465" s="107"/>
      <c r="DK465" s="107"/>
      <c r="DL465" s="107"/>
      <c r="DM465" s="107"/>
      <c r="DN465" s="69"/>
      <c r="DO465" s="69"/>
    </row>
    <row r="466" spans="20:119" s="68" customFormat="1">
      <c r="T466" s="37"/>
      <c r="U466" s="249"/>
      <c r="V466" s="249"/>
      <c r="W466" s="248"/>
      <c r="X466" s="37"/>
      <c r="CT466" s="70"/>
      <c r="CU466" s="161"/>
      <c r="CV466" s="161"/>
      <c r="CW466" s="383"/>
      <c r="CX466" s="884"/>
      <c r="CY466" s="884"/>
      <c r="CZ466" s="834"/>
      <c r="DA466" s="107"/>
      <c r="DB466" s="107"/>
      <c r="DC466" s="107"/>
      <c r="DD466" s="107"/>
      <c r="DE466" s="107"/>
      <c r="DF466" s="107"/>
      <c r="DG466" s="107"/>
      <c r="DH466" s="107"/>
      <c r="DI466" s="107"/>
      <c r="DJ466" s="107"/>
      <c r="DK466" s="107"/>
      <c r="DL466" s="107"/>
      <c r="DM466" s="107"/>
      <c r="DN466" s="69"/>
      <c r="DO466" s="69"/>
    </row>
    <row r="467" spans="20:119" s="68" customFormat="1">
      <c r="T467" s="37"/>
      <c r="U467" s="249"/>
      <c r="V467" s="249"/>
      <c r="W467" s="248"/>
      <c r="X467" s="37"/>
      <c r="CT467" s="70"/>
      <c r="CU467" s="161"/>
      <c r="CV467" s="161"/>
      <c r="CW467" s="383"/>
      <c r="CX467" s="884"/>
      <c r="CY467" s="884"/>
      <c r="CZ467" s="834"/>
      <c r="DA467" s="107"/>
      <c r="DB467" s="107"/>
      <c r="DC467" s="107"/>
      <c r="DD467" s="107"/>
      <c r="DE467" s="107"/>
      <c r="DF467" s="107"/>
      <c r="DG467" s="107"/>
      <c r="DH467" s="107"/>
      <c r="DI467" s="107"/>
      <c r="DJ467" s="107"/>
      <c r="DK467" s="107"/>
      <c r="DL467" s="107"/>
      <c r="DM467" s="107"/>
      <c r="DN467" s="69"/>
      <c r="DO467" s="69"/>
    </row>
    <row r="468" spans="20:119" s="68" customFormat="1">
      <c r="T468" s="37"/>
      <c r="U468" s="249"/>
      <c r="V468" s="249"/>
      <c r="W468" s="248"/>
      <c r="X468" s="37"/>
      <c r="CT468" s="70"/>
      <c r="CU468" s="161"/>
      <c r="CV468" s="161"/>
      <c r="CW468" s="383"/>
      <c r="CX468" s="884"/>
      <c r="CY468" s="884"/>
      <c r="CZ468" s="834"/>
      <c r="DA468" s="107"/>
      <c r="DB468" s="107"/>
      <c r="DC468" s="107"/>
      <c r="DD468" s="107"/>
      <c r="DE468" s="107"/>
      <c r="DF468" s="107"/>
      <c r="DG468" s="107"/>
      <c r="DH468" s="107"/>
      <c r="DI468" s="107"/>
      <c r="DJ468" s="107"/>
      <c r="DK468" s="107"/>
      <c r="DL468" s="107"/>
      <c r="DM468" s="107"/>
      <c r="DN468" s="69"/>
      <c r="DO468" s="69"/>
    </row>
    <row r="469" spans="20:119" s="68" customFormat="1">
      <c r="T469" s="37"/>
      <c r="U469" s="249"/>
      <c r="V469" s="249"/>
      <c r="W469" s="248"/>
      <c r="X469" s="37"/>
      <c r="CT469" s="70"/>
      <c r="CU469" s="161"/>
      <c r="CV469" s="161"/>
      <c r="CW469" s="383"/>
      <c r="CX469" s="884"/>
      <c r="CY469" s="884"/>
      <c r="CZ469" s="834"/>
      <c r="DA469" s="107"/>
      <c r="DB469" s="107"/>
      <c r="DC469" s="107"/>
      <c r="DD469" s="107"/>
      <c r="DE469" s="107"/>
      <c r="DF469" s="107"/>
      <c r="DG469" s="107"/>
      <c r="DH469" s="107"/>
      <c r="DI469" s="107"/>
      <c r="DJ469" s="107"/>
      <c r="DK469" s="107"/>
      <c r="DL469" s="107"/>
      <c r="DM469" s="107"/>
      <c r="DN469" s="69"/>
      <c r="DO469" s="69"/>
    </row>
    <row r="470" spans="20:119" s="68" customFormat="1">
      <c r="T470" s="37"/>
      <c r="U470" s="249"/>
      <c r="V470" s="249"/>
      <c r="W470" s="248"/>
      <c r="X470" s="37"/>
      <c r="CT470" s="70"/>
      <c r="CU470" s="161"/>
      <c r="CV470" s="161"/>
      <c r="CW470" s="383"/>
      <c r="CX470" s="884"/>
      <c r="CY470" s="884"/>
      <c r="CZ470" s="834"/>
      <c r="DA470" s="107"/>
      <c r="DB470" s="107"/>
      <c r="DC470" s="107"/>
      <c r="DD470" s="107"/>
      <c r="DE470" s="107"/>
      <c r="DF470" s="107"/>
      <c r="DG470" s="107"/>
      <c r="DH470" s="107"/>
      <c r="DI470" s="107"/>
      <c r="DJ470" s="107"/>
      <c r="DK470" s="107"/>
      <c r="DL470" s="107"/>
      <c r="DM470" s="107"/>
      <c r="DN470" s="69"/>
      <c r="DO470" s="69"/>
    </row>
    <row r="471" spans="20:119" s="68" customFormat="1">
      <c r="T471" s="37"/>
      <c r="U471" s="249"/>
      <c r="V471" s="249"/>
      <c r="W471" s="248"/>
      <c r="X471" s="37"/>
      <c r="CT471" s="70"/>
      <c r="CU471" s="161"/>
      <c r="CV471" s="161"/>
      <c r="CW471" s="383"/>
      <c r="CX471" s="884"/>
      <c r="CY471" s="884"/>
      <c r="CZ471" s="834"/>
      <c r="DA471" s="107"/>
      <c r="DB471" s="107"/>
      <c r="DC471" s="107"/>
      <c r="DD471" s="107"/>
      <c r="DE471" s="107"/>
      <c r="DF471" s="107"/>
      <c r="DG471" s="107"/>
      <c r="DH471" s="107"/>
      <c r="DI471" s="107"/>
      <c r="DJ471" s="107"/>
      <c r="DK471" s="107"/>
      <c r="DL471" s="107"/>
      <c r="DM471" s="107"/>
      <c r="DN471" s="69"/>
      <c r="DO471" s="69"/>
    </row>
    <row r="472" spans="20:119" s="68" customFormat="1">
      <c r="T472" s="37"/>
      <c r="U472" s="249"/>
      <c r="V472" s="249"/>
      <c r="W472" s="248"/>
      <c r="X472" s="37"/>
      <c r="CT472" s="70"/>
      <c r="CU472" s="161"/>
      <c r="CV472" s="161"/>
      <c r="CW472" s="383"/>
      <c r="CX472" s="884"/>
      <c r="CY472" s="884"/>
      <c r="CZ472" s="834"/>
      <c r="DA472" s="107"/>
      <c r="DB472" s="107"/>
      <c r="DC472" s="107"/>
      <c r="DD472" s="107"/>
      <c r="DE472" s="107"/>
      <c r="DF472" s="107"/>
      <c r="DG472" s="107"/>
      <c r="DH472" s="107"/>
      <c r="DI472" s="107"/>
      <c r="DJ472" s="107"/>
      <c r="DK472" s="107"/>
      <c r="DL472" s="107"/>
      <c r="DM472" s="107"/>
      <c r="DN472" s="69"/>
      <c r="DO472" s="69"/>
    </row>
    <row r="473" spans="20:119" s="68" customFormat="1">
      <c r="T473" s="37"/>
      <c r="U473" s="249"/>
      <c r="V473" s="249"/>
      <c r="W473" s="248"/>
      <c r="X473" s="37"/>
      <c r="CT473" s="70"/>
      <c r="CU473" s="161"/>
      <c r="CV473" s="161"/>
      <c r="CW473" s="383"/>
      <c r="CX473" s="884"/>
      <c r="CY473" s="884"/>
      <c r="CZ473" s="834"/>
      <c r="DA473" s="107"/>
      <c r="DB473" s="107"/>
      <c r="DC473" s="107"/>
      <c r="DD473" s="107"/>
      <c r="DE473" s="107"/>
      <c r="DF473" s="107"/>
      <c r="DG473" s="107"/>
      <c r="DH473" s="107"/>
      <c r="DI473" s="107"/>
      <c r="DJ473" s="107"/>
      <c r="DK473" s="107"/>
      <c r="DL473" s="107"/>
      <c r="DM473" s="107"/>
      <c r="DN473" s="69"/>
      <c r="DO473" s="69"/>
    </row>
    <row r="474" spans="20:119" s="68" customFormat="1">
      <c r="T474" s="37"/>
      <c r="U474" s="249"/>
      <c r="V474" s="249"/>
      <c r="W474" s="248"/>
      <c r="X474" s="37"/>
      <c r="CT474" s="70"/>
      <c r="CU474" s="161"/>
      <c r="CV474" s="161"/>
      <c r="CW474" s="383"/>
      <c r="CX474" s="884"/>
      <c r="CY474" s="884"/>
      <c r="CZ474" s="834"/>
      <c r="DA474" s="107"/>
      <c r="DB474" s="107"/>
      <c r="DC474" s="107"/>
      <c r="DD474" s="107"/>
      <c r="DE474" s="107"/>
      <c r="DF474" s="107"/>
      <c r="DG474" s="107"/>
      <c r="DH474" s="107"/>
      <c r="DI474" s="107"/>
      <c r="DJ474" s="107"/>
      <c r="DK474" s="107"/>
      <c r="DL474" s="107"/>
      <c r="DM474" s="107"/>
      <c r="DN474" s="69"/>
      <c r="DO474" s="69"/>
    </row>
    <row r="475" spans="20:119" s="68" customFormat="1">
      <c r="T475" s="37"/>
      <c r="U475" s="249"/>
      <c r="V475" s="249"/>
      <c r="W475" s="248"/>
      <c r="X475" s="37"/>
      <c r="CT475" s="70"/>
      <c r="CU475" s="161"/>
      <c r="CV475" s="161"/>
      <c r="CW475" s="383"/>
      <c r="CX475" s="884"/>
      <c r="CY475" s="884"/>
      <c r="CZ475" s="834"/>
      <c r="DA475" s="107"/>
      <c r="DB475" s="107"/>
      <c r="DC475" s="107"/>
      <c r="DD475" s="107"/>
      <c r="DE475" s="107"/>
      <c r="DF475" s="107"/>
      <c r="DG475" s="107"/>
      <c r="DH475" s="107"/>
      <c r="DI475" s="107"/>
      <c r="DJ475" s="107"/>
      <c r="DK475" s="107"/>
      <c r="DL475" s="107"/>
      <c r="DM475" s="107"/>
      <c r="DN475" s="69"/>
      <c r="DO475" s="69"/>
    </row>
    <row r="476" spans="20:119" s="68" customFormat="1">
      <c r="T476" s="37"/>
      <c r="U476" s="249"/>
      <c r="V476" s="249"/>
      <c r="W476" s="248"/>
      <c r="X476" s="37"/>
      <c r="CT476" s="70"/>
      <c r="CU476" s="161"/>
      <c r="CV476" s="161"/>
      <c r="CW476" s="383"/>
      <c r="CX476" s="884"/>
      <c r="CY476" s="884"/>
      <c r="CZ476" s="834"/>
      <c r="DA476" s="107"/>
      <c r="DB476" s="107"/>
      <c r="DC476" s="107"/>
      <c r="DD476" s="107"/>
      <c r="DE476" s="107"/>
      <c r="DF476" s="107"/>
      <c r="DG476" s="107"/>
      <c r="DH476" s="107"/>
      <c r="DI476" s="107"/>
      <c r="DJ476" s="107"/>
      <c r="DK476" s="107"/>
      <c r="DL476" s="107"/>
      <c r="DM476" s="107"/>
      <c r="DN476" s="69"/>
      <c r="DO476" s="69"/>
    </row>
    <row r="477" spans="20:119" s="68" customFormat="1">
      <c r="T477" s="37"/>
      <c r="U477" s="249"/>
      <c r="V477" s="249"/>
      <c r="W477" s="248"/>
      <c r="X477" s="37"/>
      <c r="CT477" s="70"/>
      <c r="CU477" s="161"/>
      <c r="CV477" s="161"/>
      <c r="CW477" s="383"/>
      <c r="CX477" s="884"/>
      <c r="CY477" s="884"/>
      <c r="CZ477" s="834"/>
      <c r="DA477" s="107"/>
      <c r="DB477" s="107"/>
      <c r="DC477" s="107"/>
      <c r="DD477" s="107"/>
      <c r="DE477" s="107"/>
      <c r="DF477" s="107"/>
      <c r="DG477" s="107"/>
      <c r="DH477" s="107"/>
      <c r="DI477" s="107"/>
      <c r="DJ477" s="107"/>
      <c r="DK477" s="107"/>
      <c r="DL477" s="107"/>
      <c r="DM477" s="107"/>
      <c r="DN477" s="69"/>
      <c r="DO477" s="69"/>
    </row>
    <row r="478" spans="20:119" s="68" customFormat="1">
      <c r="T478" s="37"/>
      <c r="U478" s="249"/>
      <c r="V478" s="249"/>
      <c r="W478" s="248"/>
      <c r="X478" s="37"/>
      <c r="CT478" s="70"/>
      <c r="CU478" s="161"/>
      <c r="CV478" s="161"/>
      <c r="CW478" s="383"/>
      <c r="CX478" s="884"/>
      <c r="CY478" s="884"/>
      <c r="CZ478" s="834"/>
      <c r="DA478" s="107"/>
      <c r="DB478" s="107"/>
      <c r="DC478" s="107"/>
      <c r="DD478" s="107"/>
      <c r="DE478" s="107"/>
      <c r="DF478" s="107"/>
      <c r="DG478" s="107"/>
      <c r="DH478" s="107"/>
      <c r="DI478" s="107"/>
      <c r="DJ478" s="107"/>
      <c r="DK478" s="107"/>
      <c r="DL478" s="107"/>
      <c r="DM478" s="107"/>
      <c r="DN478" s="69"/>
      <c r="DO478" s="69"/>
    </row>
    <row r="479" spans="20:119" s="68" customFormat="1">
      <c r="T479" s="37"/>
      <c r="U479" s="249"/>
      <c r="V479" s="249"/>
      <c r="W479" s="248"/>
      <c r="X479" s="37"/>
      <c r="CT479" s="70"/>
      <c r="CU479" s="161"/>
      <c r="CV479" s="161"/>
      <c r="CW479" s="383"/>
      <c r="CX479" s="884"/>
      <c r="CY479" s="884"/>
      <c r="CZ479" s="834"/>
      <c r="DA479" s="107"/>
      <c r="DB479" s="107"/>
      <c r="DC479" s="107"/>
      <c r="DD479" s="107"/>
      <c r="DE479" s="107"/>
      <c r="DF479" s="107"/>
      <c r="DG479" s="107"/>
      <c r="DH479" s="107"/>
      <c r="DI479" s="107"/>
      <c r="DJ479" s="107"/>
      <c r="DK479" s="107"/>
      <c r="DL479" s="107"/>
      <c r="DM479" s="107"/>
      <c r="DN479" s="69"/>
      <c r="DO479" s="69"/>
    </row>
    <row r="480" spans="20:119" s="68" customFormat="1">
      <c r="T480" s="37"/>
      <c r="U480" s="249"/>
      <c r="V480" s="249"/>
      <c r="W480" s="248"/>
      <c r="X480" s="37"/>
      <c r="CT480" s="70"/>
      <c r="CU480" s="161"/>
      <c r="CV480" s="161"/>
      <c r="CW480" s="383"/>
      <c r="CX480" s="884"/>
      <c r="CY480" s="884"/>
      <c r="CZ480" s="834"/>
      <c r="DA480" s="107"/>
      <c r="DB480" s="107"/>
      <c r="DC480" s="107"/>
      <c r="DD480" s="107"/>
      <c r="DE480" s="107"/>
      <c r="DF480" s="107"/>
      <c r="DG480" s="107"/>
      <c r="DH480" s="107"/>
      <c r="DI480" s="107"/>
      <c r="DJ480" s="107"/>
      <c r="DK480" s="107"/>
      <c r="DL480" s="107"/>
      <c r="DM480" s="107"/>
      <c r="DN480" s="69"/>
      <c r="DO480" s="69"/>
    </row>
    <row r="481" spans="20:119" s="68" customFormat="1">
      <c r="T481" s="37"/>
      <c r="U481" s="249"/>
      <c r="V481" s="249"/>
      <c r="W481" s="248"/>
      <c r="X481" s="37"/>
      <c r="CT481" s="70"/>
      <c r="CU481" s="161"/>
      <c r="CV481" s="161"/>
      <c r="CW481" s="383"/>
      <c r="CX481" s="884"/>
      <c r="CY481" s="884"/>
      <c r="CZ481" s="834"/>
      <c r="DA481" s="107"/>
      <c r="DB481" s="107"/>
      <c r="DC481" s="107"/>
      <c r="DD481" s="107"/>
      <c r="DE481" s="107"/>
      <c r="DF481" s="107"/>
      <c r="DG481" s="107"/>
      <c r="DH481" s="107"/>
      <c r="DI481" s="107"/>
      <c r="DJ481" s="107"/>
      <c r="DK481" s="107"/>
      <c r="DL481" s="107"/>
      <c r="DM481" s="107"/>
      <c r="DN481" s="69"/>
      <c r="DO481" s="69"/>
    </row>
    <row r="482" spans="20:119" s="68" customFormat="1">
      <c r="T482" s="37"/>
      <c r="U482" s="249"/>
      <c r="V482" s="249"/>
      <c r="W482" s="248"/>
      <c r="X482" s="37"/>
      <c r="CT482" s="70"/>
      <c r="CU482" s="161"/>
      <c r="CV482" s="161"/>
      <c r="CW482" s="383"/>
      <c r="CX482" s="884"/>
      <c r="CY482" s="884"/>
      <c r="CZ482" s="834"/>
      <c r="DA482" s="107"/>
      <c r="DB482" s="107"/>
      <c r="DC482" s="107"/>
      <c r="DD482" s="107"/>
      <c r="DE482" s="107"/>
      <c r="DF482" s="107"/>
      <c r="DG482" s="107"/>
      <c r="DH482" s="107"/>
      <c r="DI482" s="107"/>
      <c r="DJ482" s="107"/>
      <c r="DK482" s="107"/>
      <c r="DL482" s="107"/>
      <c r="DM482" s="107"/>
      <c r="DN482" s="69"/>
      <c r="DO482" s="69"/>
    </row>
    <row r="483" spans="20:119" s="68" customFormat="1">
      <c r="T483" s="37"/>
      <c r="U483" s="249"/>
      <c r="V483" s="249"/>
      <c r="W483" s="248"/>
      <c r="X483" s="37"/>
      <c r="CT483" s="70"/>
      <c r="CU483" s="161"/>
      <c r="CV483" s="161"/>
      <c r="CW483" s="383"/>
      <c r="CX483" s="884"/>
      <c r="CY483" s="884"/>
      <c r="CZ483" s="834"/>
      <c r="DA483" s="107"/>
      <c r="DB483" s="107"/>
      <c r="DC483" s="107"/>
      <c r="DD483" s="107"/>
      <c r="DE483" s="107"/>
      <c r="DF483" s="107"/>
      <c r="DG483" s="107"/>
      <c r="DH483" s="107"/>
      <c r="DI483" s="107"/>
      <c r="DJ483" s="107"/>
      <c r="DK483" s="107"/>
      <c r="DL483" s="107"/>
      <c r="DM483" s="107"/>
      <c r="DN483" s="69"/>
      <c r="DO483" s="69"/>
    </row>
    <row r="484" spans="20:119" s="68" customFormat="1">
      <c r="T484" s="37"/>
      <c r="U484" s="249"/>
      <c r="V484" s="249"/>
      <c r="W484" s="248"/>
      <c r="X484" s="37"/>
      <c r="CT484" s="70"/>
      <c r="CU484" s="161"/>
      <c r="CV484" s="161"/>
      <c r="CW484" s="383"/>
      <c r="CX484" s="884"/>
      <c r="CY484" s="884"/>
      <c r="CZ484" s="834"/>
      <c r="DA484" s="107"/>
      <c r="DB484" s="107"/>
      <c r="DC484" s="107"/>
      <c r="DD484" s="107"/>
      <c r="DE484" s="107"/>
      <c r="DF484" s="107"/>
      <c r="DG484" s="107"/>
      <c r="DH484" s="107"/>
      <c r="DI484" s="107"/>
      <c r="DJ484" s="107"/>
      <c r="DK484" s="107"/>
      <c r="DL484" s="107"/>
      <c r="DM484" s="107"/>
      <c r="DN484" s="69"/>
      <c r="DO484" s="69"/>
    </row>
    <row r="485" spans="20:119" s="68" customFormat="1">
      <c r="T485" s="37"/>
      <c r="U485" s="249"/>
      <c r="V485" s="249"/>
      <c r="W485" s="248"/>
      <c r="X485" s="37"/>
      <c r="CT485" s="70"/>
      <c r="CU485" s="161"/>
      <c r="CV485" s="161"/>
      <c r="CW485" s="383"/>
      <c r="CX485" s="884"/>
      <c r="CY485" s="884"/>
      <c r="CZ485" s="834"/>
      <c r="DA485" s="107"/>
      <c r="DB485" s="107"/>
      <c r="DC485" s="107"/>
      <c r="DD485" s="107"/>
      <c r="DE485" s="107"/>
      <c r="DF485" s="107"/>
      <c r="DG485" s="107"/>
      <c r="DH485" s="107"/>
      <c r="DI485" s="107"/>
      <c r="DJ485" s="107"/>
      <c r="DK485" s="107"/>
      <c r="DL485" s="107"/>
      <c r="DM485" s="107"/>
      <c r="DN485" s="69"/>
      <c r="DO485" s="69"/>
    </row>
    <row r="486" spans="20:119" s="68" customFormat="1">
      <c r="T486" s="37"/>
      <c r="U486" s="249"/>
      <c r="V486" s="249"/>
      <c r="W486" s="248"/>
      <c r="X486" s="37"/>
      <c r="CT486" s="70"/>
      <c r="CU486" s="161"/>
      <c r="CV486" s="161"/>
      <c r="CW486" s="383"/>
      <c r="CX486" s="884"/>
      <c r="CY486" s="884"/>
      <c r="CZ486" s="834"/>
      <c r="DA486" s="107"/>
      <c r="DB486" s="107"/>
      <c r="DC486" s="107"/>
      <c r="DD486" s="107"/>
      <c r="DE486" s="107"/>
      <c r="DF486" s="107"/>
      <c r="DG486" s="107"/>
      <c r="DH486" s="107"/>
      <c r="DI486" s="107"/>
      <c r="DJ486" s="107"/>
      <c r="DK486" s="107"/>
      <c r="DL486" s="107"/>
      <c r="DM486" s="107"/>
      <c r="DN486" s="69"/>
      <c r="DO486" s="69"/>
    </row>
    <row r="487" spans="20:119" s="68" customFormat="1">
      <c r="T487" s="37"/>
      <c r="U487" s="249"/>
      <c r="V487" s="249"/>
      <c r="W487" s="248"/>
      <c r="X487" s="37"/>
      <c r="CT487" s="70"/>
      <c r="CU487" s="161"/>
      <c r="CV487" s="161"/>
      <c r="CW487" s="383"/>
      <c r="CX487" s="884"/>
      <c r="CY487" s="884"/>
      <c r="CZ487" s="834"/>
      <c r="DA487" s="107"/>
      <c r="DB487" s="107"/>
      <c r="DC487" s="107"/>
      <c r="DD487" s="107"/>
      <c r="DE487" s="107"/>
      <c r="DF487" s="107"/>
      <c r="DG487" s="107"/>
      <c r="DH487" s="107"/>
      <c r="DI487" s="107"/>
      <c r="DJ487" s="107"/>
      <c r="DK487" s="107"/>
      <c r="DL487" s="107"/>
      <c r="DM487" s="107"/>
      <c r="DN487" s="69"/>
      <c r="DO487" s="69"/>
    </row>
    <row r="488" spans="20:119" s="68" customFormat="1">
      <c r="T488" s="37"/>
      <c r="U488" s="249"/>
      <c r="V488" s="249"/>
      <c r="W488" s="248"/>
      <c r="X488" s="37"/>
      <c r="CT488" s="70"/>
      <c r="CU488" s="161"/>
      <c r="CV488" s="161"/>
      <c r="CW488" s="383"/>
      <c r="CX488" s="884"/>
      <c r="CY488" s="884"/>
      <c r="CZ488" s="834"/>
      <c r="DA488" s="107"/>
      <c r="DB488" s="107"/>
      <c r="DC488" s="107"/>
      <c r="DD488" s="107"/>
      <c r="DE488" s="107"/>
      <c r="DF488" s="107"/>
      <c r="DG488" s="107"/>
      <c r="DH488" s="107"/>
      <c r="DI488" s="107"/>
      <c r="DJ488" s="107"/>
      <c r="DK488" s="107"/>
      <c r="DL488" s="107"/>
      <c r="DM488" s="107"/>
      <c r="DN488" s="69"/>
      <c r="DO488" s="69"/>
    </row>
    <row r="489" spans="20:119" s="68" customFormat="1">
      <c r="T489" s="37"/>
      <c r="U489" s="249"/>
      <c r="V489" s="249"/>
      <c r="W489" s="248"/>
      <c r="X489" s="37"/>
      <c r="CT489" s="70"/>
      <c r="CU489" s="161"/>
      <c r="CV489" s="161"/>
      <c r="CW489" s="383"/>
      <c r="CX489" s="884"/>
      <c r="CY489" s="884"/>
      <c r="CZ489" s="834"/>
      <c r="DA489" s="107"/>
      <c r="DB489" s="107"/>
      <c r="DC489" s="107"/>
      <c r="DD489" s="107"/>
      <c r="DE489" s="107"/>
      <c r="DF489" s="107"/>
      <c r="DG489" s="107"/>
      <c r="DH489" s="107"/>
      <c r="DI489" s="107"/>
      <c r="DJ489" s="107"/>
      <c r="DK489" s="107"/>
      <c r="DL489" s="107"/>
      <c r="DM489" s="107"/>
      <c r="DN489" s="69"/>
      <c r="DO489" s="69"/>
    </row>
    <row r="490" spans="20:119" s="68" customFormat="1">
      <c r="T490" s="37"/>
      <c r="U490" s="249"/>
      <c r="V490" s="249"/>
      <c r="W490" s="248"/>
      <c r="X490" s="37"/>
      <c r="CT490" s="70"/>
      <c r="CU490" s="161"/>
      <c r="CV490" s="161"/>
      <c r="CW490" s="383"/>
      <c r="CX490" s="884"/>
      <c r="CY490" s="884"/>
      <c r="CZ490" s="834"/>
      <c r="DA490" s="107"/>
      <c r="DB490" s="107"/>
      <c r="DC490" s="107"/>
      <c r="DD490" s="107"/>
      <c r="DE490" s="107"/>
      <c r="DF490" s="107"/>
      <c r="DG490" s="107"/>
      <c r="DH490" s="107"/>
      <c r="DI490" s="107"/>
      <c r="DJ490" s="107"/>
      <c r="DK490" s="107"/>
      <c r="DL490" s="107"/>
      <c r="DM490" s="107"/>
      <c r="DN490" s="69"/>
      <c r="DO490" s="69"/>
    </row>
    <row r="491" spans="20:119" s="68" customFormat="1">
      <c r="T491" s="37"/>
      <c r="U491" s="249"/>
      <c r="V491" s="249"/>
      <c r="W491" s="248"/>
      <c r="X491" s="37"/>
      <c r="CT491" s="70"/>
      <c r="CU491" s="161"/>
      <c r="CV491" s="161"/>
      <c r="CW491" s="383"/>
      <c r="CX491" s="884"/>
      <c r="CY491" s="884"/>
      <c r="CZ491" s="834"/>
      <c r="DA491" s="107"/>
      <c r="DB491" s="107"/>
      <c r="DC491" s="107"/>
      <c r="DD491" s="107"/>
      <c r="DE491" s="107"/>
      <c r="DF491" s="107"/>
      <c r="DG491" s="107"/>
      <c r="DH491" s="107"/>
      <c r="DI491" s="107"/>
      <c r="DJ491" s="107"/>
      <c r="DK491" s="107"/>
      <c r="DL491" s="107"/>
      <c r="DM491" s="107"/>
      <c r="DN491" s="69"/>
      <c r="DO491" s="69"/>
    </row>
    <row r="492" spans="20:119" s="68" customFormat="1">
      <c r="T492" s="37"/>
      <c r="U492" s="249"/>
      <c r="V492" s="249"/>
      <c r="W492" s="248"/>
      <c r="X492" s="37"/>
      <c r="CT492" s="70"/>
      <c r="CU492" s="161"/>
      <c r="CV492" s="161"/>
      <c r="CW492" s="383"/>
      <c r="CX492" s="884"/>
      <c r="CY492" s="884"/>
      <c r="CZ492" s="834"/>
      <c r="DA492" s="107"/>
      <c r="DB492" s="107"/>
      <c r="DC492" s="107"/>
      <c r="DD492" s="107"/>
      <c r="DE492" s="107"/>
      <c r="DF492" s="107"/>
      <c r="DG492" s="107"/>
      <c r="DH492" s="107"/>
      <c r="DI492" s="107"/>
      <c r="DJ492" s="107"/>
      <c r="DK492" s="107"/>
      <c r="DL492" s="107"/>
      <c r="DM492" s="107"/>
      <c r="DN492" s="69"/>
      <c r="DO492" s="69"/>
    </row>
    <row r="493" spans="20:119" s="68" customFormat="1">
      <c r="T493" s="37"/>
      <c r="U493" s="249"/>
      <c r="V493" s="249"/>
      <c r="W493" s="248"/>
      <c r="X493" s="37"/>
      <c r="CT493" s="70"/>
      <c r="CU493" s="161"/>
      <c r="CV493" s="161"/>
      <c r="CW493" s="383"/>
      <c r="CX493" s="884"/>
      <c r="CY493" s="884"/>
      <c r="CZ493" s="834"/>
      <c r="DA493" s="107"/>
      <c r="DB493" s="107"/>
      <c r="DC493" s="107"/>
      <c r="DD493" s="107"/>
      <c r="DE493" s="107"/>
      <c r="DF493" s="107"/>
      <c r="DG493" s="107"/>
      <c r="DH493" s="107"/>
      <c r="DI493" s="107"/>
      <c r="DJ493" s="107"/>
      <c r="DK493" s="107"/>
      <c r="DL493" s="107"/>
      <c r="DM493" s="107"/>
      <c r="DN493" s="69"/>
      <c r="DO493" s="69"/>
    </row>
    <row r="494" spans="20:119" s="68" customFormat="1">
      <c r="T494" s="37"/>
      <c r="U494" s="249"/>
      <c r="V494" s="249"/>
      <c r="W494" s="248"/>
      <c r="X494" s="37"/>
      <c r="CT494" s="70"/>
      <c r="CU494" s="161"/>
      <c r="CV494" s="161"/>
      <c r="CW494" s="383"/>
      <c r="CX494" s="884"/>
      <c r="CY494" s="884"/>
      <c r="CZ494" s="834"/>
      <c r="DA494" s="107"/>
      <c r="DB494" s="107"/>
      <c r="DC494" s="107"/>
      <c r="DD494" s="107"/>
      <c r="DE494" s="107"/>
      <c r="DF494" s="107"/>
      <c r="DG494" s="107"/>
      <c r="DH494" s="107"/>
      <c r="DI494" s="107"/>
      <c r="DJ494" s="107"/>
      <c r="DK494" s="107"/>
      <c r="DL494" s="107"/>
      <c r="DM494" s="107"/>
      <c r="DN494" s="69"/>
      <c r="DO494" s="69"/>
    </row>
    <row r="495" spans="20:119" s="68" customFormat="1">
      <c r="T495" s="37"/>
      <c r="U495" s="249"/>
      <c r="V495" s="249"/>
      <c r="W495" s="248"/>
      <c r="X495" s="37"/>
      <c r="CT495" s="70"/>
      <c r="CU495" s="161"/>
      <c r="CV495" s="161"/>
      <c r="CW495" s="383"/>
      <c r="CX495" s="884"/>
      <c r="CY495" s="884"/>
      <c r="CZ495" s="834"/>
      <c r="DA495" s="107"/>
      <c r="DB495" s="107"/>
      <c r="DC495" s="107"/>
      <c r="DD495" s="107"/>
      <c r="DE495" s="107"/>
      <c r="DF495" s="107"/>
      <c r="DG495" s="107"/>
      <c r="DH495" s="107"/>
      <c r="DI495" s="107"/>
      <c r="DJ495" s="107"/>
      <c r="DK495" s="107"/>
      <c r="DL495" s="107"/>
      <c r="DM495" s="107"/>
      <c r="DN495" s="69"/>
      <c r="DO495" s="69"/>
    </row>
    <row r="496" spans="20:119" s="68" customFormat="1">
      <c r="T496" s="37"/>
      <c r="U496" s="249"/>
      <c r="V496" s="249"/>
      <c r="W496" s="248"/>
      <c r="X496" s="37"/>
      <c r="CT496" s="70"/>
      <c r="CU496" s="161"/>
      <c r="CV496" s="161"/>
      <c r="CW496" s="383"/>
      <c r="CX496" s="884"/>
      <c r="CY496" s="884"/>
      <c r="CZ496" s="834"/>
      <c r="DA496" s="107"/>
      <c r="DB496" s="107"/>
      <c r="DC496" s="107"/>
      <c r="DD496" s="107"/>
      <c r="DE496" s="107"/>
      <c r="DF496" s="107"/>
      <c r="DG496" s="107"/>
      <c r="DH496" s="107"/>
      <c r="DI496" s="107"/>
      <c r="DJ496" s="107"/>
      <c r="DK496" s="107"/>
      <c r="DL496" s="107"/>
      <c r="DM496" s="107"/>
      <c r="DN496" s="69"/>
      <c r="DO496" s="69"/>
    </row>
    <row r="497" spans="20:119" s="68" customFormat="1">
      <c r="T497" s="37"/>
      <c r="U497" s="249"/>
      <c r="V497" s="249"/>
      <c r="W497" s="248"/>
      <c r="X497" s="37"/>
      <c r="CT497" s="70"/>
      <c r="CU497" s="161"/>
      <c r="CV497" s="161"/>
      <c r="CW497" s="383"/>
      <c r="CX497" s="884"/>
      <c r="CY497" s="884"/>
      <c r="CZ497" s="834"/>
      <c r="DA497" s="107"/>
      <c r="DB497" s="107"/>
      <c r="DC497" s="107"/>
      <c r="DD497" s="107"/>
      <c r="DE497" s="107"/>
      <c r="DF497" s="107"/>
      <c r="DG497" s="107"/>
      <c r="DH497" s="107"/>
      <c r="DI497" s="107"/>
      <c r="DJ497" s="107"/>
      <c r="DK497" s="107"/>
      <c r="DL497" s="107"/>
      <c r="DM497" s="107"/>
      <c r="DN497" s="69"/>
      <c r="DO497" s="69"/>
    </row>
    <row r="498" spans="20:119" s="68" customFormat="1">
      <c r="T498" s="37"/>
      <c r="U498" s="249"/>
      <c r="V498" s="249"/>
      <c r="W498" s="248"/>
      <c r="X498" s="37"/>
      <c r="CT498" s="70"/>
      <c r="CU498" s="161"/>
      <c r="CV498" s="161"/>
      <c r="CW498" s="383"/>
      <c r="CX498" s="884"/>
      <c r="CY498" s="884"/>
      <c r="CZ498" s="834"/>
      <c r="DA498" s="107"/>
      <c r="DB498" s="107"/>
      <c r="DC498" s="107"/>
      <c r="DD498" s="107"/>
      <c r="DE498" s="107"/>
      <c r="DF498" s="107"/>
      <c r="DG498" s="107"/>
      <c r="DH498" s="107"/>
      <c r="DI498" s="107"/>
      <c r="DJ498" s="107"/>
      <c r="DK498" s="107"/>
      <c r="DL498" s="107"/>
      <c r="DM498" s="107"/>
      <c r="DN498" s="69"/>
      <c r="DO498" s="69"/>
    </row>
    <row r="499" spans="20:119" s="68" customFormat="1">
      <c r="T499" s="37"/>
      <c r="U499" s="249"/>
      <c r="V499" s="249"/>
      <c r="W499" s="248"/>
      <c r="X499" s="37"/>
      <c r="CT499" s="70"/>
      <c r="CU499" s="161"/>
      <c r="CV499" s="161"/>
      <c r="CW499" s="383"/>
      <c r="CX499" s="884"/>
      <c r="CY499" s="884"/>
      <c r="CZ499" s="834"/>
      <c r="DA499" s="107"/>
      <c r="DB499" s="107"/>
      <c r="DC499" s="107"/>
      <c r="DD499" s="107"/>
      <c r="DE499" s="107"/>
      <c r="DF499" s="107"/>
      <c r="DG499" s="107"/>
      <c r="DH499" s="107"/>
      <c r="DI499" s="107"/>
      <c r="DJ499" s="107"/>
      <c r="DK499" s="107"/>
      <c r="DL499" s="107"/>
      <c r="DM499" s="107"/>
      <c r="DN499" s="69"/>
      <c r="DO499" s="69"/>
    </row>
    <row r="500" spans="20:119" s="68" customFormat="1">
      <c r="T500" s="37"/>
      <c r="U500" s="249"/>
      <c r="V500" s="249"/>
      <c r="W500" s="248"/>
      <c r="X500" s="37"/>
      <c r="CT500" s="70"/>
      <c r="CU500" s="161"/>
      <c r="CV500" s="161"/>
      <c r="CW500" s="383"/>
      <c r="CX500" s="884"/>
      <c r="CY500" s="884"/>
      <c r="CZ500" s="834"/>
      <c r="DA500" s="107"/>
      <c r="DB500" s="107"/>
      <c r="DC500" s="107"/>
      <c r="DD500" s="107"/>
      <c r="DE500" s="107"/>
      <c r="DF500" s="107"/>
      <c r="DG500" s="107"/>
      <c r="DH500" s="107"/>
      <c r="DI500" s="107"/>
      <c r="DJ500" s="107"/>
      <c r="DK500" s="107"/>
      <c r="DL500" s="107"/>
      <c r="DM500" s="107"/>
      <c r="DN500" s="69"/>
      <c r="DO500" s="69"/>
    </row>
    <row r="501" spans="20:119" s="68" customFormat="1">
      <c r="T501" s="37"/>
      <c r="U501" s="249"/>
      <c r="V501" s="249"/>
      <c r="W501" s="248"/>
      <c r="X501" s="37"/>
      <c r="CT501" s="70"/>
      <c r="CU501" s="161"/>
      <c r="CV501" s="161"/>
      <c r="CW501" s="383"/>
      <c r="CX501" s="884"/>
      <c r="CY501" s="884"/>
      <c r="CZ501" s="834"/>
      <c r="DA501" s="107"/>
      <c r="DB501" s="107"/>
      <c r="DC501" s="107"/>
      <c r="DD501" s="107"/>
      <c r="DE501" s="107"/>
      <c r="DF501" s="107"/>
      <c r="DG501" s="107"/>
      <c r="DH501" s="107"/>
      <c r="DI501" s="107"/>
      <c r="DJ501" s="107"/>
      <c r="DK501" s="107"/>
      <c r="DL501" s="107"/>
      <c r="DM501" s="107"/>
      <c r="DN501" s="69"/>
      <c r="DO501" s="69"/>
    </row>
    <row r="502" spans="20:119" s="68" customFormat="1">
      <c r="T502" s="37"/>
      <c r="U502" s="249"/>
      <c r="V502" s="249"/>
      <c r="W502" s="248"/>
      <c r="X502" s="37"/>
      <c r="CT502" s="70"/>
      <c r="CU502" s="161"/>
      <c r="CV502" s="161"/>
      <c r="CW502" s="383"/>
      <c r="CX502" s="884"/>
      <c r="CY502" s="884"/>
      <c r="CZ502" s="834"/>
      <c r="DA502" s="107"/>
      <c r="DB502" s="107"/>
      <c r="DC502" s="107"/>
      <c r="DD502" s="107"/>
      <c r="DE502" s="107"/>
      <c r="DF502" s="107"/>
      <c r="DG502" s="107"/>
      <c r="DH502" s="107"/>
      <c r="DI502" s="107"/>
      <c r="DJ502" s="107"/>
      <c r="DK502" s="107"/>
      <c r="DL502" s="107"/>
      <c r="DM502" s="107"/>
      <c r="DN502" s="69"/>
      <c r="DO502" s="69"/>
    </row>
    <row r="503" spans="20:119" s="68" customFormat="1">
      <c r="T503" s="37"/>
      <c r="U503" s="249"/>
      <c r="V503" s="249"/>
      <c r="W503" s="248"/>
      <c r="X503" s="37"/>
      <c r="CT503" s="70"/>
      <c r="CU503" s="161"/>
      <c r="CV503" s="161"/>
      <c r="CW503" s="383"/>
      <c r="CX503" s="884"/>
      <c r="CY503" s="884"/>
      <c r="CZ503" s="834"/>
      <c r="DA503" s="107"/>
      <c r="DB503" s="107"/>
      <c r="DC503" s="107"/>
      <c r="DD503" s="107"/>
      <c r="DE503" s="107"/>
      <c r="DF503" s="107"/>
      <c r="DG503" s="107"/>
      <c r="DH503" s="107"/>
      <c r="DI503" s="107"/>
      <c r="DJ503" s="107"/>
      <c r="DK503" s="107"/>
      <c r="DL503" s="107"/>
      <c r="DM503" s="107"/>
      <c r="DN503" s="69"/>
      <c r="DO503" s="69"/>
    </row>
    <row r="504" spans="20:119" s="68" customFormat="1">
      <c r="T504" s="37"/>
      <c r="U504" s="249"/>
      <c r="V504" s="249"/>
      <c r="W504" s="248"/>
      <c r="X504" s="37"/>
      <c r="CT504" s="70"/>
      <c r="CU504" s="161"/>
      <c r="CV504" s="161"/>
      <c r="CW504" s="383"/>
      <c r="CX504" s="884"/>
      <c r="CY504" s="884"/>
      <c r="CZ504" s="834"/>
      <c r="DA504" s="107"/>
      <c r="DB504" s="107"/>
      <c r="DC504" s="107"/>
      <c r="DD504" s="107"/>
      <c r="DE504" s="107"/>
      <c r="DF504" s="107"/>
      <c r="DG504" s="107"/>
      <c r="DH504" s="107"/>
      <c r="DI504" s="107"/>
      <c r="DJ504" s="107"/>
      <c r="DK504" s="107"/>
      <c r="DL504" s="107"/>
      <c r="DM504" s="107"/>
      <c r="DN504" s="69"/>
      <c r="DO504" s="69"/>
    </row>
    <row r="505" spans="20:119" s="68" customFormat="1">
      <c r="T505" s="37"/>
      <c r="U505" s="249"/>
      <c r="V505" s="249"/>
      <c r="W505" s="248"/>
      <c r="X505" s="37"/>
      <c r="CT505" s="70"/>
      <c r="CU505" s="161"/>
      <c r="CV505" s="161"/>
      <c r="CW505" s="383"/>
      <c r="CX505" s="884"/>
      <c r="CY505" s="884"/>
      <c r="CZ505" s="834"/>
      <c r="DA505" s="107"/>
      <c r="DB505" s="107"/>
      <c r="DC505" s="107"/>
      <c r="DD505" s="107"/>
      <c r="DE505" s="107"/>
      <c r="DF505" s="107"/>
      <c r="DG505" s="107"/>
      <c r="DH505" s="107"/>
      <c r="DI505" s="107"/>
      <c r="DJ505" s="107"/>
      <c r="DK505" s="107"/>
      <c r="DL505" s="107"/>
      <c r="DM505" s="107"/>
      <c r="DN505" s="69"/>
      <c r="DO505" s="69"/>
    </row>
    <row r="506" spans="20:119" s="68" customFormat="1">
      <c r="T506" s="37"/>
      <c r="U506" s="249"/>
      <c r="V506" s="249"/>
      <c r="W506" s="248"/>
      <c r="X506" s="37"/>
      <c r="CT506" s="70"/>
      <c r="CU506" s="161"/>
      <c r="CV506" s="161"/>
      <c r="CW506" s="383"/>
      <c r="CX506" s="884"/>
      <c r="CY506" s="884"/>
      <c r="CZ506" s="834"/>
      <c r="DA506" s="107"/>
      <c r="DB506" s="107"/>
      <c r="DC506" s="107"/>
      <c r="DD506" s="107"/>
      <c r="DE506" s="107"/>
      <c r="DF506" s="107"/>
      <c r="DG506" s="107"/>
      <c r="DH506" s="107"/>
      <c r="DI506" s="107"/>
      <c r="DJ506" s="107"/>
      <c r="DK506" s="107"/>
      <c r="DL506" s="107"/>
      <c r="DM506" s="107"/>
      <c r="DN506" s="69"/>
      <c r="DO506" s="69"/>
    </row>
    <row r="507" spans="20:119" s="68" customFormat="1">
      <c r="T507" s="37"/>
      <c r="U507" s="249"/>
      <c r="V507" s="249"/>
      <c r="W507" s="248"/>
      <c r="X507" s="37"/>
      <c r="CT507" s="70"/>
      <c r="CU507" s="161"/>
      <c r="CV507" s="161"/>
      <c r="CW507" s="383"/>
      <c r="CX507" s="884"/>
      <c r="CY507" s="884"/>
      <c r="CZ507" s="834"/>
      <c r="DA507" s="107"/>
      <c r="DB507" s="107"/>
      <c r="DC507" s="107"/>
      <c r="DD507" s="107"/>
      <c r="DE507" s="107"/>
      <c r="DF507" s="107"/>
      <c r="DG507" s="107"/>
      <c r="DH507" s="107"/>
      <c r="DI507" s="107"/>
      <c r="DJ507" s="107"/>
      <c r="DK507" s="107"/>
      <c r="DL507" s="107"/>
      <c r="DM507" s="107"/>
      <c r="DN507" s="69"/>
      <c r="DO507" s="69"/>
    </row>
    <row r="508" spans="20:119" s="68" customFormat="1">
      <c r="T508" s="37"/>
      <c r="U508" s="249"/>
      <c r="V508" s="249"/>
      <c r="W508" s="248"/>
      <c r="X508" s="37"/>
      <c r="CT508" s="70"/>
      <c r="CU508" s="161"/>
      <c r="CV508" s="161"/>
      <c r="CW508" s="383"/>
      <c r="CX508" s="884"/>
      <c r="CY508" s="884"/>
      <c r="CZ508" s="834"/>
      <c r="DA508" s="107"/>
      <c r="DB508" s="107"/>
      <c r="DC508" s="107"/>
      <c r="DD508" s="107"/>
      <c r="DE508" s="107"/>
      <c r="DF508" s="107"/>
      <c r="DG508" s="107"/>
      <c r="DH508" s="107"/>
      <c r="DI508" s="107"/>
      <c r="DJ508" s="107"/>
      <c r="DK508" s="107"/>
      <c r="DL508" s="107"/>
      <c r="DM508" s="107"/>
      <c r="DN508" s="69"/>
      <c r="DO508" s="69"/>
    </row>
    <row r="509" spans="20:119" s="68" customFormat="1">
      <c r="T509" s="37"/>
      <c r="U509" s="249"/>
      <c r="V509" s="249"/>
      <c r="W509" s="248"/>
      <c r="X509" s="37"/>
      <c r="CT509" s="70"/>
      <c r="CU509" s="161"/>
      <c r="CV509" s="161"/>
      <c r="CW509" s="383"/>
      <c r="CX509" s="884"/>
      <c r="CY509" s="884"/>
      <c r="CZ509" s="834"/>
      <c r="DA509" s="107"/>
      <c r="DB509" s="107"/>
      <c r="DC509" s="107"/>
      <c r="DD509" s="107"/>
      <c r="DE509" s="107"/>
      <c r="DF509" s="107"/>
      <c r="DG509" s="107"/>
      <c r="DH509" s="107"/>
      <c r="DI509" s="107"/>
      <c r="DJ509" s="107"/>
      <c r="DK509" s="107"/>
      <c r="DL509" s="107"/>
      <c r="DM509" s="107"/>
      <c r="DN509" s="69"/>
      <c r="DO509" s="69"/>
    </row>
    <row r="510" spans="20:119" s="68" customFormat="1">
      <c r="T510" s="37"/>
      <c r="U510" s="249"/>
      <c r="V510" s="249"/>
      <c r="W510" s="248"/>
      <c r="X510" s="37"/>
      <c r="CT510" s="70"/>
      <c r="CU510" s="161"/>
      <c r="CV510" s="161"/>
      <c r="CW510" s="383"/>
      <c r="CX510" s="884"/>
      <c r="CY510" s="884"/>
      <c r="CZ510" s="834"/>
      <c r="DA510" s="107"/>
      <c r="DB510" s="107"/>
      <c r="DC510" s="107"/>
      <c r="DD510" s="107"/>
      <c r="DE510" s="107"/>
      <c r="DF510" s="107"/>
      <c r="DG510" s="107"/>
      <c r="DH510" s="107"/>
      <c r="DI510" s="107"/>
      <c r="DJ510" s="107"/>
      <c r="DK510" s="107"/>
      <c r="DL510" s="107"/>
      <c r="DM510" s="107"/>
      <c r="DN510" s="69"/>
      <c r="DO510" s="69"/>
    </row>
    <row r="511" spans="20:119" s="68" customFormat="1">
      <c r="T511" s="37"/>
      <c r="U511" s="249"/>
      <c r="V511" s="249"/>
      <c r="W511" s="248"/>
      <c r="X511" s="37"/>
      <c r="CT511" s="70"/>
      <c r="CU511" s="161"/>
      <c r="CV511" s="161"/>
      <c r="CW511" s="383"/>
      <c r="CX511" s="884"/>
      <c r="CY511" s="884"/>
      <c r="CZ511" s="834"/>
      <c r="DA511" s="107"/>
      <c r="DB511" s="107"/>
      <c r="DC511" s="107"/>
      <c r="DD511" s="107"/>
      <c r="DE511" s="107"/>
      <c r="DF511" s="107"/>
      <c r="DG511" s="107"/>
      <c r="DH511" s="107"/>
      <c r="DI511" s="107"/>
      <c r="DJ511" s="107"/>
      <c r="DK511" s="107"/>
      <c r="DL511" s="107"/>
      <c r="DM511" s="107"/>
      <c r="DN511" s="69"/>
      <c r="DO511" s="69"/>
    </row>
    <row r="512" spans="20:119" s="68" customFormat="1">
      <c r="T512" s="37"/>
      <c r="U512" s="249"/>
      <c r="V512" s="249"/>
      <c r="W512" s="248"/>
      <c r="X512" s="37"/>
      <c r="CT512" s="70"/>
      <c r="CU512" s="161"/>
      <c r="CV512" s="161"/>
      <c r="CW512" s="383"/>
      <c r="CX512" s="884"/>
      <c r="CY512" s="884"/>
      <c r="CZ512" s="834"/>
      <c r="DA512" s="107"/>
      <c r="DB512" s="107"/>
      <c r="DC512" s="107"/>
      <c r="DD512" s="107"/>
      <c r="DE512" s="107"/>
      <c r="DF512" s="107"/>
      <c r="DG512" s="107"/>
      <c r="DH512" s="107"/>
      <c r="DI512" s="107"/>
      <c r="DJ512" s="107"/>
      <c r="DK512" s="107"/>
      <c r="DL512" s="107"/>
      <c r="DM512" s="107"/>
      <c r="DN512" s="69"/>
      <c r="DO512" s="69"/>
    </row>
    <row r="513" spans="20:119" s="68" customFormat="1">
      <c r="T513" s="37"/>
      <c r="U513" s="249"/>
      <c r="V513" s="249"/>
      <c r="W513" s="248"/>
      <c r="X513" s="37"/>
      <c r="CT513" s="70"/>
      <c r="CU513" s="161"/>
      <c r="CV513" s="161"/>
      <c r="CW513" s="383"/>
      <c r="CX513" s="884"/>
      <c r="CY513" s="884"/>
      <c r="CZ513" s="834"/>
      <c r="DA513" s="107"/>
      <c r="DB513" s="107"/>
      <c r="DC513" s="107"/>
      <c r="DD513" s="107"/>
      <c r="DE513" s="107"/>
      <c r="DF513" s="107"/>
      <c r="DG513" s="107"/>
      <c r="DH513" s="107"/>
      <c r="DI513" s="107"/>
      <c r="DJ513" s="107"/>
      <c r="DK513" s="107"/>
      <c r="DL513" s="107"/>
      <c r="DM513" s="107"/>
      <c r="DN513" s="69"/>
      <c r="DO513" s="69"/>
    </row>
    <row r="514" spans="20:119" s="68" customFormat="1">
      <c r="T514" s="37"/>
      <c r="U514" s="249"/>
      <c r="V514" s="249"/>
      <c r="W514" s="248"/>
      <c r="X514" s="37"/>
      <c r="CT514" s="70"/>
      <c r="CU514" s="161"/>
      <c r="CV514" s="161"/>
      <c r="CW514" s="383"/>
      <c r="CX514" s="884"/>
      <c r="CY514" s="884"/>
      <c r="CZ514" s="834"/>
      <c r="DA514" s="107"/>
      <c r="DB514" s="107"/>
      <c r="DC514" s="107"/>
      <c r="DD514" s="107"/>
      <c r="DE514" s="107"/>
      <c r="DF514" s="107"/>
      <c r="DG514" s="107"/>
      <c r="DH514" s="107"/>
      <c r="DI514" s="107"/>
      <c r="DJ514" s="107"/>
      <c r="DK514" s="107"/>
      <c r="DL514" s="107"/>
      <c r="DM514" s="107"/>
      <c r="DN514" s="69"/>
      <c r="DO514" s="69"/>
    </row>
    <row r="515" spans="20:119" s="68" customFormat="1">
      <c r="T515" s="37"/>
      <c r="U515" s="249"/>
      <c r="V515" s="249"/>
      <c r="W515" s="248"/>
      <c r="X515" s="37"/>
      <c r="CT515" s="70"/>
      <c r="CU515" s="161"/>
      <c r="CV515" s="161"/>
      <c r="CW515" s="383"/>
      <c r="CX515" s="884"/>
      <c r="CY515" s="884"/>
      <c r="CZ515" s="834"/>
      <c r="DA515" s="107"/>
      <c r="DB515" s="107"/>
      <c r="DC515" s="107"/>
      <c r="DD515" s="107"/>
      <c r="DE515" s="107"/>
      <c r="DF515" s="107"/>
      <c r="DG515" s="107"/>
      <c r="DH515" s="107"/>
      <c r="DI515" s="107"/>
      <c r="DJ515" s="107"/>
      <c r="DK515" s="107"/>
      <c r="DL515" s="107"/>
      <c r="DM515" s="107"/>
      <c r="DN515" s="69"/>
      <c r="DO515" s="69"/>
    </row>
    <row r="516" spans="20:119" s="68" customFormat="1">
      <c r="T516" s="37"/>
      <c r="U516" s="249"/>
      <c r="V516" s="249"/>
      <c r="W516" s="248"/>
      <c r="X516" s="37"/>
      <c r="CT516" s="70"/>
      <c r="CU516" s="161"/>
      <c r="CV516" s="161"/>
      <c r="CW516" s="383"/>
      <c r="CX516" s="884"/>
      <c r="CY516" s="884"/>
      <c r="CZ516" s="834"/>
      <c r="DA516" s="107"/>
      <c r="DB516" s="107"/>
      <c r="DC516" s="107"/>
      <c r="DD516" s="107"/>
      <c r="DE516" s="107"/>
      <c r="DF516" s="107"/>
      <c r="DG516" s="107"/>
      <c r="DH516" s="107"/>
      <c r="DI516" s="107"/>
      <c r="DJ516" s="107"/>
      <c r="DK516" s="107"/>
      <c r="DL516" s="107"/>
      <c r="DM516" s="107"/>
      <c r="DN516" s="69"/>
      <c r="DO516" s="69"/>
    </row>
    <row r="517" spans="20:119" s="68" customFormat="1">
      <c r="T517" s="37"/>
      <c r="U517" s="249"/>
      <c r="V517" s="249"/>
      <c r="W517" s="248"/>
      <c r="X517" s="37"/>
      <c r="CT517" s="70"/>
      <c r="CU517" s="161"/>
      <c r="CV517" s="161"/>
      <c r="CW517" s="383"/>
      <c r="CX517" s="884"/>
      <c r="CY517" s="884"/>
      <c r="CZ517" s="834"/>
      <c r="DA517" s="107"/>
      <c r="DB517" s="107"/>
      <c r="DC517" s="107"/>
      <c r="DD517" s="107"/>
      <c r="DE517" s="107"/>
      <c r="DF517" s="107"/>
      <c r="DG517" s="107"/>
      <c r="DH517" s="107"/>
      <c r="DI517" s="107"/>
      <c r="DJ517" s="107"/>
      <c r="DK517" s="107"/>
      <c r="DL517" s="107"/>
      <c r="DM517" s="107"/>
      <c r="DN517" s="69"/>
      <c r="DO517" s="69"/>
    </row>
    <row r="518" spans="20:119" s="68" customFormat="1">
      <c r="T518" s="37"/>
      <c r="U518" s="249"/>
      <c r="V518" s="249"/>
      <c r="W518" s="248"/>
      <c r="X518" s="37"/>
      <c r="CT518" s="70"/>
      <c r="CU518" s="161"/>
      <c r="CV518" s="161"/>
      <c r="CW518" s="383"/>
      <c r="CX518" s="884"/>
      <c r="CY518" s="884"/>
      <c r="CZ518" s="834"/>
      <c r="DA518" s="107"/>
      <c r="DB518" s="107"/>
      <c r="DC518" s="107"/>
      <c r="DD518" s="107"/>
      <c r="DE518" s="107"/>
      <c r="DF518" s="107"/>
      <c r="DG518" s="107"/>
      <c r="DH518" s="107"/>
      <c r="DI518" s="107"/>
      <c r="DJ518" s="107"/>
      <c r="DK518" s="107"/>
      <c r="DL518" s="107"/>
      <c r="DM518" s="107"/>
      <c r="DN518" s="69"/>
      <c r="DO518" s="69"/>
    </row>
    <row r="519" spans="20:119" s="68" customFormat="1">
      <c r="T519" s="37"/>
      <c r="U519" s="249"/>
      <c r="V519" s="249"/>
      <c r="W519" s="248"/>
      <c r="X519" s="37"/>
      <c r="CT519" s="70"/>
      <c r="CU519" s="161"/>
      <c r="CV519" s="161"/>
      <c r="CW519" s="383"/>
      <c r="CX519" s="884"/>
      <c r="CY519" s="884"/>
      <c r="CZ519" s="834"/>
      <c r="DA519" s="107"/>
      <c r="DB519" s="107"/>
      <c r="DC519" s="107"/>
      <c r="DD519" s="107"/>
      <c r="DE519" s="107"/>
      <c r="DF519" s="107"/>
      <c r="DG519" s="107"/>
      <c r="DH519" s="107"/>
      <c r="DI519" s="107"/>
      <c r="DJ519" s="107"/>
      <c r="DK519" s="107"/>
      <c r="DL519" s="107"/>
      <c r="DM519" s="107"/>
      <c r="DN519" s="69"/>
      <c r="DO519" s="69"/>
    </row>
    <row r="520" spans="20:119" s="68" customFormat="1">
      <c r="T520" s="37"/>
      <c r="U520" s="249"/>
      <c r="V520" s="249"/>
      <c r="W520" s="248"/>
      <c r="X520" s="37"/>
      <c r="CT520" s="70"/>
      <c r="CU520" s="161"/>
      <c r="CV520" s="161"/>
      <c r="CW520" s="383"/>
      <c r="CX520" s="884"/>
      <c r="CY520" s="884"/>
      <c r="CZ520" s="834"/>
      <c r="DA520" s="107"/>
      <c r="DB520" s="107"/>
      <c r="DC520" s="107"/>
      <c r="DD520" s="107"/>
      <c r="DE520" s="107"/>
      <c r="DF520" s="107"/>
      <c r="DG520" s="107"/>
      <c r="DH520" s="107"/>
      <c r="DI520" s="107"/>
      <c r="DJ520" s="107"/>
      <c r="DK520" s="107"/>
      <c r="DL520" s="107"/>
      <c r="DM520" s="107"/>
      <c r="DN520" s="69"/>
      <c r="DO520" s="69"/>
    </row>
    <row r="521" spans="20:119" s="68" customFormat="1">
      <c r="T521" s="37"/>
      <c r="U521" s="249"/>
      <c r="V521" s="249"/>
      <c r="W521" s="248"/>
      <c r="X521" s="37"/>
      <c r="CT521" s="70"/>
      <c r="CU521" s="161"/>
      <c r="CV521" s="161"/>
      <c r="CW521" s="383"/>
      <c r="CX521" s="884"/>
      <c r="CY521" s="884"/>
      <c r="CZ521" s="834"/>
      <c r="DA521" s="107"/>
      <c r="DB521" s="107"/>
      <c r="DC521" s="107"/>
      <c r="DD521" s="107"/>
      <c r="DE521" s="107"/>
      <c r="DF521" s="107"/>
      <c r="DG521" s="107"/>
      <c r="DH521" s="107"/>
      <c r="DI521" s="107"/>
      <c r="DJ521" s="107"/>
      <c r="DK521" s="107"/>
      <c r="DL521" s="107"/>
      <c r="DM521" s="107"/>
      <c r="DN521" s="69"/>
      <c r="DO521" s="69"/>
    </row>
    <row r="522" spans="20:119" s="68" customFormat="1">
      <c r="T522" s="37"/>
      <c r="U522" s="249"/>
      <c r="V522" s="249"/>
      <c r="W522" s="248"/>
      <c r="X522" s="37"/>
      <c r="CT522" s="70"/>
      <c r="CU522" s="161"/>
      <c r="CV522" s="161"/>
      <c r="CW522" s="383"/>
      <c r="CX522" s="884"/>
      <c r="CY522" s="884"/>
      <c r="CZ522" s="834"/>
      <c r="DA522" s="107"/>
      <c r="DB522" s="107"/>
      <c r="DC522" s="107"/>
      <c r="DD522" s="107"/>
      <c r="DE522" s="107"/>
      <c r="DF522" s="107"/>
      <c r="DG522" s="107"/>
      <c r="DH522" s="107"/>
      <c r="DI522" s="107"/>
      <c r="DJ522" s="107"/>
      <c r="DK522" s="107"/>
      <c r="DL522" s="107"/>
      <c r="DM522" s="107"/>
      <c r="DN522" s="69"/>
      <c r="DO522" s="69"/>
    </row>
    <row r="523" spans="20:119" s="68" customFormat="1">
      <c r="T523" s="37"/>
      <c r="U523" s="249"/>
      <c r="V523" s="249"/>
      <c r="W523" s="248"/>
      <c r="X523" s="37"/>
      <c r="CT523" s="70"/>
      <c r="CU523" s="161"/>
      <c r="CV523" s="161"/>
      <c r="CW523" s="383"/>
      <c r="CX523" s="884"/>
      <c r="CY523" s="884"/>
      <c r="CZ523" s="834"/>
      <c r="DA523" s="107"/>
      <c r="DB523" s="107"/>
      <c r="DC523" s="107"/>
      <c r="DD523" s="107"/>
      <c r="DE523" s="107"/>
      <c r="DF523" s="107"/>
      <c r="DG523" s="107"/>
      <c r="DH523" s="107"/>
      <c r="DI523" s="107"/>
      <c r="DJ523" s="107"/>
      <c r="DK523" s="107"/>
      <c r="DL523" s="107"/>
      <c r="DM523" s="107"/>
      <c r="DN523" s="69"/>
      <c r="DO523" s="69"/>
    </row>
    <row r="524" spans="20:119" s="68" customFormat="1">
      <c r="T524" s="37"/>
      <c r="U524" s="249"/>
      <c r="V524" s="249"/>
      <c r="W524" s="248"/>
      <c r="X524" s="37"/>
      <c r="CT524" s="70"/>
      <c r="CU524" s="161"/>
      <c r="CV524" s="161"/>
      <c r="CW524" s="383"/>
      <c r="CX524" s="884"/>
      <c r="CY524" s="884"/>
      <c r="CZ524" s="834"/>
      <c r="DA524" s="107"/>
      <c r="DB524" s="107"/>
      <c r="DC524" s="107"/>
      <c r="DD524" s="107"/>
      <c r="DE524" s="107"/>
      <c r="DF524" s="107"/>
      <c r="DG524" s="107"/>
      <c r="DH524" s="107"/>
      <c r="DI524" s="107"/>
      <c r="DJ524" s="107"/>
      <c r="DK524" s="107"/>
      <c r="DL524" s="107"/>
      <c r="DM524" s="107"/>
      <c r="DN524" s="69"/>
      <c r="DO524" s="69"/>
    </row>
    <row r="525" spans="20:119" s="68" customFormat="1">
      <c r="T525" s="37"/>
      <c r="U525" s="249"/>
      <c r="V525" s="249"/>
      <c r="W525" s="248"/>
      <c r="X525" s="37"/>
      <c r="CT525" s="70"/>
      <c r="CU525" s="161"/>
      <c r="CV525" s="161"/>
      <c r="CW525" s="383"/>
      <c r="CX525" s="884"/>
      <c r="CY525" s="884"/>
      <c r="CZ525" s="834"/>
      <c r="DA525" s="107"/>
      <c r="DB525" s="107"/>
      <c r="DC525" s="107"/>
      <c r="DD525" s="107"/>
      <c r="DE525" s="107"/>
      <c r="DF525" s="107"/>
      <c r="DG525" s="107"/>
      <c r="DH525" s="107"/>
      <c r="DI525" s="107"/>
      <c r="DJ525" s="107"/>
      <c r="DK525" s="107"/>
      <c r="DL525" s="107"/>
      <c r="DM525" s="107"/>
      <c r="DN525" s="69"/>
      <c r="DO525" s="69"/>
    </row>
    <row r="526" spans="20:119" s="68" customFormat="1">
      <c r="T526" s="37"/>
      <c r="U526" s="249"/>
      <c r="V526" s="249"/>
      <c r="W526" s="248"/>
      <c r="X526" s="37"/>
      <c r="CT526" s="70"/>
      <c r="CU526" s="161"/>
      <c r="CV526" s="161"/>
      <c r="CW526" s="383"/>
      <c r="CX526" s="884"/>
      <c r="CY526" s="884"/>
      <c r="CZ526" s="834"/>
      <c r="DA526" s="107"/>
      <c r="DB526" s="107"/>
      <c r="DC526" s="107"/>
      <c r="DD526" s="107"/>
      <c r="DE526" s="107"/>
      <c r="DF526" s="107"/>
      <c r="DG526" s="107"/>
      <c r="DH526" s="107"/>
      <c r="DI526" s="107"/>
      <c r="DJ526" s="107"/>
      <c r="DK526" s="107"/>
      <c r="DL526" s="107"/>
      <c r="DM526" s="107"/>
      <c r="DN526" s="69"/>
      <c r="DO526" s="69"/>
    </row>
    <row r="527" spans="20:119" s="68" customFormat="1">
      <c r="T527" s="37"/>
      <c r="U527" s="249"/>
      <c r="V527" s="249"/>
      <c r="W527" s="248"/>
      <c r="X527" s="37"/>
      <c r="CT527" s="70"/>
      <c r="CU527" s="161"/>
      <c r="CV527" s="161"/>
      <c r="CW527" s="383"/>
      <c r="CX527" s="884"/>
      <c r="CY527" s="884"/>
      <c r="CZ527" s="834"/>
      <c r="DA527" s="107"/>
      <c r="DB527" s="107"/>
      <c r="DC527" s="107"/>
      <c r="DD527" s="107"/>
      <c r="DE527" s="107"/>
      <c r="DF527" s="107"/>
      <c r="DG527" s="107"/>
      <c r="DH527" s="107"/>
      <c r="DI527" s="107"/>
      <c r="DJ527" s="107"/>
      <c r="DK527" s="107"/>
      <c r="DL527" s="107"/>
      <c r="DM527" s="107"/>
      <c r="DN527" s="69"/>
      <c r="DO527" s="69"/>
    </row>
    <row r="528" spans="20:119" s="68" customFormat="1">
      <c r="T528" s="37"/>
      <c r="U528" s="249"/>
      <c r="V528" s="249"/>
      <c r="W528" s="248"/>
      <c r="X528" s="37"/>
      <c r="CT528" s="70"/>
      <c r="CU528" s="161"/>
      <c r="CV528" s="161"/>
      <c r="CW528" s="383"/>
      <c r="CX528" s="884"/>
      <c r="CY528" s="884"/>
      <c r="CZ528" s="834"/>
      <c r="DA528" s="107"/>
      <c r="DB528" s="107"/>
      <c r="DC528" s="107"/>
      <c r="DD528" s="107"/>
      <c r="DE528" s="107"/>
      <c r="DF528" s="107"/>
      <c r="DG528" s="107"/>
      <c r="DH528" s="107"/>
      <c r="DI528" s="107"/>
      <c r="DJ528" s="107"/>
      <c r="DK528" s="107"/>
      <c r="DL528" s="107"/>
      <c r="DM528" s="107"/>
      <c r="DN528" s="69"/>
      <c r="DO528" s="69"/>
    </row>
    <row r="529" spans="20:119" s="68" customFormat="1">
      <c r="T529" s="37"/>
      <c r="U529" s="249"/>
      <c r="V529" s="249"/>
      <c r="W529" s="248"/>
      <c r="X529" s="37"/>
      <c r="CT529" s="70"/>
      <c r="CU529" s="161"/>
      <c r="CV529" s="161"/>
      <c r="CW529" s="383"/>
      <c r="CX529" s="884"/>
      <c r="CY529" s="884"/>
      <c r="CZ529" s="834"/>
      <c r="DA529" s="107"/>
      <c r="DB529" s="107"/>
      <c r="DC529" s="107"/>
      <c r="DD529" s="107"/>
      <c r="DE529" s="107"/>
      <c r="DF529" s="107"/>
      <c r="DG529" s="107"/>
      <c r="DH529" s="107"/>
      <c r="DI529" s="107"/>
      <c r="DJ529" s="107"/>
      <c r="DK529" s="107"/>
      <c r="DL529" s="107"/>
      <c r="DM529" s="107"/>
      <c r="DN529" s="69"/>
      <c r="DO529" s="69"/>
    </row>
    <row r="530" spans="20:119" s="68" customFormat="1">
      <c r="T530" s="37"/>
      <c r="U530" s="249"/>
      <c r="V530" s="249"/>
      <c r="W530" s="248"/>
      <c r="X530" s="37"/>
      <c r="CT530" s="70"/>
      <c r="CU530" s="161"/>
      <c r="CV530" s="161"/>
      <c r="CW530" s="383"/>
      <c r="CX530" s="884"/>
      <c r="CY530" s="884"/>
      <c r="CZ530" s="834"/>
      <c r="DA530" s="107"/>
      <c r="DB530" s="107"/>
      <c r="DC530" s="107"/>
      <c r="DD530" s="107"/>
      <c r="DE530" s="107"/>
      <c r="DF530" s="107"/>
      <c r="DG530" s="107"/>
      <c r="DH530" s="107"/>
      <c r="DI530" s="107"/>
      <c r="DJ530" s="107"/>
      <c r="DK530" s="107"/>
      <c r="DL530" s="107"/>
      <c r="DM530" s="107"/>
      <c r="DN530" s="69"/>
      <c r="DO530" s="69"/>
    </row>
    <row r="531" spans="20:119" s="68" customFormat="1">
      <c r="T531" s="37"/>
      <c r="U531" s="249"/>
      <c r="V531" s="249"/>
      <c r="W531" s="248"/>
      <c r="X531" s="37"/>
      <c r="CT531" s="70"/>
      <c r="CU531" s="161"/>
      <c r="CV531" s="161"/>
      <c r="CW531" s="383"/>
      <c r="CX531" s="884"/>
      <c r="CY531" s="884"/>
      <c r="CZ531" s="834"/>
      <c r="DA531" s="107"/>
      <c r="DB531" s="107"/>
      <c r="DC531" s="107"/>
      <c r="DD531" s="107"/>
      <c r="DE531" s="107"/>
      <c r="DF531" s="107"/>
      <c r="DG531" s="107"/>
      <c r="DH531" s="107"/>
      <c r="DI531" s="107"/>
      <c r="DJ531" s="107"/>
      <c r="DK531" s="107"/>
      <c r="DL531" s="107"/>
      <c r="DM531" s="107"/>
      <c r="DN531" s="69"/>
      <c r="DO531" s="69"/>
    </row>
    <row r="532" spans="20:119" s="68" customFormat="1">
      <c r="T532" s="37"/>
      <c r="U532" s="249"/>
      <c r="V532" s="249"/>
      <c r="W532" s="248"/>
      <c r="X532" s="37"/>
      <c r="CT532" s="70"/>
      <c r="CU532" s="161"/>
      <c r="CV532" s="161"/>
      <c r="CW532" s="383"/>
      <c r="CX532" s="884"/>
      <c r="CY532" s="884"/>
      <c r="CZ532" s="834"/>
      <c r="DA532" s="107"/>
      <c r="DB532" s="107"/>
      <c r="DC532" s="107"/>
      <c r="DD532" s="107"/>
      <c r="DE532" s="107"/>
      <c r="DF532" s="107"/>
      <c r="DG532" s="107"/>
      <c r="DH532" s="107"/>
      <c r="DI532" s="107"/>
      <c r="DJ532" s="107"/>
      <c r="DK532" s="107"/>
      <c r="DL532" s="107"/>
      <c r="DM532" s="107"/>
      <c r="DN532" s="69"/>
      <c r="DO532" s="69"/>
    </row>
    <row r="533" spans="20:119" s="68" customFormat="1">
      <c r="T533" s="37"/>
      <c r="U533" s="249"/>
      <c r="V533" s="249"/>
      <c r="W533" s="248"/>
      <c r="X533" s="37"/>
      <c r="CT533" s="70"/>
      <c r="CU533" s="161"/>
      <c r="CV533" s="161"/>
      <c r="CW533" s="383"/>
      <c r="CX533" s="884"/>
      <c r="CY533" s="884"/>
      <c r="CZ533" s="834"/>
      <c r="DA533" s="107"/>
      <c r="DB533" s="107"/>
      <c r="DC533" s="107"/>
      <c r="DD533" s="107"/>
      <c r="DE533" s="107"/>
      <c r="DF533" s="107"/>
      <c r="DG533" s="107"/>
      <c r="DH533" s="107"/>
      <c r="DI533" s="107"/>
      <c r="DJ533" s="107"/>
      <c r="DK533" s="107"/>
      <c r="DL533" s="107"/>
      <c r="DM533" s="107"/>
      <c r="DN533" s="69"/>
      <c r="DO533" s="69"/>
    </row>
    <row r="534" spans="20:119" s="68" customFormat="1">
      <c r="T534" s="37"/>
      <c r="U534" s="249"/>
      <c r="V534" s="249"/>
      <c r="W534" s="248"/>
      <c r="X534" s="37"/>
      <c r="CT534" s="70"/>
      <c r="CU534" s="161"/>
      <c r="CV534" s="161"/>
      <c r="CW534" s="383"/>
      <c r="CX534" s="884"/>
      <c r="CY534" s="884"/>
      <c r="CZ534" s="834"/>
      <c r="DA534" s="107"/>
      <c r="DB534" s="107"/>
      <c r="DC534" s="107"/>
      <c r="DD534" s="107"/>
      <c r="DE534" s="107"/>
      <c r="DF534" s="107"/>
      <c r="DG534" s="107"/>
      <c r="DH534" s="107"/>
      <c r="DI534" s="107"/>
      <c r="DJ534" s="107"/>
      <c r="DK534" s="107"/>
      <c r="DL534" s="107"/>
      <c r="DM534" s="107"/>
      <c r="DN534" s="69"/>
      <c r="DO534" s="69"/>
    </row>
    <row r="535" spans="20:119" s="68" customFormat="1">
      <c r="T535" s="37"/>
      <c r="U535" s="249"/>
      <c r="V535" s="249"/>
      <c r="W535" s="248"/>
      <c r="X535" s="37"/>
      <c r="CT535" s="70"/>
      <c r="CU535" s="161"/>
      <c r="CV535" s="161"/>
      <c r="CW535" s="383"/>
      <c r="CX535" s="884"/>
      <c r="CY535" s="884"/>
      <c r="CZ535" s="834"/>
      <c r="DA535" s="107"/>
      <c r="DB535" s="107"/>
      <c r="DC535" s="107"/>
      <c r="DD535" s="107"/>
      <c r="DE535" s="107"/>
      <c r="DF535" s="107"/>
      <c r="DG535" s="107"/>
      <c r="DH535" s="107"/>
      <c r="DI535" s="107"/>
      <c r="DJ535" s="107"/>
      <c r="DK535" s="107"/>
      <c r="DL535" s="107"/>
      <c r="DM535" s="107"/>
      <c r="DN535" s="69"/>
      <c r="DO535" s="69"/>
    </row>
    <row r="536" spans="20:119" s="68" customFormat="1">
      <c r="T536" s="37"/>
      <c r="U536" s="249"/>
      <c r="V536" s="249"/>
      <c r="W536" s="248"/>
      <c r="X536" s="37"/>
      <c r="CT536" s="70"/>
      <c r="CU536" s="161"/>
      <c r="CV536" s="161"/>
      <c r="CW536" s="383"/>
      <c r="CX536" s="884"/>
      <c r="CY536" s="884"/>
      <c r="CZ536" s="834"/>
      <c r="DA536" s="107"/>
      <c r="DB536" s="107"/>
      <c r="DC536" s="107"/>
      <c r="DD536" s="107"/>
      <c r="DE536" s="107"/>
      <c r="DF536" s="107"/>
      <c r="DG536" s="107"/>
      <c r="DH536" s="107"/>
      <c r="DI536" s="107"/>
      <c r="DJ536" s="107"/>
      <c r="DK536" s="107"/>
      <c r="DL536" s="107"/>
      <c r="DM536" s="107"/>
      <c r="DN536" s="69"/>
      <c r="DO536" s="69"/>
    </row>
    <row r="537" spans="20:119" s="68" customFormat="1">
      <c r="T537" s="37"/>
      <c r="U537" s="249"/>
      <c r="V537" s="249"/>
      <c r="W537" s="248"/>
      <c r="X537" s="37"/>
      <c r="CT537" s="70"/>
      <c r="CU537" s="161"/>
      <c r="CV537" s="161"/>
      <c r="CW537" s="383"/>
      <c r="CX537" s="884"/>
      <c r="CY537" s="884"/>
      <c r="CZ537" s="834"/>
      <c r="DA537" s="107"/>
      <c r="DB537" s="107"/>
      <c r="DC537" s="107"/>
      <c r="DD537" s="107"/>
      <c r="DE537" s="107"/>
      <c r="DF537" s="107"/>
      <c r="DG537" s="107"/>
      <c r="DH537" s="107"/>
      <c r="DI537" s="107"/>
      <c r="DJ537" s="107"/>
      <c r="DK537" s="107"/>
      <c r="DL537" s="107"/>
      <c r="DM537" s="107"/>
      <c r="DN537" s="69"/>
      <c r="DO537" s="69"/>
    </row>
    <row r="538" spans="20:119" s="68" customFormat="1">
      <c r="T538" s="37"/>
      <c r="U538" s="249"/>
      <c r="V538" s="249"/>
      <c r="W538" s="248"/>
      <c r="X538" s="37"/>
      <c r="CT538" s="70"/>
      <c r="CU538" s="161"/>
      <c r="CV538" s="161"/>
      <c r="CW538" s="383"/>
      <c r="CX538" s="884"/>
      <c r="CY538" s="884"/>
      <c r="CZ538" s="834"/>
      <c r="DA538" s="107"/>
      <c r="DB538" s="107"/>
      <c r="DC538" s="107"/>
      <c r="DD538" s="107"/>
      <c r="DE538" s="107"/>
      <c r="DF538" s="107"/>
      <c r="DG538" s="107"/>
      <c r="DH538" s="107"/>
      <c r="DI538" s="107"/>
      <c r="DJ538" s="107"/>
      <c r="DK538" s="107"/>
      <c r="DL538" s="107"/>
      <c r="DM538" s="107"/>
      <c r="DN538" s="69"/>
      <c r="DO538" s="69"/>
    </row>
    <row r="539" spans="20:119" s="68" customFormat="1">
      <c r="T539" s="37"/>
      <c r="U539" s="249"/>
      <c r="V539" s="249"/>
      <c r="W539" s="248"/>
      <c r="X539" s="37"/>
      <c r="CT539" s="70"/>
      <c r="CU539" s="161"/>
      <c r="CV539" s="161"/>
      <c r="CW539" s="383"/>
      <c r="CX539" s="884"/>
      <c r="CY539" s="884"/>
      <c r="CZ539" s="834"/>
      <c r="DA539" s="107"/>
      <c r="DB539" s="107"/>
      <c r="DC539" s="107"/>
      <c r="DD539" s="107"/>
      <c r="DE539" s="107"/>
      <c r="DF539" s="107"/>
      <c r="DG539" s="107"/>
      <c r="DH539" s="107"/>
      <c r="DI539" s="107"/>
      <c r="DJ539" s="107"/>
      <c r="DK539" s="107"/>
      <c r="DL539" s="107"/>
      <c r="DM539" s="107"/>
      <c r="DN539" s="69"/>
      <c r="DO539" s="69"/>
    </row>
    <row r="540" spans="20:119" s="68" customFormat="1">
      <c r="T540" s="37"/>
      <c r="U540" s="249"/>
      <c r="V540" s="249"/>
      <c r="W540" s="248"/>
      <c r="X540" s="37"/>
      <c r="CT540" s="70"/>
      <c r="CU540" s="161"/>
      <c r="CV540" s="161"/>
      <c r="CW540" s="383"/>
      <c r="CX540" s="884"/>
      <c r="CY540" s="884"/>
      <c r="CZ540" s="834"/>
      <c r="DA540" s="107"/>
      <c r="DB540" s="107"/>
      <c r="DC540" s="107"/>
      <c r="DD540" s="107"/>
      <c r="DE540" s="107"/>
      <c r="DF540" s="107"/>
      <c r="DG540" s="107"/>
      <c r="DH540" s="107"/>
      <c r="DI540" s="107"/>
      <c r="DJ540" s="107"/>
      <c r="DK540" s="107"/>
      <c r="DL540" s="107"/>
      <c r="DM540" s="107"/>
      <c r="DN540" s="69"/>
      <c r="DO540" s="69"/>
    </row>
    <row r="541" spans="20:119" s="68" customFormat="1">
      <c r="T541" s="37"/>
      <c r="U541" s="249"/>
      <c r="V541" s="249"/>
      <c r="W541" s="248"/>
      <c r="X541" s="37"/>
      <c r="CT541" s="70"/>
      <c r="CU541" s="161"/>
      <c r="CV541" s="161"/>
      <c r="CW541" s="383"/>
      <c r="CX541" s="884"/>
      <c r="CY541" s="884"/>
      <c r="CZ541" s="834"/>
      <c r="DA541" s="107"/>
      <c r="DB541" s="107"/>
      <c r="DC541" s="107"/>
      <c r="DD541" s="107"/>
      <c r="DE541" s="107"/>
      <c r="DF541" s="107"/>
      <c r="DG541" s="107"/>
      <c r="DH541" s="107"/>
      <c r="DI541" s="107"/>
      <c r="DJ541" s="107"/>
      <c r="DK541" s="107"/>
      <c r="DL541" s="107"/>
      <c r="DM541" s="107"/>
      <c r="DN541" s="69"/>
      <c r="DO541" s="69"/>
    </row>
    <row r="542" spans="20:119" s="68" customFormat="1">
      <c r="T542" s="37"/>
      <c r="U542" s="249"/>
      <c r="V542" s="249"/>
      <c r="W542" s="248"/>
      <c r="X542" s="37"/>
      <c r="CT542" s="70"/>
      <c r="CU542" s="161"/>
      <c r="CV542" s="161"/>
      <c r="CW542" s="383"/>
      <c r="CX542" s="884"/>
      <c r="CY542" s="884"/>
      <c r="CZ542" s="834"/>
      <c r="DA542" s="107"/>
      <c r="DB542" s="107"/>
      <c r="DC542" s="107"/>
      <c r="DD542" s="107"/>
      <c r="DE542" s="107"/>
      <c r="DF542" s="107"/>
      <c r="DG542" s="107"/>
      <c r="DH542" s="107"/>
      <c r="DI542" s="107"/>
      <c r="DJ542" s="107"/>
      <c r="DK542" s="107"/>
      <c r="DL542" s="107"/>
      <c r="DM542" s="107"/>
      <c r="DN542" s="69"/>
      <c r="DO542" s="69"/>
    </row>
    <row r="543" spans="20:119" s="68" customFormat="1">
      <c r="T543" s="37"/>
      <c r="U543" s="249"/>
      <c r="V543" s="249"/>
      <c r="W543" s="248"/>
      <c r="X543" s="37"/>
      <c r="CT543" s="70"/>
      <c r="CU543" s="161"/>
      <c r="CV543" s="161"/>
      <c r="CW543" s="383"/>
      <c r="CX543" s="884"/>
      <c r="CY543" s="884"/>
      <c r="CZ543" s="834"/>
      <c r="DA543" s="107"/>
      <c r="DB543" s="107"/>
      <c r="DC543" s="107"/>
      <c r="DD543" s="107"/>
      <c r="DE543" s="107"/>
      <c r="DF543" s="107"/>
      <c r="DG543" s="107"/>
      <c r="DH543" s="107"/>
      <c r="DI543" s="107"/>
      <c r="DJ543" s="107"/>
      <c r="DK543" s="107"/>
      <c r="DL543" s="107"/>
      <c r="DM543" s="107"/>
      <c r="DN543" s="69"/>
      <c r="DO543" s="69"/>
    </row>
    <row r="544" spans="20:119" s="68" customFormat="1">
      <c r="T544" s="37"/>
      <c r="U544" s="249"/>
      <c r="V544" s="249"/>
      <c r="W544" s="248"/>
      <c r="X544" s="37"/>
      <c r="CT544" s="70"/>
      <c r="CU544" s="161"/>
      <c r="CV544" s="161"/>
      <c r="CW544" s="383"/>
      <c r="CX544" s="884"/>
      <c r="CY544" s="884"/>
      <c r="CZ544" s="834"/>
      <c r="DA544" s="107"/>
      <c r="DB544" s="107"/>
      <c r="DC544" s="107"/>
      <c r="DD544" s="107"/>
      <c r="DE544" s="107"/>
      <c r="DF544" s="107"/>
      <c r="DG544" s="107"/>
      <c r="DH544" s="107"/>
      <c r="DI544" s="107"/>
      <c r="DJ544" s="107"/>
      <c r="DK544" s="107"/>
      <c r="DL544" s="107"/>
      <c r="DM544" s="107"/>
      <c r="DN544" s="69"/>
      <c r="DO544" s="69"/>
    </row>
    <row r="545" spans="20:119" s="68" customFormat="1">
      <c r="T545" s="37"/>
      <c r="U545" s="249"/>
      <c r="V545" s="249"/>
      <c r="W545" s="248"/>
      <c r="X545" s="37"/>
      <c r="CT545" s="70"/>
      <c r="CU545" s="161"/>
      <c r="CV545" s="161"/>
      <c r="CW545" s="383"/>
      <c r="CX545" s="884"/>
      <c r="CY545" s="884"/>
      <c r="CZ545" s="834"/>
      <c r="DA545" s="107"/>
      <c r="DB545" s="107"/>
      <c r="DC545" s="107"/>
      <c r="DD545" s="107"/>
      <c r="DE545" s="107"/>
      <c r="DF545" s="107"/>
      <c r="DG545" s="107"/>
      <c r="DH545" s="107"/>
      <c r="DI545" s="107"/>
      <c r="DJ545" s="107"/>
      <c r="DK545" s="107"/>
      <c r="DL545" s="107"/>
      <c r="DM545" s="107"/>
      <c r="DN545" s="69"/>
      <c r="DO545" s="69"/>
    </row>
    <row r="546" spans="20:119" s="68" customFormat="1">
      <c r="T546" s="37"/>
      <c r="U546" s="249"/>
      <c r="V546" s="249"/>
      <c r="W546" s="248"/>
      <c r="X546" s="37"/>
      <c r="CT546" s="70"/>
      <c r="CU546" s="161"/>
      <c r="CV546" s="161"/>
      <c r="CW546" s="383"/>
      <c r="CX546" s="884"/>
      <c r="CY546" s="884"/>
      <c r="CZ546" s="834"/>
      <c r="DA546" s="107"/>
      <c r="DB546" s="107"/>
      <c r="DC546" s="107"/>
      <c r="DD546" s="107"/>
      <c r="DE546" s="107"/>
      <c r="DF546" s="107"/>
      <c r="DG546" s="107"/>
      <c r="DH546" s="107"/>
      <c r="DI546" s="107"/>
      <c r="DJ546" s="107"/>
      <c r="DK546" s="107"/>
      <c r="DL546" s="107"/>
      <c r="DM546" s="107"/>
      <c r="DN546" s="69"/>
      <c r="DO546" s="69"/>
    </row>
    <row r="547" spans="20:119" s="68" customFormat="1">
      <c r="T547" s="37"/>
      <c r="U547" s="249"/>
      <c r="V547" s="249"/>
      <c r="W547" s="248"/>
      <c r="X547" s="37"/>
      <c r="CT547" s="70"/>
      <c r="CU547" s="161"/>
      <c r="CV547" s="161"/>
      <c r="CW547" s="383"/>
      <c r="CX547" s="884"/>
      <c r="CY547" s="884"/>
      <c r="CZ547" s="834"/>
      <c r="DA547" s="107"/>
      <c r="DB547" s="107"/>
      <c r="DC547" s="107"/>
      <c r="DD547" s="107"/>
      <c r="DE547" s="107"/>
      <c r="DF547" s="107"/>
      <c r="DG547" s="107"/>
      <c r="DH547" s="107"/>
      <c r="DI547" s="107"/>
      <c r="DJ547" s="107"/>
      <c r="DK547" s="107"/>
      <c r="DL547" s="107"/>
      <c r="DM547" s="107"/>
      <c r="DN547" s="69"/>
      <c r="DO547" s="69"/>
    </row>
    <row r="548" spans="20:119" s="68" customFormat="1">
      <c r="T548" s="37"/>
      <c r="U548" s="249"/>
      <c r="V548" s="249"/>
      <c r="W548" s="248"/>
      <c r="X548" s="37"/>
      <c r="CT548" s="70"/>
      <c r="CU548" s="161"/>
      <c r="CV548" s="161"/>
      <c r="CW548" s="383"/>
      <c r="CX548" s="884"/>
      <c r="CY548" s="884"/>
      <c r="CZ548" s="834"/>
      <c r="DA548" s="107"/>
      <c r="DB548" s="107"/>
      <c r="DC548" s="107"/>
      <c r="DD548" s="107"/>
      <c r="DE548" s="107"/>
      <c r="DF548" s="107"/>
      <c r="DG548" s="107"/>
      <c r="DH548" s="107"/>
      <c r="DI548" s="107"/>
      <c r="DJ548" s="107"/>
      <c r="DK548" s="107"/>
      <c r="DL548" s="107"/>
      <c r="DM548" s="107"/>
      <c r="DN548" s="69"/>
      <c r="DO548" s="69"/>
    </row>
    <row r="549" spans="20:119" s="68" customFormat="1">
      <c r="T549" s="37"/>
      <c r="U549" s="249"/>
      <c r="V549" s="249"/>
      <c r="W549" s="248"/>
      <c r="X549" s="37"/>
      <c r="CT549" s="70"/>
      <c r="CU549" s="161"/>
      <c r="CV549" s="161"/>
      <c r="CW549" s="383"/>
      <c r="CX549" s="884"/>
      <c r="CY549" s="884"/>
      <c r="CZ549" s="834"/>
      <c r="DA549" s="107"/>
      <c r="DB549" s="107"/>
      <c r="DC549" s="107"/>
      <c r="DD549" s="107"/>
      <c r="DE549" s="107"/>
      <c r="DF549" s="107"/>
      <c r="DG549" s="107"/>
      <c r="DH549" s="107"/>
      <c r="DI549" s="107"/>
      <c r="DJ549" s="107"/>
      <c r="DK549" s="107"/>
      <c r="DL549" s="107"/>
      <c r="DM549" s="107"/>
      <c r="DN549" s="69"/>
      <c r="DO549" s="69"/>
    </row>
    <row r="550" spans="20:119" s="68" customFormat="1">
      <c r="T550" s="37"/>
      <c r="U550" s="249"/>
      <c r="V550" s="249"/>
      <c r="W550" s="248"/>
      <c r="X550" s="37"/>
      <c r="CT550" s="70"/>
      <c r="CU550" s="161"/>
      <c r="CV550" s="161"/>
      <c r="CW550" s="383"/>
      <c r="CX550" s="884"/>
      <c r="CY550" s="884"/>
      <c r="CZ550" s="834"/>
      <c r="DA550" s="107"/>
      <c r="DB550" s="107"/>
      <c r="DC550" s="107"/>
      <c r="DD550" s="107"/>
      <c r="DE550" s="107"/>
      <c r="DF550" s="107"/>
      <c r="DG550" s="107"/>
      <c r="DH550" s="107"/>
      <c r="DI550" s="107"/>
      <c r="DJ550" s="107"/>
      <c r="DK550" s="107"/>
      <c r="DL550" s="107"/>
      <c r="DM550" s="107"/>
      <c r="DN550" s="69"/>
      <c r="DO550" s="69"/>
    </row>
    <row r="551" spans="20:119" s="68" customFormat="1">
      <c r="T551" s="37"/>
      <c r="U551" s="249"/>
      <c r="V551" s="249"/>
      <c r="W551" s="248"/>
      <c r="X551" s="37"/>
      <c r="CT551" s="70"/>
      <c r="CU551" s="161"/>
      <c r="CV551" s="161"/>
      <c r="CW551" s="383"/>
      <c r="CX551" s="884"/>
      <c r="CY551" s="884"/>
      <c r="CZ551" s="834"/>
      <c r="DA551" s="107"/>
      <c r="DB551" s="107"/>
      <c r="DC551" s="107"/>
      <c r="DD551" s="107"/>
      <c r="DE551" s="107"/>
      <c r="DF551" s="107"/>
      <c r="DG551" s="107"/>
      <c r="DH551" s="107"/>
      <c r="DI551" s="107"/>
      <c r="DJ551" s="107"/>
      <c r="DK551" s="107"/>
      <c r="DL551" s="107"/>
      <c r="DM551" s="107"/>
      <c r="DN551" s="69"/>
      <c r="DO551" s="69"/>
    </row>
    <row r="552" spans="20:119" s="68" customFormat="1">
      <c r="T552" s="37"/>
      <c r="U552" s="249"/>
      <c r="V552" s="249"/>
      <c r="W552" s="248"/>
      <c r="X552" s="37"/>
      <c r="CT552" s="70"/>
      <c r="CU552" s="161"/>
      <c r="CV552" s="161"/>
      <c r="CW552" s="383"/>
      <c r="CX552" s="884"/>
      <c r="CY552" s="884"/>
      <c r="CZ552" s="834"/>
      <c r="DA552" s="107"/>
      <c r="DB552" s="107"/>
      <c r="DC552" s="107"/>
      <c r="DD552" s="107"/>
      <c r="DE552" s="107"/>
      <c r="DF552" s="107"/>
      <c r="DG552" s="107"/>
      <c r="DH552" s="107"/>
      <c r="DI552" s="107"/>
      <c r="DJ552" s="107"/>
      <c r="DK552" s="107"/>
      <c r="DL552" s="107"/>
      <c r="DM552" s="107"/>
      <c r="DN552" s="69"/>
      <c r="DO552" s="69"/>
    </row>
    <row r="553" spans="20:119" s="68" customFormat="1">
      <c r="T553" s="37"/>
      <c r="U553" s="249"/>
      <c r="V553" s="249"/>
      <c r="W553" s="248"/>
      <c r="X553" s="37"/>
      <c r="CT553" s="70"/>
      <c r="CU553" s="161"/>
      <c r="CV553" s="161"/>
      <c r="CW553" s="383"/>
      <c r="CX553" s="884"/>
      <c r="CY553" s="884"/>
      <c r="CZ553" s="834"/>
      <c r="DA553" s="107"/>
      <c r="DB553" s="107"/>
      <c r="DC553" s="107"/>
      <c r="DD553" s="107"/>
      <c r="DE553" s="107"/>
      <c r="DF553" s="107"/>
      <c r="DG553" s="107"/>
      <c r="DH553" s="107"/>
      <c r="DI553" s="107"/>
      <c r="DJ553" s="107"/>
      <c r="DK553" s="107"/>
      <c r="DL553" s="107"/>
      <c r="DM553" s="107"/>
      <c r="DN553" s="69"/>
      <c r="DO553" s="69"/>
    </row>
    <row r="554" spans="20:119" s="68" customFormat="1">
      <c r="T554" s="37"/>
      <c r="U554" s="249"/>
      <c r="V554" s="249"/>
      <c r="W554" s="248"/>
      <c r="X554" s="37"/>
      <c r="CT554" s="70"/>
      <c r="CU554" s="161"/>
      <c r="CV554" s="161"/>
      <c r="CW554" s="383"/>
      <c r="CX554" s="884"/>
      <c r="CY554" s="884"/>
      <c r="CZ554" s="834"/>
      <c r="DA554" s="107"/>
      <c r="DB554" s="107"/>
      <c r="DC554" s="107"/>
      <c r="DD554" s="107"/>
      <c r="DE554" s="107"/>
      <c r="DF554" s="107"/>
      <c r="DG554" s="107"/>
      <c r="DH554" s="107"/>
      <c r="DI554" s="107"/>
      <c r="DJ554" s="107"/>
      <c r="DK554" s="107"/>
      <c r="DL554" s="107"/>
      <c r="DM554" s="107"/>
      <c r="DN554" s="69"/>
      <c r="DO554" s="69"/>
    </row>
    <row r="555" spans="20:119" s="68" customFormat="1">
      <c r="T555" s="37"/>
      <c r="U555" s="249"/>
      <c r="V555" s="249"/>
      <c r="W555" s="248"/>
      <c r="X555" s="37"/>
      <c r="CT555" s="70"/>
      <c r="CU555" s="161"/>
      <c r="CV555" s="161"/>
      <c r="CW555" s="383"/>
      <c r="CX555" s="884"/>
      <c r="CY555" s="884"/>
      <c r="CZ555" s="834"/>
      <c r="DA555" s="107"/>
      <c r="DB555" s="107"/>
      <c r="DC555" s="107"/>
      <c r="DD555" s="107"/>
      <c r="DE555" s="107"/>
      <c r="DF555" s="107"/>
      <c r="DG555" s="107"/>
      <c r="DH555" s="107"/>
      <c r="DI555" s="107"/>
      <c r="DJ555" s="107"/>
      <c r="DK555" s="107"/>
      <c r="DL555" s="107"/>
      <c r="DM555" s="107"/>
      <c r="DN555" s="69"/>
      <c r="DO555" s="69"/>
    </row>
    <row r="556" spans="20:119" s="68" customFormat="1">
      <c r="T556" s="37"/>
      <c r="U556" s="249"/>
      <c r="V556" s="249"/>
      <c r="W556" s="248"/>
      <c r="X556" s="37"/>
      <c r="CT556" s="70"/>
      <c r="CU556" s="161"/>
      <c r="CV556" s="161"/>
      <c r="CW556" s="383"/>
      <c r="CX556" s="884"/>
      <c r="CY556" s="884"/>
      <c r="CZ556" s="834"/>
      <c r="DA556" s="107"/>
      <c r="DB556" s="107"/>
      <c r="DC556" s="107"/>
      <c r="DD556" s="107"/>
      <c r="DE556" s="107"/>
      <c r="DF556" s="107"/>
      <c r="DG556" s="107"/>
      <c r="DH556" s="107"/>
      <c r="DI556" s="107"/>
      <c r="DJ556" s="107"/>
      <c r="DK556" s="107"/>
      <c r="DL556" s="107"/>
      <c r="DM556" s="107"/>
      <c r="DN556" s="69"/>
      <c r="DO556" s="69"/>
    </row>
    <row r="557" spans="20:119" s="68" customFormat="1">
      <c r="T557" s="37"/>
      <c r="U557" s="249"/>
      <c r="V557" s="249"/>
      <c r="W557" s="248"/>
      <c r="X557" s="37"/>
      <c r="CT557" s="70"/>
      <c r="CU557" s="161"/>
      <c r="CV557" s="161"/>
      <c r="CW557" s="383"/>
      <c r="CX557" s="884"/>
      <c r="CY557" s="884"/>
      <c r="CZ557" s="834"/>
      <c r="DA557" s="107"/>
      <c r="DB557" s="107"/>
      <c r="DC557" s="107"/>
      <c r="DD557" s="107"/>
      <c r="DE557" s="107"/>
      <c r="DF557" s="107"/>
      <c r="DG557" s="107"/>
      <c r="DH557" s="107"/>
      <c r="DI557" s="107"/>
      <c r="DJ557" s="107"/>
      <c r="DK557" s="107"/>
      <c r="DL557" s="107"/>
      <c r="DM557" s="107"/>
      <c r="DN557" s="69"/>
      <c r="DO557" s="69"/>
    </row>
    <row r="558" spans="20:119" s="68" customFormat="1">
      <c r="T558" s="37"/>
      <c r="U558" s="249"/>
      <c r="V558" s="249"/>
      <c r="W558" s="248"/>
      <c r="X558" s="37"/>
      <c r="CT558" s="70"/>
      <c r="CU558" s="161"/>
      <c r="CV558" s="161"/>
      <c r="CW558" s="383"/>
      <c r="CX558" s="884"/>
      <c r="CY558" s="884"/>
      <c r="CZ558" s="834"/>
      <c r="DA558" s="107"/>
      <c r="DB558" s="107"/>
      <c r="DC558" s="107"/>
      <c r="DD558" s="107"/>
      <c r="DE558" s="107"/>
      <c r="DF558" s="107"/>
      <c r="DG558" s="107"/>
      <c r="DH558" s="107"/>
      <c r="DI558" s="107"/>
      <c r="DJ558" s="107"/>
      <c r="DK558" s="107"/>
      <c r="DL558" s="107"/>
      <c r="DM558" s="107"/>
      <c r="DN558" s="69"/>
      <c r="DO558" s="69"/>
    </row>
    <row r="559" spans="20:119" s="68" customFormat="1">
      <c r="T559" s="37"/>
      <c r="U559" s="249"/>
      <c r="V559" s="249"/>
      <c r="W559" s="248"/>
      <c r="X559" s="37"/>
      <c r="CT559" s="70"/>
      <c r="CU559" s="161"/>
      <c r="CV559" s="161"/>
      <c r="CW559" s="383"/>
      <c r="CX559" s="884"/>
      <c r="CY559" s="884"/>
      <c r="CZ559" s="834"/>
      <c r="DA559" s="107"/>
      <c r="DB559" s="107"/>
      <c r="DC559" s="107"/>
      <c r="DD559" s="107"/>
      <c r="DE559" s="107"/>
      <c r="DF559" s="107"/>
      <c r="DG559" s="107"/>
      <c r="DH559" s="107"/>
      <c r="DI559" s="107"/>
      <c r="DJ559" s="107"/>
      <c r="DK559" s="107"/>
      <c r="DL559" s="107"/>
      <c r="DM559" s="107"/>
      <c r="DN559" s="69"/>
      <c r="DO559" s="69"/>
    </row>
    <row r="560" spans="20:119" s="68" customFormat="1">
      <c r="T560" s="37"/>
      <c r="U560" s="249"/>
      <c r="V560" s="249"/>
      <c r="W560" s="248"/>
      <c r="X560" s="37"/>
      <c r="CT560" s="70"/>
      <c r="CU560" s="161"/>
      <c r="CV560" s="161"/>
      <c r="CW560" s="383"/>
      <c r="CX560" s="884"/>
      <c r="CY560" s="884"/>
      <c r="CZ560" s="834"/>
      <c r="DA560" s="107"/>
      <c r="DB560" s="107"/>
      <c r="DC560" s="107"/>
      <c r="DD560" s="107"/>
      <c r="DE560" s="107"/>
      <c r="DF560" s="107"/>
      <c r="DG560" s="107"/>
      <c r="DH560" s="107"/>
      <c r="DI560" s="107"/>
      <c r="DJ560" s="107"/>
      <c r="DK560" s="107"/>
      <c r="DL560" s="107"/>
      <c r="DM560" s="107"/>
      <c r="DN560" s="69"/>
      <c r="DO560" s="69"/>
    </row>
    <row r="561" spans="20:119" s="68" customFormat="1">
      <c r="T561" s="37"/>
      <c r="U561" s="249"/>
      <c r="V561" s="249"/>
      <c r="W561" s="248"/>
      <c r="X561" s="37"/>
      <c r="CT561" s="70"/>
      <c r="CU561" s="161"/>
      <c r="CV561" s="161"/>
      <c r="CW561" s="383"/>
      <c r="CX561" s="884"/>
      <c r="CY561" s="884"/>
      <c r="CZ561" s="834"/>
      <c r="DA561" s="107"/>
      <c r="DB561" s="107"/>
      <c r="DC561" s="107"/>
      <c r="DD561" s="107"/>
      <c r="DE561" s="107"/>
      <c r="DF561" s="107"/>
      <c r="DG561" s="107"/>
      <c r="DH561" s="107"/>
      <c r="DI561" s="107"/>
      <c r="DJ561" s="107"/>
      <c r="DK561" s="107"/>
      <c r="DL561" s="107"/>
      <c r="DM561" s="107"/>
      <c r="DN561" s="69"/>
      <c r="DO561" s="69"/>
    </row>
    <row r="562" spans="20:119" s="68" customFormat="1">
      <c r="T562" s="37"/>
      <c r="U562" s="249"/>
      <c r="V562" s="249"/>
      <c r="W562" s="248"/>
      <c r="X562" s="37"/>
      <c r="CT562" s="70"/>
      <c r="CU562" s="161"/>
      <c r="CV562" s="161"/>
      <c r="CW562" s="383"/>
      <c r="CX562" s="884"/>
      <c r="CY562" s="884"/>
      <c r="CZ562" s="834"/>
      <c r="DA562" s="107"/>
      <c r="DB562" s="107"/>
      <c r="DC562" s="107"/>
      <c r="DD562" s="107"/>
      <c r="DE562" s="107"/>
      <c r="DF562" s="107"/>
      <c r="DG562" s="107"/>
      <c r="DH562" s="107"/>
      <c r="DI562" s="107"/>
      <c r="DJ562" s="107"/>
      <c r="DK562" s="107"/>
      <c r="DL562" s="107"/>
      <c r="DM562" s="107"/>
      <c r="DN562" s="69"/>
      <c r="DO562" s="69"/>
    </row>
    <row r="563" spans="20:119" s="68" customFormat="1">
      <c r="T563" s="37"/>
      <c r="U563" s="249"/>
      <c r="V563" s="249"/>
      <c r="W563" s="248"/>
      <c r="X563" s="37"/>
      <c r="CT563" s="70"/>
      <c r="CU563" s="161"/>
      <c r="CV563" s="161"/>
      <c r="CW563" s="383"/>
      <c r="CX563" s="884"/>
      <c r="CY563" s="884"/>
      <c r="CZ563" s="834"/>
      <c r="DA563" s="107"/>
      <c r="DB563" s="107"/>
      <c r="DC563" s="107"/>
      <c r="DD563" s="107"/>
      <c r="DE563" s="107"/>
      <c r="DF563" s="107"/>
      <c r="DG563" s="107"/>
      <c r="DH563" s="107"/>
      <c r="DI563" s="107"/>
      <c r="DJ563" s="107"/>
      <c r="DK563" s="107"/>
      <c r="DL563" s="107"/>
      <c r="DM563" s="107"/>
      <c r="DN563" s="69"/>
      <c r="DO563" s="69"/>
    </row>
    <row r="564" spans="20:119" s="68" customFormat="1">
      <c r="T564" s="37"/>
      <c r="U564" s="249"/>
      <c r="V564" s="249"/>
      <c r="W564" s="248"/>
      <c r="X564" s="37"/>
      <c r="CT564" s="70"/>
      <c r="CU564" s="161"/>
      <c r="CV564" s="161"/>
      <c r="CW564" s="383"/>
      <c r="CX564" s="884"/>
      <c r="CY564" s="884"/>
      <c r="CZ564" s="834"/>
      <c r="DA564" s="107"/>
      <c r="DB564" s="107"/>
      <c r="DC564" s="107"/>
      <c r="DD564" s="107"/>
      <c r="DE564" s="107"/>
      <c r="DF564" s="107"/>
      <c r="DG564" s="107"/>
      <c r="DH564" s="107"/>
      <c r="DI564" s="107"/>
      <c r="DJ564" s="107"/>
      <c r="DK564" s="107"/>
      <c r="DL564" s="107"/>
      <c r="DM564" s="107"/>
      <c r="DN564" s="69"/>
      <c r="DO564" s="69"/>
    </row>
    <row r="565" spans="20:119" s="68" customFormat="1">
      <c r="T565" s="37"/>
      <c r="U565" s="249"/>
      <c r="V565" s="249"/>
      <c r="W565" s="248"/>
      <c r="X565" s="37"/>
      <c r="CT565" s="70"/>
      <c r="CU565" s="161"/>
      <c r="CV565" s="161"/>
      <c r="CW565" s="383"/>
      <c r="CX565" s="884"/>
      <c r="CY565" s="884"/>
      <c r="CZ565" s="834"/>
      <c r="DA565" s="107"/>
      <c r="DB565" s="107"/>
      <c r="DC565" s="107"/>
      <c r="DD565" s="107"/>
      <c r="DE565" s="107"/>
      <c r="DF565" s="107"/>
      <c r="DG565" s="107"/>
      <c r="DH565" s="107"/>
      <c r="DI565" s="107"/>
      <c r="DJ565" s="107"/>
      <c r="DK565" s="107"/>
      <c r="DL565" s="107"/>
      <c r="DM565" s="107"/>
      <c r="DN565" s="69"/>
      <c r="DO565" s="69"/>
    </row>
    <row r="566" spans="20:119" s="68" customFormat="1">
      <c r="T566" s="37"/>
      <c r="U566" s="249"/>
      <c r="V566" s="249"/>
      <c r="W566" s="248"/>
      <c r="X566" s="37"/>
      <c r="CT566" s="70"/>
      <c r="CU566" s="161"/>
      <c r="CV566" s="161"/>
      <c r="CW566" s="383"/>
      <c r="CX566" s="884"/>
      <c r="CY566" s="884"/>
      <c r="CZ566" s="834"/>
      <c r="DA566" s="107"/>
      <c r="DB566" s="107"/>
      <c r="DC566" s="107"/>
      <c r="DD566" s="107"/>
      <c r="DE566" s="107"/>
      <c r="DF566" s="107"/>
      <c r="DG566" s="107"/>
      <c r="DH566" s="107"/>
      <c r="DI566" s="107"/>
      <c r="DJ566" s="107"/>
      <c r="DK566" s="107"/>
      <c r="DL566" s="107"/>
      <c r="DM566" s="107"/>
      <c r="DN566" s="69"/>
      <c r="DO566" s="69"/>
    </row>
    <row r="567" spans="20:119" s="68" customFormat="1">
      <c r="T567" s="37"/>
      <c r="U567" s="249"/>
      <c r="V567" s="249"/>
      <c r="W567" s="248"/>
      <c r="X567" s="37"/>
      <c r="CT567" s="70"/>
      <c r="CU567" s="161"/>
      <c r="CV567" s="161"/>
      <c r="CW567" s="383"/>
      <c r="CX567" s="884"/>
      <c r="CY567" s="884"/>
      <c r="CZ567" s="834"/>
      <c r="DA567" s="107"/>
      <c r="DB567" s="107"/>
      <c r="DC567" s="107"/>
      <c r="DD567" s="107"/>
      <c r="DE567" s="107"/>
      <c r="DF567" s="107"/>
      <c r="DG567" s="107"/>
      <c r="DH567" s="107"/>
      <c r="DI567" s="107"/>
      <c r="DJ567" s="107"/>
      <c r="DK567" s="107"/>
      <c r="DL567" s="107"/>
      <c r="DM567" s="107"/>
      <c r="DN567" s="69"/>
      <c r="DO567" s="69"/>
    </row>
    <row r="568" spans="20:119" s="68" customFormat="1">
      <c r="T568" s="37"/>
      <c r="U568" s="249"/>
      <c r="V568" s="249"/>
      <c r="W568" s="248"/>
      <c r="X568" s="37"/>
      <c r="CT568" s="70"/>
      <c r="CU568" s="161"/>
      <c r="CV568" s="161"/>
      <c r="CW568" s="383"/>
      <c r="CX568" s="884"/>
      <c r="CY568" s="884"/>
      <c r="CZ568" s="834"/>
      <c r="DA568" s="107"/>
      <c r="DB568" s="107"/>
      <c r="DC568" s="107"/>
      <c r="DD568" s="107"/>
      <c r="DE568" s="107"/>
      <c r="DF568" s="107"/>
      <c r="DG568" s="107"/>
      <c r="DH568" s="107"/>
      <c r="DI568" s="107"/>
      <c r="DJ568" s="107"/>
      <c r="DK568" s="107"/>
      <c r="DL568" s="107"/>
      <c r="DM568" s="107"/>
      <c r="DN568" s="69"/>
      <c r="DO568" s="69"/>
    </row>
    <row r="569" spans="20:119" s="68" customFormat="1">
      <c r="T569" s="37"/>
      <c r="U569" s="249"/>
      <c r="V569" s="249"/>
      <c r="W569" s="248"/>
      <c r="X569" s="37"/>
      <c r="CT569" s="70"/>
      <c r="CU569" s="161"/>
      <c r="CV569" s="161"/>
      <c r="CW569" s="383"/>
      <c r="CX569" s="884"/>
      <c r="CY569" s="884"/>
      <c r="CZ569" s="834"/>
      <c r="DA569" s="107"/>
      <c r="DB569" s="107"/>
      <c r="DC569" s="107"/>
      <c r="DD569" s="107"/>
      <c r="DE569" s="107"/>
      <c r="DF569" s="107"/>
      <c r="DG569" s="107"/>
      <c r="DH569" s="107"/>
      <c r="DI569" s="107"/>
      <c r="DJ569" s="107"/>
      <c r="DK569" s="107"/>
      <c r="DL569" s="107"/>
      <c r="DM569" s="107"/>
      <c r="DN569" s="69"/>
      <c r="DO569" s="69"/>
    </row>
    <row r="570" spans="20:119" s="68" customFormat="1">
      <c r="T570" s="37"/>
      <c r="U570" s="249"/>
      <c r="V570" s="249"/>
      <c r="W570" s="248"/>
      <c r="X570" s="37"/>
      <c r="CT570" s="70"/>
      <c r="CU570" s="161"/>
      <c r="CV570" s="161"/>
      <c r="CW570" s="383"/>
      <c r="CX570" s="884"/>
      <c r="CY570" s="884"/>
      <c r="CZ570" s="834"/>
      <c r="DA570" s="107"/>
      <c r="DB570" s="107"/>
      <c r="DC570" s="107"/>
      <c r="DD570" s="107"/>
      <c r="DE570" s="107"/>
      <c r="DF570" s="107"/>
      <c r="DG570" s="107"/>
      <c r="DH570" s="107"/>
      <c r="DI570" s="107"/>
      <c r="DJ570" s="107"/>
      <c r="DK570" s="107"/>
      <c r="DL570" s="107"/>
      <c r="DM570" s="107"/>
      <c r="DN570" s="69"/>
      <c r="DO570" s="69"/>
    </row>
    <row r="571" spans="20:119" s="68" customFormat="1">
      <c r="T571" s="37"/>
      <c r="U571" s="249"/>
      <c r="V571" s="249"/>
      <c r="W571" s="248"/>
      <c r="X571" s="37"/>
      <c r="CT571" s="70"/>
      <c r="CU571" s="161"/>
      <c r="CV571" s="161"/>
      <c r="CW571" s="383"/>
      <c r="CX571" s="884"/>
      <c r="CY571" s="884"/>
      <c r="CZ571" s="834"/>
      <c r="DA571" s="107"/>
      <c r="DB571" s="107"/>
      <c r="DC571" s="107"/>
      <c r="DD571" s="107"/>
      <c r="DE571" s="107"/>
      <c r="DF571" s="107"/>
      <c r="DG571" s="107"/>
      <c r="DH571" s="107"/>
      <c r="DI571" s="107"/>
      <c r="DJ571" s="107"/>
      <c r="DK571" s="107"/>
      <c r="DL571" s="107"/>
      <c r="DM571" s="107"/>
      <c r="DN571" s="69"/>
      <c r="DO571" s="69"/>
    </row>
    <row r="572" spans="20:119" s="68" customFormat="1">
      <c r="T572" s="37"/>
      <c r="U572" s="249"/>
      <c r="V572" s="249"/>
      <c r="W572" s="248"/>
      <c r="X572" s="37"/>
      <c r="CT572" s="70"/>
      <c r="CU572" s="161"/>
      <c r="CV572" s="161"/>
      <c r="CW572" s="383"/>
      <c r="CX572" s="884"/>
      <c r="CY572" s="884"/>
      <c r="CZ572" s="834"/>
      <c r="DA572" s="107"/>
      <c r="DB572" s="107"/>
      <c r="DC572" s="107"/>
      <c r="DD572" s="107"/>
      <c r="DE572" s="107"/>
      <c r="DF572" s="107"/>
      <c r="DG572" s="107"/>
      <c r="DH572" s="107"/>
      <c r="DI572" s="107"/>
      <c r="DJ572" s="107"/>
      <c r="DK572" s="107"/>
      <c r="DL572" s="107"/>
      <c r="DM572" s="107"/>
      <c r="DN572" s="69"/>
      <c r="DO572" s="69"/>
    </row>
    <row r="573" spans="20:119" s="68" customFormat="1">
      <c r="T573" s="37"/>
      <c r="U573" s="249"/>
      <c r="V573" s="249"/>
      <c r="W573" s="248"/>
      <c r="X573" s="37"/>
      <c r="CT573" s="70"/>
      <c r="CU573" s="161"/>
      <c r="CV573" s="161"/>
      <c r="CW573" s="383"/>
      <c r="CX573" s="884"/>
      <c r="CY573" s="884"/>
      <c r="CZ573" s="834"/>
      <c r="DA573" s="107"/>
      <c r="DB573" s="107"/>
      <c r="DC573" s="107"/>
      <c r="DD573" s="107"/>
      <c r="DE573" s="107"/>
      <c r="DF573" s="107"/>
      <c r="DG573" s="107"/>
      <c r="DH573" s="107"/>
      <c r="DI573" s="107"/>
      <c r="DJ573" s="107"/>
      <c r="DK573" s="107"/>
      <c r="DL573" s="107"/>
      <c r="DM573" s="107"/>
      <c r="DN573" s="69"/>
      <c r="DO573" s="69"/>
    </row>
    <row r="574" spans="20:119" s="68" customFormat="1">
      <c r="T574" s="37"/>
      <c r="U574" s="249"/>
      <c r="V574" s="249"/>
      <c r="W574" s="248"/>
      <c r="X574" s="37"/>
      <c r="CT574" s="70"/>
      <c r="CU574" s="161"/>
      <c r="CV574" s="161"/>
      <c r="CW574" s="383"/>
      <c r="CX574" s="884"/>
      <c r="CY574" s="884"/>
      <c r="CZ574" s="834"/>
      <c r="DA574" s="107"/>
      <c r="DB574" s="107"/>
      <c r="DC574" s="107"/>
      <c r="DD574" s="107"/>
      <c r="DE574" s="107"/>
      <c r="DF574" s="107"/>
      <c r="DG574" s="107"/>
      <c r="DH574" s="107"/>
      <c r="DI574" s="107"/>
      <c r="DJ574" s="107"/>
      <c r="DK574" s="107"/>
      <c r="DL574" s="107"/>
      <c r="DM574" s="107"/>
      <c r="DN574" s="69"/>
      <c r="DO574" s="69"/>
    </row>
    <row r="575" spans="20:119" s="68" customFormat="1">
      <c r="T575" s="37"/>
      <c r="U575" s="249"/>
      <c r="V575" s="249"/>
      <c r="W575" s="248"/>
      <c r="X575" s="37"/>
      <c r="CT575" s="70"/>
      <c r="CU575" s="161"/>
      <c r="CV575" s="161"/>
      <c r="CW575" s="383"/>
      <c r="CX575" s="884"/>
      <c r="CY575" s="884"/>
      <c r="CZ575" s="834"/>
      <c r="DA575" s="107"/>
      <c r="DB575" s="107"/>
      <c r="DC575" s="107"/>
      <c r="DD575" s="107"/>
      <c r="DE575" s="107"/>
      <c r="DF575" s="107"/>
      <c r="DG575" s="107"/>
      <c r="DH575" s="107"/>
      <c r="DI575" s="107"/>
      <c r="DJ575" s="107"/>
      <c r="DK575" s="107"/>
      <c r="DL575" s="107"/>
      <c r="DM575" s="107"/>
      <c r="DN575" s="69"/>
      <c r="DO575" s="69"/>
    </row>
    <row r="576" spans="20:119" s="68" customFormat="1">
      <c r="T576" s="37"/>
      <c r="U576" s="249"/>
      <c r="V576" s="249"/>
      <c r="W576" s="248"/>
      <c r="X576" s="37"/>
      <c r="CT576" s="70"/>
      <c r="CU576" s="161"/>
      <c r="CV576" s="161"/>
      <c r="CW576" s="383"/>
      <c r="CX576" s="884"/>
      <c r="CY576" s="884"/>
      <c r="CZ576" s="834"/>
      <c r="DA576" s="107"/>
      <c r="DB576" s="107"/>
      <c r="DC576" s="107"/>
      <c r="DD576" s="107"/>
      <c r="DE576" s="107"/>
      <c r="DF576" s="107"/>
      <c r="DG576" s="107"/>
      <c r="DH576" s="107"/>
      <c r="DI576" s="107"/>
      <c r="DJ576" s="107"/>
      <c r="DK576" s="107"/>
      <c r="DL576" s="107"/>
      <c r="DM576" s="107"/>
      <c r="DN576" s="69"/>
      <c r="DO576" s="69"/>
    </row>
    <row r="577" spans="20:119" s="68" customFormat="1">
      <c r="T577" s="37"/>
      <c r="U577" s="249"/>
      <c r="V577" s="249"/>
      <c r="W577" s="248"/>
      <c r="X577" s="37"/>
      <c r="CT577" s="70"/>
      <c r="CU577" s="161"/>
      <c r="CV577" s="161"/>
      <c r="CW577" s="383"/>
      <c r="CX577" s="884"/>
      <c r="CY577" s="884"/>
      <c r="CZ577" s="834"/>
      <c r="DA577" s="107"/>
      <c r="DB577" s="107"/>
      <c r="DC577" s="107"/>
      <c r="DD577" s="107"/>
      <c r="DE577" s="107"/>
      <c r="DF577" s="107"/>
      <c r="DG577" s="107"/>
      <c r="DH577" s="107"/>
      <c r="DI577" s="107"/>
      <c r="DJ577" s="107"/>
      <c r="DK577" s="107"/>
      <c r="DL577" s="107"/>
      <c r="DM577" s="107"/>
      <c r="DN577" s="69"/>
      <c r="DO577" s="69"/>
    </row>
    <row r="578" spans="20:119" s="68" customFormat="1">
      <c r="T578" s="37"/>
      <c r="U578" s="249"/>
      <c r="V578" s="249"/>
      <c r="W578" s="248"/>
      <c r="X578" s="37"/>
      <c r="CT578" s="70"/>
      <c r="CU578" s="161"/>
      <c r="CV578" s="161"/>
      <c r="CW578" s="383"/>
      <c r="CX578" s="884"/>
      <c r="CY578" s="884"/>
      <c r="CZ578" s="834"/>
      <c r="DA578" s="107"/>
      <c r="DB578" s="107"/>
      <c r="DC578" s="107"/>
      <c r="DD578" s="107"/>
      <c r="DE578" s="107"/>
      <c r="DF578" s="107"/>
      <c r="DG578" s="107"/>
      <c r="DH578" s="107"/>
      <c r="DI578" s="107"/>
      <c r="DJ578" s="107"/>
      <c r="DK578" s="107"/>
      <c r="DL578" s="107"/>
      <c r="DM578" s="107"/>
      <c r="DN578" s="69"/>
      <c r="DO578" s="69"/>
    </row>
    <row r="579" spans="20:119" s="68" customFormat="1">
      <c r="T579" s="37"/>
      <c r="U579" s="249"/>
      <c r="V579" s="249"/>
      <c r="W579" s="248"/>
      <c r="X579" s="37"/>
      <c r="CT579" s="70"/>
      <c r="CU579" s="161"/>
      <c r="CV579" s="161"/>
      <c r="CW579" s="383"/>
      <c r="CX579" s="884"/>
      <c r="CY579" s="884"/>
      <c r="CZ579" s="834"/>
      <c r="DA579" s="107"/>
      <c r="DB579" s="107"/>
      <c r="DC579" s="107"/>
      <c r="DD579" s="107"/>
      <c r="DE579" s="107"/>
      <c r="DF579" s="107"/>
      <c r="DG579" s="107"/>
      <c r="DH579" s="107"/>
      <c r="DI579" s="107"/>
      <c r="DJ579" s="107"/>
      <c r="DK579" s="107"/>
      <c r="DL579" s="107"/>
      <c r="DM579" s="107"/>
      <c r="DN579" s="69"/>
      <c r="DO579" s="69"/>
    </row>
    <row r="580" spans="20:119" s="68" customFormat="1">
      <c r="T580" s="37"/>
      <c r="U580" s="249"/>
      <c r="V580" s="249"/>
      <c r="W580" s="248"/>
      <c r="X580" s="37"/>
      <c r="CT580" s="70"/>
      <c r="CU580" s="161"/>
      <c r="CV580" s="161"/>
      <c r="CW580" s="383"/>
      <c r="CX580" s="884"/>
      <c r="CY580" s="884"/>
      <c r="CZ580" s="834"/>
      <c r="DA580" s="107"/>
      <c r="DB580" s="107"/>
      <c r="DC580" s="107"/>
      <c r="DD580" s="107"/>
      <c r="DE580" s="107"/>
      <c r="DF580" s="107"/>
      <c r="DG580" s="107"/>
      <c r="DH580" s="107"/>
      <c r="DI580" s="107"/>
      <c r="DJ580" s="107"/>
      <c r="DK580" s="107"/>
      <c r="DL580" s="107"/>
      <c r="DM580" s="107"/>
      <c r="DN580" s="69"/>
      <c r="DO580" s="69"/>
    </row>
    <row r="581" spans="20:119" s="68" customFormat="1">
      <c r="T581" s="37"/>
      <c r="U581" s="249"/>
      <c r="V581" s="249"/>
      <c r="W581" s="248"/>
      <c r="X581" s="37"/>
      <c r="CT581" s="70"/>
      <c r="CU581" s="161"/>
      <c r="CV581" s="161"/>
      <c r="CW581" s="383"/>
      <c r="CX581" s="884"/>
      <c r="CY581" s="884"/>
      <c r="CZ581" s="834"/>
      <c r="DA581" s="107"/>
      <c r="DB581" s="107"/>
      <c r="DC581" s="107"/>
      <c r="DD581" s="107"/>
      <c r="DE581" s="107"/>
      <c r="DF581" s="107"/>
      <c r="DG581" s="107"/>
      <c r="DH581" s="107"/>
      <c r="DI581" s="107"/>
      <c r="DJ581" s="107"/>
      <c r="DK581" s="107"/>
      <c r="DL581" s="107"/>
      <c r="DM581" s="107"/>
      <c r="DN581" s="69"/>
      <c r="DO581" s="69"/>
    </row>
    <row r="582" spans="20:119" s="68" customFormat="1">
      <c r="T582" s="37"/>
      <c r="U582" s="249"/>
      <c r="V582" s="249"/>
      <c r="W582" s="248"/>
      <c r="X582" s="37"/>
      <c r="CT582" s="70"/>
      <c r="CU582" s="161"/>
      <c r="CV582" s="161"/>
      <c r="CW582" s="383"/>
      <c r="CX582" s="884"/>
      <c r="CY582" s="884"/>
      <c r="CZ582" s="834"/>
      <c r="DA582" s="107"/>
      <c r="DB582" s="107"/>
      <c r="DC582" s="107"/>
      <c r="DD582" s="107"/>
      <c r="DE582" s="107"/>
      <c r="DF582" s="107"/>
      <c r="DG582" s="107"/>
      <c r="DH582" s="107"/>
      <c r="DI582" s="107"/>
      <c r="DJ582" s="107"/>
      <c r="DK582" s="107"/>
      <c r="DL582" s="107"/>
      <c r="DM582" s="107"/>
      <c r="DN582" s="69"/>
      <c r="DO582" s="69"/>
    </row>
    <row r="583" spans="20:119" s="68" customFormat="1">
      <c r="T583" s="37"/>
      <c r="U583" s="249"/>
      <c r="V583" s="249"/>
      <c r="W583" s="248"/>
      <c r="X583" s="37"/>
      <c r="CT583" s="70"/>
      <c r="CU583" s="161"/>
      <c r="CV583" s="161"/>
      <c r="CW583" s="383"/>
      <c r="CX583" s="884"/>
      <c r="CY583" s="884"/>
      <c r="CZ583" s="834"/>
      <c r="DA583" s="107"/>
      <c r="DB583" s="107"/>
      <c r="DC583" s="107"/>
      <c r="DD583" s="107"/>
      <c r="DE583" s="107"/>
      <c r="DF583" s="107"/>
      <c r="DG583" s="107"/>
      <c r="DH583" s="107"/>
      <c r="DI583" s="107"/>
      <c r="DJ583" s="107"/>
      <c r="DK583" s="107"/>
      <c r="DL583" s="107"/>
      <c r="DM583" s="107"/>
      <c r="DN583" s="69"/>
      <c r="DO583" s="69"/>
    </row>
    <row r="584" spans="20:119" s="68" customFormat="1">
      <c r="T584" s="37"/>
      <c r="U584" s="249"/>
      <c r="V584" s="249"/>
      <c r="W584" s="248"/>
      <c r="X584" s="37"/>
      <c r="CT584" s="70"/>
      <c r="CU584" s="161"/>
      <c r="CV584" s="161"/>
      <c r="CW584" s="383"/>
      <c r="CX584" s="884"/>
      <c r="CY584" s="884"/>
      <c r="CZ584" s="834"/>
      <c r="DA584" s="107"/>
      <c r="DB584" s="107"/>
      <c r="DC584" s="107"/>
      <c r="DD584" s="107"/>
      <c r="DE584" s="107"/>
      <c r="DF584" s="107"/>
      <c r="DG584" s="107"/>
      <c r="DH584" s="107"/>
      <c r="DI584" s="107"/>
      <c r="DJ584" s="107"/>
      <c r="DK584" s="107"/>
      <c r="DL584" s="107"/>
      <c r="DM584" s="107"/>
      <c r="DN584" s="69"/>
      <c r="DO584" s="69"/>
    </row>
    <row r="585" spans="20:119" s="68" customFormat="1">
      <c r="T585" s="37"/>
      <c r="U585" s="249"/>
      <c r="V585" s="249"/>
      <c r="W585" s="248"/>
      <c r="X585" s="37"/>
      <c r="CT585" s="70"/>
      <c r="CU585" s="161"/>
      <c r="CV585" s="161"/>
      <c r="CW585" s="383"/>
      <c r="CX585" s="884"/>
      <c r="CY585" s="884"/>
      <c r="CZ585" s="834"/>
      <c r="DA585" s="107"/>
      <c r="DB585" s="107"/>
      <c r="DC585" s="107"/>
      <c r="DD585" s="107"/>
      <c r="DE585" s="107"/>
      <c r="DF585" s="107"/>
      <c r="DG585" s="107"/>
      <c r="DH585" s="107"/>
      <c r="DI585" s="107"/>
      <c r="DJ585" s="107"/>
      <c r="DK585" s="107"/>
      <c r="DL585" s="107"/>
      <c r="DM585" s="107"/>
      <c r="DN585" s="69"/>
      <c r="DO585" s="69"/>
    </row>
    <row r="586" spans="20:119" s="68" customFormat="1">
      <c r="T586" s="37"/>
      <c r="U586" s="249"/>
      <c r="V586" s="249"/>
      <c r="W586" s="248"/>
      <c r="X586" s="37"/>
      <c r="CT586" s="70"/>
      <c r="CU586" s="161"/>
      <c r="CV586" s="161"/>
      <c r="CW586" s="383"/>
      <c r="CX586" s="884"/>
      <c r="CY586" s="884"/>
      <c r="CZ586" s="834"/>
      <c r="DA586" s="107"/>
      <c r="DB586" s="107"/>
      <c r="DC586" s="107"/>
      <c r="DD586" s="107"/>
      <c r="DE586" s="107"/>
      <c r="DF586" s="107"/>
      <c r="DG586" s="107"/>
      <c r="DH586" s="107"/>
      <c r="DI586" s="107"/>
      <c r="DJ586" s="107"/>
      <c r="DK586" s="107"/>
      <c r="DL586" s="107"/>
      <c r="DM586" s="107"/>
      <c r="DN586" s="69"/>
      <c r="DO586" s="69"/>
    </row>
    <row r="587" spans="20:119" s="68" customFormat="1">
      <c r="T587" s="37"/>
      <c r="U587" s="249"/>
      <c r="V587" s="249"/>
      <c r="W587" s="248"/>
      <c r="X587" s="37"/>
      <c r="CT587" s="70"/>
      <c r="CU587" s="161"/>
      <c r="CV587" s="161"/>
      <c r="CW587" s="383"/>
      <c r="CX587" s="884"/>
      <c r="CY587" s="884"/>
      <c r="CZ587" s="834"/>
      <c r="DA587" s="107"/>
      <c r="DB587" s="107"/>
      <c r="DC587" s="107"/>
      <c r="DD587" s="107"/>
      <c r="DE587" s="107"/>
      <c r="DF587" s="107"/>
      <c r="DG587" s="107"/>
      <c r="DH587" s="107"/>
      <c r="DI587" s="107"/>
      <c r="DJ587" s="107"/>
      <c r="DK587" s="107"/>
      <c r="DL587" s="107"/>
      <c r="DM587" s="107"/>
      <c r="DN587" s="69"/>
      <c r="DO587" s="69"/>
    </row>
    <row r="588" spans="20:119" s="68" customFormat="1">
      <c r="T588" s="37"/>
      <c r="U588" s="249"/>
      <c r="V588" s="249"/>
      <c r="W588" s="248"/>
      <c r="X588" s="37"/>
      <c r="CT588" s="70"/>
      <c r="CU588" s="161"/>
      <c r="CV588" s="161"/>
      <c r="CW588" s="383"/>
      <c r="CX588" s="884"/>
      <c r="CY588" s="884"/>
      <c r="CZ588" s="834"/>
      <c r="DA588" s="107"/>
      <c r="DB588" s="107"/>
      <c r="DC588" s="107"/>
      <c r="DD588" s="107"/>
      <c r="DE588" s="107"/>
      <c r="DF588" s="107"/>
      <c r="DG588" s="107"/>
      <c r="DH588" s="107"/>
      <c r="DI588" s="107"/>
      <c r="DJ588" s="107"/>
      <c r="DK588" s="107"/>
      <c r="DL588" s="107"/>
      <c r="DM588" s="107"/>
      <c r="DN588" s="69"/>
      <c r="DO588" s="69"/>
    </row>
    <row r="589" spans="20:119" s="68" customFormat="1">
      <c r="T589" s="37"/>
      <c r="U589" s="249"/>
      <c r="V589" s="249"/>
      <c r="W589" s="248"/>
      <c r="X589" s="37"/>
      <c r="CT589" s="70"/>
      <c r="CU589" s="161"/>
      <c r="CV589" s="161"/>
      <c r="CW589" s="383"/>
      <c r="CX589" s="884"/>
      <c r="CY589" s="884"/>
      <c r="CZ589" s="834"/>
      <c r="DA589" s="107"/>
      <c r="DB589" s="107"/>
      <c r="DC589" s="107"/>
      <c r="DD589" s="107"/>
      <c r="DE589" s="107"/>
      <c r="DF589" s="107"/>
      <c r="DG589" s="107"/>
      <c r="DH589" s="107"/>
      <c r="DI589" s="107"/>
      <c r="DJ589" s="107"/>
      <c r="DK589" s="107"/>
      <c r="DL589" s="107"/>
      <c r="DM589" s="107"/>
      <c r="DN589" s="69"/>
      <c r="DO589" s="69"/>
    </row>
    <row r="590" spans="20:119" s="68" customFormat="1">
      <c r="T590" s="37"/>
      <c r="U590" s="249"/>
      <c r="V590" s="249"/>
      <c r="W590" s="248"/>
      <c r="X590" s="37"/>
      <c r="CT590" s="70"/>
      <c r="CU590" s="161"/>
      <c r="CV590" s="161"/>
      <c r="CW590" s="383"/>
      <c r="CX590" s="884"/>
      <c r="CY590" s="884"/>
      <c r="CZ590" s="834"/>
      <c r="DA590" s="107"/>
      <c r="DB590" s="107"/>
      <c r="DC590" s="107"/>
      <c r="DD590" s="107"/>
      <c r="DE590" s="107"/>
      <c r="DF590" s="107"/>
      <c r="DG590" s="107"/>
      <c r="DH590" s="107"/>
      <c r="DI590" s="107"/>
      <c r="DJ590" s="107"/>
      <c r="DK590" s="107"/>
      <c r="DL590" s="107"/>
      <c r="DM590" s="107"/>
      <c r="DN590" s="69"/>
      <c r="DO590" s="69"/>
    </row>
    <row r="591" spans="20:119" s="68" customFormat="1">
      <c r="T591" s="37"/>
      <c r="U591" s="249"/>
      <c r="V591" s="249"/>
      <c r="W591" s="248"/>
      <c r="X591" s="37"/>
      <c r="CT591" s="70"/>
      <c r="CU591" s="161"/>
      <c r="CV591" s="161"/>
      <c r="CW591" s="383"/>
      <c r="CX591" s="884"/>
      <c r="CY591" s="884"/>
      <c r="CZ591" s="834"/>
      <c r="DA591" s="107"/>
      <c r="DB591" s="107"/>
      <c r="DC591" s="107"/>
      <c r="DD591" s="107"/>
      <c r="DE591" s="107"/>
      <c r="DF591" s="107"/>
      <c r="DG591" s="107"/>
      <c r="DH591" s="107"/>
      <c r="DI591" s="107"/>
      <c r="DJ591" s="107"/>
      <c r="DK591" s="107"/>
      <c r="DL591" s="107"/>
      <c r="DM591" s="107"/>
      <c r="DN591" s="69"/>
      <c r="DO591" s="69"/>
    </row>
    <row r="592" spans="20:119" s="68" customFormat="1">
      <c r="T592" s="37"/>
      <c r="U592" s="249"/>
      <c r="V592" s="249"/>
      <c r="W592" s="248"/>
      <c r="X592" s="37"/>
      <c r="CT592" s="70"/>
      <c r="CU592" s="161"/>
      <c r="CV592" s="161"/>
      <c r="CW592" s="383"/>
      <c r="CX592" s="884"/>
      <c r="CY592" s="884"/>
      <c r="CZ592" s="834"/>
      <c r="DA592" s="107"/>
      <c r="DB592" s="107"/>
      <c r="DC592" s="107"/>
      <c r="DD592" s="107"/>
      <c r="DE592" s="107"/>
      <c r="DF592" s="107"/>
      <c r="DG592" s="107"/>
      <c r="DH592" s="107"/>
      <c r="DI592" s="107"/>
      <c r="DJ592" s="107"/>
      <c r="DK592" s="107"/>
      <c r="DL592" s="107"/>
      <c r="DM592" s="107"/>
      <c r="DN592" s="69"/>
      <c r="DO592" s="69"/>
    </row>
    <row r="593" spans="20:119" s="68" customFormat="1">
      <c r="T593" s="37"/>
      <c r="U593" s="249"/>
      <c r="V593" s="249"/>
      <c r="W593" s="248"/>
      <c r="X593" s="37"/>
      <c r="CT593" s="70"/>
      <c r="CU593" s="161"/>
      <c r="CV593" s="161"/>
      <c r="CW593" s="383"/>
      <c r="CX593" s="884"/>
      <c r="CY593" s="884"/>
      <c r="CZ593" s="834"/>
      <c r="DA593" s="107"/>
      <c r="DB593" s="107"/>
      <c r="DC593" s="107"/>
      <c r="DD593" s="107"/>
      <c r="DE593" s="107"/>
      <c r="DF593" s="107"/>
      <c r="DG593" s="107"/>
      <c r="DH593" s="107"/>
      <c r="DI593" s="107"/>
      <c r="DJ593" s="107"/>
      <c r="DK593" s="107"/>
      <c r="DL593" s="107"/>
      <c r="DM593" s="107"/>
      <c r="DN593" s="69"/>
      <c r="DO593" s="69"/>
    </row>
    <row r="594" spans="20:119" s="68" customFormat="1">
      <c r="T594" s="37"/>
      <c r="U594" s="249"/>
      <c r="V594" s="249"/>
      <c r="W594" s="248"/>
      <c r="X594" s="37"/>
      <c r="CT594" s="70"/>
      <c r="CU594" s="161"/>
      <c r="CV594" s="161"/>
      <c r="CW594" s="383"/>
      <c r="CX594" s="884"/>
      <c r="CY594" s="884"/>
      <c r="CZ594" s="834"/>
      <c r="DA594" s="107"/>
      <c r="DB594" s="107"/>
      <c r="DC594" s="107"/>
      <c r="DD594" s="107"/>
      <c r="DE594" s="107"/>
      <c r="DF594" s="107"/>
      <c r="DG594" s="107"/>
      <c r="DH594" s="107"/>
      <c r="DI594" s="107"/>
      <c r="DJ594" s="107"/>
      <c r="DK594" s="107"/>
      <c r="DL594" s="107"/>
      <c r="DM594" s="107"/>
      <c r="DN594" s="69"/>
      <c r="DO594" s="69"/>
    </row>
    <row r="595" spans="20:119" s="68" customFormat="1">
      <c r="T595" s="37"/>
      <c r="U595" s="249"/>
      <c r="V595" s="249"/>
      <c r="W595" s="248"/>
      <c r="X595" s="37"/>
      <c r="CT595" s="70"/>
      <c r="CU595" s="161"/>
      <c r="CV595" s="161"/>
      <c r="CW595" s="383"/>
      <c r="CX595" s="884"/>
      <c r="CY595" s="884"/>
      <c r="CZ595" s="834"/>
      <c r="DA595" s="107"/>
      <c r="DB595" s="107"/>
      <c r="DC595" s="107"/>
      <c r="DD595" s="107"/>
      <c r="DE595" s="107"/>
      <c r="DF595" s="107"/>
      <c r="DG595" s="107"/>
      <c r="DH595" s="107"/>
      <c r="DI595" s="107"/>
      <c r="DJ595" s="107"/>
      <c r="DK595" s="107"/>
      <c r="DL595" s="107"/>
      <c r="DM595" s="107"/>
      <c r="DN595" s="69"/>
      <c r="DO595" s="69"/>
    </row>
    <row r="596" spans="20:119" s="68" customFormat="1">
      <c r="T596" s="37"/>
      <c r="U596" s="249"/>
      <c r="V596" s="249"/>
      <c r="W596" s="248"/>
      <c r="X596" s="37"/>
      <c r="CT596" s="70"/>
      <c r="CU596" s="161"/>
      <c r="CV596" s="161"/>
      <c r="CW596" s="383"/>
      <c r="CX596" s="884"/>
      <c r="CY596" s="884"/>
      <c r="CZ596" s="834"/>
      <c r="DA596" s="107"/>
      <c r="DB596" s="107"/>
      <c r="DC596" s="107"/>
      <c r="DD596" s="107"/>
      <c r="DE596" s="107"/>
      <c r="DF596" s="107"/>
      <c r="DG596" s="107"/>
      <c r="DH596" s="107"/>
      <c r="DI596" s="107"/>
      <c r="DJ596" s="107"/>
      <c r="DK596" s="107"/>
      <c r="DL596" s="107"/>
      <c r="DM596" s="107"/>
      <c r="DN596" s="69"/>
      <c r="DO596" s="69"/>
    </row>
    <row r="597" spans="20:119" s="68" customFormat="1">
      <c r="T597" s="37"/>
      <c r="U597" s="249"/>
      <c r="V597" s="249"/>
      <c r="W597" s="248"/>
      <c r="X597" s="37"/>
      <c r="CT597" s="70"/>
      <c r="CU597" s="161"/>
      <c r="CV597" s="161"/>
      <c r="CW597" s="383"/>
      <c r="CX597" s="884"/>
      <c r="CY597" s="884"/>
      <c r="CZ597" s="834"/>
      <c r="DA597" s="107"/>
      <c r="DB597" s="107"/>
      <c r="DC597" s="107"/>
      <c r="DD597" s="107"/>
      <c r="DE597" s="107"/>
      <c r="DF597" s="107"/>
      <c r="DG597" s="107"/>
      <c r="DH597" s="107"/>
      <c r="DI597" s="107"/>
      <c r="DJ597" s="107"/>
      <c r="DK597" s="107"/>
      <c r="DL597" s="107"/>
      <c r="DM597" s="107"/>
      <c r="DN597" s="69"/>
      <c r="DO597" s="69"/>
    </row>
    <row r="598" spans="20:119" s="68" customFormat="1">
      <c r="T598" s="37"/>
      <c r="U598" s="249"/>
      <c r="V598" s="249"/>
      <c r="W598" s="248"/>
      <c r="X598" s="37"/>
      <c r="CT598" s="70"/>
      <c r="CU598" s="161"/>
      <c r="CV598" s="161"/>
      <c r="CW598" s="383"/>
      <c r="CX598" s="884"/>
      <c r="CY598" s="884"/>
      <c r="CZ598" s="834"/>
      <c r="DA598" s="107"/>
      <c r="DB598" s="107"/>
      <c r="DC598" s="107"/>
      <c r="DD598" s="107"/>
      <c r="DE598" s="107"/>
      <c r="DF598" s="107"/>
      <c r="DG598" s="107"/>
      <c r="DH598" s="107"/>
      <c r="DI598" s="107"/>
      <c r="DJ598" s="107"/>
      <c r="DK598" s="107"/>
      <c r="DL598" s="107"/>
      <c r="DM598" s="107"/>
      <c r="DN598" s="69"/>
      <c r="DO598" s="69"/>
    </row>
    <row r="599" spans="20:119" s="68" customFormat="1">
      <c r="T599" s="37"/>
      <c r="U599" s="249"/>
      <c r="V599" s="249"/>
      <c r="W599" s="248"/>
      <c r="X599" s="37"/>
      <c r="CT599" s="70"/>
      <c r="CU599" s="161"/>
      <c r="CV599" s="161"/>
      <c r="CW599" s="383"/>
      <c r="CX599" s="884"/>
      <c r="CY599" s="884"/>
      <c r="CZ599" s="834"/>
      <c r="DA599" s="107"/>
      <c r="DB599" s="107"/>
      <c r="DC599" s="107"/>
      <c r="DD599" s="107"/>
      <c r="DE599" s="107"/>
      <c r="DF599" s="107"/>
      <c r="DG599" s="107"/>
      <c r="DH599" s="107"/>
      <c r="DI599" s="107"/>
      <c r="DJ599" s="107"/>
      <c r="DK599" s="107"/>
      <c r="DL599" s="107"/>
      <c r="DM599" s="107"/>
      <c r="DN599" s="69"/>
      <c r="DO599" s="69"/>
    </row>
    <row r="600" spans="20:119" s="68" customFormat="1">
      <c r="T600" s="37"/>
      <c r="U600" s="249"/>
      <c r="V600" s="249"/>
      <c r="W600" s="248"/>
      <c r="X600" s="37"/>
      <c r="CT600" s="70"/>
      <c r="CU600" s="161"/>
      <c r="CV600" s="161"/>
      <c r="CW600" s="383"/>
      <c r="CX600" s="884"/>
      <c r="CY600" s="884"/>
      <c r="CZ600" s="834"/>
      <c r="DA600" s="107"/>
      <c r="DB600" s="107"/>
      <c r="DC600" s="107"/>
      <c r="DD600" s="107"/>
      <c r="DE600" s="107"/>
      <c r="DF600" s="107"/>
      <c r="DG600" s="107"/>
      <c r="DH600" s="107"/>
      <c r="DI600" s="107"/>
      <c r="DJ600" s="107"/>
      <c r="DK600" s="107"/>
      <c r="DL600" s="107"/>
      <c r="DM600" s="107"/>
      <c r="DN600" s="69"/>
      <c r="DO600" s="69"/>
    </row>
    <row r="601" spans="20:119" s="68" customFormat="1">
      <c r="T601" s="37"/>
      <c r="U601" s="249"/>
      <c r="V601" s="249"/>
      <c r="W601" s="248"/>
      <c r="X601" s="37"/>
      <c r="CT601" s="70"/>
      <c r="CU601" s="161"/>
      <c r="CV601" s="161"/>
      <c r="CW601" s="383"/>
      <c r="CX601" s="884"/>
      <c r="CY601" s="884"/>
      <c r="CZ601" s="834"/>
      <c r="DA601" s="107"/>
      <c r="DB601" s="107"/>
      <c r="DC601" s="107"/>
      <c r="DD601" s="107"/>
      <c r="DE601" s="107"/>
      <c r="DF601" s="107"/>
      <c r="DG601" s="107"/>
      <c r="DH601" s="107"/>
      <c r="DI601" s="107"/>
      <c r="DJ601" s="107"/>
      <c r="DK601" s="107"/>
      <c r="DL601" s="107"/>
      <c r="DM601" s="107"/>
      <c r="DN601" s="69"/>
      <c r="DO601" s="69"/>
    </row>
    <row r="602" spans="20:119" s="68" customFormat="1">
      <c r="T602" s="37"/>
      <c r="U602" s="249"/>
      <c r="V602" s="249"/>
      <c r="W602" s="248"/>
      <c r="X602" s="37"/>
      <c r="CT602" s="70"/>
      <c r="CU602" s="161"/>
      <c r="CV602" s="161"/>
      <c r="CW602" s="383"/>
      <c r="CX602" s="884"/>
      <c r="CY602" s="884"/>
      <c r="CZ602" s="834"/>
      <c r="DA602" s="107"/>
      <c r="DB602" s="107"/>
      <c r="DC602" s="107"/>
      <c r="DD602" s="107"/>
      <c r="DE602" s="107"/>
      <c r="DF602" s="107"/>
      <c r="DG602" s="107"/>
      <c r="DH602" s="107"/>
      <c r="DI602" s="107"/>
      <c r="DJ602" s="107"/>
      <c r="DK602" s="107"/>
      <c r="DL602" s="107"/>
      <c r="DM602" s="107"/>
      <c r="DN602" s="69"/>
      <c r="DO602" s="69"/>
    </row>
    <row r="603" spans="20:119" s="68" customFormat="1">
      <c r="T603" s="37"/>
      <c r="U603" s="249"/>
      <c r="V603" s="249"/>
      <c r="W603" s="248"/>
      <c r="X603" s="37"/>
      <c r="CT603" s="70"/>
      <c r="CU603" s="161"/>
      <c r="CV603" s="161"/>
      <c r="CW603" s="383"/>
      <c r="CX603" s="884"/>
      <c r="CY603" s="884"/>
      <c r="CZ603" s="834"/>
      <c r="DA603" s="107"/>
      <c r="DB603" s="107"/>
      <c r="DC603" s="107"/>
      <c r="DD603" s="107"/>
      <c r="DE603" s="107"/>
      <c r="DF603" s="107"/>
      <c r="DG603" s="107"/>
      <c r="DH603" s="107"/>
      <c r="DI603" s="107"/>
      <c r="DJ603" s="107"/>
      <c r="DK603" s="107"/>
      <c r="DL603" s="107"/>
      <c r="DM603" s="107"/>
      <c r="DN603" s="69"/>
      <c r="DO603" s="69"/>
    </row>
    <row r="604" spans="20:119" s="68" customFormat="1">
      <c r="T604" s="37"/>
      <c r="U604" s="249"/>
      <c r="V604" s="249"/>
      <c r="W604" s="248"/>
      <c r="X604" s="37"/>
      <c r="CT604" s="70"/>
      <c r="CU604" s="161"/>
      <c r="CV604" s="161"/>
      <c r="CW604" s="383"/>
      <c r="CX604" s="884"/>
      <c r="CY604" s="884"/>
      <c r="CZ604" s="834"/>
      <c r="DA604" s="107"/>
      <c r="DB604" s="107"/>
      <c r="DC604" s="107"/>
      <c r="DD604" s="107"/>
      <c r="DE604" s="107"/>
      <c r="DF604" s="107"/>
      <c r="DG604" s="107"/>
      <c r="DH604" s="107"/>
      <c r="DI604" s="107"/>
      <c r="DJ604" s="107"/>
      <c r="DK604" s="107"/>
      <c r="DL604" s="107"/>
      <c r="DM604" s="107"/>
      <c r="DN604" s="69"/>
      <c r="DO604" s="69"/>
    </row>
    <row r="605" spans="20:119" s="68" customFormat="1">
      <c r="T605" s="37"/>
      <c r="U605" s="249"/>
      <c r="V605" s="249"/>
      <c r="W605" s="248"/>
      <c r="X605" s="37"/>
      <c r="CT605" s="70"/>
      <c r="CU605" s="161"/>
      <c r="CV605" s="161"/>
      <c r="CW605" s="383"/>
      <c r="CX605" s="884"/>
      <c r="CY605" s="884"/>
      <c r="CZ605" s="834"/>
      <c r="DA605" s="107"/>
      <c r="DB605" s="107"/>
      <c r="DC605" s="107"/>
      <c r="DD605" s="107"/>
      <c r="DE605" s="107"/>
      <c r="DF605" s="107"/>
      <c r="DG605" s="107"/>
      <c r="DH605" s="107"/>
      <c r="DI605" s="107"/>
      <c r="DJ605" s="107"/>
      <c r="DK605" s="107"/>
      <c r="DL605" s="107"/>
      <c r="DM605" s="107"/>
      <c r="DN605" s="69"/>
      <c r="DO605" s="69"/>
    </row>
    <row r="606" spans="20:119" s="68" customFormat="1">
      <c r="T606" s="37"/>
      <c r="U606" s="249"/>
      <c r="V606" s="249"/>
      <c r="W606" s="248"/>
      <c r="X606" s="37"/>
      <c r="CT606" s="70"/>
      <c r="CU606" s="161"/>
      <c r="CV606" s="161"/>
      <c r="CW606" s="383"/>
      <c r="CX606" s="884"/>
      <c r="CY606" s="884"/>
      <c r="CZ606" s="834"/>
      <c r="DA606" s="107"/>
      <c r="DB606" s="107"/>
      <c r="DC606" s="107"/>
      <c r="DD606" s="107"/>
      <c r="DE606" s="107"/>
      <c r="DF606" s="107"/>
      <c r="DG606" s="107"/>
      <c r="DH606" s="107"/>
      <c r="DI606" s="107"/>
      <c r="DJ606" s="107"/>
      <c r="DK606" s="107"/>
      <c r="DL606" s="107"/>
      <c r="DM606" s="107"/>
      <c r="DN606" s="69"/>
      <c r="DO606" s="69"/>
    </row>
    <row r="607" spans="20:119" s="68" customFormat="1">
      <c r="T607" s="37"/>
      <c r="U607" s="249"/>
      <c r="V607" s="249"/>
      <c r="W607" s="248"/>
      <c r="X607" s="37"/>
      <c r="CT607" s="70"/>
      <c r="CU607" s="161"/>
      <c r="CV607" s="161"/>
      <c r="CW607" s="383"/>
      <c r="CX607" s="884"/>
      <c r="CY607" s="884"/>
      <c r="CZ607" s="834"/>
      <c r="DA607" s="107"/>
      <c r="DB607" s="107"/>
      <c r="DC607" s="107"/>
      <c r="DD607" s="107"/>
      <c r="DE607" s="107"/>
      <c r="DF607" s="107"/>
      <c r="DG607" s="107"/>
      <c r="DH607" s="107"/>
      <c r="DI607" s="107"/>
      <c r="DJ607" s="107"/>
      <c r="DK607" s="107"/>
      <c r="DL607" s="107"/>
      <c r="DM607" s="107"/>
      <c r="DN607" s="69"/>
      <c r="DO607" s="69"/>
    </row>
    <row r="608" spans="20:119" s="68" customFormat="1">
      <c r="T608" s="37"/>
      <c r="U608" s="249"/>
      <c r="V608" s="249"/>
      <c r="W608" s="248"/>
      <c r="X608" s="37"/>
      <c r="CT608" s="70"/>
      <c r="CU608" s="161"/>
      <c r="CV608" s="161"/>
      <c r="CW608" s="383"/>
      <c r="CX608" s="884"/>
      <c r="CY608" s="884"/>
      <c r="CZ608" s="834"/>
      <c r="DA608" s="107"/>
      <c r="DB608" s="107"/>
      <c r="DC608" s="107"/>
      <c r="DD608" s="107"/>
      <c r="DE608" s="107"/>
      <c r="DF608" s="107"/>
      <c r="DG608" s="107"/>
      <c r="DH608" s="107"/>
      <c r="DI608" s="107"/>
      <c r="DJ608" s="107"/>
      <c r="DK608" s="107"/>
      <c r="DL608" s="107"/>
      <c r="DM608" s="107"/>
      <c r="DN608" s="69"/>
      <c r="DO608" s="69"/>
    </row>
    <row r="609" spans="20:119" s="68" customFormat="1">
      <c r="T609" s="37"/>
      <c r="U609" s="249"/>
      <c r="V609" s="249"/>
      <c r="W609" s="248"/>
      <c r="X609" s="37"/>
      <c r="CT609" s="70"/>
      <c r="CU609" s="161"/>
      <c r="CV609" s="161"/>
      <c r="CW609" s="383"/>
      <c r="CX609" s="884"/>
      <c r="CY609" s="884"/>
      <c r="CZ609" s="834"/>
      <c r="DA609" s="107"/>
      <c r="DB609" s="107"/>
      <c r="DC609" s="107"/>
      <c r="DD609" s="107"/>
      <c r="DE609" s="107"/>
      <c r="DF609" s="107"/>
      <c r="DG609" s="107"/>
      <c r="DH609" s="107"/>
      <c r="DI609" s="107"/>
      <c r="DJ609" s="107"/>
      <c r="DK609" s="107"/>
      <c r="DL609" s="107"/>
      <c r="DM609" s="107"/>
      <c r="DN609" s="69"/>
      <c r="DO609" s="69"/>
    </row>
    <row r="610" spans="20:119" s="68" customFormat="1">
      <c r="T610" s="37"/>
      <c r="U610" s="249"/>
      <c r="V610" s="249"/>
      <c r="W610" s="248"/>
      <c r="X610" s="37"/>
      <c r="CT610" s="70"/>
      <c r="CU610" s="161"/>
      <c r="CV610" s="161"/>
      <c r="CW610" s="383"/>
      <c r="CX610" s="884"/>
      <c r="CY610" s="884"/>
      <c r="CZ610" s="834"/>
      <c r="DA610" s="107"/>
      <c r="DB610" s="107"/>
      <c r="DC610" s="107"/>
      <c r="DD610" s="107"/>
      <c r="DE610" s="107"/>
      <c r="DF610" s="107"/>
      <c r="DG610" s="107"/>
      <c r="DH610" s="107"/>
      <c r="DI610" s="107"/>
      <c r="DJ610" s="107"/>
      <c r="DK610" s="107"/>
      <c r="DL610" s="107"/>
      <c r="DM610" s="107"/>
      <c r="DN610" s="69"/>
      <c r="DO610" s="69"/>
    </row>
    <row r="611" spans="20:119" s="68" customFormat="1">
      <c r="T611" s="37"/>
      <c r="U611" s="249"/>
      <c r="V611" s="249"/>
      <c r="W611" s="248"/>
      <c r="X611" s="37"/>
      <c r="CT611" s="70"/>
      <c r="CU611" s="161"/>
      <c r="CV611" s="161"/>
      <c r="CW611" s="383"/>
      <c r="CX611" s="884"/>
      <c r="CY611" s="884"/>
      <c r="CZ611" s="834"/>
      <c r="DA611" s="107"/>
      <c r="DB611" s="107"/>
      <c r="DC611" s="107"/>
      <c r="DD611" s="107"/>
      <c r="DE611" s="107"/>
      <c r="DF611" s="107"/>
      <c r="DG611" s="107"/>
      <c r="DH611" s="107"/>
      <c r="DI611" s="107"/>
      <c r="DJ611" s="107"/>
      <c r="DK611" s="107"/>
      <c r="DL611" s="107"/>
      <c r="DM611" s="107"/>
      <c r="DN611" s="69"/>
      <c r="DO611" s="69"/>
    </row>
    <row r="612" spans="20:119" s="68" customFormat="1">
      <c r="T612" s="37"/>
      <c r="U612" s="249"/>
      <c r="V612" s="249"/>
      <c r="W612" s="248"/>
      <c r="X612" s="37"/>
      <c r="CT612" s="70"/>
      <c r="CU612" s="161"/>
      <c r="CV612" s="161"/>
      <c r="CW612" s="383"/>
      <c r="CX612" s="884"/>
      <c r="CY612" s="884"/>
      <c r="CZ612" s="834"/>
      <c r="DA612" s="107"/>
      <c r="DB612" s="107"/>
      <c r="DC612" s="107"/>
      <c r="DD612" s="107"/>
      <c r="DE612" s="107"/>
      <c r="DF612" s="107"/>
      <c r="DG612" s="107"/>
      <c r="DH612" s="107"/>
      <c r="DI612" s="107"/>
      <c r="DJ612" s="107"/>
      <c r="DK612" s="107"/>
      <c r="DL612" s="107"/>
      <c r="DM612" s="107"/>
      <c r="DN612" s="69"/>
      <c r="DO612" s="69"/>
    </row>
    <row r="613" spans="20:119" s="68" customFormat="1">
      <c r="T613" s="37"/>
      <c r="U613" s="249"/>
      <c r="V613" s="249"/>
      <c r="W613" s="248"/>
      <c r="X613" s="37"/>
      <c r="CT613" s="70"/>
      <c r="CU613" s="161"/>
      <c r="CV613" s="161"/>
      <c r="CW613" s="383"/>
      <c r="CX613" s="884"/>
      <c r="CY613" s="884"/>
      <c r="CZ613" s="834"/>
      <c r="DA613" s="107"/>
      <c r="DB613" s="107"/>
      <c r="DC613" s="107"/>
      <c r="DD613" s="107"/>
      <c r="DE613" s="107"/>
      <c r="DF613" s="107"/>
      <c r="DG613" s="107"/>
      <c r="DH613" s="107"/>
      <c r="DI613" s="107"/>
      <c r="DJ613" s="107"/>
      <c r="DK613" s="107"/>
      <c r="DL613" s="107"/>
      <c r="DM613" s="107"/>
      <c r="DN613" s="69"/>
      <c r="DO613" s="69"/>
    </row>
    <row r="614" spans="20:119" s="68" customFormat="1">
      <c r="T614" s="37"/>
      <c r="U614" s="249"/>
      <c r="V614" s="249"/>
      <c r="W614" s="248"/>
      <c r="X614" s="37"/>
      <c r="CT614" s="70"/>
      <c r="CU614" s="161"/>
      <c r="CV614" s="161"/>
      <c r="CW614" s="383"/>
      <c r="CX614" s="884"/>
      <c r="CY614" s="884"/>
      <c r="CZ614" s="834"/>
      <c r="DA614" s="107"/>
      <c r="DB614" s="107"/>
      <c r="DC614" s="107"/>
      <c r="DD614" s="107"/>
      <c r="DE614" s="107"/>
      <c r="DF614" s="107"/>
      <c r="DG614" s="107"/>
      <c r="DH614" s="107"/>
      <c r="DI614" s="107"/>
      <c r="DJ614" s="107"/>
      <c r="DK614" s="107"/>
      <c r="DL614" s="107"/>
      <c r="DM614" s="107"/>
      <c r="DN614" s="69"/>
      <c r="DO614" s="69"/>
    </row>
    <row r="615" spans="20:119" s="68" customFormat="1">
      <c r="T615" s="37"/>
      <c r="U615" s="249"/>
      <c r="V615" s="249"/>
      <c r="W615" s="248"/>
      <c r="X615" s="37"/>
      <c r="CT615" s="70"/>
      <c r="CU615" s="161"/>
      <c r="CV615" s="161"/>
      <c r="CW615" s="383"/>
      <c r="CX615" s="884"/>
      <c r="CY615" s="884"/>
      <c r="CZ615" s="834"/>
      <c r="DA615" s="107"/>
      <c r="DB615" s="107"/>
      <c r="DC615" s="107"/>
      <c r="DD615" s="107"/>
      <c r="DE615" s="107"/>
      <c r="DF615" s="107"/>
      <c r="DG615" s="107"/>
      <c r="DH615" s="107"/>
      <c r="DI615" s="107"/>
      <c r="DJ615" s="107"/>
      <c r="DK615" s="107"/>
      <c r="DL615" s="107"/>
      <c r="DM615" s="107"/>
      <c r="DN615" s="69"/>
      <c r="DO615" s="69"/>
    </row>
    <row r="616" spans="20:119" s="68" customFormat="1">
      <c r="T616" s="37"/>
      <c r="U616" s="249"/>
      <c r="V616" s="249"/>
      <c r="W616" s="248"/>
      <c r="X616" s="37"/>
      <c r="CT616" s="70"/>
      <c r="CU616" s="161"/>
      <c r="CV616" s="161"/>
      <c r="CW616" s="383"/>
      <c r="CX616" s="884"/>
      <c r="CY616" s="884"/>
      <c r="CZ616" s="834"/>
      <c r="DA616" s="107"/>
      <c r="DB616" s="107"/>
      <c r="DC616" s="107"/>
      <c r="DD616" s="107"/>
      <c r="DE616" s="107"/>
      <c r="DF616" s="107"/>
      <c r="DG616" s="107"/>
      <c r="DH616" s="107"/>
      <c r="DI616" s="107"/>
      <c r="DJ616" s="107"/>
      <c r="DK616" s="107"/>
      <c r="DL616" s="107"/>
      <c r="DM616" s="107"/>
      <c r="DN616" s="69"/>
      <c r="DO616" s="69"/>
    </row>
    <row r="617" spans="20:119" s="68" customFormat="1">
      <c r="T617" s="37"/>
      <c r="U617" s="249"/>
      <c r="V617" s="249"/>
      <c r="W617" s="248"/>
      <c r="X617" s="37"/>
      <c r="CT617" s="70"/>
      <c r="CU617" s="161"/>
      <c r="CV617" s="161"/>
      <c r="CW617" s="383"/>
      <c r="CX617" s="884"/>
      <c r="CY617" s="884"/>
      <c r="CZ617" s="834"/>
      <c r="DA617" s="107"/>
      <c r="DB617" s="107"/>
      <c r="DC617" s="107"/>
      <c r="DD617" s="107"/>
      <c r="DE617" s="107"/>
      <c r="DF617" s="107"/>
      <c r="DG617" s="107"/>
      <c r="DH617" s="107"/>
      <c r="DI617" s="107"/>
      <c r="DJ617" s="107"/>
      <c r="DK617" s="107"/>
      <c r="DL617" s="107"/>
      <c r="DM617" s="107"/>
      <c r="DN617" s="69"/>
      <c r="DO617" s="69"/>
    </row>
    <row r="618" spans="20:119" s="68" customFormat="1">
      <c r="T618" s="37"/>
      <c r="U618" s="249"/>
      <c r="V618" s="249"/>
      <c r="W618" s="248"/>
      <c r="X618" s="37"/>
      <c r="CT618" s="70"/>
      <c r="CU618" s="161"/>
      <c r="CV618" s="161"/>
      <c r="CW618" s="383"/>
      <c r="CX618" s="884"/>
      <c r="CY618" s="884"/>
      <c r="CZ618" s="834"/>
      <c r="DA618" s="107"/>
      <c r="DB618" s="107"/>
      <c r="DC618" s="107"/>
      <c r="DD618" s="107"/>
      <c r="DE618" s="107"/>
      <c r="DF618" s="107"/>
      <c r="DG618" s="107"/>
      <c r="DH618" s="107"/>
      <c r="DI618" s="107"/>
      <c r="DJ618" s="107"/>
      <c r="DK618" s="107"/>
      <c r="DL618" s="107"/>
      <c r="DM618" s="107"/>
      <c r="DN618" s="69"/>
      <c r="DO618" s="69"/>
    </row>
    <row r="619" spans="20:119" s="68" customFormat="1">
      <c r="T619" s="37"/>
      <c r="U619" s="249"/>
      <c r="V619" s="249"/>
      <c r="W619" s="248"/>
      <c r="X619" s="37"/>
      <c r="CT619" s="70"/>
      <c r="CU619" s="161"/>
      <c r="CV619" s="161"/>
      <c r="CW619" s="383"/>
      <c r="CX619" s="884"/>
      <c r="CY619" s="884"/>
      <c r="CZ619" s="834"/>
      <c r="DA619" s="107"/>
      <c r="DB619" s="107"/>
      <c r="DC619" s="107"/>
      <c r="DD619" s="107"/>
      <c r="DE619" s="107"/>
      <c r="DF619" s="107"/>
      <c r="DG619" s="107"/>
      <c r="DH619" s="107"/>
      <c r="DI619" s="107"/>
      <c r="DJ619" s="107"/>
      <c r="DK619" s="107"/>
      <c r="DL619" s="107"/>
      <c r="DM619" s="107"/>
      <c r="DN619" s="69"/>
      <c r="DO619" s="69"/>
    </row>
    <row r="620" spans="20:119" s="68" customFormat="1">
      <c r="T620" s="37"/>
      <c r="U620" s="249"/>
      <c r="V620" s="249"/>
      <c r="W620" s="248"/>
      <c r="X620" s="37"/>
      <c r="CT620" s="70"/>
      <c r="CU620" s="161"/>
      <c r="CV620" s="161"/>
      <c r="CW620" s="383"/>
      <c r="CX620" s="884"/>
      <c r="CY620" s="884"/>
      <c r="CZ620" s="834"/>
      <c r="DA620" s="107"/>
      <c r="DB620" s="107"/>
      <c r="DC620" s="107"/>
      <c r="DD620" s="107"/>
      <c r="DE620" s="107"/>
      <c r="DF620" s="107"/>
      <c r="DG620" s="107"/>
      <c r="DH620" s="107"/>
      <c r="DI620" s="107"/>
      <c r="DJ620" s="107"/>
      <c r="DK620" s="107"/>
      <c r="DL620" s="107"/>
      <c r="DM620" s="107"/>
      <c r="DN620" s="69"/>
      <c r="DO620" s="69"/>
    </row>
    <row r="621" spans="20:119" s="68" customFormat="1">
      <c r="T621" s="37"/>
      <c r="U621" s="249"/>
      <c r="V621" s="249"/>
      <c r="W621" s="248"/>
      <c r="X621" s="37"/>
      <c r="CT621" s="70"/>
      <c r="CU621" s="161"/>
      <c r="CV621" s="161"/>
      <c r="CW621" s="383"/>
      <c r="CX621" s="884"/>
      <c r="CY621" s="884"/>
      <c r="CZ621" s="834"/>
      <c r="DA621" s="107"/>
      <c r="DB621" s="107"/>
      <c r="DC621" s="107"/>
      <c r="DD621" s="107"/>
      <c r="DE621" s="107"/>
      <c r="DF621" s="107"/>
      <c r="DG621" s="107"/>
      <c r="DH621" s="107"/>
      <c r="DI621" s="107"/>
      <c r="DJ621" s="107"/>
      <c r="DK621" s="107"/>
      <c r="DL621" s="107"/>
      <c r="DM621" s="107"/>
      <c r="DN621" s="69"/>
      <c r="DO621" s="69"/>
    </row>
    <row r="622" spans="20:119" s="68" customFormat="1">
      <c r="T622" s="37"/>
      <c r="U622" s="249"/>
      <c r="V622" s="249"/>
      <c r="W622" s="248"/>
      <c r="X622" s="37"/>
      <c r="CT622" s="70"/>
      <c r="CU622" s="161"/>
      <c r="CV622" s="161"/>
      <c r="CW622" s="383"/>
      <c r="CX622" s="884"/>
      <c r="CY622" s="884"/>
      <c r="CZ622" s="834"/>
      <c r="DA622" s="107"/>
      <c r="DB622" s="107"/>
      <c r="DC622" s="107"/>
      <c r="DD622" s="107"/>
      <c r="DE622" s="107"/>
      <c r="DF622" s="107"/>
      <c r="DG622" s="107"/>
      <c r="DH622" s="107"/>
      <c r="DI622" s="107"/>
      <c r="DJ622" s="107"/>
      <c r="DK622" s="107"/>
      <c r="DL622" s="107"/>
      <c r="DM622" s="107"/>
      <c r="DN622" s="69"/>
      <c r="DO622" s="69"/>
    </row>
    <row r="623" spans="20:119" s="68" customFormat="1">
      <c r="T623" s="37"/>
      <c r="U623" s="249"/>
      <c r="V623" s="249"/>
      <c r="W623" s="248"/>
      <c r="X623" s="37"/>
      <c r="CT623" s="70"/>
      <c r="CU623" s="161"/>
      <c r="CV623" s="161"/>
      <c r="CW623" s="383"/>
      <c r="CX623" s="884"/>
      <c r="CY623" s="884"/>
      <c r="CZ623" s="834"/>
      <c r="DA623" s="107"/>
      <c r="DB623" s="107"/>
      <c r="DC623" s="107"/>
      <c r="DD623" s="107"/>
      <c r="DE623" s="107"/>
      <c r="DF623" s="107"/>
      <c r="DG623" s="107"/>
      <c r="DH623" s="107"/>
      <c r="DI623" s="107"/>
      <c r="DJ623" s="107"/>
      <c r="DK623" s="107"/>
      <c r="DL623" s="107"/>
      <c r="DM623" s="107"/>
      <c r="DN623" s="69"/>
      <c r="DO623" s="69"/>
    </row>
    <row r="624" spans="20:119" s="68" customFormat="1">
      <c r="T624" s="37"/>
      <c r="U624" s="249"/>
      <c r="V624" s="249"/>
      <c r="W624" s="248"/>
      <c r="X624" s="37"/>
      <c r="CT624" s="70"/>
      <c r="CU624" s="161"/>
      <c r="CV624" s="161"/>
      <c r="CW624" s="383"/>
      <c r="CX624" s="884"/>
      <c r="CY624" s="884"/>
      <c r="CZ624" s="834"/>
      <c r="DA624" s="107"/>
      <c r="DB624" s="107"/>
      <c r="DC624" s="107"/>
      <c r="DD624" s="107"/>
      <c r="DE624" s="107"/>
      <c r="DF624" s="107"/>
      <c r="DG624" s="107"/>
      <c r="DH624" s="107"/>
      <c r="DI624" s="107"/>
      <c r="DJ624" s="107"/>
      <c r="DK624" s="107"/>
      <c r="DL624" s="107"/>
      <c r="DM624" s="107"/>
      <c r="DN624" s="69"/>
      <c r="DO624" s="69"/>
    </row>
    <row r="625" spans="20:119" s="68" customFormat="1">
      <c r="T625" s="37"/>
      <c r="U625" s="249"/>
      <c r="V625" s="249"/>
      <c r="W625" s="248"/>
      <c r="X625" s="37"/>
      <c r="CT625" s="70"/>
      <c r="CU625" s="161"/>
      <c r="CV625" s="161"/>
      <c r="CW625" s="383"/>
      <c r="CX625" s="884"/>
      <c r="CY625" s="884"/>
      <c r="CZ625" s="834"/>
      <c r="DA625" s="107"/>
      <c r="DB625" s="107"/>
      <c r="DC625" s="107"/>
      <c r="DD625" s="107"/>
      <c r="DE625" s="107"/>
      <c r="DF625" s="107"/>
      <c r="DG625" s="107"/>
      <c r="DH625" s="107"/>
      <c r="DI625" s="107"/>
      <c r="DJ625" s="107"/>
      <c r="DK625" s="107"/>
      <c r="DL625" s="107"/>
      <c r="DM625" s="107"/>
      <c r="DN625" s="69"/>
      <c r="DO625" s="69"/>
    </row>
    <row r="626" spans="20:119" s="68" customFormat="1">
      <c r="T626" s="37"/>
      <c r="U626" s="249"/>
      <c r="V626" s="249"/>
      <c r="W626" s="248"/>
      <c r="X626" s="37"/>
      <c r="CT626" s="70"/>
      <c r="CU626" s="161"/>
      <c r="CV626" s="161"/>
      <c r="CW626" s="383"/>
      <c r="CX626" s="884"/>
      <c r="CY626" s="884"/>
      <c r="CZ626" s="834"/>
      <c r="DA626" s="107"/>
      <c r="DB626" s="107"/>
      <c r="DC626" s="107"/>
      <c r="DD626" s="107"/>
      <c r="DE626" s="107"/>
      <c r="DF626" s="107"/>
      <c r="DG626" s="107"/>
      <c r="DH626" s="107"/>
      <c r="DI626" s="107"/>
      <c r="DJ626" s="107"/>
      <c r="DK626" s="107"/>
      <c r="DL626" s="107"/>
      <c r="DM626" s="107"/>
      <c r="DN626" s="69"/>
      <c r="DO626" s="69"/>
    </row>
    <row r="627" spans="20:119" s="68" customFormat="1">
      <c r="T627" s="37"/>
      <c r="U627" s="249"/>
      <c r="V627" s="249"/>
      <c r="W627" s="248"/>
      <c r="X627" s="37"/>
      <c r="CT627" s="70"/>
      <c r="CU627" s="161"/>
      <c r="CV627" s="161"/>
      <c r="CW627" s="383"/>
      <c r="CX627" s="884"/>
      <c r="CY627" s="884"/>
      <c r="CZ627" s="834"/>
      <c r="DA627" s="107"/>
      <c r="DB627" s="107"/>
      <c r="DC627" s="107"/>
      <c r="DD627" s="107"/>
      <c r="DE627" s="107"/>
      <c r="DF627" s="107"/>
      <c r="DG627" s="107"/>
      <c r="DH627" s="107"/>
      <c r="DI627" s="107"/>
      <c r="DJ627" s="107"/>
      <c r="DK627" s="107"/>
      <c r="DL627" s="107"/>
      <c r="DM627" s="107"/>
      <c r="DN627" s="69"/>
      <c r="DO627" s="69"/>
    </row>
    <row r="628" spans="20:119" s="68" customFormat="1">
      <c r="T628" s="37"/>
      <c r="U628" s="249"/>
      <c r="V628" s="249"/>
      <c r="W628" s="248"/>
      <c r="X628" s="37"/>
      <c r="CT628" s="70"/>
      <c r="CU628" s="161"/>
      <c r="CV628" s="161"/>
      <c r="CW628" s="383"/>
      <c r="CX628" s="884"/>
      <c r="CY628" s="884"/>
      <c r="CZ628" s="834"/>
      <c r="DA628" s="107"/>
      <c r="DB628" s="107"/>
      <c r="DC628" s="107"/>
      <c r="DD628" s="107"/>
      <c r="DE628" s="107"/>
      <c r="DF628" s="107"/>
      <c r="DG628" s="107"/>
      <c r="DH628" s="107"/>
      <c r="DI628" s="107"/>
      <c r="DJ628" s="107"/>
      <c r="DK628" s="107"/>
      <c r="DL628" s="107"/>
      <c r="DM628" s="107"/>
      <c r="DN628" s="69"/>
      <c r="DO628" s="69"/>
    </row>
    <row r="629" spans="20:119" s="68" customFormat="1">
      <c r="T629" s="37"/>
      <c r="U629" s="249"/>
      <c r="V629" s="249"/>
      <c r="W629" s="248"/>
      <c r="X629" s="37"/>
      <c r="CT629" s="70"/>
      <c r="CU629" s="161"/>
      <c r="CV629" s="161"/>
      <c r="CW629" s="383"/>
      <c r="CX629" s="884"/>
      <c r="CY629" s="884"/>
      <c r="CZ629" s="834"/>
      <c r="DA629" s="107"/>
      <c r="DB629" s="107"/>
      <c r="DC629" s="107"/>
      <c r="DD629" s="107"/>
      <c r="DE629" s="107"/>
      <c r="DF629" s="107"/>
      <c r="DG629" s="107"/>
      <c r="DH629" s="107"/>
      <c r="DI629" s="107"/>
      <c r="DJ629" s="107"/>
      <c r="DK629" s="107"/>
      <c r="DL629" s="107"/>
      <c r="DM629" s="107"/>
      <c r="DN629" s="69"/>
      <c r="DO629" s="69"/>
    </row>
    <row r="630" spans="20:119" s="68" customFormat="1">
      <c r="T630" s="37"/>
      <c r="U630" s="249"/>
      <c r="V630" s="249"/>
      <c r="W630" s="248"/>
      <c r="X630" s="37"/>
      <c r="CT630" s="70"/>
      <c r="CU630" s="161"/>
      <c r="CV630" s="161"/>
      <c r="CW630" s="383"/>
      <c r="CX630" s="884"/>
      <c r="CY630" s="884"/>
      <c r="CZ630" s="834"/>
      <c r="DA630" s="107"/>
      <c r="DB630" s="107"/>
      <c r="DC630" s="107"/>
      <c r="DD630" s="107"/>
      <c r="DE630" s="107"/>
      <c r="DF630" s="107"/>
      <c r="DG630" s="107"/>
      <c r="DH630" s="107"/>
      <c r="DI630" s="107"/>
      <c r="DJ630" s="107"/>
      <c r="DK630" s="107"/>
      <c r="DL630" s="107"/>
      <c r="DM630" s="107"/>
      <c r="DN630" s="69"/>
      <c r="DO630" s="69"/>
    </row>
    <row r="631" spans="20:119" s="68" customFormat="1">
      <c r="T631" s="37"/>
      <c r="U631" s="249"/>
      <c r="V631" s="249"/>
      <c r="W631" s="248"/>
      <c r="X631" s="37"/>
      <c r="CT631" s="70"/>
      <c r="CU631" s="161"/>
      <c r="CV631" s="161"/>
      <c r="CW631" s="383"/>
      <c r="CX631" s="884"/>
      <c r="CY631" s="884"/>
      <c r="CZ631" s="834"/>
      <c r="DA631" s="107"/>
      <c r="DB631" s="107"/>
      <c r="DC631" s="107"/>
      <c r="DD631" s="107"/>
      <c r="DE631" s="107"/>
      <c r="DF631" s="107"/>
      <c r="DG631" s="107"/>
      <c r="DH631" s="107"/>
      <c r="DI631" s="107"/>
      <c r="DJ631" s="107"/>
      <c r="DK631" s="107"/>
      <c r="DL631" s="107"/>
      <c r="DM631" s="107"/>
      <c r="DN631" s="69"/>
      <c r="DO631" s="69"/>
    </row>
    <row r="632" spans="20:119" s="68" customFormat="1">
      <c r="T632" s="37"/>
      <c r="U632" s="249"/>
      <c r="V632" s="249"/>
      <c r="W632" s="248"/>
      <c r="X632" s="37"/>
      <c r="CT632" s="70"/>
      <c r="CU632" s="161"/>
      <c r="CV632" s="161"/>
      <c r="CW632" s="383"/>
      <c r="CX632" s="884"/>
      <c r="CY632" s="884"/>
      <c r="CZ632" s="834"/>
      <c r="DA632" s="107"/>
      <c r="DB632" s="107"/>
      <c r="DC632" s="107"/>
      <c r="DD632" s="107"/>
      <c r="DE632" s="107"/>
      <c r="DF632" s="107"/>
      <c r="DG632" s="107"/>
      <c r="DH632" s="107"/>
      <c r="DI632" s="107"/>
      <c r="DJ632" s="107"/>
      <c r="DK632" s="107"/>
      <c r="DL632" s="107"/>
      <c r="DM632" s="107"/>
      <c r="DN632" s="69"/>
      <c r="DO632" s="69"/>
    </row>
    <row r="633" spans="20:119" s="68" customFormat="1">
      <c r="T633" s="37"/>
      <c r="U633" s="249"/>
      <c r="V633" s="249"/>
      <c r="W633" s="248"/>
      <c r="X633" s="37"/>
      <c r="CT633" s="70"/>
      <c r="CU633" s="161"/>
      <c r="CV633" s="161"/>
      <c r="CW633" s="383"/>
      <c r="CX633" s="884"/>
      <c r="CY633" s="884"/>
      <c r="CZ633" s="834"/>
      <c r="DA633" s="107"/>
      <c r="DB633" s="107"/>
      <c r="DC633" s="107"/>
      <c r="DD633" s="107"/>
      <c r="DE633" s="107"/>
      <c r="DF633" s="107"/>
      <c r="DG633" s="107"/>
      <c r="DH633" s="107"/>
      <c r="DI633" s="107"/>
      <c r="DJ633" s="107"/>
      <c r="DK633" s="107"/>
      <c r="DL633" s="107"/>
      <c r="DM633" s="107"/>
      <c r="DN633" s="69"/>
      <c r="DO633" s="69"/>
    </row>
    <row r="634" spans="20:119" s="68" customFormat="1">
      <c r="T634" s="37"/>
      <c r="U634" s="249"/>
      <c r="V634" s="249"/>
      <c r="W634" s="248"/>
      <c r="X634" s="37"/>
      <c r="CT634" s="70"/>
      <c r="CU634" s="161"/>
      <c r="CV634" s="161"/>
      <c r="CW634" s="383"/>
      <c r="CX634" s="884"/>
      <c r="CY634" s="884"/>
      <c r="CZ634" s="834"/>
      <c r="DA634" s="107"/>
      <c r="DB634" s="107"/>
      <c r="DC634" s="107"/>
      <c r="DD634" s="107"/>
      <c r="DE634" s="107"/>
      <c r="DF634" s="107"/>
      <c r="DG634" s="107"/>
      <c r="DH634" s="107"/>
      <c r="DI634" s="107"/>
      <c r="DJ634" s="107"/>
      <c r="DK634" s="107"/>
      <c r="DL634" s="107"/>
      <c r="DM634" s="107"/>
      <c r="DN634" s="69"/>
      <c r="DO634" s="69"/>
    </row>
    <row r="635" spans="20:119" s="68" customFormat="1">
      <c r="T635" s="37"/>
      <c r="U635" s="249"/>
      <c r="V635" s="249"/>
      <c r="W635" s="248"/>
      <c r="X635" s="37"/>
      <c r="CT635" s="70"/>
      <c r="CU635" s="161"/>
      <c r="CV635" s="161"/>
      <c r="CW635" s="383"/>
      <c r="CX635" s="884"/>
      <c r="CY635" s="884"/>
      <c r="CZ635" s="834"/>
      <c r="DA635" s="107"/>
      <c r="DB635" s="107"/>
      <c r="DC635" s="107"/>
      <c r="DD635" s="107"/>
      <c r="DE635" s="107"/>
      <c r="DF635" s="107"/>
      <c r="DG635" s="107"/>
      <c r="DH635" s="107"/>
      <c r="DI635" s="107"/>
      <c r="DJ635" s="107"/>
      <c r="DK635" s="107"/>
      <c r="DL635" s="107"/>
      <c r="DM635" s="107"/>
      <c r="DN635" s="69"/>
      <c r="DO635" s="69"/>
    </row>
    <row r="636" spans="20:119" s="68" customFormat="1">
      <c r="T636" s="37"/>
      <c r="U636" s="249"/>
      <c r="V636" s="249"/>
      <c r="W636" s="248"/>
      <c r="X636" s="37"/>
      <c r="CT636" s="70"/>
      <c r="CU636" s="161"/>
      <c r="CV636" s="161"/>
      <c r="CW636" s="383"/>
      <c r="CX636" s="884"/>
      <c r="CY636" s="884"/>
      <c r="CZ636" s="834"/>
      <c r="DA636" s="107"/>
      <c r="DB636" s="107"/>
      <c r="DC636" s="107"/>
      <c r="DD636" s="107"/>
      <c r="DE636" s="107"/>
      <c r="DF636" s="107"/>
      <c r="DG636" s="107"/>
      <c r="DH636" s="107"/>
      <c r="DI636" s="107"/>
      <c r="DJ636" s="107"/>
      <c r="DK636" s="107"/>
      <c r="DL636" s="107"/>
      <c r="DM636" s="107"/>
      <c r="DN636" s="69"/>
      <c r="DO636" s="69"/>
    </row>
    <row r="637" spans="20:119" s="68" customFormat="1">
      <c r="T637" s="37"/>
      <c r="U637" s="249"/>
      <c r="V637" s="249"/>
      <c r="W637" s="248"/>
      <c r="X637" s="37"/>
      <c r="CT637" s="70"/>
      <c r="CU637" s="161"/>
      <c r="CV637" s="161"/>
      <c r="CW637" s="383"/>
      <c r="CX637" s="884"/>
      <c r="CY637" s="884"/>
      <c r="CZ637" s="834"/>
      <c r="DA637" s="107"/>
      <c r="DB637" s="107"/>
      <c r="DC637" s="107"/>
      <c r="DD637" s="107"/>
      <c r="DE637" s="107"/>
      <c r="DF637" s="107"/>
      <c r="DG637" s="107"/>
      <c r="DH637" s="107"/>
      <c r="DI637" s="107"/>
      <c r="DJ637" s="107"/>
      <c r="DK637" s="107"/>
      <c r="DL637" s="107"/>
      <c r="DM637" s="107"/>
      <c r="DN637" s="69"/>
      <c r="DO637" s="69"/>
    </row>
    <row r="638" spans="20:119" s="68" customFormat="1">
      <c r="T638" s="37"/>
      <c r="U638" s="249"/>
      <c r="V638" s="249"/>
      <c r="W638" s="248"/>
      <c r="X638" s="37"/>
      <c r="CT638" s="70"/>
      <c r="CU638" s="161"/>
      <c r="CV638" s="161"/>
      <c r="CW638" s="383"/>
      <c r="CX638" s="884"/>
      <c r="CY638" s="884"/>
      <c r="CZ638" s="834"/>
      <c r="DA638" s="107"/>
      <c r="DB638" s="107"/>
      <c r="DC638" s="107"/>
      <c r="DD638" s="107"/>
      <c r="DE638" s="107"/>
      <c r="DF638" s="107"/>
      <c r="DG638" s="107"/>
      <c r="DH638" s="107"/>
      <c r="DI638" s="107"/>
      <c r="DJ638" s="107"/>
      <c r="DK638" s="107"/>
      <c r="DL638" s="107"/>
      <c r="DM638" s="107"/>
      <c r="DN638" s="69"/>
      <c r="DO638" s="69"/>
    </row>
    <row r="639" spans="20:119" s="68" customFormat="1">
      <c r="T639" s="37"/>
      <c r="U639" s="249"/>
      <c r="V639" s="249"/>
      <c r="W639" s="248"/>
      <c r="X639" s="37"/>
      <c r="CT639" s="70"/>
      <c r="CU639" s="161"/>
      <c r="CV639" s="161"/>
      <c r="CW639" s="383"/>
      <c r="CX639" s="884"/>
      <c r="CY639" s="884"/>
      <c r="CZ639" s="834"/>
      <c r="DA639" s="107"/>
      <c r="DB639" s="107"/>
      <c r="DC639" s="107"/>
      <c r="DD639" s="107"/>
      <c r="DE639" s="107"/>
      <c r="DF639" s="107"/>
      <c r="DG639" s="107"/>
      <c r="DH639" s="107"/>
      <c r="DI639" s="107"/>
      <c r="DJ639" s="107"/>
      <c r="DK639" s="107"/>
      <c r="DL639" s="107"/>
      <c r="DM639" s="107"/>
      <c r="DN639" s="69"/>
      <c r="DO639" s="69"/>
    </row>
    <row r="640" spans="20:119" s="68" customFormat="1">
      <c r="T640" s="37"/>
      <c r="U640" s="249"/>
      <c r="V640" s="249"/>
      <c r="W640" s="248"/>
      <c r="X640" s="37"/>
      <c r="CT640" s="70"/>
      <c r="CU640" s="161"/>
      <c r="CV640" s="161"/>
      <c r="CW640" s="383"/>
      <c r="CX640" s="884"/>
      <c r="CY640" s="884"/>
      <c r="CZ640" s="834"/>
      <c r="DA640" s="107"/>
      <c r="DB640" s="107"/>
      <c r="DC640" s="107"/>
      <c r="DD640" s="107"/>
      <c r="DE640" s="107"/>
      <c r="DF640" s="107"/>
      <c r="DG640" s="107"/>
      <c r="DH640" s="107"/>
      <c r="DI640" s="107"/>
      <c r="DJ640" s="107"/>
      <c r="DK640" s="107"/>
      <c r="DL640" s="107"/>
      <c r="DM640" s="107"/>
      <c r="DN640" s="69"/>
      <c r="DO640" s="69"/>
    </row>
    <row r="641" spans="20:119" s="68" customFormat="1">
      <c r="T641" s="37"/>
      <c r="U641" s="249"/>
      <c r="V641" s="249"/>
      <c r="W641" s="248"/>
      <c r="X641" s="37"/>
      <c r="CT641" s="70"/>
      <c r="CU641" s="161"/>
      <c r="CV641" s="161"/>
      <c r="CW641" s="383"/>
      <c r="CX641" s="884"/>
      <c r="CY641" s="884"/>
      <c r="CZ641" s="834"/>
      <c r="DA641" s="107"/>
      <c r="DB641" s="107"/>
      <c r="DC641" s="107"/>
      <c r="DD641" s="107"/>
      <c r="DE641" s="107"/>
      <c r="DF641" s="107"/>
      <c r="DG641" s="107"/>
      <c r="DH641" s="107"/>
      <c r="DI641" s="107"/>
      <c r="DJ641" s="107"/>
      <c r="DK641" s="107"/>
      <c r="DL641" s="107"/>
      <c r="DM641" s="107"/>
      <c r="DN641" s="69"/>
      <c r="DO641" s="69"/>
    </row>
    <row r="642" spans="20:119" s="68" customFormat="1">
      <c r="T642" s="37"/>
      <c r="U642" s="249"/>
      <c r="V642" s="249"/>
      <c r="W642" s="248"/>
      <c r="X642" s="37"/>
      <c r="CT642" s="70"/>
      <c r="CU642" s="161"/>
      <c r="CV642" s="161"/>
      <c r="CW642" s="383"/>
      <c r="CX642" s="884"/>
      <c r="CY642" s="884"/>
      <c r="CZ642" s="834"/>
      <c r="DA642" s="107"/>
      <c r="DB642" s="107"/>
      <c r="DC642" s="107"/>
      <c r="DD642" s="107"/>
      <c r="DE642" s="107"/>
      <c r="DF642" s="107"/>
      <c r="DG642" s="107"/>
      <c r="DH642" s="107"/>
      <c r="DI642" s="107"/>
      <c r="DJ642" s="107"/>
      <c r="DK642" s="107"/>
      <c r="DL642" s="107"/>
      <c r="DM642" s="107"/>
      <c r="DN642" s="69"/>
      <c r="DO642" s="69"/>
    </row>
    <row r="643" spans="20:119" s="68" customFormat="1">
      <c r="T643" s="37"/>
      <c r="U643" s="249"/>
      <c r="V643" s="249"/>
      <c r="W643" s="248"/>
      <c r="X643" s="37"/>
      <c r="CT643" s="70"/>
      <c r="CU643" s="161"/>
      <c r="CV643" s="161"/>
      <c r="CW643" s="383"/>
      <c r="CX643" s="884"/>
      <c r="CY643" s="884"/>
      <c r="CZ643" s="834"/>
      <c r="DA643" s="107"/>
      <c r="DB643" s="107"/>
      <c r="DC643" s="107"/>
      <c r="DD643" s="107"/>
      <c r="DE643" s="107"/>
      <c r="DF643" s="107"/>
      <c r="DG643" s="107"/>
      <c r="DH643" s="107"/>
      <c r="DI643" s="107"/>
      <c r="DJ643" s="107"/>
      <c r="DK643" s="107"/>
      <c r="DL643" s="107"/>
      <c r="DM643" s="107"/>
      <c r="DN643" s="69"/>
      <c r="DO643" s="69"/>
    </row>
    <row r="644" spans="20:119" s="68" customFormat="1">
      <c r="T644" s="37"/>
      <c r="U644" s="249"/>
      <c r="V644" s="249"/>
      <c r="W644" s="248"/>
      <c r="X644" s="37"/>
      <c r="CT644" s="70"/>
      <c r="CU644" s="161"/>
      <c r="CV644" s="161"/>
      <c r="CW644" s="383"/>
      <c r="CX644" s="884"/>
      <c r="CY644" s="884"/>
      <c r="CZ644" s="834"/>
      <c r="DA644" s="107"/>
      <c r="DB644" s="107"/>
      <c r="DC644" s="107"/>
      <c r="DD644" s="107"/>
      <c r="DE644" s="107"/>
      <c r="DF644" s="107"/>
      <c r="DG644" s="107"/>
      <c r="DH644" s="107"/>
      <c r="DI644" s="107"/>
      <c r="DJ644" s="107"/>
      <c r="DK644" s="107"/>
      <c r="DL644" s="107"/>
      <c r="DM644" s="107"/>
      <c r="DN644" s="69"/>
      <c r="DO644" s="69"/>
    </row>
    <row r="645" spans="20:119" s="68" customFormat="1">
      <c r="T645" s="37"/>
      <c r="U645" s="249"/>
      <c r="V645" s="249"/>
      <c r="W645" s="248"/>
      <c r="X645" s="37"/>
      <c r="CT645" s="70"/>
      <c r="CU645" s="161"/>
      <c r="CV645" s="161"/>
      <c r="CW645" s="383"/>
      <c r="CX645" s="884"/>
      <c r="CY645" s="884"/>
      <c r="CZ645" s="834"/>
      <c r="DA645" s="107"/>
      <c r="DB645" s="107"/>
      <c r="DC645" s="107"/>
      <c r="DD645" s="107"/>
      <c r="DE645" s="107"/>
      <c r="DF645" s="107"/>
      <c r="DG645" s="107"/>
      <c r="DH645" s="107"/>
      <c r="DI645" s="107"/>
      <c r="DJ645" s="107"/>
      <c r="DK645" s="107"/>
      <c r="DL645" s="107"/>
      <c r="DM645" s="107"/>
      <c r="DN645" s="69"/>
      <c r="DO645" s="69"/>
    </row>
    <row r="646" spans="20:119" s="68" customFormat="1">
      <c r="T646" s="37"/>
      <c r="U646" s="249"/>
      <c r="V646" s="249"/>
      <c r="W646" s="248"/>
      <c r="X646" s="37"/>
      <c r="CT646" s="70"/>
      <c r="CU646" s="161"/>
      <c r="CV646" s="161"/>
      <c r="CW646" s="383"/>
      <c r="CX646" s="884"/>
      <c r="CY646" s="884"/>
      <c r="CZ646" s="834"/>
      <c r="DA646" s="107"/>
      <c r="DB646" s="107"/>
      <c r="DC646" s="107"/>
      <c r="DD646" s="107"/>
      <c r="DE646" s="107"/>
      <c r="DF646" s="107"/>
      <c r="DG646" s="107"/>
      <c r="DH646" s="107"/>
      <c r="DI646" s="107"/>
      <c r="DJ646" s="107"/>
      <c r="DK646" s="107"/>
      <c r="DL646" s="107"/>
      <c r="DM646" s="107"/>
      <c r="DN646" s="69"/>
      <c r="DO646" s="69"/>
    </row>
    <row r="647" spans="20:119" s="68" customFormat="1">
      <c r="T647" s="37"/>
      <c r="U647" s="249"/>
      <c r="V647" s="249"/>
      <c r="W647" s="248"/>
      <c r="X647" s="37"/>
      <c r="CT647" s="70"/>
      <c r="CU647" s="161"/>
      <c r="CV647" s="161"/>
      <c r="CW647" s="383"/>
      <c r="CX647" s="884"/>
      <c r="CY647" s="884"/>
      <c r="CZ647" s="834"/>
      <c r="DA647" s="107"/>
      <c r="DB647" s="107"/>
      <c r="DC647" s="107"/>
      <c r="DD647" s="107"/>
      <c r="DE647" s="107"/>
      <c r="DF647" s="107"/>
      <c r="DG647" s="107"/>
      <c r="DH647" s="107"/>
      <c r="DI647" s="107"/>
      <c r="DJ647" s="107"/>
      <c r="DK647" s="107"/>
      <c r="DL647" s="107"/>
      <c r="DM647" s="107"/>
      <c r="DN647" s="69"/>
      <c r="DO647" s="69"/>
    </row>
    <row r="648" spans="20:119" s="68" customFormat="1">
      <c r="T648" s="37"/>
      <c r="U648" s="249"/>
      <c r="V648" s="249"/>
      <c r="W648" s="248"/>
      <c r="X648" s="37"/>
      <c r="CT648" s="70"/>
      <c r="CU648" s="161"/>
      <c r="CV648" s="161"/>
      <c r="CW648" s="383"/>
      <c r="CX648" s="884"/>
      <c r="CY648" s="884"/>
      <c r="CZ648" s="834"/>
      <c r="DA648" s="107"/>
      <c r="DB648" s="107"/>
      <c r="DC648" s="107"/>
      <c r="DD648" s="107"/>
      <c r="DE648" s="107"/>
      <c r="DF648" s="107"/>
      <c r="DG648" s="107"/>
      <c r="DH648" s="107"/>
      <c r="DI648" s="107"/>
      <c r="DJ648" s="107"/>
      <c r="DK648" s="107"/>
      <c r="DL648" s="107"/>
      <c r="DM648" s="107"/>
      <c r="DN648" s="69"/>
      <c r="DO648" s="69"/>
    </row>
    <row r="649" spans="20:119" s="68" customFormat="1">
      <c r="T649" s="37"/>
      <c r="U649" s="249"/>
      <c r="V649" s="249"/>
      <c r="W649" s="248"/>
      <c r="X649" s="37"/>
      <c r="CT649" s="70"/>
      <c r="CU649" s="161"/>
      <c r="CV649" s="161"/>
      <c r="CW649" s="383"/>
      <c r="CX649" s="884"/>
      <c r="CY649" s="884"/>
      <c r="CZ649" s="834"/>
      <c r="DA649" s="107"/>
      <c r="DB649" s="107"/>
      <c r="DC649" s="107"/>
      <c r="DD649" s="107"/>
      <c r="DE649" s="107"/>
      <c r="DF649" s="107"/>
      <c r="DG649" s="107"/>
      <c r="DH649" s="107"/>
      <c r="DI649" s="107"/>
      <c r="DJ649" s="107"/>
      <c r="DK649" s="107"/>
      <c r="DL649" s="107"/>
      <c r="DM649" s="107"/>
      <c r="DN649" s="69"/>
      <c r="DO649" s="69"/>
    </row>
    <row r="650" spans="20:119" s="68" customFormat="1">
      <c r="T650" s="37"/>
      <c r="U650" s="249"/>
      <c r="V650" s="249"/>
      <c r="W650" s="248"/>
      <c r="X650" s="37"/>
      <c r="CT650" s="70"/>
      <c r="CU650" s="161"/>
      <c r="CV650" s="161"/>
      <c r="CW650" s="383"/>
      <c r="CX650" s="884"/>
      <c r="CY650" s="884"/>
      <c r="CZ650" s="834"/>
      <c r="DA650" s="107"/>
      <c r="DB650" s="107"/>
      <c r="DC650" s="107"/>
      <c r="DD650" s="107"/>
      <c r="DE650" s="107"/>
      <c r="DF650" s="107"/>
      <c r="DG650" s="107"/>
      <c r="DH650" s="107"/>
      <c r="DI650" s="107"/>
      <c r="DJ650" s="107"/>
      <c r="DK650" s="107"/>
      <c r="DL650" s="107"/>
      <c r="DM650" s="107"/>
      <c r="DN650" s="69"/>
      <c r="DO650" s="69"/>
    </row>
    <row r="651" spans="20:119" s="68" customFormat="1">
      <c r="T651" s="37"/>
      <c r="U651" s="249"/>
      <c r="V651" s="249"/>
      <c r="W651" s="248"/>
      <c r="X651" s="37"/>
      <c r="CT651" s="70"/>
      <c r="CU651" s="161"/>
      <c r="CV651" s="161"/>
      <c r="CW651" s="383"/>
      <c r="CX651" s="884"/>
      <c r="CY651" s="884"/>
      <c r="CZ651" s="834"/>
      <c r="DA651" s="107"/>
      <c r="DB651" s="107"/>
      <c r="DC651" s="107"/>
      <c r="DD651" s="107"/>
      <c r="DE651" s="107"/>
      <c r="DF651" s="107"/>
      <c r="DG651" s="107"/>
      <c r="DH651" s="107"/>
      <c r="DI651" s="107"/>
      <c r="DJ651" s="107"/>
      <c r="DK651" s="107"/>
      <c r="DL651" s="107"/>
      <c r="DM651" s="107"/>
      <c r="DN651" s="69"/>
      <c r="DO651" s="69"/>
    </row>
    <row r="652" spans="20:119" s="68" customFormat="1">
      <c r="T652" s="37"/>
      <c r="U652" s="249"/>
      <c r="V652" s="249"/>
      <c r="W652" s="248"/>
      <c r="X652" s="37"/>
      <c r="CT652" s="70"/>
      <c r="CU652" s="161"/>
      <c r="CV652" s="161"/>
      <c r="CW652" s="383"/>
      <c r="CX652" s="884"/>
      <c r="CY652" s="884"/>
      <c r="CZ652" s="834"/>
      <c r="DA652" s="107"/>
      <c r="DB652" s="107"/>
      <c r="DC652" s="107"/>
      <c r="DD652" s="107"/>
      <c r="DE652" s="107"/>
      <c r="DF652" s="107"/>
      <c r="DG652" s="107"/>
      <c r="DH652" s="107"/>
      <c r="DI652" s="107"/>
      <c r="DJ652" s="107"/>
      <c r="DK652" s="107"/>
      <c r="DL652" s="107"/>
      <c r="DM652" s="107"/>
      <c r="DN652" s="69"/>
      <c r="DO652" s="69"/>
    </row>
    <row r="653" spans="20:119" s="68" customFormat="1">
      <c r="T653" s="37"/>
      <c r="U653" s="249"/>
      <c r="V653" s="249"/>
      <c r="W653" s="248"/>
      <c r="X653" s="37"/>
      <c r="CT653" s="70"/>
      <c r="CU653" s="161"/>
      <c r="CV653" s="161"/>
      <c r="CW653" s="383"/>
      <c r="CX653" s="884"/>
      <c r="CY653" s="884"/>
      <c r="CZ653" s="834"/>
      <c r="DA653" s="107"/>
      <c r="DB653" s="107"/>
      <c r="DC653" s="107"/>
      <c r="DD653" s="107"/>
      <c r="DE653" s="107"/>
      <c r="DF653" s="107"/>
      <c r="DG653" s="107"/>
      <c r="DH653" s="107"/>
      <c r="DI653" s="107"/>
      <c r="DJ653" s="107"/>
      <c r="DK653" s="107"/>
      <c r="DL653" s="107"/>
      <c r="DM653" s="107"/>
      <c r="DN653" s="69"/>
      <c r="DO653" s="69"/>
    </row>
    <row r="654" spans="20:119" s="68" customFormat="1">
      <c r="T654" s="37"/>
      <c r="U654" s="249"/>
      <c r="V654" s="249"/>
      <c r="W654" s="248"/>
      <c r="X654" s="37"/>
      <c r="CT654" s="70"/>
      <c r="CU654" s="161"/>
      <c r="CV654" s="161"/>
      <c r="CW654" s="383"/>
      <c r="CX654" s="884"/>
      <c r="CY654" s="884"/>
      <c r="CZ654" s="834"/>
      <c r="DA654" s="107"/>
      <c r="DB654" s="107"/>
      <c r="DC654" s="107"/>
      <c r="DD654" s="107"/>
      <c r="DE654" s="107"/>
      <c r="DF654" s="107"/>
      <c r="DG654" s="107"/>
      <c r="DH654" s="107"/>
      <c r="DI654" s="107"/>
      <c r="DJ654" s="107"/>
      <c r="DK654" s="107"/>
      <c r="DL654" s="107"/>
      <c r="DM654" s="107"/>
      <c r="DN654" s="69"/>
      <c r="DO654" s="69"/>
    </row>
    <row r="655" spans="20:119" s="68" customFormat="1">
      <c r="T655" s="37"/>
      <c r="U655" s="249"/>
      <c r="V655" s="249"/>
      <c r="W655" s="248"/>
      <c r="X655" s="37"/>
      <c r="CT655" s="70"/>
      <c r="CU655" s="161"/>
      <c r="CV655" s="161"/>
      <c r="CW655" s="383"/>
      <c r="CX655" s="884"/>
      <c r="CY655" s="884"/>
      <c r="CZ655" s="834"/>
      <c r="DA655" s="107"/>
      <c r="DB655" s="107"/>
      <c r="DC655" s="107"/>
      <c r="DD655" s="107"/>
      <c r="DE655" s="107"/>
      <c r="DF655" s="107"/>
      <c r="DG655" s="107"/>
      <c r="DH655" s="107"/>
      <c r="DI655" s="107"/>
      <c r="DJ655" s="107"/>
      <c r="DK655" s="107"/>
      <c r="DL655" s="107"/>
      <c r="DM655" s="107"/>
      <c r="DN655" s="69"/>
      <c r="DO655" s="69"/>
    </row>
    <row r="656" spans="20:119" s="68" customFormat="1">
      <c r="T656" s="37"/>
      <c r="U656" s="249"/>
      <c r="V656" s="249"/>
      <c r="W656" s="248"/>
      <c r="X656" s="37"/>
      <c r="CT656" s="70"/>
      <c r="CU656" s="161"/>
      <c r="CV656" s="161"/>
      <c r="CW656" s="383"/>
      <c r="CX656" s="884"/>
      <c r="CY656" s="884"/>
      <c r="CZ656" s="834"/>
      <c r="DA656" s="107"/>
      <c r="DB656" s="107"/>
      <c r="DC656" s="107"/>
      <c r="DD656" s="107"/>
      <c r="DE656" s="107"/>
      <c r="DF656" s="107"/>
      <c r="DG656" s="107"/>
      <c r="DH656" s="107"/>
      <c r="DI656" s="107"/>
      <c r="DJ656" s="107"/>
      <c r="DK656" s="107"/>
      <c r="DL656" s="107"/>
      <c r="DM656" s="107"/>
      <c r="DN656" s="69"/>
      <c r="DO656" s="69"/>
    </row>
    <row r="657" spans="20:119" s="68" customFormat="1">
      <c r="T657" s="37"/>
      <c r="U657" s="249"/>
      <c r="V657" s="249"/>
      <c r="W657" s="248"/>
      <c r="X657" s="37"/>
      <c r="CT657" s="70"/>
      <c r="CU657" s="161"/>
      <c r="CV657" s="161"/>
      <c r="CW657" s="383"/>
      <c r="CX657" s="884"/>
      <c r="CY657" s="884"/>
      <c r="CZ657" s="834"/>
      <c r="DA657" s="107"/>
      <c r="DB657" s="107"/>
      <c r="DC657" s="107"/>
      <c r="DD657" s="107"/>
      <c r="DE657" s="107"/>
      <c r="DF657" s="107"/>
      <c r="DG657" s="107"/>
      <c r="DH657" s="107"/>
      <c r="DI657" s="107"/>
      <c r="DJ657" s="107"/>
      <c r="DK657" s="107"/>
      <c r="DL657" s="107"/>
      <c r="DM657" s="107"/>
      <c r="DN657" s="69"/>
      <c r="DO657" s="69"/>
    </row>
    <row r="658" spans="20:119" s="68" customFormat="1">
      <c r="T658" s="37"/>
      <c r="U658" s="249"/>
      <c r="V658" s="249"/>
      <c r="W658" s="248"/>
      <c r="X658" s="37"/>
      <c r="CT658" s="70"/>
      <c r="CU658" s="161"/>
      <c r="CV658" s="161"/>
      <c r="CW658" s="383"/>
      <c r="CX658" s="884"/>
      <c r="CY658" s="884"/>
      <c r="CZ658" s="834"/>
      <c r="DA658" s="107"/>
      <c r="DB658" s="107"/>
      <c r="DC658" s="107"/>
      <c r="DD658" s="107"/>
      <c r="DE658" s="107"/>
      <c r="DF658" s="107"/>
      <c r="DG658" s="107"/>
      <c r="DH658" s="107"/>
      <c r="DI658" s="107"/>
      <c r="DJ658" s="107"/>
      <c r="DK658" s="107"/>
      <c r="DL658" s="107"/>
      <c r="DM658" s="107"/>
      <c r="DN658" s="69"/>
      <c r="DO658" s="69"/>
    </row>
    <row r="659" spans="20:119" s="68" customFormat="1">
      <c r="T659" s="37"/>
      <c r="U659" s="249"/>
      <c r="V659" s="249"/>
      <c r="W659" s="248"/>
      <c r="X659" s="37"/>
      <c r="CT659" s="70"/>
      <c r="CU659" s="161"/>
      <c r="CV659" s="161"/>
      <c r="CW659" s="383"/>
      <c r="CX659" s="884"/>
      <c r="CY659" s="884"/>
      <c r="CZ659" s="834"/>
      <c r="DA659" s="107"/>
      <c r="DB659" s="107"/>
      <c r="DC659" s="107"/>
      <c r="DD659" s="107"/>
      <c r="DE659" s="107"/>
      <c r="DF659" s="107"/>
      <c r="DG659" s="107"/>
      <c r="DH659" s="107"/>
      <c r="DI659" s="107"/>
      <c r="DJ659" s="107"/>
      <c r="DK659" s="107"/>
      <c r="DL659" s="107"/>
      <c r="DM659" s="107"/>
      <c r="DN659" s="69"/>
      <c r="DO659" s="69"/>
    </row>
    <row r="660" spans="20:119" s="68" customFormat="1">
      <c r="T660" s="37"/>
      <c r="U660" s="249"/>
      <c r="V660" s="249"/>
      <c r="W660" s="248"/>
      <c r="X660" s="37"/>
      <c r="CT660" s="70"/>
      <c r="CU660" s="161"/>
      <c r="CV660" s="161"/>
      <c r="CW660" s="383"/>
      <c r="CX660" s="884"/>
      <c r="CY660" s="884"/>
      <c r="CZ660" s="834"/>
      <c r="DA660" s="107"/>
      <c r="DB660" s="107"/>
      <c r="DC660" s="107"/>
      <c r="DD660" s="107"/>
      <c r="DE660" s="107"/>
      <c r="DF660" s="107"/>
      <c r="DG660" s="107"/>
      <c r="DH660" s="107"/>
      <c r="DI660" s="107"/>
      <c r="DJ660" s="107"/>
      <c r="DK660" s="107"/>
      <c r="DL660" s="107"/>
      <c r="DM660" s="107"/>
      <c r="DN660" s="69"/>
      <c r="DO660" s="69"/>
    </row>
    <row r="661" spans="20:119" s="68" customFormat="1">
      <c r="T661" s="37"/>
      <c r="U661" s="249"/>
      <c r="V661" s="249"/>
      <c r="W661" s="248"/>
      <c r="X661" s="37"/>
      <c r="CT661" s="70"/>
      <c r="CU661" s="161"/>
      <c r="CV661" s="161"/>
      <c r="CW661" s="383"/>
      <c r="CX661" s="884"/>
      <c r="CY661" s="884"/>
      <c r="CZ661" s="834"/>
      <c r="DA661" s="107"/>
      <c r="DB661" s="107"/>
      <c r="DC661" s="107"/>
      <c r="DD661" s="107"/>
      <c r="DE661" s="107"/>
      <c r="DF661" s="107"/>
      <c r="DG661" s="107"/>
      <c r="DH661" s="107"/>
      <c r="DI661" s="107"/>
      <c r="DJ661" s="107"/>
      <c r="DK661" s="107"/>
      <c r="DL661" s="107"/>
      <c r="DM661" s="107"/>
      <c r="DN661" s="69"/>
      <c r="DO661" s="69"/>
    </row>
    <row r="662" spans="20:119" s="68" customFormat="1">
      <c r="T662" s="37"/>
      <c r="U662" s="249"/>
      <c r="V662" s="249"/>
      <c r="W662" s="248"/>
      <c r="X662" s="37"/>
      <c r="CT662" s="70"/>
      <c r="CU662" s="161"/>
      <c r="CV662" s="161"/>
      <c r="CW662" s="383"/>
      <c r="CX662" s="884"/>
      <c r="CY662" s="884"/>
      <c r="CZ662" s="834"/>
      <c r="DA662" s="107"/>
      <c r="DB662" s="107"/>
      <c r="DC662" s="107"/>
      <c r="DD662" s="107"/>
      <c r="DE662" s="107"/>
      <c r="DF662" s="107"/>
      <c r="DG662" s="107"/>
      <c r="DH662" s="107"/>
      <c r="DI662" s="107"/>
      <c r="DJ662" s="107"/>
      <c r="DK662" s="107"/>
      <c r="DL662" s="107"/>
      <c r="DM662" s="107"/>
      <c r="DN662" s="69"/>
      <c r="DO662" s="69"/>
    </row>
    <row r="663" spans="20:119" s="68" customFormat="1">
      <c r="T663" s="37"/>
      <c r="U663" s="249"/>
      <c r="V663" s="249"/>
      <c r="W663" s="248"/>
      <c r="X663" s="37"/>
      <c r="CT663" s="70"/>
      <c r="CU663" s="161"/>
      <c r="CV663" s="161"/>
      <c r="CW663" s="383"/>
      <c r="CX663" s="884"/>
      <c r="CY663" s="884"/>
      <c r="CZ663" s="834"/>
      <c r="DA663" s="107"/>
      <c r="DB663" s="107"/>
      <c r="DC663" s="107"/>
      <c r="DD663" s="107"/>
      <c r="DE663" s="107"/>
      <c r="DF663" s="107"/>
      <c r="DG663" s="107"/>
      <c r="DH663" s="107"/>
      <c r="DI663" s="107"/>
      <c r="DJ663" s="107"/>
      <c r="DK663" s="107"/>
      <c r="DL663" s="107"/>
      <c r="DM663" s="107"/>
      <c r="DN663" s="69"/>
      <c r="DO663" s="69"/>
    </row>
    <row r="664" spans="20:119" s="68" customFormat="1">
      <c r="T664" s="37"/>
      <c r="U664" s="249"/>
      <c r="V664" s="249"/>
      <c r="W664" s="248"/>
      <c r="X664" s="37"/>
      <c r="CT664" s="70"/>
      <c r="CU664" s="161"/>
      <c r="CV664" s="161"/>
      <c r="CW664" s="383"/>
      <c r="CX664" s="884"/>
      <c r="CY664" s="884"/>
      <c r="CZ664" s="834"/>
      <c r="DA664" s="107"/>
      <c r="DB664" s="107"/>
      <c r="DC664" s="107"/>
      <c r="DD664" s="107"/>
      <c r="DE664" s="107"/>
      <c r="DF664" s="107"/>
      <c r="DG664" s="107"/>
      <c r="DH664" s="107"/>
      <c r="DI664" s="107"/>
      <c r="DJ664" s="107"/>
      <c r="DK664" s="107"/>
      <c r="DL664" s="107"/>
      <c r="DM664" s="107"/>
      <c r="DN664" s="69"/>
      <c r="DO664" s="69"/>
    </row>
    <row r="665" spans="20:119" s="68" customFormat="1">
      <c r="T665" s="37"/>
      <c r="U665" s="249"/>
      <c r="V665" s="249"/>
      <c r="W665" s="248"/>
      <c r="X665" s="37"/>
      <c r="CT665" s="70"/>
      <c r="CU665" s="161"/>
      <c r="CV665" s="161"/>
      <c r="CW665" s="383"/>
      <c r="CX665" s="884"/>
      <c r="CY665" s="884"/>
      <c r="CZ665" s="834"/>
      <c r="DA665" s="107"/>
      <c r="DB665" s="107"/>
      <c r="DC665" s="107"/>
      <c r="DD665" s="107"/>
      <c r="DE665" s="107"/>
      <c r="DF665" s="107"/>
      <c r="DG665" s="107"/>
      <c r="DH665" s="107"/>
      <c r="DI665" s="107"/>
      <c r="DJ665" s="107"/>
      <c r="DK665" s="107"/>
      <c r="DL665" s="107"/>
      <c r="DM665" s="107"/>
      <c r="DN665" s="69"/>
      <c r="DO665" s="69"/>
    </row>
    <row r="666" spans="20:119" s="68" customFormat="1">
      <c r="T666" s="37"/>
      <c r="U666" s="249"/>
      <c r="V666" s="249"/>
      <c r="W666" s="248"/>
      <c r="X666" s="37"/>
      <c r="CT666" s="70"/>
      <c r="CU666" s="161"/>
      <c r="CV666" s="161"/>
      <c r="CW666" s="383"/>
      <c r="CX666" s="884"/>
      <c r="CY666" s="884"/>
      <c r="CZ666" s="834"/>
      <c r="DA666" s="107"/>
      <c r="DB666" s="107"/>
      <c r="DC666" s="107"/>
      <c r="DD666" s="107"/>
      <c r="DE666" s="107"/>
      <c r="DF666" s="107"/>
      <c r="DG666" s="107"/>
      <c r="DH666" s="107"/>
      <c r="DI666" s="107"/>
      <c r="DJ666" s="107"/>
      <c r="DK666" s="107"/>
      <c r="DL666" s="107"/>
      <c r="DM666" s="107"/>
      <c r="DN666" s="69"/>
      <c r="DO666" s="69"/>
    </row>
    <row r="667" spans="20:119" s="68" customFormat="1">
      <c r="T667" s="37"/>
      <c r="U667" s="249"/>
      <c r="V667" s="249"/>
      <c r="W667" s="248"/>
      <c r="X667" s="37"/>
      <c r="CT667" s="70"/>
      <c r="CU667" s="161"/>
      <c r="CV667" s="161"/>
      <c r="CW667" s="383"/>
      <c r="CX667" s="884"/>
      <c r="CY667" s="884"/>
      <c r="CZ667" s="834"/>
      <c r="DA667" s="107"/>
      <c r="DB667" s="107"/>
      <c r="DC667" s="107"/>
      <c r="DD667" s="107"/>
      <c r="DE667" s="107"/>
      <c r="DF667" s="107"/>
      <c r="DG667" s="107"/>
      <c r="DH667" s="107"/>
      <c r="DI667" s="107"/>
      <c r="DJ667" s="107"/>
      <c r="DK667" s="107"/>
      <c r="DL667" s="107"/>
      <c r="DM667" s="107"/>
      <c r="DN667" s="69"/>
      <c r="DO667" s="69"/>
    </row>
    <row r="668" spans="20:119" s="68" customFormat="1">
      <c r="T668" s="37"/>
      <c r="U668" s="249"/>
      <c r="V668" s="249"/>
      <c r="W668" s="248"/>
      <c r="X668" s="37"/>
      <c r="CT668" s="70"/>
      <c r="CU668" s="161"/>
      <c r="CV668" s="161"/>
      <c r="CW668" s="383"/>
      <c r="CX668" s="884"/>
      <c r="CY668" s="884"/>
      <c r="CZ668" s="834"/>
      <c r="DA668" s="107"/>
      <c r="DB668" s="107"/>
      <c r="DC668" s="107"/>
      <c r="DD668" s="107"/>
      <c r="DE668" s="107"/>
      <c r="DF668" s="107"/>
      <c r="DG668" s="107"/>
      <c r="DH668" s="107"/>
      <c r="DI668" s="107"/>
      <c r="DJ668" s="107"/>
      <c r="DK668" s="107"/>
      <c r="DL668" s="107"/>
      <c r="DM668" s="107"/>
      <c r="DN668" s="69"/>
      <c r="DO668" s="69"/>
    </row>
    <row r="669" spans="20:119" s="68" customFormat="1">
      <c r="T669" s="37"/>
      <c r="U669" s="249"/>
      <c r="V669" s="249"/>
      <c r="W669" s="248"/>
      <c r="X669" s="37"/>
      <c r="CT669" s="70"/>
      <c r="CU669" s="161"/>
      <c r="CV669" s="161"/>
      <c r="CW669" s="383"/>
      <c r="CX669" s="884"/>
      <c r="CY669" s="884"/>
      <c r="CZ669" s="834"/>
      <c r="DA669" s="107"/>
      <c r="DB669" s="107"/>
      <c r="DC669" s="107"/>
      <c r="DD669" s="107"/>
      <c r="DE669" s="107"/>
      <c r="DF669" s="107"/>
      <c r="DG669" s="107"/>
      <c r="DH669" s="107"/>
      <c r="DI669" s="107"/>
      <c r="DJ669" s="107"/>
      <c r="DK669" s="107"/>
      <c r="DL669" s="107"/>
      <c r="DM669" s="107"/>
      <c r="DN669" s="69"/>
      <c r="DO669" s="69"/>
    </row>
    <row r="670" spans="20:119" s="68" customFormat="1">
      <c r="T670" s="37"/>
      <c r="U670" s="249"/>
      <c r="V670" s="249"/>
      <c r="W670" s="248"/>
      <c r="X670" s="37"/>
      <c r="CT670" s="70"/>
      <c r="CU670" s="161"/>
      <c r="CV670" s="161"/>
      <c r="CW670" s="383"/>
      <c r="CX670" s="884"/>
      <c r="CY670" s="884"/>
      <c r="CZ670" s="834"/>
      <c r="DA670" s="107"/>
      <c r="DB670" s="107"/>
      <c r="DC670" s="107"/>
      <c r="DD670" s="107"/>
      <c r="DE670" s="107"/>
      <c r="DF670" s="107"/>
      <c r="DG670" s="107"/>
      <c r="DH670" s="107"/>
      <c r="DI670" s="107"/>
      <c r="DJ670" s="107"/>
      <c r="DK670" s="107"/>
      <c r="DL670" s="107"/>
      <c r="DM670" s="107"/>
      <c r="DN670" s="69"/>
      <c r="DO670" s="69"/>
    </row>
    <row r="671" spans="20:119" s="68" customFormat="1">
      <c r="T671" s="37"/>
      <c r="U671" s="249"/>
      <c r="V671" s="249"/>
      <c r="W671" s="248"/>
      <c r="X671" s="37"/>
      <c r="CT671" s="70"/>
      <c r="CU671" s="161"/>
      <c r="CV671" s="161"/>
      <c r="CW671" s="383"/>
      <c r="CX671" s="884"/>
      <c r="CY671" s="884"/>
      <c r="CZ671" s="834"/>
      <c r="DA671" s="107"/>
      <c r="DB671" s="107"/>
      <c r="DC671" s="107"/>
      <c r="DD671" s="107"/>
      <c r="DE671" s="107"/>
      <c r="DF671" s="107"/>
      <c r="DG671" s="107"/>
      <c r="DH671" s="107"/>
      <c r="DI671" s="107"/>
      <c r="DJ671" s="107"/>
      <c r="DK671" s="107"/>
      <c r="DL671" s="107"/>
      <c r="DM671" s="107"/>
      <c r="DN671" s="69"/>
      <c r="DO671" s="69"/>
    </row>
    <row r="672" spans="20:119" s="68" customFormat="1">
      <c r="T672" s="37"/>
      <c r="U672" s="249"/>
      <c r="V672" s="249"/>
      <c r="W672" s="248"/>
      <c r="X672" s="37"/>
      <c r="CT672" s="70"/>
      <c r="CU672" s="161"/>
      <c r="CV672" s="161"/>
      <c r="CW672" s="383"/>
      <c r="CX672" s="884"/>
      <c r="CY672" s="884"/>
      <c r="CZ672" s="834"/>
      <c r="DA672" s="107"/>
      <c r="DB672" s="107"/>
      <c r="DC672" s="107"/>
      <c r="DD672" s="107"/>
      <c r="DE672" s="107"/>
      <c r="DF672" s="107"/>
      <c r="DG672" s="107"/>
      <c r="DH672" s="107"/>
      <c r="DI672" s="107"/>
      <c r="DJ672" s="107"/>
      <c r="DK672" s="107"/>
      <c r="DL672" s="107"/>
      <c r="DM672" s="107"/>
      <c r="DN672" s="69"/>
      <c r="DO672" s="69"/>
    </row>
    <row r="673" spans="20:119" s="68" customFormat="1">
      <c r="T673" s="37"/>
      <c r="U673" s="249"/>
      <c r="V673" s="249"/>
      <c r="W673" s="248"/>
      <c r="X673" s="37"/>
      <c r="CT673" s="70"/>
      <c r="CU673" s="161"/>
      <c r="CV673" s="161"/>
      <c r="CW673" s="383"/>
      <c r="CX673" s="884"/>
      <c r="CY673" s="884"/>
      <c r="CZ673" s="834"/>
      <c r="DA673" s="107"/>
      <c r="DB673" s="107"/>
      <c r="DC673" s="107"/>
      <c r="DD673" s="107"/>
      <c r="DE673" s="107"/>
      <c r="DF673" s="107"/>
      <c r="DG673" s="107"/>
      <c r="DH673" s="107"/>
      <c r="DI673" s="107"/>
      <c r="DJ673" s="107"/>
      <c r="DK673" s="107"/>
      <c r="DL673" s="107"/>
      <c r="DM673" s="107"/>
      <c r="DN673" s="69"/>
      <c r="DO673" s="69"/>
    </row>
    <row r="674" spans="20:119" s="68" customFormat="1">
      <c r="T674" s="37"/>
      <c r="U674" s="249"/>
      <c r="V674" s="249"/>
      <c r="W674" s="248"/>
      <c r="X674" s="37"/>
      <c r="CT674" s="70"/>
      <c r="CU674" s="161"/>
      <c r="CV674" s="161"/>
      <c r="CW674" s="383"/>
      <c r="CX674" s="884"/>
      <c r="CY674" s="884"/>
      <c r="CZ674" s="834"/>
      <c r="DA674" s="107"/>
      <c r="DB674" s="107"/>
      <c r="DC674" s="107"/>
      <c r="DD674" s="107"/>
      <c r="DE674" s="107"/>
      <c r="DF674" s="107"/>
      <c r="DG674" s="107"/>
      <c r="DH674" s="107"/>
      <c r="DI674" s="107"/>
      <c r="DJ674" s="107"/>
      <c r="DK674" s="107"/>
      <c r="DL674" s="107"/>
      <c r="DM674" s="107"/>
      <c r="DN674" s="69"/>
      <c r="DO674" s="69"/>
    </row>
    <row r="675" spans="20:119" s="68" customFormat="1">
      <c r="T675" s="37"/>
      <c r="U675" s="249"/>
      <c r="V675" s="249"/>
      <c r="W675" s="248"/>
      <c r="X675" s="37"/>
      <c r="CT675" s="70"/>
      <c r="CU675" s="161"/>
      <c r="CV675" s="161"/>
      <c r="CW675" s="383"/>
      <c r="CX675" s="884"/>
      <c r="CY675" s="884"/>
      <c r="CZ675" s="834"/>
      <c r="DA675" s="107"/>
      <c r="DB675" s="107"/>
      <c r="DC675" s="107"/>
      <c r="DD675" s="107"/>
      <c r="DE675" s="107"/>
      <c r="DF675" s="107"/>
      <c r="DG675" s="107"/>
      <c r="DH675" s="107"/>
      <c r="DI675" s="107"/>
      <c r="DJ675" s="107"/>
      <c r="DK675" s="107"/>
      <c r="DL675" s="107"/>
      <c r="DM675" s="107"/>
      <c r="DN675" s="69"/>
      <c r="DO675" s="69"/>
    </row>
    <row r="676" spans="20:119" s="68" customFormat="1">
      <c r="T676" s="37"/>
      <c r="U676" s="249"/>
      <c r="V676" s="249"/>
      <c r="W676" s="248"/>
      <c r="X676" s="37"/>
      <c r="CT676" s="70"/>
      <c r="CU676" s="161"/>
      <c r="CV676" s="161"/>
      <c r="CW676" s="383"/>
      <c r="CX676" s="884"/>
      <c r="CY676" s="884"/>
      <c r="CZ676" s="834"/>
      <c r="DA676" s="107"/>
      <c r="DB676" s="107"/>
      <c r="DC676" s="107"/>
      <c r="DD676" s="107"/>
      <c r="DE676" s="107"/>
      <c r="DF676" s="107"/>
      <c r="DG676" s="107"/>
      <c r="DH676" s="107"/>
      <c r="DI676" s="107"/>
      <c r="DJ676" s="107"/>
      <c r="DK676" s="107"/>
      <c r="DL676" s="107"/>
      <c r="DM676" s="107"/>
      <c r="DN676" s="69"/>
      <c r="DO676" s="69"/>
    </row>
    <row r="677" spans="20:119" s="68" customFormat="1">
      <c r="T677" s="37"/>
      <c r="U677" s="249"/>
      <c r="V677" s="249"/>
      <c r="W677" s="248"/>
      <c r="X677" s="37"/>
      <c r="CT677" s="70"/>
      <c r="CU677" s="161"/>
      <c r="CV677" s="161"/>
      <c r="CW677" s="383"/>
      <c r="CX677" s="884"/>
      <c r="CY677" s="884"/>
      <c r="CZ677" s="834"/>
      <c r="DA677" s="107"/>
      <c r="DB677" s="107"/>
      <c r="DC677" s="107"/>
      <c r="DD677" s="107"/>
      <c r="DE677" s="107"/>
      <c r="DF677" s="107"/>
      <c r="DG677" s="107"/>
      <c r="DH677" s="107"/>
      <c r="DI677" s="107"/>
      <c r="DJ677" s="107"/>
      <c r="DK677" s="107"/>
      <c r="DL677" s="107"/>
      <c r="DM677" s="107"/>
      <c r="DN677" s="69"/>
      <c r="DO677" s="69"/>
    </row>
    <row r="678" spans="20:119" s="68" customFormat="1">
      <c r="T678" s="37"/>
      <c r="U678" s="249"/>
      <c r="V678" s="249"/>
      <c r="W678" s="248"/>
      <c r="X678" s="37"/>
      <c r="CT678" s="70"/>
      <c r="CU678" s="161"/>
      <c r="CV678" s="161"/>
      <c r="CW678" s="383"/>
      <c r="CX678" s="884"/>
      <c r="CY678" s="884"/>
      <c r="CZ678" s="834"/>
      <c r="DA678" s="107"/>
      <c r="DB678" s="107"/>
      <c r="DC678" s="107"/>
      <c r="DD678" s="107"/>
      <c r="DE678" s="107"/>
      <c r="DF678" s="107"/>
      <c r="DG678" s="107"/>
      <c r="DH678" s="107"/>
      <c r="DI678" s="107"/>
      <c r="DJ678" s="107"/>
      <c r="DK678" s="107"/>
      <c r="DL678" s="107"/>
      <c r="DM678" s="107"/>
      <c r="DN678" s="69"/>
      <c r="DO678" s="69"/>
    </row>
    <row r="679" spans="20:119" s="68" customFormat="1">
      <c r="T679" s="37"/>
      <c r="U679" s="249"/>
      <c r="V679" s="249"/>
      <c r="W679" s="248"/>
      <c r="X679" s="37"/>
      <c r="CT679" s="70"/>
      <c r="CU679" s="161"/>
      <c r="CV679" s="161"/>
      <c r="CW679" s="383"/>
      <c r="CX679" s="884"/>
      <c r="CY679" s="884"/>
      <c r="CZ679" s="834"/>
      <c r="DA679" s="107"/>
      <c r="DB679" s="107"/>
      <c r="DC679" s="107"/>
      <c r="DD679" s="107"/>
      <c r="DE679" s="107"/>
      <c r="DF679" s="107"/>
      <c r="DG679" s="107"/>
      <c r="DH679" s="107"/>
      <c r="DI679" s="107"/>
      <c r="DJ679" s="107"/>
      <c r="DK679" s="107"/>
      <c r="DL679" s="107"/>
      <c r="DM679" s="107"/>
      <c r="DN679" s="69"/>
      <c r="DO679" s="69"/>
    </row>
    <row r="680" spans="20:119" s="68" customFormat="1">
      <c r="T680" s="37"/>
      <c r="U680" s="249"/>
      <c r="V680" s="249"/>
      <c r="W680" s="248"/>
      <c r="X680" s="37"/>
      <c r="CT680" s="70"/>
      <c r="CU680" s="161"/>
      <c r="CV680" s="161"/>
      <c r="CW680" s="383"/>
      <c r="CX680" s="884"/>
      <c r="CY680" s="884"/>
      <c r="CZ680" s="834"/>
      <c r="DA680" s="107"/>
      <c r="DB680" s="107"/>
      <c r="DC680" s="107"/>
      <c r="DD680" s="107"/>
      <c r="DE680" s="107"/>
      <c r="DF680" s="107"/>
      <c r="DG680" s="107"/>
      <c r="DH680" s="107"/>
      <c r="DI680" s="107"/>
      <c r="DJ680" s="107"/>
      <c r="DK680" s="107"/>
      <c r="DL680" s="107"/>
      <c r="DM680" s="107"/>
      <c r="DN680" s="69"/>
      <c r="DO680" s="69"/>
    </row>
    <row r="1000" spans="1:1">
      <c r="A1000" s="71">
        <v>70</v>
      </c>
    </row>
  </sheetData>
  <sheetProtection algorithmName="SHA-512" hashValue="af2nHUa4HtyQgKEEdcvN2NPo2nF9MZCp4ycqhKE6GUa0OzpUzgYJoCpiB4YVdbhuz9AMH8DY52qMZ9bRuDOTpg==" saltValue="SdN5WXBb2bL23ldXCYVfeA==" spinCount="100000" sheet="1" objects="1" scenarios="1"/>
  <mergeCells count="86">
    <mergeCell ref="H34:S34"/>
    <mergeCell ref="H68:S68"/>
    <mergeCell ref="T68:T69"/>
    <mergeCell ref="T34:T35"/>
    <mergeCell ref="E62:G62"/>
    <mergeCell ref="E63:G63"/>
    <mergeCell ref="A5:A13"/>
    <mergeCell ref="E38:G38"/>
    <mergeCell ref="E39:G39"/>
    <mergeCell ref="E59:F59"/>
    <mergeCell ref="E60:F60"/>
    <mergeCell ref="E29:G29"/>
    <mergeCell ref="E49:F49"/>
    <mergeCell ref="E33:G33"/>
    <mergeCell ref="E50:G50"/>
    <mergeCell ref="A16:A20"/>
    <mergeCell ref="C110:C115"/>
    <mergeCell ref="C99:C104"/>
    <mergeCell ref="C51:C58"/>
    <mergeCell ref="C14:C16"/>
    <mergeCell ref="C6:C13"/>
    <mergeCell ref="C17:C24"/>
    <mergeCell ref="M162:O162"/>
    <mergeCell ref="E158:G159"/>
    <mergeCell ref="E160:G161"/>
    <mergeCell ref="I127:L127"/>
    <mergeCell ref="M127:P127"/>
    <mergeCell ref="E141:F142"/>
    <mergeCell ref="E148:F149"/>
    <mergeCell ref="E150:F151"/>
    <mergeCell ref="E139:F140"/>
    <mergeCell ref="Q127:T127"/>
    <mergeCell ref="Q97:T97"/>
    <mergeCell ref="E97:F97"/>
    <mergeCell ref="E109:F109"/>
    <mergeCell ref="E61:G61"/>
    <mergeCell ref="E64:G64"/>
    <mergeCell ref="M120:P120"/>
    <mergeCell ref="I120:L120"/>
    <mergeCell ref="Q120:T120"/>
    <mergeCell ref="M98:N98"/>
    <mergeCell ref="E65:G65"/>
    <mergeCell ref="E66:G66"/>
    <mergeCell ref="M97:P97"/>
    <mergeCell ref="Q98:R98"/>
    <mergeCell ref="I109:J109"/>
    <mergeCell ref="M109:N109"/>
    <mergeCell ref="Q109:R109"/>
    <mergeCell ref="E67:G67"/>
    <mergeCell ref="I97:L97"/>
    <mergeCell ref="I98:J98"/>
    <mergeCell ref="E98:F98"/>
    <mergeCell ref="I95:L95"/>
    <mergeCell ref="M95:P95"/>
    <mergeCell ref="E120:F120"/>
    <mergeCell ref="E126:F126"/>
    <mergeCell ref="E4:G4"/>
    <mergeCell ref="C25:C27"/>
    <mergeCell ref="E30:G30"/>
    <mergeCell ref="E32:G32"/>
    <mergeCell ref="E48:F48"/>
    <mergeCell ref="E5:G5"/>
    <mergeCell ref="E16:G16"/>
    <mergeCell ref="C38:C39"/>
    <mergeCell ref="E31:G31"/>
    <mergeCell ref="C40:C47"/>
    <mergeCell ref="E28:G28"/>
    <mergeCell ref="E25:F25"/>
    <mergeCell ref="E27:G27"/>
    <mergeCell ref="C4:C5"/>
    <mergeCell ref="F168:G168"/>
    <mergeCell ref="F169:G169"/>
    <mergeCell ref="F170:G170"/>
    <mergeCell ref="F171:G171"/>
    <mergeCell ref="W5:X5"/>
    <mergeCell ref="Q122:S122"/>
    <mergeCell ref="I123:K123"/>
    <mergeCell ref="M123:O123"/>
    <mergeCell ref="Q123:S123"/>
    <mergeCell ref="U5:V5"/>
    <mergeCell ref="Q95:T95"/>
    <mergeCell ref="I118:K118"/>
    <mergeCell ref="M118:O118"/>
    <mergeCell ref="I121:K121"/>
    <mergeCell ref="I122:K122"/>
    <mergeCell ref="M122:O122"/>
  </mergeCells>
  <phoneticPr fontId="74" type="noConversion"/>
  <conditionalFormatting sqref="A5:A13">
    <cfRule type="expression" dxfId="636" priority="154">
      <formula>IF($A$4=9,1,0)</formula>
    </cfRule>
  </conditionalFormatting>
  <conditionalFormatting sqref="A16 A21:A26">
    <cfRule type="expression" dxfId="635" priority="4228">
      <formula>IF($A$14=9,1,0)</formula>
    </cfRule>
  </conditionalFormatting>
  <conditionalFormatting sqref="B5">
    <cfRule type="expression" dxfId="634" priority="93">
      <formula>IF(A4=9,0,1)</formula>
    </cfRule>
  </conditionalFormatting>
  <conditionalFormatting sqref="B16">
    <cfRule type="expression" dxfId="633" priority="4231">
      <formula>IF($A$14=9,0,1)</formula>
    </cfRule>
  </conditionalFormatting>
  <conditionalFormatting sqref="C4 Y28 C38 C48:C50 C60 Y62 C97">
    <cfRule type="expression" dxfId="632" priority="829">
      <formula>IF($CQ$3&gt;0,1,0)</formula>
    </cfRule>
  </conditionalFormatting>
  <conditionalFormatting sqref="C14">
    <cfRule type="expression" dxfId="631" priority="705">
      <formula>IF($CQ$3&gt;0,1,0)</formula>
    </cfRule>
  </conditionalFormatting>
  <conditionalFormatting sqref="C25">
    <cfRule type="expression" dxfId="630" priority="397">
      <formula>IF($CQ$3&gt;0,1,0)</formula>
    </cfRule>
  </conditionalFormatting>
  <conditionalFormatting sqref="E5">
    <cfRule type="expression" dxfId="629" priority="153">
      <formula>IF($CV$4=1,1,0)</formula>
    </cfRule>
  </conditionalFormatting>
  <conditionalFormatting sqref="E6">
    <cfRule type="expression" dxfId="628" priority="12">
      <formula>IF($E$5=$CU$6,1,0)</formula>
    </cfRule>
  </conditionalFormatting>
  <conditionalFormatting sqref="E16">
    <cfRule type="expression" dxfId="627" priority="155">
      <formula>IF(CV16=1,1,0)</formula>
    </cfRule>
  </conditionalFormatting>
  <conditionalFormatting sqref="E51 G51 T51 E52:T52 E53 G53 T53 E54:T54 E55 G55 T55 E56:T56 E57 G57:T57 E58:T60">
    <cfRule type="expression" dxfId="626" priority="3918">
      <formula>IF($E$50=$CU$6,1,0)</formula>
    </cfRule>
  </conditionalFormatting>
  <conditionalFormatting sqref="E5:G5">
    <cfRule type="expression" dxfId="625" priority="96">
      <formula>IF($A$4=9,1,0)</formula>
    </cfRule>
    <cfRule type="expression" dxfId="624" priority="835">
      <formula>IF($E$5=$CU$6,0,1)</formula>
    </cfRule>
  </conditionalFormatting>
  <conditionalFormatting sqref="E16:G16">
    <cfRule type="expression" dxfId="623" priority="4229">
      <formula>IF($A$14=9,1,0)</formula>
    </cfRule>
    <cfRule type="expression" dxfId="622" priority="4230">
      <formula>IF($E$5=$CU$6,0,1)</formula>
    </cfRule>
  </conditionalFormatting>
  <conditionalFormatting sqref="E29:G29">
    <cfRule type="expression" dxfId="621" priority="4216">
      <formula>IF($E$29=$CW$147,0,1)</formula>
    </cfRule>
  </conditionalFormatting>
  <conditionalFormatting sqref="E63:G63">
    <cfRule type="expression" dxfId="620" priority="4215">
      <formula>IF($E$63=$CW$147,0,1)</formula>
    </cfRule>
  </conditionalFormatting>
  <conditionalFormatting sqref="E7:T13 F6:G6 T6 E14:G15">
    <cfRule type="expression" dxfId="619" priority="3905">
      <formula>IF($E$5=$CU$6,1,0)</formula>
    </cfRule>
  </conditionalFormatting>
  <conditionalFormatting sqref="E25:T26">
    <cfRule type="expression" dxfId="618" priority="10">
      <formula>IF($E$16=$CU$6,1,0)</formula>
    </cfRule>
  </conditionalFormatting>
  <conditionalFormatting sqref="E41:T41">
    <cfRule type="expression" dxfId="617" priority="3945">
      <formula>IF($E$39=$CU$6,1,0)</formula>
    </cfRule>
  </conditionalFormatting>
  <conditionalFormatting sqref="E43:T49 E41:T41 E40:G40 E42:G42 T40 T42">
    <cfRule type="expression" dxfId="616" priority="3916">
      <formula>IF($E$39=$CU$6,1,0)</formula>
    </cfRule>
  </conditionalFormatting>
  <conditionalFormatting sqref="E110:T117 F118:T119">
    <cfRule type="expression" dxfId="615" priority="185">
      <formula>IF($E$109=$CU$6,1,0)</formula>
    </cfRule>
  </conditionalFormatting>
  <conditionalFormatting sqref="F6">
    <cfRule type="expression" dxfId="614" priority="108">
      <formula>IF($F$6="-",1,0)</formula>
    </cfRule>
  </conditionalFormatting>
  <conditionalFormatting sqref="F7">
    <cfRule type="expression" dxfId="613" priority="144">
      <formula>IF(AND($T7=0,$F7&gt;0),1,0)</formula>
    </cfRule>
  </conditionalFormatting>
  <conditionalFormatting sqref="F8">
    <cfRule type="expression" dxfId="612" priority="107">
      <formula>IF($F$8="-",1,0)</formula>
    </cfRule>
  </conditionalFormatting>
  <conditionalFormatting sqref="F9 F11 F13 F7">
    <cfRule type="cellIs" dxfId="611" priority="559" operator="greaterThan">
      <formula>0</formula>
    </cfRule>
  </conditionalFormatting>
  <conditionalFormatting sqref="F9">
    <cfRule type="expression" dxfId="610" priority="266">
      <formula>IF(AND($T9=0,$F9&gt;0),1,0)</formula>
    </cfRule>
  </conditionalFormatting>
  <conditionalFormatting sqref="F10 F12">
    <cfRule type="expression" dxfId="609" priority="106">
      <formula>IF($F$10="-",1,0)</formula>
    </cfRule>
  </conditionalFormatting>
  <conditionalFormatting sqref="F11">
    <cfRule type="expression" dxfId="608" priority="148">
      <formula>IF(AND($T11=0,$F11&gt;0),1,0)</formula>
    </cfRule>
  </conditionalFormatting>
  <conditionalFormatting sqref="F13">
    <cfRule type="expression" dxfId="607" priority="145">
      <formula>IF(AND($T13=0,$F13&gt;0),1,0)</formula>
    </cfRule>
  </conditionalFormatting>
  <conditionalFormatting sqref="F17 F19 F21 F23">
    <cfRule type="expression" dxfId="606" priority="104">
      <formula>IF($F$19="-",1,0)</formula>
    </cfRule>
  </conditionalFormatting>
  <conditionalFormatting sqref="F17">
    <cfRule type="expression" dxfId="605" priority="118">
      <formula>IF($E$5=$CU$6,1,0)</formula>
    </cfRule>
  </conditionalFormatting>
  <conditionalFormatting sqref="F18 F20 F22 F24">
    <cfRule type="cellIs" dxfId="604" priority="3910" operator="greaterThan">
      <formula>0</formula>
    </cfRule>
  </conditionalFormatting>
  <conditionalFormatting sqref="F18">
    <cfRule type="expression" dxfId="603" priority="274">
      <formula>IF(AND($T18=0,$F18&gt;0),1,0)</formula>
    </cfRule>
  </conditionalFormatting>
  <conditionalFormatting sqref="F19">
    <cfRule type="expression" dxfId="602" priority="117">
      <formula>IF($E16=$CU$6,1,0)</formula>
    </cfRule>
  </conditionalFormatting>
  <conditionalFormatting sqref="F20">
    <cfRule type="expression" dxfId="601" priority="544">
      <formula>IF(AND($T20=0,$F20&gt;0),1,0)</formula>
    </cfRule>
  </conditionalFormatting>
  <conditionalFormatting sqref="F21">
    <cfRule type="expression" dxfId="600" priority="116">
      <formula>IF($E$16=$CU$6,1,0)</formula>
    </cfRule>
  </conditionalFormatting>
  <conditionalFormatting sqref="F22">
    <cfRule type="expression" dxfId="599" priority="142">
      <formula>IF(AND($T22=0,$F22&gt;0),1,0)</formula>
    </cfRule>
  </conditionalFormatting>
  <conditionalFormatting sqref="F23">
    <cfRule type="expression" dxfId="598" priority="115">
      <formula>IF($E$16=$CU$6,1,0)</formula>
    </cfRule>
  </conditionalFormatting>
  <conditionalFormatting sqref="F24">
    <cfRule type="expression" dxfId="597" priority="542">
      <formula>IF(AND($T24=0,$F24&gt;0),1,0)</formula>
    </cfRule>
  </conditionalFormatting>
  <conditionalFormatting sqref="F40 F42 F44 F46">
    <cfRule type="expression" dxfId="596" priority="103">
      <formula>IF($F$40="-",1,0)</formula>
    </cfRule>
  </conditionalFormatting>
  <conditionalFormatting sqref="F41 F43 F45 F47">
    <cfRule type="cellIs" dxfId="595" priority="680" operator="greaterThan">
      <formula>0</formula>
    </cfRule>
  </conditionalFormatting>
  <conditionalFormatting sqref="F41">
    <cfRule type="expression" dxfId="594" priority="529">
      <formula>IF(AND($T41=0,$F41&gt;0),1,0)</formula>
    </cfRule>
  </conditionalFormatting>
  <conditionalFormatting sqref="F43">
    <cfRule type="expression" dxfId="593" priority="527">
      <formula>IF(AND($T43=0,$F43&gt;0),1,0)</formula>
    </cfRule>
  </conditionalFormatting>
  <conditionalFormatting sqref="F45">
    <cfRule type="expression" dxfId="592" priority="526">
      <formula>IF(AND($T45=0,$F45&gt;0),1,0)</formula>
    </cfRule>
  </conditionalFormatting>
  <conditionalFormatting sqref="F47">
    <cfRule type="expression" dxfId="591" priority="141">
      <formula>IF(AND($T47=0,$F47&gt;0),1,0)</formula>
    </cfRule>
  </conditionalFormatting>
  <conditionalFormatting sqref="F51 F53 F55 F57">
    <cfRule type="expression" dxfId="590" priority="102">
      <formula>IF($F$51="-",1,0)</formula>
    </cfRule>
  </conditionalFormatting>
  <conditionalFormatting sqref="F51">
    <cfRule type="expression" dxfId="589" priority="114">
      <formula>IF($E$5=$CU$6,1,0)</formula>
    </cfRule>
  </conditionalFormatting>
  <conditionalFormatting sqref="F52 F54 F56 F58">
    <cfRule type="cellIs" dxfId="588" priority="3354" operator="greaterThan">
      <formula>0</formula>
    </cfRule>
  </conditionalFormatting>
  <conditionalFormatting sqref="F52">
    <cfRule type="expression" dxfId="587" priority="524">
      <formula>IF(AND($T52=0,$F52&gt;0),1,0)</formula>
    </cfRule>
  </conditionalFormatting>
  <conditionalFormatting sqref="F53">
    <cfRule type="expression" dxfId="586" priority="113">
      <formula>IF($E$5=$CU$6,1,0)</formula>
    </cfRule>
  </conditionalFormatting>
  <conditionalFormatting sqref="F54">
    <cfRule type="expression" dxfId="585" priority="523">
      <formula>IF(AND($T54=0,$F54&gt;0),1,0)</formula>
    </cfRule>
  </conditionalFormatting>
  <conditionalFormatting sqref="F55">
    <cfRule type="expression" dxfId="584" priority="112">
      <formula>IF($E$5=$CU$6,1,0)</formula>
    </cfRule>
  </conditionalFormatting>
  <conditionalFormatting sqref="F56">
    <cfRule type="expression" dxfId="583" priority="522">
      <formula>IF(AND($T56=0,$F56&gt;0),1,0)</formula>
    </cfRule>
  </conditionalFormatting>
  <conditionalFormatting sqref="F57">
    <cfRule type="expression" dxfId="582" priority="111">
      <formula>IF($E$5=$CU$6,1,0)</formula>
    </cfRule>
  </conditionalFormatting>
  <conditionalFormatting sqref="F58">
    <cfRule type="expression" dxfId="581" priority="140">
      <formula>IF(AND($T58=0,$F58&gt;0),1,0)</formula>
    </cfRule>
  </conditionalFormatting>
  <conditionalFormatting sqref="G6">
    <cfRule type="expression" dxfId="580" priority="812">
      <formula>IF(_xlfn.XOR($G$6&gt;0,$T$6&gt;0),IF($E$5=$CV$6,0,1))</formula>
    </cfRule>
  </conditionalFormatting>
  <conditionalFormatting sqref="G7 G9 G11 G13">
    <cfRule type="expression" dxfId="579" priority="4038">
      <formula>IF($E$5=$CV$6,1,0)</formula>
    </cfRule>
  </conditionalFormatting>
  <conditionalFormatting sqref="G18 G20 G22 G24">
    <cfRule type="expression" dxfId="578" priority="4042">
      <formula>IF($E$16=$CV$6,1,0)</formula>
    </cfRule>
  </conditionalFormatting>
  <conditionalFormatting sqref="G40 G42 G44 G46 G6 G8 G10 G12">
    <cfRule type="expression" dxfId="577" priority="3963">
      <formula>IF(AND($E$5=$CV$6,$G6&gt;0),1,0)</formula>
    </cfRule>
  </conditionalFormatting>
  <conditionalFormatting sqref="G40">
    <cfRule type="expression" dxfId="576" priority="537">
      <formula>IF(_xlfn.XOR($G$40&gt;0,$T$40&gt;0),IF($E$39=$CV$6,0,1),0)</formula>
    </cfRule>
  </conditionalFormatting>
  <conditionalFormatting sqref="G41">
    <cfRule type="expression" dxfId="575" priority="9">
      <formula>IF($E$39=$CV$6,1,0)</formula>
    </cfRule>
  </conditionalFormatting>
  <conditionalFormatting sqref="G42">
    <cfRule type="expression" dxfId="574" priority="521">
      <formula>IF(_xlfn.XOR($G$42&gt;0,$T$42&gt;0),IF($E$39=$CV$6,0,1),0)</formula>
    </cfRule>
  </conditionalFormatting>
  <conditionalFormatting sqref="G43 G45 G47">
    <cfRule type="expression" dxfId="573" priority="8">
      <formula>IF($E$39=$CV$6,1,0)</formula>
    </cfRule>
  </conditionalFormatting>
  <conditionalFormatting sqref="G49">
    <cfRule type="cellIs" dxfId="572" priority="808" operator="greaterThan">
      <formula>0</formula>
    </cfRule>
    <cfRule type="expression" dxfId="571" priority="3138">
      <formula>IF($F$15="",1,0)</formula>
    </cfRule>
  </conditionalFormatting>
  <conditionalFormatting sqref="G51 G53 G55 G57 G17 G19 G21 G23">
    <cfRule type="expression" dxfId="570" priority="539">
      <formula>IF(AND($E$16=$CV$6,$G17&gt;0),1,0)</formula>
    </cfRule>
  </conditionalFormatting>
  <conditionalFormatting sqref="G51">
    <cfRule type="expression" dxfId="569" priority="512">
      <formula>IF(_xlfn.XOR($G$51&gt;0,$T$51&gt;0),IF($E$50=$CV$6,0,1),0)</formula>
    </cfRule>
  </conditionalFormatting>
  <conditionalFormatting sqref="G52 G54 G56 G58">
    <cfRule type="expression" dxfId="568" priority="7">
      <formula>IF($E$50=$CV$6,1,0)</formula>
    </cfRule>
  </conditionalFormatting>
  <conditionalFormatting sqref="G53">
    <cfRule type="expression" dxfId="567" priority="3917">
      <formula>IF(_xlfn.XOR($G$53&gt;0,$T$53&gt;0),IF($E$50=$CV$6,0,1),0)</formula>
    </cfRule>
  </conditionalFormatting>
  <conditionalFormatting sqref="G55 G57:T57 E58:T60 E51 G51 T51 E52:T52 E53 G53 T53 E54:T54 E55 T55 E56:T56 E57">
    <cfRule type="expression" dxfId="566" priority="510">
      <formula>IF($E$50=$CU$6,1,0)</formula>
    </cfRule>
  </conditionalFormatting>
  <conditionalFormatting sqref="G55">
    <cfRule type="expression" dxfId="565" priority="508">
      <formula>IF(_xlfn.XOR($G$55&gt;0,$T$55&gt;0),IF($E$50=$CV$6,0,1),0)</formula>
    </cfRule>
  </conditionalFormatting>
  <conditionalFormatting sqref="G60">
    <cfRule type="expression" dxfId="564" priority="386">
      <formula>IF($F$15="",1,0)</formula>
    </cfRule>
    <cfRule type="cellIs" dxfId="563" priority="384" operator="greaterThan">
      <formula>0</formula>
    </cfRule>
  </conditionalFormatting>
  <conditionalFormatting sqref="G177:G178">
    <cfRule type="cellIs" dxfId="562" priority="827" stopIfTrue="1" operator="greaterThan">
      <formula>0</formula>
    </cfRule>
  </conditionalFormatting>
  <conditionalFormatting sqref="G8:S8">
    <cfRule type="expression" dxfId="561" priority="3906">
      <formula>IF(_xlfn.XOR($G$8&gt;0,$T$8&gt;0),IF($E$5=$CV$6,0,1),0)</formula>
    </cfRule>
  </conditionalFormatting>
  <conditionalFormatting sqref="G10:S10">
    <cfRule type="expression" dxfId="560" priority="3907">
      <formula>IF(_xlfn.XOR($G$10&gt;0,$T$10&gt;0),IF($E$5=$CV$6,0,1),0)</formula>
    </cfRule>
  </conditionalFormatting>
  <conditionalFormatting sqref="G12:S12">
    <cfRule type="expression" dxfId="559" priority="3908">
      <formula>IF(_xlfn.XOR($G$12&gt;0,$T$12&gt;0),IF($E$5=$CV$6,0,1),0)</formula>
    </cfRule>
  </conditionalFormatting>
  <conditionalFormatting sqref="G17:S17">
    <cfRule type="expression" dxfId="558" priority="549">
      <formula>IF(_xlfn.XOR($G$17&gt;0,$T$17&gt;0),IF($E$16=$CV$6,0,1),0)</formula>
    </cfRule>
  </conditionalFormatting>
  <conditionalFormatting sqref="G19:S19">
    <cfRule type="expression" dxfId="557" priority="3909">
      <formula>IF(_xlfn.XOR($G$19&gt;0,$T$19&gt;0),IF($E$16=$CV$6,0,1),0)</formula>
    </cfRule>
  </conditionalFormatting>
  <conditionalFormatting sqref="G21:S21">
    <cfRule type="expression" dxfId="556" priority="546">
      <formula>IF(_xlfn.XOR($G$21&gt;0,$T$21&gt;0),IF($E$16=$CV$6,0,1),0)</formula>
    </cfRule>
  </conditionalFormatting>
  <conditionalFormatting sqref="G23:S23">
    <cfRule type="expression" dxfId="555" priority="541">
      <formula>IF(_xlfn.XOR($G$23&gt;0,$T$23&gt;0),IF($E$16=$CV$6,0,1),0)</formula>
    </cfRule>
  </conditionalFormatting>
  <conditionalFormatting sqref="G44:S44">
    <cfRule type="expression" dxfId="554" priority="519">
      <formula>IF(_xlfn.XOR($G$44&gt;0,$T$44&gt;0),IF($E$39=$CV$6,0,1),0)</formula>
    </cfRule>
  </conditionalFormatting>
  <conditionalFormatting sqref="G46:S46">
    <cfRule type="expression" dxfId="553" priority="517">
      <formula>IF(_xlfn.XOR($G$46&gt;0,$T$46&gt;0),IF($E$39=$CV$6,0,1),0)</formula>
    </cfRule>
  </conditionalFormatting>
  <conditionalFormatting sqref="G57:S57">
    <cfRule type="expression" dxfId="552" priority="506">
      <formula>IF(_xlfn.XOR($G$57&gt;0,$T$57&gt;0),IF($E$50=$CV$6,0,1),0)</formula>
    </cfRule>
  </conditionalFormatting>
  <conditionalFormatting sqref="G21:T21 E20:T20 E18:T18 E24:T24 G23:T23 G17:T17 G19:T19 E22:T22 E17 E19 E21 E23">
    <cfRule type="expression" dxfId="551" priority="547">
      <formula>IF($E$16=$CU$6,1,0)</formula>
    </cfRule>
  </conditionalFormatting>
  <conditionalFormatting sqref="H158:L161">
    <cfRule type="cellIs" dxfId="550" priority="818" operator="greaterThan">
      <formula>0</formula>
    </cfRule>
  </conditionalFormatting>
  <conditionalFormatting sqref="H6:S6">
    <cfRule type="expression" dxfId="549" priority="31">
      <formula>IF($E$5=$CU$6,1,0)</formula>
    </cfRule>
    <cfRule type="expression" dxfId="548" priority="29">
      <formula>IF(_xlfn.XOR($G$6&gt;0,$T$6&gt;0),IF($E$5=$CV$6,0,1),0)</formula>
    </cfRule>
    <cfRule type="cellIs" dxfId="547" priority="30" operator="greaterThan">
      <formula>0</formula>
    </cfRule>
  </conditionalFormatting>
  <conditionalFormatting sqref="H12:S12 H10:S10 H8:S8">
    <cfRule type="cellIs" dxfId="543" priority="3944" operator="greaterThan">
      <formula>0</formula>
    </cfRule>
  </conditionalFormatting>
  <conditionalFormatting sqref="H17:S17">
    <cfRule type="cellIs" dxfId="541" priority="4046" operator="greaterThan">
      <formula>0</formula>
    </cfRule>
  </conditionalFormatting>
  <conditionalFormatting sqref="H18:S18 H20:S20 H22:S22 H24:S24 H7:T7 H9:T9 H11:T11 H13:T13 H41:S41 H43:S43 H45:S45 H47:S47 H52:S52 H54:S54 H56:S56 H58:S58">
    <cfRule type="expression" dxfId="540" priority="3889">
      <formula>IF($E$5=$CV$6,1,0)</formula>
    </cfRule>
  </conditionalFormatting>
  <conditionalFormatting sqref="H18:S18 H20:S20 H22:S22 H24:S24">
    <cfRule type="expression" dxfId="539" priority="3957">
      <formula>IF($E$5=$CU$6,1,0)</formula>
    </cfRule>
  </conditionalFormatting>
  <conditionalFormatting sqref="H19:S19">
    <cfRule type="cellIs" dxfId="536" priority="3967" operator="greaterThan">
      <formula>0</formula>
    </cfRule>
  </conditionalFormatting>
  <conditionalFormatting sqref="H21:S21">
    <cfRule type="cellIs" dxfId="534" priority="3911" operator="greaterThan">
      <formula>0</formula>
    </cfRule>
  </conditionalFormatting>
  <conditionalFormatting sqref="H23:S23">
    <cfRule type="cellIs" dxfId="532" priority="3912" operator="greaterThan">
      <formula>0</formula>
    </cfRule>
  </conditionalFormatting>
  <conditionalFormatting sqref="H28:S29">
    <cfRule type="cellIs" dxfId="530" priority="706" operator="greaterThan">
      <formula>0</formula>
    </cfRule>
  </conditionalFormatting>
  <conditionalFormatting sqref="H34:S34">
    <cfRule type="cellIs" dxfId="529" priority="119" operator="greaterThan">
      <formula>0</formula>
    </cfRule>
  </conditionalFormatting>
  <conditionalFormatting sqref="H40:S40">
    <cfRule type="expression" dxfId="528" priority="4">
      <formula>IF($E$16=$CU$6,1,0)</formula>
    </cfRule>
    <cfRule type="expression" dxfId="527" priority="5">
      <formula>IF(_xlfn.XOR($G$17&gt;0,$T$17&gt;0),IF($E$16=$CV$6,0,1),0)</formula>
    </cfRule>
    <cfRule type="cellIs" dxfId="526" priority="6" operator="greaterThan">
      <formula>0</formula>
    </cfRule>
  </conditionalFormatting>
  <conditionalFormatting sqref="H42:S42">
    <cfRule type="expression" dxfId="525" priority="2">
      <formula>IF(_xlfn.XOR($G$17&gt;0,$T$17&gt;0),IF($E$16=$CV$6,0,1),0)</formula>
    </cfRule>
    <cfRule type="cellIs" dxfId="524" priority="3" operator="greaterThan">
      <formula>0</formula>
    </cfRule>
    <cfRule type="expression" dxfId="523" priority="1">
      <formula>IF($E$16=$CU$6,1,0)</formula>
    </cfRule>
  </conditionalFormatting>
  <conditionalFormatting sqref="H44:S44">
    <cfRule type="cellIs" dxfId="522" priority="3915" operator="greaterThan">
      <formula>0</formula>
    </cfRule>
  </conditionalFormatting>
  <conditionalFormatting sqref="H46:S46">
    <cfRule type="cellIs" dxfId="521" priority="3913" operator="greaterThan">
      <formula>0</formula>
    </cfRule>
  </conditionalFormatting>
  <conditionalFormatting sqref="H51:S51">
    <cfRule type="expression" dxfId="520" priority="24">
      <formula>IF(_xlfn.XOR($G$51&gt;0,$T$51&gt;0),IF($E$16=$CV$6,0,1),0)</formula>
    </cfRule>
    <cfRule type="cellIs" dxfId="519" priority="25" operator="greaterThan">
      <formula>0</formula>
    </cfRule>
    <cfRule type="expression" dxfId="518" priority="23">
      <formula>IF($E$16=$CU$6,1,0)</formula>
    </cfRule>
  </conditionalFormatting>
  <conditionalFormatting sqref="H52:S52">
    <cfRule type="expression" dxfId="517" priority="3962">
      <formula>IF($E$39=$CU$6,1,0)</formula>
    </cfRule>
  </conditionalFormatting>
  <conditionalFormatting sqref="H53:S53">
    <cfRule type="expression" dxfId="516" priority="17">
      <formula>IF($E$16=$CU$6,1,0)</formula>
    </cfRule>
    <cfRule type="expression" dxfId="515" priority="18">
      <formula>IF(_xlfn.XOR($G$53&gt;0,$T$53&gt;0),IF($E$16=$CV$6,0,1),0)</formula>
    </cfRule>
    <cfRule type="cellIs" dxfId="514" priority="19" operator="greaterThan">
      <formula>0</formula>
    </cfRule>
  </conditionalFormatting>
  <conditionalFormatting sqref="H55:S55">
    <cfRule type="expression" dxfId="513" priority="14">
      <formula>IF($E$16=$CU$6,1,0)</formula>
    </cfRule>
    <cfRule type="expression" dxfId="512" priority="15">
      <formula>IF(_xlfn.XOR($G$55&gt;0,$T$55&gt;0),IF($E$16=$CV$6,0,1),0)</formula>
    </cfRule>
    <cfRule type="cellIs" dxfId="511" priority="16" operator="greaterThan">
      <formula>0</formula>
    </cfRule>
  </conditionalFormatting>
  <conditionalFormatting sqref="H57:S57">
    <cfRule type="cellIs" dxfId="510" priority="3920" operator="greaterThan">
      <formula>0</formula>
    </cfRule>
  </conditionalFormatting>
  <conditionalFormatting sqref="H62:S63">
    <cfRule type="cellIs" dxfId="509" priority="577" operator="greaterThan">
      <formula>0</formula>
    </cfRule>
  </conditionalFormatting>
  <conditionalFormatting sqref="H14:T14">
    <cfRule type="expression" dxfId="507" priority="11">
      <formula>IF($E$5=$CU$6,1,0)</formula>
    </cfRule>
  </conditionalFormatting>
  <conditionalFormatting sqref="H15:T15">
    <cfRule type="expression" dxfId="506" priority="13">
      <formula>IF($E$16=$CU$6,1,0)</formula>
    </cfRule>
  </conditionalFormatting>
  <conditionalFormatting sqref="H139:T142">
    <cfRule type="cellIs" dxfId="505" priority="387" operator="greaterThan">
      <formula>0</formula>
    </cfRule>
  </conditionalFormatting>
  <conditionalFormatting sqref="H148:T151">
    <cfRule type="cellIs" dxfId="504" priority="813" operator="greaterThan">
      <formula>0</formula>
    </cfRule>
  </conditionalFormatting>
  <conditionalFormatting sqref="I99 I101 I103 I105">
    <cfRule type="expression" dxfId="503" priority="101">
      <formula>IF($I$99="-",1,0)</formula>
    </cfRule>
  </conditionalFormatting>
  <conditionalFormatting sqref="I110 I112 I114 I116">
    <cfRule type="expression" dxfId="502" priority="99">
      <formula>IF($I$110="-",1,0)</formula>
    </cfRule>
  </conditionalFormatting>
  <conditionalFormatting sqref="I122">
    <cfRule type="expression" dxfId="501" priority="3921">
      <formula>IF($I$122=$CW$147,0,1)</formula>
    </cfRule>
  </conditionalFormatting>
  <conditionalFormatting sqref="I180">
    <cfRule type="cellIs" dxfId="500" priority="824" operator="greaterThan">
      <formula>0</formula>
    </cfRule>
  </conditionalFormatting>
  <conditionalFormatting sqref="I127:L127">
    <cfRule type="expression" dxfId="499" priority="348">
      <formula>IF($I$127="",0,1)</formula>
    </cfRule>
  </conditionalFormatting>
  <conditionalFormatting sqref="J99:J106 J105:K105 K99 K101 K103">
    <cfRule type="cellIs" dxfId="498" priority="3926" operator="greaterThan">
      <formula>0</formula>
    </cfRule>
  </conditionalFormatting>
  <conditionalFormatting sqref="J100">
    <cfRule type="expression" dxfId="497" priority="493">
      <formula>IF(AND($L$100=0,$J$100&gt;0),1,0)</formula>
    </cfRule>
  </conditionalFormatting>
  <conditionalFormatting sqref="J101">
    <cfRule type="expression" dxfId="496" priority="3924">
      <formula>IF(AND($M$98=$CV$6,$J$101&gt;0),1,0)</formula>
    </cfRule>
  </conditionalFormatting>
  <conditionalFormatting sqref="J102">
    <cfRule type="expression" dxfId="495" priority="332">
      <formula>IF(AND(J102&gt;0,$I$98=CV6),1,0)</formula>
    </cfRule>
  </conditionalFormatting>
  <conditionalFormatting sqref="J103">
    <cfRule type="expression" dxfId="494" priority="4220">
      <formula>IF(AND($I$98=$CV$6,$J103&gt;0),1,0)</formula>
    </cfRule>
  </conditionalFormatting>
  <conditionalFormatting sqref="J105">
    <cfRule type="expression" dxfId="493" priority="4221">
      <formula>IF(AND($M$98=$CV$6,$J105&gt;0),1,0)</formula>
    </cfRule>
  </conditionalFormatting>
  <conditionalFormatting sqref="J106">
    <cfRule type="expression" dxfId="492" priority="327">
      <formula>IF(AND($L$106=0,$J$106&gt;0),1,0)</formula>
    </cfRule>
  </conditionalFormatting>
  <conditionalFormatting sqref="J110">
    <cfRule type="expression" dxfId="491" priority="4225">
      <formula>IF(AND($Q$109=$CV$6,$J110&gt;0),1,0)</formula>
    </cfRule>
    <cfRule type="cellIs" dxfId="490" priority="181" operator="greaterThan">
      <formula>0</formula>
    </cfRule>
  </conditionalFormatting>
  <conditionalFormatting sqref="J111 J113 J115 J117">
    <cfRule type="cellIs" dxfId="489" priority="440" operator="greaterThan">
      <formula>0</formula>
    </cfRule>
  </conditionalFormatting>
  <conditionalFormatting sqref="J111">
    <cfRule type="expression" dxfId="488" priority="325">
      <formula>IF(AND($L$111=0,$J$111&gt;0),1,0)</formula>
    </cfRule>
  </conditionalFormatting>
  <conditionalFormatting sqref="J112">
    <cfRule type="cellIs" dxfId="487" priority="4064" operator="greaterThan">
      <formula>0</formula>
    </cfRule>
    <cfRule type="expression" dxfId="486" priority="4226">
      <formula>IF(AND($I$109=$CV$6,$J112&gt;0),1,0)</formula>
    </cfRule>
  </conditionalFormatting>
  <conditionalFormatting sqref="J113">
    <cfRule type="expression" dxfId="485" priority="323">
      <formula>IF(AND($L$113=0,$J$113&gt;0),1,0)</formula>
    </cfRule>
  </conditionalFormatting>
  <conditionalFormatting sqref="J114">
    <cfRule type="cellIs" dxfId="484" priority="4065" operator="greaterThan">
      <formula>0</formula>
    </cfRule>
    <cfRule type="expression" dxfId="483" priority="4227">
      <formula>IF(AND($M$109=$CV$6,$J114&gt;0),1,0)</formula>
    </cfRule>
  </conditionalFormatting>
  <conditionalFormatting sqref="J115">
    <cfRule type="expression" dxfId="482" priority="321">
      <formula>IF(AND($L$115=0,$J$115&gt;0),1,0)</formula>
    </cfRule>
  </conditionalFormatting>
  <conditionalFormatting sqref="J116">
    <cfRule type="cellIs" dxfId="481" priority="4049" operator="greaterThan">
      <formula>0</formula>
    </cfRule>
  </conditionalFormatting>
  <conditionalFormatting sqref="J117">
    <cfRule type="expression" dxfId="480" priority="318">
      <formula>IF(AND($L$117=0,$J$117&gt;0),1,0)</formula>
    </cfRule>
  </conditionalFormatting>
  <conditionalFormatting sqref="J99:K99">
    <cfRule type="expression" dxfId="479" priority="228">
      <formula>IF(AND($I$98=$CV$6,$J$99&gt;0),1,0)</formula>
    </cfRule>
    <cfRule type="expression" dxfId="478" priority="502">
      <formula>IF(_xlfn.XOR($J$99&gt;0,$K$99&gt;0),IF($I$98=$CV$6,0,1),0)</formula>
    </cfRule>
  </conditionalFormatting>
  <conditionalFormatting sqref="J101:K101">
    <cfRule type="expression" dxfId="477" priority="333">
      <formula>IF(_xlfn.XOR($K$101&gt;0,$J$101&gt;0),IF($I$98=$CV$6,0,1),0)</formula>
    </cfRule>
  </conditionalFormatting>
  <conditionalFormatting sqref="J103:K103">
    <cfRule type="expression" dxfId="476" priority="331">
      <formula>IF(_xlfn.XOR($J$103&gt;0,$K$103&gt;0),IF($I$98=$CV$6,0,1),0)</formula>
    </cfRule>
  </conditionalFormatting>
  <conditionalFormatting sqref="J105:K105">
    <cfRule type="expression" dxfId="475" priority="3925">
      <formula>IF(_xlfn.XOR($J$105&gt;0,$K$105&gt;0),IF($I$98=$CV$6,0,1),0)</formula>
    </cfRule>
  </conditionalFormatting>
  <conditionalFormatting sqref="J110:K110">
    <cfRule type="expression" dxfId="474" priority="3927">
      <formula>IF(_xlfn.XOR($J$110&gt;0,$K$110&gt;0),IF($I$109=$CV$6,0,1),0)</formula>
    </cfRule>
  </conditionalFormatting>
  <conditionalFormatting sqref="J112:K112">
    <cfRule type="expression" dxfId="473" priority="3928">
      <formula>IF(_xlfn.XOR($J$112&gt;0,$K$112&gt;0),IF($I$109=$CV$6,0,1),0)</formula>
    </cfRule>
  </conditionalFormatting>
  <conditionalFormatting sqref="J114:K114">
    <cfRule type="expression" dxfId="472" priority="173">
      <formula>IF(_xlfn.XOR($J$114&gt;0,$K$114&gt;0),IF($I$109=$CV$6,0,1),0)</formula>
    </cfRule>
  </conditionalFormatting>
  <conditionalFormatting sqref="J116:K116">
    <cfRule type="expression" dxfId="471" priority="4012">
      <formula>IF(_xlfn.XOR($J$116&gt;0,$K$116&gt;0),IF($I$109=$CV$6,0,1),0)</formula>
    </cfRule>
    <cfRule type="expression" dxfId="470" priority="3948">
      <formula>IF(AND($I$109=CV6,$J$116&gt;0),1,0)</formula>
    </cfRule>
  </conditionalFormatting>
  <conditionalFormatting sqref="K98:L98 O98:P98 S98:T98 J110 N110 R110 L111 P111 T111 J112 N112 R112 L113 P113 T113 N114 R114 L115 P115 T115 J116 N116 R116 L117 P117 T117">
    <cfRule type="expression" dxfId="469" priority="3943">
      <formula>IF($E$98=$CU$6,1,0)</formula>
    </cfRule>
  </conditionalFormatting>
  <conditionalFormatting sqref="K109:L109 O109:P109 S109:T109">
    <cfRule type="expression" dxfId="468" priority="4050">
      <formula>IF($E$109=$CU$6,1,0)</formula>
    </cfRule>
  </conditionalFormatting>
  <conditionalFormatting sqref="M99 Q99 M101 Q101 M103 Q103 M105 Q105">
    <cfRule type="expression" dxfId="467" priority="98">
      <formula>IF($M$99="-",1,0)</formula>
    </cfRule>
  </conditionalFormatting>
  <conditionalFormatting sqref="M110 Q110 M112 Q112 M114 Q114 M116 Q116">
    <cfRule type="expression" dxfId="466" priority="97">
      <formula>IF($M$110="-",1,0)</formula>
    </cfRule>
  </conditionalFormatting>
  <conditionalFormatting sqref="M180">
    <cfRule type="cellIs" dxfId="465" priority="823" operator="greaterThan">
      <formula>0</formula>
    </cfRule>
  </conditionalFormatting>
  <conditionalFormatting sqref="M122:O122">
    <cfRule type="expression" dxfId="464" priority="3922">
      <formula>IF($M$122=$CW$147,0,1)</formula>
    </cfRule>
  </conditionalFormatting>
  <conditionalFormatting sqref="M127:P127">
    <cfRule type="expression" dxfId="463" priority="347">
      <formula>IF($M$127="",0,1)</formula>
    </cfRule>
  </conditionalFormatting>
  <conditionalFormatting sqref="N99">
    <cfRule type="expression" dxfId="462" priority="90">
      <formula>IF(AND($M$98=$CV$6,$N$99&gt;0),1,0)</formula>
    </cfRule>
    <cfRule type="expression" dxfId="461" priority="368">
      <formula>IF(AND($I$98=$CV$6,$J$99&gt;0),1,0)</formula>
    </cfRule>
    <cfRule type="expression" dxfId="460" priority="91">
      <formula>IF(_xlfn.XOR($N$99&gt;0,$O$99&gt;0),IF($M$98=$CV$6,0,1),0)</formula>
    </cfRule>
  </conditionalFormatting>
  <conditionalFormatting sqref="N99:N102 J99 J101 J103 J105 R99:R102">
    <cfRule type="expression" dxfId="459" priority="3988">
      <formula>IF($I$98=$CV$6,1,0)</formula>
    </cfRule>
  </conditionalFormatting>
  <conditionalFormatting sqref="N99:N102">
    <cfRule type="cellIs" dxfId="458" priority="92" operator="greaterThan">
      <formula>0</formula>
    </cfRule>
  </conditionalFormatting>
  <conditionalFormatting sqref="N100">
    <cfRule type="expression" dxfId="457" priority="316">
      <formula>IF(AND($P$100=0,$N$100&gt;0),1,0)</formula>
    </cfRule>
    <cfRule type="expression" dxfId="456" priority="89">
      <formula>IF(AND($M$98=$CV$6,$J$101&gt;0),1,0)</formula>
    </cfRule>
    <cfRule type="expression" dxfId="455" priority="88">
      <formula>IF(AND($N$99=0,$O$99=0,N100&gt;0),IF($I$98=$CV$6,0,1),0)</formula>
    </cfRule>
  </conditionalFormatting>
  <conditionalFormatting sqref="N101">
    <cfRule type="expression" dxfId="454" priority="87">
      <formula>IF(AND($I$98=$CV$6,$J101&gt;0),1,0)</formula>
    </cfRule>
    <cfRule type="expression" dxfId="453" priority="4217">
      <formula>IF(AND($M$98=$CV$6,$N101&gt;0),1,0)</formula>
    </cfRule>
    <cfRule type="expression" dxfId="452" priority="86">
      <formula>IF(_xlfn.XOR($J$103&gt;0,$K$103&gt;0),IF($I$98=$CV$6,0,1),0)</formula>
    </cfRule>
  </conditionalFormatting>
  <conditionalFormatting sqref="N102">
    <cfRule type="expression" dxfId="451" priority="314">
      <formula>IF(AND($P$102=0,$N$102&gt;0),1,0)</formula>
    </cfRule>
    <cfRule type="expression" dxfId="450" priority="85">
      <formula>IF(AND($M$98=$CV$6,$J102&gt;0),1,0)</formula>
    </cfRule>
    <cfRule type="expression" dxfId="449" priority="84">
      <formula>IF(AND($J$105=0,$K$105=0,N102&gt;0),IF($I$98=$CV$6,0,1),0)</formula>
    </cfRule>
  </conditionalFormatting>
  <conditionalFormatting sqref="N103">
    <cfRule type="expression" dxfId="448" priority="83">
      <formula>IF(AND($Q$109=$CV$6,$J103&gt;0),1,0)</formula>
    </cfRule>
    <cfRule type="expression" dxfId="447" priority="80">
      <formula>IF(_xlfn.XOR($J$110&gt;0,$K$110&gt;0),IF($I$109=$CV$6,0,1),0)</formula>
    </cfRule>
  </conditionalFormatting>
  <conditionalFormatting sqref="N103:N104 N106">
    <cfRule type="expression" dxfId="446" priority="82">
      <formula>IF($E$98=$CU$6,1,0)</formula>
    </cfRule>
  </conditionalFormatting>
  <conditionalFormatting sqref="N103:N104">
    <cfRule type="cellIs" dxfId="445" priority="77" operator="greaterThan">
      <formula>0</formula>
    </cfRule>
  </conditionalFormatting>
  <conditionalFormatting sqref="N103:N106">
    <cfRule type="expression" dxfId="444" priority="81">
      <formula>IF($I$109=$CV$6,1,0)</formula>
    </cfRule>
    <cfRule type="expression" dxfId="443" priority="79">
      <formula>IF($E$109=$CU$6,1,0)</formula>
    </cfRule>
  </conditionalFormatting>
  <conditionalFormatting sqref="N104">
    <cfRule type="expression" dxfId="442" priority="76">
      <formula>IF(AND($I$109=$CV$6,$J104&gt;0),1,0)</formula>
    </cfRule>
    <cfRule type="expression" dxfId="441" priority="75">
      <formula>IF(AND($J$112=0,$K$112=0,$N$104&gt;0),IF($I$109=$CV$6,0,1),0)</formula>
    </cfRule>
  </conditionalFormatting>
  <conditionalFormatting sqref="N105">
    <cfRule type="cellIs" dxfId="440" priority="73" operator="greaterThan">
      <formula>0</formula>
    </cfRule>
    <cfRule type="expression" dxfId="439" priority="72">
      <formula>IF(_xlfn.XOR($J$114&gt;0,$K$114&gt;0),IF($I$109=$CV$6,0,1),0)</formula>
    </cfRule>
    <cfRule type="expression" dxfId="438" priority="74">
      <formula>IF(AND($M$109=$CV$6,$J105&gt;0),1,0)</formula>
    </cfRule>
  </conditionalFormatting>
  <conditionalFormatting sqref="N106">
    <cfRule type="expression" dxfId="437" priority="69">
      <formula>IF(AND($I$109=CZ1048572,$J$116&gt;0),1,0)</formula>
    </cfRule>
    <cfRule type="cellIs" dxfId="436" priority="71" operator="greaterThan">
      <formula>0</formula>
    </cfRule>
    <cfRule type="expression" dxfId="435" priority="70">
      <formula>IF(AND($J$116=0,$K$116=0,$N$106&gt;0),IF($I$109=$CV$6,0,1),0)</formula>
    </cfRule>
  </conditionalFormatting>
  <conditionalFormatting sqref="N110">
    <cfRule type="cellIs" dxfId="434" priority="167" operator="greaterThan">
      <formula>0</formula>
    </cfRule>
    <cfRule type="expression" dxfId="433" priority="4222">
      <formula>IF(AND($M$109=$CV$6,$N110&gt;0),1,0)</formula>
    </cfRule>
  </conditionalFormatting>
  <conditionalFormatting sqref="N111">
    <cfRule type="expression" dxfId="432" priority="307">
      <formula>IF(AND($P$111=0,$N$111&gt;0),1,0)</formula>
    </cfRule>
  </conditionalFormatting>
  <conditionalFormatting sqref="N111:N117">
    <cfRule type="cellIs" dxfId="431" priority="4003" operator="greaterThan">
      <formula>0</formula>
    </cfRule>
  </conditionalFormatting>
  <conditionalFormatting sqref="N112 N116">
    <cfRule type="expression" dxfId="430" priority="4223">
      <formula>IF(AND($Q$109=$CV$6,$N112&gt;0),1,0)</formula>
    </cfRule>
  </conditionalFormatting>
  <conditionalFormatting sqref="N113">
    <cfRule type="expression" dxfId="429" priority="197">
      <formula>IF(AND($P$113=0,$N$113&gt;0),1,0)</formula>
    </cfRule>
  </conditionalFormatting>
  <conditionalFormatting sqref="N114">
    <cfRule type="expression" dxfId="428" priority="305">
      <formula>IF(AND($N$114&gt;0,$M$109=$CV$6),1,0)</formula>
    </cfRule>
  </conditionalFormatting>
  <conditionalFormatting sqref="N115">
    <cfRule type="expression" dxfId="427" priority="303">
      <formula>IF(AND($P$115=0,$N$115&gt;0),1,0)</formula>
    </cfRule>
  </conditionalFormatting>
  <conditionalFormatting sqref="N116 J112 J110 N110 N112 N114 R112 R116 R110 J114 R114 J116">
    <cfRule type="expression" dxfId="426" priority="3935">
      <formula>IF($I$109=$CV$6,1,0)</formula>
    </cfRule>
  </conditionalFormatting>
  <conditionalFormatting sqref="N117">
    <cfRule type="expression" dxfId="425" priority="301">
      <formula>IF(AND($P$117=0,$N$117&gt;0),1,0)</formula>
    </cfRule>
  </conditionalFormatting>
  <conditionalFormatting sqref="N99:O99">
    <cfRule type="expression" dxfId="424" priority="4055">
      <formula>IF(_xlfn.XOR($N$99&gt;0,$O$99&gt;0),IF($M$98=$CV$6,0,1),0)</formula>
    </cfRule>
  </conditionalFormatting>
  <conditionalFormatting sqref="N101:O101">
    <cfRule type="expression" dxfId="423" priority="3930">
      <formula>IF(_xlfn.XOR($N$101&gt;0,$O$101&gt;0),IF($M$98=$CV$6,0,1),0)</formula>
    </cfRule>
  </conditionalFormatting>
  <conditionalFormatting sqref="N110:O110">
    <cfRule type="expression" dxfId="422" priority="358">
      <formula>IF(_xlfn.XOR($N$110&gt;0,$O$110&gt;0),IF($M$109=$CV$6,0,1),0)</formula>
    </cfRule>
  </conditionalFormatting>
  <conditionalFormatting sqref="N112:O112">
    <cfRule type="expression" dxfId="421" priority="306">
      <formula>IF(_xlfn.XOR($N$112&gt;0,$O$112&gt;0),IF($M$109=$CV$6,0,1),0)</formula>
    </cfRule>
  </conditionalFormatting>
  <conditionalFormatting sqref="N114:O114">
    <cfRule type="expression" dxfId="420" priority="4011">
      <formula>IF(_xlfn.XOR($N$114&gt;0,$O$114&gt;0),IF($M$109=$CV$6,0,1),0)</formula>
    </cfRule>
  </conditionalFormatting>
  <conditionalFormatting sqref="N116:O116">
    <cfRule type="expression" dxfId="419" priority="3933">
      <formula>IF(_xlfn.XOR($N$116&gt;0,$O$116),IF($M$109=$CV$6,0,1),0)</formula>
    </cfRule>
  </conditionalFormatting>
  <conditionalFormatting sqref="O99 N99:N102 O101 O103 O105">
    <cfRule type="cellIs" dxfId="418" priority="300" stopIfTrue="1" operator="greaterThan">
      <formula>0</formula>
    </cfRule>
  </conditionalFormatting>
  <conditionalFormatting sqref="O103">
    <cfRule type="expression" dxfId="417" priority="3931">
      <formula>IF(_xlfn.XOR($N$103&gt;0,$O$103&gt;0),IF($M$98=$CV$6,0,1),0)</formula>
    </cfRule>
  </conditionalFormatting>
  <conditionalFormatting sqref="O105">
    <cfRule type="expression" dxfId="416" priority="3932">
      <formula>IF(_xlfn.XOR($N$105&gt;0,$O$105&gt;0),IF($M$98=$CV$6,0,1),0)</formula>
    </cfRule>
  </conditionalFormatting>
  <conditionalFormatting sqref="O116 O110 O112 O114">
    <cfRule type="cellIs" dxfId="415" priority="4004" operator="greaterThan">
      <formula>0</formula>
    </cfRule>
  </conditionalFormatting>
  <conditionalFormatting sqref="Q122:S122">
    <cfRule type="expression" dxfId="414" priority="3923">
      <formula>IF($Q$122=$CW$147,0,1)</formula>
    </cfRule>
  </conditionalFormatting>
  <conditionalFormatting sqref="Q127:T127">
    <cfRule type="expression" dxfId="413" priority="346">
      <formula>IF($Q$127="",0,1)</formula>
    </cfRule>
  </conditionalFormatting>
  <conditionalFormatting sqref="R99">
    <cfRule type="expression" dxfId="412" priority="60">
      <formula>IF(_xlfn.XOR($R$99&gt;0,$S$99&gt;0),IF($I$98=$CV$6,0,1),0)</formula>
    </cfRule>
    <cfRule type="expression" dxfId="411" priority="59">
      <formula>IF(AND($I$98=$CV$6,$J$99&gt;0),1,0)</formula>
    </cfRule>
  </conditionalFormatting>
  <conditionalFormatting sqref="R99:R102">
    <cfRule type="cellIs" dxfId="410" priority="67" operator="greaterThan">
      <formula>0</formula>
    </cfRule>
  </conditionalFormatting>
  <conditionalFormatting sqref="R100">
    <cfRule type="expression" dxfId="409" priority="64">
      <formula>IF(AND($P$100=0,$N$100&gt;0),1,0)</formula>
    </cfRule>
    <cfRule type="expression" dxfId="408" priority="58">
      <formula>IF(AND($M$98=$CV$6,$J$101&gt;0),1,0)</formula>
    </cfRule>
    <cfRule type="expression" dxfId="407" priority="57">
      <formula>IF(AND($R$99=0,$S$99=0,$R$100&gt;0),IF($I$98=$CV$6,0,1),0)</formula>
    </cfRule>
  </conditionalFormatting>
  <conditionalFormatting sqref="R101">
    <cfRule type="expression" dxfId="406" priority="66">
      <formula>IF(_xlfn.XOR($N$101&gt;0,$O$101&gt;0),IF($M$98=$CV$6,0,1),0)</formula>
    </cfRule>
    <cfRule type="expression" dxfId="405" priority="56">
      <formula>IF(AND($I$98=$CV$6,$J101&gt;0),1,0)</formula>
    </cfRule>
    <cfRule type="expression" dxfId="404" priority="55">
      <formula>IF(_xlfn.XOR($J$103&gt;0,$K$103&gt;0),IF($I$98=$CV$6,0,1),0)</formula>
    </cfRule>
    <cfRule type="expression" dxfId="403" priority="68">
      <formula>IF(AND($M$98=$CV$6,$N101&gt;0),1,0)</formula>
    </cfRule>
  </conditionalFormatting>
  <conditionalFormatting sqref="R102">
    <cfRule type="expression" dxfId="402" priority="63">
      <formula>IF(AND($P$102=0,$N$102&gt;0),1,0)</formula>
    </cfRule>
    <cfRule type="expression" dxfId="401" priority="54">
      <formula>IF(AND($M$98=$CV$6,$J102&gt;0),1,0)</formula>
    </cfRule>
    <cfRule type="expression" dxfId="400" priority="53">
      <formula>IF(AND($R$101=0,$S$101=0,$R$102&gt;0),IF($I$98=$CV$6,0,1),0)</formula>
    </cfRule>
  </conditionalFormatting>
  <conditionalFormatting sqref="R103">
    <cfRule type="expression" dxfId="399" priority="49">
      <formula>IF(_xlfn.XOR($J$110&gt;0,$K$110&gt;0),IF($I$109=$CV$6,0,1),0)</formula>
    </cfRule>
    <cfRule type="expression" dxfId="398" priority="52">
      <formula>IF(AND($Q$109=$CV$6,$J103&gt;0),1,0)</formula>
    </cfRule>
  </conditionalFormatting>
  <conditionalFormatting sqref="R103:R104 R106">
    <cfRule type="expression" dxfId="397" priority="51">
      <formula>IF($E$98=$CU$6,1,0)</formula>
    </cfRule>
  </conditionalFormatting>
  <conditionalFormatting sqref="R103:R104">
    <cfRule type="cellIs" dxfId="396" priority="46" operator="greaterThan">
      <formula>0</formula>
    </cfRule>
  </conditionalFormatting>
  <conditionalFormatting sqref="R103:R106">
    <cfRule type="expression" dxfId="395" priority="50">
      <formula>IF($I$109=$CV$6,1,0)</formula>
    </cfRule>
    <cfRule type="expression" dxfId="394" priority="48">
      <formula>IF($E$109=$CU$6,1,0)</formula>
    </cfRule>
  </conditionalFormatting>
  <conditionalFormatting sqref="R104">
    <cfRule type="expression" dxfId="393" priority="45">
      <formula>IF(AND($I$109=$CV$6,$J104&gt;0),1,0)</formula>
    </cfRule>
    <cfRule type="expression" dxfId="392" priority="44">
      <formula>IF(AND($R$103=0,$S$103=0,$R$104&gt;0),IF($I$109=$CV$6,0,1),0)</formula>
    </cfRule>
  </conditionalFormatting>
  <conditionalFormatting sqref="R105">
    <cfRule type="expression" dxfId="391" priority="41">
      <formula>IF(_xlfn.XOR($J$114&gt;0,$K$114&gt;0),IF($I$109=$CV$6,0,1),0)</formula>
    </cfRule>
    <cfRule type="expression" dxfId="390" priority="43">
      <formula>IF(AND($M$109=$CV$6,$J105&gt;0),1,0)</formula>
    </cfRule>
    <cfRule type="cellIs" dxfId="389" priority="42" operator="greaterThan">
      <formula>0</formula>
    </cfRule>
  </conditionalFormatting>
  <conditionalFormatting sqref="R106">
    <cfRule type="cellIs" dxfId="388" priority="40" operator="greaterThan">
      <formula>0</formula>
    </cfRule>
    <cfRule type="expression" dxfId="387" priority="39">
      <formula>IF(AND(R$105=0,$S$105=0,$R$106&gt;0),IF($I$98=$CV$6,0,1),0)</formula>
    </cfRule>
  </conditionalFormatting>
  <conditionalFormatting sqref="R110">
    <cfRule type="expression" dxfId="386" priority="3940">
      <formula>IF(AND($Q$109=$CV$6,$R$110&gt;0),1,0)</formula>
    </cfRule>
  </conditionalFormatting>
  <conditionalFormatting sqref="R111 R113 R115 R117">
    <cfRule type="cellIs" dxfId="385" priority="291" operator="greaterThan">
      <formula>0</formula>
    </cfRule>
  </conditionalFormatting>
  <conditionalFormatting sqref="R111">
    <cfRule type="expression" dxfId="384" priority="289">
      <formula>IF(AND($T$111=0,$R$111&gt;0),1,0)</formula>
    </cfRule>
  </conditionalFormatting>
  <conditionalFormatting sqref="R112">
    <cfRule type="cellIs" dxfId="383" priority="3996" operator="greaterThan">
      <formula>0</formula>
    </cfRule>
    <cfRule type="expression" dxfId="382" priority="211">
      <formula>IF(AND($Q$109=$CV$6,$R$112&gt;0),1,0)</formula>
    </cfRule>
  </conditionalFormatting>
  <conditionalFormatting sqref="R113">
    <cfRule type="expression" dxfId="381" priority="287">
      <formula>IF(AND($T$113=0,$R$113&gt;0),1,0)</formula>
    </cfRule>
  </conditionalFormatting>
  <conditionalFormatting sqref="R114">
    <cfRule type="cellIs" dxfId="380" priority="3998" operator="greaterThan">
      <formula>0</formula>
    </cfRule>
    <cfRule type="expression" dxfId="379" priority="3942">
      <formula>IF(AND($Q$109=$CV$6,$R$114&gt;0),1,0)</formula>
    </cfRule>
  </conditionalFormatting>
  <conditionalFormatting sqref="R115">
    <cfRule type="expression" dxfId="378" priority="285">
      <formula>IF(AND($T$115=0,$R$115&gt;0),1,0)</formula>
    </cfRule>
  </conditionalFormatting>
  <conditionalFormatting sqref="R116">
    <cfRule type="cellIs" dxfId="377" priority="4000" operator="greaterThan">
      <formula>0</formula>
    </cfRule>
    <cfRule type="expression" dxfId="376" priority="199">
      <formula>IF(AND($Q$109=$CV$6,$R$116&gt;0),1,0)</formula>
    </cfRule>
  </conditionalFormatting>
  <conditionalFormatting sqref="R117">
    <cfRule type="expression" dxfId="375" priority="283">
      <formula>IF(AND($T$117=0,$R$117&gt;0),1,0)</formula>
    </cfRule>
  </conditionalFormatting>
  <conditionalFormatting sqref="R110:S110">
    <cfRule type="expression" dxfId="374" priority="124">
      <formula>IF(_xlfn.XOR($R$110&gt;0,$S$110&gt;0),IF($Q$109=$CV$6,0,1),0)</formula>
    </cfRule>
    <cfRule type="cellIs" dxfId="373" priority="3941" operator="greaterThan">
      <formula>0</formula>
    </cfRule>
  </conditionalFormatting>
  <conditionalFormatting sqref="R112:S112">
    <cfRule type="expression" dxfId="372" priority="123">
      <formula>IF(_xlfn.XOR($R$112&gt;0,$S$112&gt;0),IF($Q$109=$CV$6,0,1),0)</formula>
    </cfRule>
  </conditionalFormatting>
  <conditionalFormatting sqref="R114:S114">
    <cfRule type="expression" dxfId="371" priority="122">
      <formula>IF(_xlfn.XOR($R$114&gt;0,$S$114&gt;0),IF($Q$109=$CV$6,0,1),0)</formula>
    </cfRule>
  </conditionalFormatting>
  <conditionalFormatting sqref="R116:S116">
    <cfRule type="expression" dxfId="370" priority="121">
      <formula>IF(_xlfn.XOR($R$116&gt;0,$S$116),IF($Q$109=$CV$6,0,1),0)</formula>
    </cfRule>
  </conditionalFormatting>
  <conditionalFormatting sqref="S99">
    <cfRule type="expression" dxfId="369" priority="128">
      <formula>IF(_xlfn.XOR($R$99&gt;0,$S$99&gt;0),IF($Q$98=$CV$6,0,1),0)</formula>
    </cfRule>
    <cfRule type="cellIs" dxfId="368" priority="3990" operator="greaterThan">
      <formula>0</formula>
    </cfRule>
  </conditionalFormatting>
  <conditionalFormatting sqref="S101">
    <cfRule type="cellIs" dxfId="367" priority="3986" operator="greaterThan">
      <formula>0</formula>
    </cfRule>
    <cfRule type="expression" dxfId="366" priority="127">
      <formula>IF(_xlfn.XOR($R$101&gt;0,$S$101&gt;0),IF($Q$98=$CV$6,0,1),0)</formula>
    </cfRule>
  </conditionalFormatting>
  <conditionalFormatting sqref="S103">
    <cfRule type="cellIs" dxfId="365" priority="3938" operator="notEqual">
      <formula>0</formula>
    </cfRule>
    <cfRule type="expression" dxfId="364" priority="126">
      <formula>IF(_xlfn.XOR($R$103&gt;0,$S$103&gt;0),IF($Q$98=$CV$6,0,1),0)</formula>
    </cfRule>
  </conditionalFormatting>
  <conditionalFormatting sqref="S105">
    <cfRule type="cellIs" dxfId="363" priority="3937" operator="greaterThan">
      <formula>0</formula>
    </cfRule>
    <cfRule type="expression" dxfId="362" priority="125">
      <formula>IF(_xlfn.XOR($R$105&gt;0,$S$105&gt;0),IF($Q$98=$CV$6,0,1),0)</formula>
    </cfRule>
  </conditionalFormatting>
  <conditionalFormatting sqref="S112">
    <cfRule type="cellIs" dxfId="361" priority="207" operator="greaterThan">
      <formula>0</formula>
    </cfRule>
  </conditionalFormatting>
  <conditionalFormatting sqref="S114">
    <cfRule type="cellIs" dxfId="360" priority="203" operator="greaterThan">
      <formula>0</formula>
    </cfRule>
  </conditionalFormatting>
  <conditionalFormatting sqref="S116">
    <cfRule type="cellIs" dxfId="359" priority="3934" operator="greaterThan">
      <formula>0</formula>
    </cfRule>
  </conditionalFormatting>
  <conditionalFormatting sqref="S99:T106 E99:R102 E103:M106 O103:Q106 E107:T107 F108:S108 E118">
    <cfRule type="expression" dxfId="358" priority="224">
      <formula>IF($E$98=$CU$6,1,0)</formula>
    </cfRule>
  </conditionalFormatting>
  <conditionalFormatting sqref="T108">
    <cfRule type="expression" dxfId="357" priority="33">
      <formula>IF($E$109=$CU$6,1,0)</formula>
    </cfRule>
  </conditionalFormatting>
  <conditionalFormatting sqref="W6:W15 W17:W26 W28:W29 W40:W49 W51:W60 W62:W63 W99:W108 W110:W119 W121:W122">
    <cfRule type="notContainsBlanks" dxfId="356" priority="828" stopIfTrue="1">
      <formula>LEN(TRIM(W6))&gt;0</formula>
    </cfRule>
  </conditionalFormatting>
  <conditionalFormatting sqref="Y29 Y63">
    <cfRule type="expression" dxfId="355" priority="830">
      <formula>IF($CQ$3&gt;0,1,0)</formula>
    </cfRule>
  </conditionalFormatting>
  <conditionalFormatting sqref="AB34:AN34">
    <cfRule type="cellIs" dxfId="354" priority="129" operator="greaterThan">
      <formula>0</formula>
    </cfRule>
  </conditionalFormatting>
  <conditionalFormatting sqref="AB63:AN67 AG101:AL106 AF107:AK108">
    <cfRule type="cellIs" dxfId="353" priority="825" operator="greaterThan">
      <formula>0</formula>
    </cfRule>
  </conditionalFormatting>
  <dataValidations count="1">
    <dataValidation type="list" allowBlank="1" showInputMessage="1" showErrorMessage="1" sqref="E16:G16 E5:G5" xr:uid="{0573C902-7EE6-43EA-9CC2-0BA02DEDEB9B}">
      <formula1>$CU$6:$CZ$6</formula1>
    </dataValidation>
  </dataValidations>
  <printOptions horizontalCentered="1" verticalCentered="1"/>
  <pageMargins left="0.70866141732283472" right="0.70866141732283472" top="0.98425196850393704" bottom="0.39370078740157483" header="0.31496062992125984" footer="0.11811023622047245"/>
  <pageSetup paperSize="9" scale="48" fitToHeight="3" orientation="landscape" r:id="rId1"/>
  <headerFooter>
    <oddHeader>&amp;L&amp;G&amp;C&amp;36Umsatz|Sales&amp;R&amp;G</oddHeader>
    <oddFooter>&amp;L&amp;F / &amp;A&amp;C Seite &amp;P von &amp;N&amp;R© 2026 Juergen Erlewein</oddFooter>
  </headerFooter>
  <rowBreaks count="1" manualBreakCount="1">
    <brk id="69" min="2" max="19" man="1"/>
  </rowBreaks>
  <ignoredErrors>
    <ignoredError sqref="C28:C29 H121" unlockedFormula="1"/>
    <ignoredError sqref="F101 F103 F105 F112 F114 F116 E20:E21 T43 E12 E23" formula="1"/>
    <ignoredError sqref="T40" formulaRange="1"/>
    <ignoredError sqref="T41" formula="1" formulaRange="1"/>
  </ignoredErrors>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expression" priority="3351" id="{D8AF3FA2-A4C3-4FBE-9E05-D35EE20CDE3B}">
            <xm:f>IF(AND(H7&gt;0,H$3&lt;Basisdaten!$D$15),1,0)</xm:f>
            <x14:dxf>
              <fill>
                <patternFill>
                  <bgColor rgb="FFFFFF00"/>
                </patternFill>
              </fill>
            </x14:dxf>
          </x14:cfRule>
          <xm:sqref>H7:S7</xm:sqref>
        </x14:conditionalFormatting>
        <x14:conditionalFormatting xmlns:xm="http://schemas.microsoft.com/office/excel/2006/main">
          <x14:cfRule type="expression" priority="551" id="{22EFFDB3-A9A2-406A-8F5A-D74CCA6987A2}">
            <xm:f>IF(AND(H9&gt;0,H$3&lt;Basisdaten!$D$15),1,0)</xm:f>
            <x14:dxf>
              <fill>
                <patternFill>
                  <bgColor rgb="FFFFFF00"/>
                </patternFill>
              </fill>
            </x14:dxf>
          </x14:cfRule>
          <xm:sqref>H9:S9</xm:sqref>
        </x14:conditionalFormatting>
        <x14:conditionalFormatting xmlns:xm="http://schemas.microsoft.com/office/excel/2006/main">
          <x14:cfRule type="expression" priority="273" id="{C204B0D2-34DA-475E-9F0C-C208AB0F6E69}">
            <xm:f>IF(AND(H11&gt;0,H$3&lt;Basisdaten!$D$15),1,0)</xm:f>
            <x14:dxf>
              <fill>
                <patternFill>
                  <bgColor rgb="FFFFFF00"/>
                </patternFill>
              </fill>
            </x14:dxf>
          </x14:cfRule>
          <xm:sqref>H11:S11</xm:sqref>
        </x14:conditionalFormatting>
        <x14:conditionalFormatting xmlns:xm="http://schemas.microsoft.com/office/excel/2006/main">
          <x14:cfRule type="expression" priority="272" id="{35986886-2E23-4AFC-9A46-F62CFF84B958}">
            <xm:f>IF(AND(H13&gt;0,H$3&lt;Basisdaten!$D$15),1,0)</xm:f>
            <x14:dxf>
              <fill>
                <patternFill>
                  <bgColor rgb="FFFFFF00"/>
                </patternFill>
              </fill>
            </x14:dxf>
          </x14:cfRule>
          <xm:sqref>H13:S13</xm:sqref>
        </x14:conditionalFormatting>
        <x14:conditionalFormatting xmlns:xm="http://schemas.microsoft.com/office/excel/2006/main">
          <x14:cfRule type="expression" priority="543" id="{4711BD88-5F78-456A-B54A-5ED0D05936F7}">
            <xm:f>IF(AND(H18&gt;0,H$3&lt;Basisdaten!$D$15),1,0)</xm:f>
            <x14:dxf>
              <fill>
                <patternFill>
                  <bgColor rgb="FFFFFF00"/>
                </patternFill>
              </fill>
            </x14:dxf>
          </x14:cfRule>
          <x14:cfRule type="expression" priority="674" id="{97B6F663-3DB2-42BC-B20D-558EC8FBE118}">
            <xm:f>IF(AND(H18&gt;0,H$3&lt;Basisdaten!$D$15),1,0)</xm:f>
            <x14:dxf>
              <fill>
                <patternFill>
                  <bgColor rgb="FFFFFF00"/>
                </patternFill>
              </fill>
            </x14:dxf>
          </x14:cfRule>
          <xm:sqref>H18:S18</xm:sqref>
        </x14:conditionalFormatting>
        <x14:conditionalFormatting xmlns:xm="http://schemas.microsoft.com/office/excel/2006/main">
          <x14:cfRule type="expression" priority="671" id="{278F74AE-E257-4DE4-B6C8-C73579C3D51E}">
            <xm:f>IF(AND(H19&gt;0,H$3&lt;Basisdaten!$D$15),1,0)</xm:f>
            <x14:dxf>
              <fill>
                <patternFill>
                  <bgColor rgb="FFFFFF00"/>
                </patternFill>
              </fill>
            </x14:dxf>
          </x14:cfRule>
          <xm:sqref>H20:S20</xm:sqref>
        </x14:conditionalFormatting>
        <x14:conditionalFormatting xmlns:xm="http://schemas.microsoft.com/office/excel/2006/main">
          <x14:cfRule type="expression" priority="278" id="{E333D96F-3B59-43FD-8BEC-623845C1DFCC}">
            <xm:f>IF(AND(H21&gt;0,H$3&lt;Basisdaten!$D$15),1,0)</xm:f>
            <x14:dxf>
              <fill>
                <patternFill>
                  <bgColor rgb="FFFFFF00"/>
                </patternFill>
              </fill>
            </x14:dxf>
          </x14:cfRule>
          <xm:sqref>H22:S22</xm:sqref>
        </x14:conditionalFormatting>
        <x14:conditionalFormatting xmlns:xm="http://schemas.microsoft.com/office/excel/2006/main">
          <x14:cfRule type="expression" priority="669" id="{53AF224D-02D0-467F-916F-580FCEE51093}">
            <xm:f>IF(AND(H23&gt;0,H$3&lt;Basisdaten!$D$15),1,0)</xm:f>
            <x14:dxf>
              <fill>
                <patternFill>
                  <bgColor rgb="FFFFFF00"/>
                </patternFill>
              </fill>
            </x14:dxf>
          </x14:cfRule>
          <xm:sqref>H24:S24</xm:sqref>
        </x14:conditionalFormatting>
        <x14:conditionalFormatting xmlns:xm="http://schemas.microsoft.com/office/excel/2006/main">
          <x14:cfRule type="expression" priority="110" id="{456CC1B9-D091-4859-8309-22C82164321D}">
            <xm:f>IF(AND($T$65&gt;Basisdaten!$M$48,Basisdaten!$G$15=Basisdaten!$L$16),1,0)</xm:f>
            <x14:dxf>
              <font>
                <color theme="0"/>
              </font>
              <fill>
                <patternFill>
                  <bgColor rgb="FFFF0000"/>
                </patternFill>
              </fill>
            </x14:dxf>
          </x14:cfRule>
          <xm:sqref>H68:S68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F0C2076-A11D-4F68-98BA-CB0EB29DFB32}">
          <x14:formula1>
            <xm:f>Basisdaten!$O$38:$O$40</xm:f>
          </x14:formula1>
          <xm:sqref>C28:C29 C6:C13 C17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DQ1000"/>
  <sheetViews>
    <sheetView showGridLines="0" showZeros="0" zoomScale="75" zoomScaleNormal="75" zoomScalePageLayoutView="50" workbookViewId="0">
      <selection activeCell="A2" sqref="A2"/>
    </sheetView>
  </sheetViews>
  <sheetFormatPr baseColWidth="10" defaultColWidth="11.44140625" defaultRowHeight="13.8"/>
  <cols>
    <col min="1" max="1" width="5.88671875" style="29" customWidth="1"/>
    <col min="2" max="2" width="1.6640625" style="29" customWidth="1"/>
    <col min="3" max="3" width="7.109375" style="24" customWidth="1"/>
    <col min="4" max="4" width="1.77734375" style="24" customWidth="1"/>
    <col min="5" max="5" width="5.6640625" style="29" customWidth="1"/>
    <col min="6" max="6" width="68.21875" style="29" customWidth="1"/>
    <col min="7" max="19" width="13.6640625" style="67" customWidth="1"/>
    <col min="20" max="20" width="10.6640625" style="559" customWidth="1"/>
    <col min="21" max="21" width="10.109375" style="29" customWidth="1"/>
    <col min="22" max="22" width="14.33203125" style="29" customWidth="1"/>
    <col min="23" max="23" width="13.88671875" style="29" customWidth="1"/>
    <col min="24" max="34" width="13.6640625" style="29" customWidth="1"/>
    <col min="35" max="35" width="12.6640625" style="29" customWidth="1"/>
    <col min="36" max="36" width="13.77734375" style="228" bestFit="1" customWidth="1"/>
    <col min="37" max="37" width="5.21875" style="1339" customWidth="1"/>
    <col min="38" max="38" width="52.33203125" style="29" customWidth="1"/>
    <col min="39" max="54" width="11.44140625" style="42" customWidth="1"/>
    <col min="55" max="55" width="62.88671875" style="42" customWidth="1"/>
    <col min="56" max="71" width="11.44140625" style="42" customWidth="1"/>
    <col min="72" max="72" width="62.88671875" style="42" customWidth="1"/>
    <col min="73" max="78" width="11.44140625" style="42" customWidth="1"/>
    <col min="79" max="83" width="11.44140625" style="42" hidden="1" customWidth="1"/>
    <col min="84" max="84" width="20.44140625" style="42" hidden="1" customWidth="1"/>
    <col min="85" max="85" width="22.21875" style="1482" hidden="1" customWidth="1"/>
    <col min="86" max="86" width="25.44140625" style="1482" hidden="1" customWidth="1"/>
    <col min="87" max="88" width="14.88671875" style="29" hidden="1" customWidth="1"/>
    <col min="89" max="89" width="16.77734375" style="29" hidden="1" customWidth="1"/>
    <col min="90" max="90" width="21.6640625" style="29" hidden="1" customWidth="1"/>
    <col min="91" max="91" width="43.44140625" style="29" hidden="1" customWidth="1"/>
    <col min="92" max="92" width="31.21875" style="29" hidden="1" customWidth="1"/>
    <col min="93" max="93" width="31.109375" style="29" hidden="1" customWidth="1"/>
    <col min="94" max="94" width="21.88671875" style="29" hidden="1" customWidth="1"/>
    <col min="95" max="95" width="26" style="29" hidden="1" customWidth="1"/>
    <col min="96" max="96" width="12.77734375" style="29" hidden="1" customWidth="1"/>
    <col min="97" max="97" width="17.33203125" style="29" hidden="1" customWidth="1"/>
    <col min="98" max="98" width="14.88671875" style="29" hidden="1" customWidth="1"/>
    <col min="99" max="99" width="65.88671875" style="29" hidden="1" customWidth="1"/>
    <col min="100" max="100" width="89.44140625" style="522" hidden="1" customWidth="1"/>
    <col min="101" max="101" width="96.6640625" style="522" hidden="1" customWidth="1"/>
    <col min="102" max="102" width="22.109375" style="211" hidden="1" customWidth="1"/>
    <col min="103" max="103" width="86" style="211" hidden="1" customWidth="1"/>
    <col min="104" max="104" width="76" style="211" hidden="1" customWidth="1"/>
    <col min="105" max="111" width="11.44140625" style="211" customWidth="1"/>
    <col min="112" max="112" width="10.33203125" style="211" customWidth="1"/>
    <col min="113" max="114" width="11.44140625" style="211" customWidth="1"/>
    <col min="115" max="149" width="11.44140625" style="29" customWidth="1"/>
    <col min="150" max="16384" width="11.44140625" style="29"/>
  </cols>
  <sheetData>
    <row r="1" spans="1:121" s="36" customFormat="1" ht="24.6" customHeight="1">
      <c r="C1" s="1620" t="s">
        <v>1028</v>
      </c>
      <c r="D1" s="695"/>
      <c r="E1" s="163" t="str">
        <f ca="1">CU1</f>
        <v xml:space="preserve">3a-1 Betriebskosten für das Jahr 2026 (ohne MwSt) </v>
      </c>
      <c r="G1" s="37"/>
      <c r="H1" s="37"/>
      <c r="I1" s="982"/>
      <c r="J1" s="37"/>
      <c r="K1" s="37"/>
      <c r="L1" s="37"/>
      <c r="M1" s="37"/>
      <c r="N1" s="37"/>
      <c r="O1" s="37"/>
      <c r="P1" s="37"/>
      <c r="Q1" s="586"/>
      <c r="R1" s="37"/>
      <c r="T1" s="551"/>
      <c r="U1" s="98" t="str">
        <f ca="1">CX2</f>
        <v>3a-1.1.1 Aufstellung geringwertige WirtschaftsGüter (GWG) Verwaltung 2026</v>
      </c>
      <c r="V1" s="98"/>
      <c r="W1" s="98"/>
      <c r="X1" s="98"/>
      <c r="Y1" s="98"/>
      <c r="Z1" s="98"/>
      <c r="AA1" s="98"/>
      <c r="AB1" s="98"/>
      <c r="AJ1" s="432"/>
      <c r="AK1" s="372"/>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CA1" s="176"/>
      <c r="CB1" s="1528" t="s">
        <v>885</v>
      </c>
      <c r="CC1" s="1528" t="s">
        <v>884</v>
      </c>
      <c r="CD1" s="1528" t="str">
        <f>"&gt;"&amp;$CB$2</f>
        <v>&gt;800</v>
      </c>
      <c r="CE1" s="249"/>
      <c r="CF1" s="249"/>
      <c r="CH1" s="176"/>
      <c r="CS1" s="30"/>
      <c r="CT1" s="30"/>
      <c r="CU1" s="30" t="str">
        <f ca="1">IF(Basisdaten!$B$15=Basisdaten!$D$2,CV1,CW1)</f>
        <v xml:space="preserve">3a-1 Betriebskosten für das Jahr 2026 (ohne MwSt) </v>
      </c>
      <c r="CV1" s="38" t="str">
        <f ca="1">"3a-1 Betriebskosten für das " &amp;Basisdaten!O15&amp;IF('2 Umsatz|Sales'!CT3=0,Basisdaten!L15,Basisdaten!Q16)</f>
        <v xml:space="preserve">3a-1 Betriebskosten für das Jahr 2026 (ohne MwSt) </v>
      </c>
      <c r="CW1" s="38" t="str">
        <f ca="1">"3a-1 Operating Cost for " &amp;Basisdaten!O15&amp;IF('2 Umsatz|Sales'!CT3=0,Basisdaten!L15,Basisdaten!Q16)</f>
        <v xml:space="preserve">3a-1 Operating Cost for Jahr 2026 (ohne MwSt) </v>
      </c>
      <c r="DB1" s="30"/>
      <c r="DC1" s="30"/>
      <c r="DD1" s="30"/>
      <c r="DE1" s="30"/>
      <c r="DF1" s="30"/>
      <c r="DG1" s="30"/>
      <c r="DH1" s="30"/>
      <c r="DI1" s="30"/>
      <c r="DJ1" s="30"/>
      <c r="DK1" s="30"/>
      <c r="DL1" s="30"/>
      <c r="DM1" s="30"/>
      <c r="DN1" s="30"/>
      <c r="DO1" s="30"/>
      <c r="DP1" s="168"/>
      <c r="DQ1" s="45"/>
    </row>
    <row r="2" spans="1:121" s="34" customFormat="1" ht="14.25" customHeight="1">
      <c r="A2" s="336" t="s">
        <v>507</v>
      </c>
      <c r="D2" s="695"/>
      <c r="E2" s="529"/>
      <c r="G2" s="34">
        <v>1</v>
      </c>
      <c r="H2" s="34">
        <v>2</v>
      </c>
      <c r="I2" s="34">
        <v>3</v>
      </c>
      <c r="J2" s="34">
        <v>4</v>
      </c>
      <c r="K2" s="34">
        <v>5</v>
      </c>
      <c r="L2" s="34">
        <v>6</v>
      </c>
      <c r="M2" s="34">
        <v>7</v>
      </c>
      <c r="N2" s="34">
        <v>8</v>
      </c>
      <c r="O2" s="34">
        <v>9</v>
      </c>
      <c r="P2" s="34">
        <v>10</v>
      </c>
      <c r="Q2" s="34">
        <v>11</v>
      </c>
      <c r="R2" s="34">
        <v>12</v>
      </c>
      <c r="T2" s="550"/>
      <c r="U2" s="1768" t="str">
        <f>CX3</f>
        <v>Artikelbezeichnung</v>
      </c>
      <c r="V2" s="526"/>
      <c r="W2" s="336" t="str">
        <f>$CX4</f>
        <v>Betrag</v>
      </c>
      <c r="X2" s="336" t="str">
        <f>$CX5</f>
        <v>Stk-Kost</v>
      </c>
      <c r="Y2" s="336" t="str">
        <f>$CX6</f>
        <v>Anzahl</v>
      </c>
      <c r="Z2" s="336" t="str">
        <f>$CX7</f>
        <v>Invest-Monat</v>
      </c>
      <c r="AA2" s="336" t="str">
        <f>CX8</f>
        <v>Direkt/Pool</v>
      </c>
      <c r="AB2" s="336" t="str">
        <f>CX9</f>
        <v>Direkt</v>
      </c>
      <c r="AC2" s="336" t="str">
        <f>CX10</f>
        <v>Pool</v>
      </c>
      <c r="AD2" s="336" t="str">
        <f>CX11</f>
        <v>Kommentar</v>
      </c>
      <c r="AE2" s="30"/>
      <c r="AF2" s="30"/>
      <c r="AG2" s="30"/>
      <c r="AH2" s="30"/>
      <c r="AI2" s="30"/>
      <c r="AJ2" s="1342"/>
      <c r="AK2" s="1142"/>
      <c r="AM2" s="35"/>
      <c r="AN2" s="35"/>
      <c r="AO2" s="35"/>
      <c r="AP2" s="35"/>
      <c r="AQ2" s="35"/>
      <c r="AR2" s="35"/>
      <c r="AS2" s="35"/>
      <c r="AT2" s="35"/>
      <c r="AU2" s="35"/>
      <c r="AV2" s="35"/>
      <c r="AW2" s="35"/>
      <c r="AX2" s="35"/>
      <c r="AY2" s="35"/>
      <c r="AZ2" s="35"/>
      <c r="BA2" s="1479"/>
      <c r="BB2" s="1479"/>
      <c r="BC2" s="1479"/>
      <c r="BD2" s="1479"/>
      <c r="BE2" s="1479"/>
      <c r="BF2" s="1479"/>
      <c r="BG2" s="1479"/>
      <c r="BH2" s="1479"/>
      <c r="BI2" s="1479"/>
      <c r="BJ2" s="1479"/>
      <c r="BK2" s="1479"/>
      <c r="BL2" s="1479"/>
      <c r="BM2" s="1479"/>
      <c r="BN2" s="1479"/>
      <c r="BO2" s="1479"/>
      <c r="BP2" s="1479"/>
      <c r="BQ2" s="1479"/>
      <c r="BR2" s="1479"/>
      <c r="BS2" s="1479"/>
      <c r="BT2" s="1479"/>
      <c r="BU2" s="1479"/>
      <c r="BV2" s="1479"/>
      <c r="BW2" s="1479"/>
      <c r="BX2" s="1479"/>
      <c r="BY2" s="1479"/>
      <c r="CA2" s="1528">
        <f>Basisdaten!$B$50</f>
        <v>250</v>
      </c>
      <c r="CB2" s="1528">
        <f>Basisdaten!C50</f>
        <v>800</v>
      </c>
      <c r="CC2" s="1528">
        <f>Basisdaten!$D$50</f>
        <v>1000</v>
      </c>
      <c r="CD2" s="1528" t="str">
        <f>"&gt;"&amp;$CC$2</f>
        <v>&gt;1000</v>
      </c>
      <c r="CE2" s="1511"/>
      <c r="CF2" s="1511"/>
      <c r="CH2" s="1479"/>
      <c r="CI2" s="31"/>
      <c r="CJ2" s="31"/>
      <c r="CK2" s="31"/>
      <c r="CL2" s="31"/>
      <c r="CM2" s="31"/>
      <c r="CN2" s="31"/>
      <c r="CO2" s="31"/>
      <c r="CP2" s="31"/>
      <c r="CQ2" s="31"/>
      <c r="CS2" s="56"/>
      <c r="CT2" s="56"/>
      <c r="CU2" s="30" t="str">
        <f>IF(Basisdaten!$B$15=Basisdaten!$D$2,CV2,CW2)</f>
        <v xml:space="preserve">   ┌   MwSt-Satz der jeweiligen Kostenart</v>
      </c>
      <c r="CV2" s="38" t="str">
        <f>IF($G$2=-1,"","   ┌   MwSt-Satz der jeweiligen Kostenart")</f>
        <v xml:space="preserve">   ┌   MwSt-Satz der jeweiligen Kostenart</v>
      </c>
      <c r="CW2" s="38" t="str">
        <f>IF($G$2=-1,"","   ┌   VAT for Cost Type")</f>
        <v xml:space="preserve">   ┌   VAT for Cost Type</v>
      </c>
      <c r="CX2" s="30" t="str">
        <f ca="1">IF(Basisdaten!$B$15=Basisdaten!$D$2,CY2,CZ2)</f>
        <v>3a-1.1.1 Aufstellung geringwertige WirtschaftsGüter (GWG) Verwaltung 2026</v>
      </c>
      <c r="CY2" s="1321" t="str">
        <f ca="1">"3a-1.1.1 Aufstellung geringwertige WirtschaftsGüter (GWG) Verwaltung "&amp;Basisdaten!$C$15</f>
        <v>3a-1.1.1 Aufstellung geringwertige WirtschaftsGüter (GWG) Verwaltung 2026</v>
      </c>
      <c r="CZ2" s="1321" t="str">
        <f ca="1">"3a-1.1.1 List of low-value assets (LVA) for administration "&amp;Basisdaten!$C$15</f>
        <v>3a-1.1.1 List of low-value assets (LVA) for administration 2026</v>
      </c>
      <c r="DA2" s="213"/>
      <c r="DB2" s="213"/>
      <c r="DC2" s="213"/>
      <c r="DD2" s="213"/>
      <c r="DE2" s="213"/>
      <c r="DF2" s="213"/>
      <c r="DG2" s="213"/>
      <c r="DH2" s="213"/>
      <c r="DI2" s="213"/>
      <c r="DJ2" s="59"/>
    </row>
    <row r="3" spans="1:121" s="30" customFormat="1" ht="14.25" customHeight="1">
      <c r="A3" s="540" t="str" cm="1">
        <f t="array" aca="1" ref="A3" ca="1">MID(CELL("Dateiname",$A$2),FIND("]",CELL("Dateiname",$A$2))+1,31)</f>
        <v>3  Betriebskosten|Operation Ex</v>
      </c>
      <c r="C3" s="2274" t="str">
        <f>CU16</f>
        <v>MwSt an-passen</v>
      </c>
      <c r="D3" s="695"/>
      <c r="E3" s="336" t="s">
        <v>186</v>
      </c>
      <c r="F3" s="526" t="str">
        <f>CU3</f>
        <v>Kostenart</v>
      </c>
      <c r="G3" s="336" t="str">
        <f>Basisdaten!E8</f>
        <v>Jan.</v>
      </c>
      <c r="H3" s="336" t="str">
        <f>Basisdaten!F8</f>
        <v>Feb</v>
      </c>
      <c r="I3" s="336" t="str">
        <f>Basisdaten!G8</f>
        <v>Mrz</v>
      </c>
      <c r="J3" s="336" t="str">
        <f>Basisdaten!H8</f>
        <v>Apr</v>
      </c>
      <c r="K3" s="336" t="str">
        <f>Basisdaten!I8</f>
        <v>Mai</v>
      </c>
      <c r="L3" s="336" t="str">
        <f>Basisdaten!J8</f>
        <v>Jun</v>
      </c>
      <c r="M3" s="336" t="str">
        <f>Basisdaten!K8</f>
        <v>Jul</v>
      </c>
      <c r="N3" s="336" t="str">
        <f>Basisdaten!L8</f>
        <v>Aug</v>
      </c>
      <c r="O3" s="336" t="str">
        <f>Basisdaten!M8</f>
        <v>Sep</v>
      </c>
      <c r="P3" s="336" t="str">
        <f>Basisdaten!N8</f>
        <v>Okt</v>
      </c>
      <c r="Q3" s="336" t="str">
        <f>Basisdaten!O8</f>
        <v>Nov</v>
      </c>
      <c r="R3" s="336" t="str">
        <f>Basisdaten!P8</f>
        <v>Dez</v>
      </c>
      <c r="S3" s="336" t="str">
        <f ca="1">Basisdaten!O15</f>
        <v>Jahr 2026</v>
      </c>
      <c r="T3" s="552"/>
      <c r="U3" s="2247"/>
      <c r="V3" s="2248"/>
      <c r="W3" s="1393">
        <f t="shared" ref="W3:W7" si="0">X3*Y3</f>
        <v>0</v>
      </c>
      <c r="X3" s="1237"/>
      <c r="Y3" s="1237"/>
      <c r="Z3" s="1237"/>
      <c r="AA3" s="1238"/>
      <c r="AB3" s="1239">
        <f>IF($AA3=$CC$1,0,IF(AND($AA3="Direkt",$X3&gt;Basisdaten!$B$50,$X3&lt;=Basisdaten!$C$50),$W3,IF(AND($X3&lt;=Basisdaten!$C$50,$X3&gt;Basisdaten!$B$50),$W3,0)))</f>
        <v>0</v>
      </c>
      <c r="AC3" s="1239">
        <f>IF(AA3=$CB$1,0,IF(AND($AA3="Pool",$X3&lt;=Basisdaten!$D$50,$X3&gt;Basisdaten!$B$50),$W3,0))</f>
        <v>0</v>
      </c>
      <c r="AD3" s="1398" t="str">
        <f>IF(AND($AA3=$CC$1,$X3&gt;$CC$2),$CD$2,IF(AND($AA3=$CB$1,$X3&gt;$CB$2),$CD$1,IF(AND($X3&lt;$CA$2,$X3&lt;&gt;0,$Y3&gt;0),$CA$3,"")))</f>
        <v/>
      </c>
      <c r="AE3" s="29"/>
      <c r="AF3" s="29"/>
      <c r="AG3" s="29"/>
      <c r="AH3" s="29"/>
      <c r="AI3" s="29"/>
      <c r="AK3" s="326"/>
      <c r="AL3" s="336" t="str">
        <f>CU166</f>
        <v>Aufgaben und/oder Kommentar</v>
      </c>
      <c r="AM3" s="50"/>
      <c r="AN3" s="50"/>
      <c r="AO3" s="50"/>
      <c r="AP3" s="50"/>
      <c r="AQ3" s="50"/>
      <c r="AR3" s="50"/>
      <c r="AS3" s="50"/>
      <c r="AT3" s="50"/>
      <c r="AU3" s="50"/>
      <c r="AV3" s="50"/>
      <c r="AW3" s="50"/>
      <c r="AX3" s="50"/>
      <c r="AY3" s="50"/>
      <c r="AZ3" s="50"/>
      <c r="BA3" s="1479"/>
      <c r="BB3" s="1479"/>
      <c r="BC3" s="1479"/>
      <c r="BD3" s="1479"/>
      <c r="BE3" s="1479"/>
      <c r="BF3" s="1479"/>
      <c r="BG3" s="1479"/>
      <c r="BH3" s="1479"/>
      <c r="BI3" s="1479"/>
      <c r="BJ3" s="1479"/>
      <c r="BK3" s="1479"/>
      <c r="BL3" s="1479"/>
      <c r="BM3" s="1479"/>
      <c r="BN3" s="1479"/>
      <c r="BO3" s="1479"/>
      <c r="BP3" s="1479"/>
      <c r="BQ3" s="1479"/>
      <c r="BR3" s="1479"/>
      <c r="BS3" s="1479"/>
      <c r="BT3" s="1479"/>
      <c r="BU3" s="1479"/>
      <c r="BV3" s="1479"/>
      <c r="BW3" s="1479"/>
      <c r="BX3" s="1479"/>
      <c r="BY3" s="1479"/>
      <c r="CA3" s="1528" t="str">
        <f>"&lt;"&amp;$CA$2</f>
        <v>&lt;250</v>
      </c>
      <c r="CB3" s="1530" t="s">
        <v>997</v>
      </c>
      <c r="CC3" s="1530" t="s">
        <v>886</v>
      </c>
      <c r="CD3" s="481" t="s">
        <v>996</v>
      </c>
      <c r="CE3" s="1530" t="s">
        <v>995</v>
      </c>
      <c r="CF3" s="1479"/>
      <c r="CH3" s="1479"/>
      <c r="CI3" s="31"/>
      <c r="CJ3" s="31"/>
      <c r="CK3" s="31"/>
      <c r="CL3" s="31"/>
      <c r="CM3" s="31"/>
      <c r="CN3" s="31"/>
      <c r="CO3" s="31"/>
      <c r="CP3" s="31"/>
      <c r="CQ3" s="31"/>
      <c r="CU3" s="30" t="str">
        <f>IF(Basisdaten!$B$15=Basisdaten!$D$2,CV3,CW3)</f>
        <v>Kostenart</v>
      </c>
      <c r="CV3" s="38" t="s">
        <v>0</v>
      </c>
      <c r="CW3" s="38" t="s">
        <v>183</v>
      </c>
      <c r="CX3" s="30" t="str">
        <f>IF(Basisdaten!$B$15=Basisdaten!$D$2,CY3,CZ3)</f>
        <v>Artikelbezeichnung</v>
      </c>
      <c r="CY3" s="30" t="s">
        <v>921</v>
      </c>
      <c r="CZ3" s="30" t="s">
        <v>920</v>
      </c>
      <c r="DA3" s="116"/>
      <c r="DB3" s="116"/>
      <c r="DC3" s="116"/>
      <c r="DD3" s="116"/>
      <c r="DE3" s="116"/>
      <c r="DF3" s="116"/>
      <c r="DG3" s="116"/>
      <c r="DH3" s="116"/>
      <c r="DI3" s="116"/>
      <c r="DJ3" s="116"/>
      <c r="DK3" s="55"/>
    </row>
    <row r="4" spans="1:121" ht="14.25" customHeight="1">
      <c r="C4" s="2275"/>
      <c r="D4" s="695"/>
      <c r="E4" s="597">
        <v>1</v>
      </c>
      <c r="F4" s="598" t="str">
        <f>CU4</f>
        <v>Verwaltung (Büro)</v>
      </c>
      <c r="G4" s="599">
        <f>IFERROR(S68,"undo")</f>
        <v>0</v>
      </c>
      <c r="H4" s="2270" t="str">
        <f>IF(G4="undo",$CU$164,"")</f>
        <v/>
      </c>
      <c r="I4" s="2270"/>
      <c r="J4" s="2270"/>
      <c r="K4" s="2270"/>
      <c r="L4" s="2270"/>
      <c r="M4" s="2270"/>
      <c r="N4" s="2270"/>
      <c r="O4" s="2270"/>
      <c r="P4" s="2270"/>
      <c r="Q4" s="601" t="s">
        <v>608</v>
      </c>
      <c r="R4" s="600"/>
      <c r="S4" s="1240"/>
      <c r="T4" s="552"/>
      <c r="U4" s="2247"/>
      <c r="V4" s="2248"/>
      <c r="W4" s="1393">
        <f t="shared" si="0"/>
        <v>0</v>
      </c>
      <c r="X4" s="1237"/>
      <c r="Y4" s="1237"/>
      <c r="Z4" s="1237"/>
      <c r="AA4" s="1238"/>
      <c r="AB4" s="1239">
        <f>IF($AA4=$CC$1,0,IF(AND($AA4="Direkt",$X4&gt;Basisdaten!$B$50,$X4&lt;=Basisdaten!$C$50),$W4,IF(AND($X4&lt;=Basisdaten!$C$50,$X4&gt;Basisdaten!$B$50),$W4,0)))</f>
        <v>0</v>
      </c>
      <c r="AC4" s="1239">
        <f>IF(AA4=$CB$1,0,IF(AND($AA4="Pool",$X4&lt;=Basisdaten!$D$50,$X4&gt;Basisdaten!$B$50),$W4,0))</f>
        <v>0</v>
      </c>
      <c r="AD4" s="1392" t="str">
        <f>IF(AND($AA4=$CC$1,$X4&gt;$CC$2),$CD$2,IF(AND($AA4=$CB$1,$X4&gt;$CB$2),$CD$1,IF(AND($X4&lt;$CA$2,$X4&lt;&gt;0,$Y4&gt;0),$CA$3,"")))</f>
        <v/>
      </c>
      <c r="AL4" s="1608"/>
      <c r="BA4" s="1479"/>
      <c r="BB4" s="1479"/>
      <c r="BC4" s="1479"/>
      <c r="BD4" s="1479"/>
      <c r="BE4" s="1479"/>
      <c r="BF4" s="1479"/>
      <c r="BG4" s="1479"/>
      <c r="BH4" s="1479"/>
      <c r="BI4" s="1479"/>
      <c r="BJ4" s="1479"/>
      <c r="BK4" s="1479"/>
      <c r="BL4" s="1479"/>
      <c r="BM4" s="1479"/>
      <c r="BN4" s="1479"/>
      <c r="BO4" s="1479"/>
      <c r="BP4" s="1479"/>
      <c r="BQ4" s="1479"/>
      <c r="BR4" s="1479"/>
      <c r="BS4" s="1479"/>
      <c r="BT4" s="1479"/>
      <c r="BU4" s="1479"/>
      <c r="BV4" s="1479"/>
      <c r="BW4" s="1479"/>
      <c r="BX4" s="1479"/>
      <c r="BY4" s="1479"/>
      <c r="CA4" s="1534">
        <f>IF(OR(AD3=$CD$1,AD3=$CD$2,AD3=$CA$3),1,0)</f>
        <v>0</v>
      </c>
      <c r="CB4" s="1535">
        <f>IF(OR(AND($X3&lt;$CA$2,$X3&lt;&gt;0),AND($X3&gt;$CB$2,$AA3=$CB$1),AND($X3&gt;$CC$2,$AA3=$CC$1)),1,0)</f>
        <v>0</v>
      </c>
      <c r="CC4" s="1535">
        <f>IF(AND($X3&gt;0,$Y3=0),1,0)</f>
        <v>0</v>
      </c>
      <c r="CD4" s="1536">
        <f>IF(AND($X3&gt;0,$Z3=""),1,0)</f>
        <v>0</v>
      </c>
      <c r="CE4" s="1537">
        <f>IF(AND($AA3="",$X3&gt;0),1,0)</f>
        <v>0</v>
      </c>
      <c r="CF4" s="2255" t="s">
        <v>1008</v>
      </c>
      <c r="CH4" s="1479"/>
      <c r="CI4" s="31"/>
      <c r="CJ4" s="31"/>
      <c r="CK4" s="31"/>
      <c r="CL4" s="31"/>
      <c r="CM4" s="31"/>
      <c r="CN4" s="31"/>
      <c r="CO4" s="31"/>
      <c r="CP4" s="31"/>
      <c r="CQ4" s="31"/>
      <c r="CS4" s="56"/>
      <c r="CT4" s="56"/>
      <c r="CU4" s="30" t="str">
        <f>IF(Basisdaten!$B$15=Basisdaten!$D$2,CV4,CW4)</f>
        <v>Verwaltung (Büro)</v>
      </c>
      <c r="CV4" s="38" t="s">
        <v>767</v>
      </c>
      <c r="CW4" s="38" t="s">
        <v>768</v>
      </c>
      <c r="CX4" s="30" t="str">
        <f>IF(Basisdaten!$B$15=Basisdaten!$D$2,CY4,CZ4)</f>
        <v>Betrag</v>
      </c>
      <c r="CY4" s="38" t="s">
        <v>121</v>
      </c>
      <c r="CZ4" s="38" t="s">
        <v>232</v>
      </c>
      <c r="DK4" s="52"/>
    </row>
    <row r="5" spans="1:121" ht="14.25" customHeight="1">
      <c r="C5" s="1640">
        <v>0.19</v>
      </c>
      <c r="D5" s="695"/>
      <c r="E5" s="1319">
        <f>IF('2 Umsatz|Sales'!$CT$3=0,0,C5)</f>
        <v>0.19</v>
      </c>
      <c r="F5" s="538" t="str">
        <f>CU5</f>
        <v>Raummiete</v>
      </c>
      <c r="G5" s="420"/>
      <c r="H5" s="420"/>
      <c r="I5" s="420"/>
      <c r="J5" s="420"/>
      <c r="K5" s="420"/>
      <c r="L5" s="420"/>
      <c r="M5" s="420"/>
      <c r="N5" s="420"/>
      <c r="O5" s="420"/>
      <c r="P5" s="420"/>
      <c r="Q5" s="420"/>
      <c r="R5" s="420"/>
      <c r="S5" s="594">
        <f t="shared" ref="S5:S10" si="1">SUM(G5:R5)</f>
        <v>0</v>
      </c>
      <c r="T5" s="552"/>
      <c r="U5" s="2247"/>
      <c r="V5" s="2248"/>
      <c r="W5" s="1393">
        <f t="shared" si="0"/>
        <v>0</v>
      </c>
      <c r="X5" s="1237"/>
      <c r="Y5" s="1237"/>
      <c r="Z5" s="1237"/>
      <c r="AA5" s="1238"/>
      <c r="AB5" s="1239">
        <f>IF($AA5=$CC$1,0,IF(AND($AA5="Direkt",$X5&gt;Basisdaten!$B$50,$X5&lt;=Basisdaten!$C$50),$W5,IF(AND($X5&lt;=Basisdaten!$C$50,$X5&gt;Basisdaten!$B$50),$W5,0)))</f>
        <v>0</v>
      </c>
      <c r="AC5" s="1239">
        <f>IF(AA5=$CB$1,0,IF(AND($AA5="Pool",$X5&lt;=Basisdaten!$D$50,$X5&gt;Basisdaten!$B$50),$W5,0))</f>
        <v>0</v>
      </c>
      <c r="AD5" s="1392" t="str">
        <f>IF(AND($AA5=$CC$1,$X5&gt;$CC$2),$CD$2,IF(AND($AA5=$CB$1,$X5&gt;$CB$2),$CD$1,IF(AND($X5&lt;$CA$2,$X5&lt;&gt;0,$Y5&gt;0),$CA$3,"")))</f>
        <v/>
      </c>
      <c r="AL5" s="1609"/>
      <c r="BA5" s="1479"/>
      <c r="BB5" s="1479"/>
      <c r="BC5" s="1479"/>
      <c r="BD5" s="1479"/>
      <c r="BE5" s="1479"/>
      <c r="BF5" s="1479"/>
      <c r="BG5" s="1479"/>
      <c r="BH5" s="1479"/>
      <c r="BI5" s="1479"/>
      <c r="BJ5" s="1479"/>
      <c r="BK5" s="1479"/>
      <c r="BL5" s="1479"/>
      <c r="BM5" s="1479"/>
      <c r="BN5" s="1479"/>
      <c r="BO5" s="1479"/>
      <c r="BP5" s="1479"/>
      <c r="BQ5" s="1479"/>
      <c r="BR5" s="1479"/>
      <c r="BS5" s="1479"/>
      <c r="BT5" s="1479"/>
      <c r="BU5" s="1479"/>
      <c r="BV5" s="1479"/>
      <c r="BW5" s="1479"/>
      <c r="BX5" s="1479"/>
      <c r="BY5" s="1479"/>
      <c r="CA5" s="1534">
        <f>IF(OR(AD4=$CD$1,AD4=$CD$2,AD4=$CA$3),1,0)</f>
        <v>0</v>
      </c>
      <c r="CB5" s="1535">
        <f>IF(OR(AND($X4&lt;$CA$2,$X4&lt;&gt;0),AND($X4&gt;$CB$2,$AA4=$CB$1),AND($X4&gt;$CC$2,$AA4=$CC$1)),1,0)</f>
        <v>0</v>
      </c>
      <c r="CC5" s="1535">
        <f>IF(AND($X4&gt;0,$Y4=0),1,0)</f>
        <v>0</v>
      </c>
      <c r="CD5" s="1536">
        <f>IF(AND($X4&gt;0,$Z4=""),1,0)</f>
        <v>0</v>
      </c>
      <c r="CE5" s="1537">
        <f>IF(AND($AA4="",$X4&gt;0),1,0)</f>
        <v>0</v>
      </c>
      <c r="CF5" s="2255"/>
      <c r="CH5" s="1479"/>
      <c r="CI5" s="31"/>
      <c r="CJ5" s="31"/>
      <c r="CK5" s="31"/>
      <c r="CL5" s="31"/>
      <c r="CM5" s="31"/>
      <c r="CN5" s="31"/>
      <c r="CO5" s="31"/>
      <c r="CP5" s="31"/>
      <c r="CQ5" s="31"/>
      <c r="CS5" s="30"/>
      <c r="CT5" s="30"/>
      <c r="CU5" s="30" t="str">
        <f>IF(Basisdaten!$B$15=Basisdaten!$D$2,CV5,CW5)</f>
        <v>Raummiete</v>
      </c>
      <c r="CV5" s="38" t="s">
        <v>272</v>
      </c>
      <c r="CW5" s="38" t="s">
        <v>376</v>
      </c>
      <c r="CX5" s="30" t="str">
        <f>IF(Basisdaten!$B$15=Basisdaten!$D$2,CY5,CZ5)</f>
        <v>Stk-Kost</v>
      </c>
      <c r="CY5" s="38" t="s">
        <v>577</v>
      </c>
      <c r="CZ5" s="38" t="s">
        <v>928</v>
      </c>
      <c r="DK5" s="52"/>
    </row>
    <row r="6" spans="1:121" ht="14.25" customHeight="1">
      <c r="C6" s="1641">
        <v>0.19</v>
      </c>
      <c r="D6" s="695"/>
      <c r="E6" s="1320">
        <f>IF('2 Umsatz|Sales'!$CT$3=0,0,C6)</f>
        <v>0.19</v>
      </c>
      <c r="F6" s="278" t="str">
        <f>CU6</f>
        <v>Strom, Wasser, Heizung, sonst. Nebenkosten</v>
      </c>
      <c r="G6" s="417"/>
      <c r="H6" s="417"/>
      <c r="I6" s="417"/>
      <c r="J6" s="417"/>
      <c r="K6" s="417"/>
      <c r="L6" s="417"/>
      <c r="M6" s="417"/>
      <c r="N6" s="417"/>
      <c r="O6" s="417"/>
      <c r="P6" s="417"/>
      <c r="Q6" s="417"/>
      <c r="R6" s="417"/>
      <c r="S6" s="279">
        <f>SUM(G6:R6)</f>
        <v>0</v>
      </c>
      <c r="T6" s="552"/>
      <c r="U6" s="2247"/>
      <c r="V6" s="2248"/>
      <c r="W6" s="1393">
        <f t="shared" si="0"/>
        <v>0</v>
      </c>
      <c r="X6" s="1237"/>
      <c r="Y6" s="1237"/>
      <c r="Z6" s="1237"/>
      <c r="AA6" s="1238"/>
      <c r="AB6" s="1239">
        <f>IF($AA6=$CC$1,0,IF(AND($AA6="Direkt",$X6&gt;Basisdaten!$B$50,$X6&lt;=Basisdaten!$C$50),$W6,IF(AND($X6&lt;=Basisdaten!$C$50,$X6&gt;Basisdaten!$B$50),$W6,0)))</f>
        <v>0</v>
      </c>
      <c r="AC6" s="1239">
        <f>IF(AA6=$CB$1,0,IF(AND($AA6="Pool",$X6&lt;=Basisdaten!$D$50,$X6&gt;Basisdaten!$B$50),$W6,0))</f>
        <v>0</v>
      </c>
      <c r="AD6" s="1392" t="str">
        <f>IF(AND($AA6=$CC$1,$X6&gt;$CC$2),$CD$2,IF(AND($AA6=$CB$1,$X6&gt;$CB$2),$CD$1,IF(AND($X6&lt;$CA$2,$X6&lt;&gt;0,$Y6&gt;0),$CA$3,"")))</f>
        <v/>
      </c>
      <c r="AL6" s="1609"/>
      <c r="BA6" s="1479"/>
      <c r="BB6" s="1479"/>
      <c r="BC6" s="1479"/>
      <c r="BD6" s="1479"/>
      <c r="BE6" s="1479"/>
      <c r="BF6" s="1479"/>
      <c r="BG6" s="1479"/>
      <c r="BH6" s="1479"/>
      <c r="BI6" s="1479"/>
      <c r="BJ6" s="1479"/>
      <c r="BK6" s="1479"/>
      <c r="BL6" s="1479"/>
      <c r="BM6" s="1479"/>
      <c r="BN6" s="1479"/>
      <c r="BO6" s="1479"/>
      <c r="BP6" s="1479"/>
      <c r="BQ6" s="1479"/>
      <c r="BR6" s="1479"/>
      <c r="BS6" s="1479"/>
      <c r="BT6" s="1479"/>
      <c r="BU6" s="1479"/>
      <c r="BV6" s="1479"/>
      <c r="BW6" s="1479"/>
      <c r="BX6" s="1479"/>
      <c r="BY6" s="1479"/>
      <c r="CA6" s="1534">
        <f>IF(OR(AD5=$CD$1,AD5=$CD$2,AD5=$CA$3),1,0)</f>
        <v>0</v>
      </c>
      <c r="CB6" s="1535">
        <f>IF(OR(AND($X5&lt;$CA$2,$X5&lt;&gt;0),AND($X5&gt;$CB$2,$AA5=$CB$1),AND($X5&gt;$CC$2,$AA5=$CC$1)),1,0)</f>
        <v>0</v>
      </c>
      <c r="CC6" s="1535">
        <f>IF(AND($X5&gt;0,$Y5=0),1,0)</f>
        <v>0</v>
      </c>
      <c r="CD6" s="1536">
        <f>IF(AND($X5&gt;0,$Z5=""),1,0)</f>
        <v>0</v>
      </c>
      <c r="CE6" s="1537">
        <f>IF(AND($AA5="",$X5&gt;0),1,0)</f>
        <v>0</v>
      </c>
      <c r="CF6" s="2255"/>
      <c r="CH6" s="1479"/>
      <c r="CI6" s="31"/>
      <c r="CJ6" s="31"/>
      <c r="CK6" s="31"/>
      <c r="CL6" s="31"/>
      <c r="CM6" s="31"/>
      <c r="CN6" s="31"/>
      <c r="CO6" s="31"/>
      <c r="CP6" s="31"/>
      <c r="CQ6" s="31"/>
      <c r="CS6" s="56"/>
      <c r="CT6" s="56"/>
      <c r="CU6" s="30" t="str">
        <f>IF(Basisdaten!$B$15=Basisdaten!$D$2,CV6,CW6)</f>
        <v>Strom, Wasser, Heizung, sonst. Nebenkosten</v>
      </c>
      <c r="CV6" s="38" t="s">
        <v>273</v>
      </c>
      <c r="CW6" s="38" t="s">
        <v>281</v>
      </c>
      <c r="CX6" s="30" t="str">
        <f>IF(Basisdaten!$B$15=Basisdaten!$D$2,CY6,CZ6)</f>
        <v>Anzahl</v>
      </c>
      <c r="CY6" s="38" t="s">
        <v>886</v>
      </c>
      <c r="CZ6" s="38" t="s">
        <v>922</v>
      </c>
      <c r="DK6" s="52"/>
    </row>
    <row r="7" spans="1:121" ht="14.25" customHeight="1">
      <c r="C7" s="1641">
        <v>0.19</v>
      </c>
      <c r="D7" s="695"/>
      <c r="E7" s="1320">
        <f>IF('2 Umsatz|Sales'!$CT$3=0,0,C7)</f>
        <v>0.19</v>
      </c>
      <c r="F7" s="278" t="str">
        <f>CU7</f>
        <v>Telefon, Fax, Internet, Porto</v>
      </c>
      <c r="G7" s="417"/>
      <c r="H7" s="417"/>
      <c r="I7" s="417"/>
      <c r="J7" s="417"/>
      <c r="K7" s="417"/>
      <c r="L7" s="417"/>
      <c r="M7" s="417"/>
      <c r="N7" s="417"/>
      <c r="O7" s="417"/>
      <c r="P7" s="417"/>
      <c r="Q7" s="417"/>
      <c r="R7" s="417"/>
      <c r="S7" s="279">
        <f t="shared" si="1"/>
        <v>0</v>
      </c>
      <c r="T7" s="552"/>
      <c r="U7" s="2247"/>
      <c r="V7" s="2248"/>
      <c r="W7" s="1393">
        <f t="shared" si="0"/>
        <v>0</v>
      </c>
      <c r="X7" s="1237"/>
      <c r="Y7" s="1237"/>
      <c r="Z7" s="1237"/>
      <c r="AA7" s="1238"/>
      <c r="AB7" s="1239">
        <f>IF($AA7=$CC$1,0,IF(AND($AA7="Direkt",$X7&gt;Basisdaten!$B$50,$X7&lt;=Basisdaten!$C$50),$W7,IF(AND($X7&lt;=Basisdaten!$C$50,$X7&gt;Basisdaten!$B$50),$W7,0)))</f>
        <v>0</v>
      </c>
      <c r="AC7" s="1239">
        <f>IF(AA7=$CB$1,0,IF(AND($AA7="Pool",$X7&lt;=Basisdaten!$D$50,$X7&gt;Basisdaten!$B$50),$W7,0))</f>
        <v>0</v>
      </c>
      <c r="AD7" s="1392" t="str">
        <f>IF(AND($AA7=$CC$1,$X7&gt;$CC$2),$CD$2,IF(AND($AA7=$CB$1,$X7&gt;$CB$2),$CD$1,IF(AND($X7&lt;$CA$2,$X7&lt;&gt;0,$Y7&gt;0),$CA$3,"")))</f>
        <v/>
      </c>
      <c r="AL7" s="1609"/>
      <c r="BA7" s="1479"/>
      <c r="BB7" s="1479"/>
      <c r="BC7" s="1479"/>
      <c r="BD7" s="1479"/>
      <c r="BE7" s="1479"/>
      <c r="BF7" s="1479"/>
      <c r="BG7" s="1479"/>
      <c r="BH7" s="1479"/>
      <c r="BI7" s="1479"/>
      <c r="BJ7" s="1479"/>
      <c r="BK7" s="1479"/>
      <c r="BL7" s="1479"/>
      <c r="BM7" s="1479"/>
      <c r="BN7" s="1479"/>
      <c r="BO7" s="1479"/>
      <c r="BP7" s="1479"/>
      <c r="BQ7" s="1479"/>
      <c r="BR7" s="1479"/>
      <c r="BS7" s="1479"/>
      <c r="BT7" s="1479"/>
      <c r="BU7" s="1479"/>
      <c r="BV7" s="1479"/>
      <c r="BW7" s="1479"/>
      <c r="BX7" s="1479"/>
      <c r="BY7" s="1479"/>
      <c r="CA7" s="1534">
        <f>IF(OR(AD6=$CD$1,AD6=$CD$2,AD6=$CA$3),1,0)</f>
        <v>0</v>
      </c>
      <c r="CB7" s="1535">
        <f>IF(OR(AND($X6&lt;$CA$2,$X6&lt;&gt;0),AND($X6&gt;$CB$2,$AA6=$CB$1),AND($X6&gt;$CC$2,$AA6=$CC$1)),1,0)</f>
        <v>0</v>
      </c>
      <c r="CC7" s="1535">
        <f>IF(AND($X6&gt;0,$Y6=0),1,0)</f>
        <v>0</v>
      </c>
      <c r="CD7" s="1536">
        <f>IF(AND($X6&gt;0,$Z6=""),1,0)</f>
        <v>0</v>
      </c>
      <c r="CE7" s="1537">
        <f>IF(AND($AA6="",$X6&gt;0),1,0)</f>
        <v>0</v>
      </c>
      <c r="CF7" s="2255"/>
      <c r="CH7" s="1479"/>
      <c r="CI7" s="31"/>
      <c r="CJ7" s="31"/>
      <c r="CK7" s="31"/>
      <c r="CL7" s="31"/>
      <c r="CM7" s="31"/>
      <c r="CN7" s="31"/>
      <c r="CO7" s="31"/>
      <c r="CP7" s="31"/>
      <c r="CQ7" s="31"/>
      <c r="CS7" s="30"/>
      <c r="CT7" s="30"/>
      <c r="CU7" s="30" t="str">
        <f>IF(Basisdaten!$B$15=Basisdaten!$D$2,CV7,CW7)</f>
        <v>Telefon, Fax, Internet, Porto</v>
      </c>
      <c r="CV7" s="38" t="s">
        <v>184</v>
      </c>
      <c r="CW7" s="38" t="s">
        <v>377</v>
      </c>
      <c r="CX7" s="30" t="str">
        <f>IF(Basisdaten!$B$15=Basisdaten!$D$2,CY7,CZ7)</f>
        <v>Invest-Monat</v>
      </c>
      <c r="CY7" s="38" t="s">
        <v>883</v>
      </c>
      <c r="CZ7" s="38" t="s">
        <v>923</v>
      </c>
      <c r="DK7" s="52"/>
    </row>
    <row r="8" spans="1:121" ht="14.25" customHeight="1">
      <c r="A8" s="1291" t="s">
        <v>889</v>
      </c>
      <c r="C8" s="1641">
        <v>0.19</v>
      </c>
      <c r="D8" s="695"/>
      <c r="E8" s="1320">
        <f>IF('2 Umsatz|Sales'!$CT$3=0,0,C8)</f>
        <v>0.19</v>
      </c>
      <c r="F8" s="278" t="str">
        <f>CU8&amp; "   "&amp;CU68&amp;" Tab 4.1.1.1  ==&gt;"</f>
        <v>GWG (Büromöbel, Einrichtungen,...)   Planung Tab 4.1.1.1  ==&gt;</v>
      </c>
      <c r="G8" s="1375"/>
      <c r="H8" s="1375"/>
      <c r="I8" s="1375"/>
      <c r="J8" s="1375"/>
      <c r="K8" s="1375"/>
      <c r="L8" s="1375"/>
      <c r="M8" s="1375"/>
      <c r="N8" s="1375"/>
      <c r="O8" s="1375"/>
      <c r="P8" s="1375"/>
      <c r="Q8" s="1375"/>
      <c r="R8" s="1375"/>
      <c r="S8" s="279">
        <f t="shared" si="1"/>
        <v>0</v>
      </c>
      <c r="T8" s="552"/>
      <c r="U8" s="2251">
        <f ca="1">Basisdaten!C15</f>
        <v>2026</v>
      </c>
      <c r="V8" s="2252"/>
      <c r="W8" s="1270" t="str">
        <f>$G$3</f>
        <v>Jan.</v>
      </c>
      <c r="X8" s="1270" t="str">
        <f>$H$3</f>
        <v>Feb</v>
      </c>
      <c r="Y8" s="1270" t="str">
        <f>$I$3</f>
        <v>Mrz</v>
      </c>
      <c r="Z8" s="1270" t="str">
        <f>$J$3</f>
        <v>Apr</v>
      </c>
      <c r="AA8" s="1270" t="str">
        <f>$K$3</f>
        <v>Mai</v>
      </c>
      <c r="AB8" s="1270" t="str">
        <f>$L$3</f>
        <v>Jun</v>
      </c>
      <c r="AC8" s="1270" t="str">
        <f>$M$3</f>
        <v>Jul</v>
      </c>
      <c r="AD8" s="1270" t="str">
        <f>$N$3</f>
        <v>Aug</v>
      </c>
      <c r="AE8" s="1270" t="str">
        <f>$O$3</f>
        <v>Sep</v>
      </c>
      <c r="AF8" s="1270" t="str">
        <f>$P$3</f>
        <v>Okt</v>
      </c>
      <c r="AG8" s="1270" t="str">
        <f>$Q$3</f>
        <v>Nov</v>
      </c>
      <c r="AH8" s="1270" t="str">
        <f>$R$3</f>
        <v>Dez</v>
      </c>
      <c r="AI8" s="1271">
        <f ca="1">Basisdaten!$C$15</f>
        <v>2026</v>
      </c>
      <c r="AL8" s="1609"/>
      <c r="BA8" s="1479"/>
      <c r="BB8" s="1479"/>
      <c r="BC8" s="1479"/>
      <c r="BD8" s="1479"/>
      <c r="BE8" s="1479"/>
      <c r="BF8" s="1479"/>
      <c r="BG8" s="1479"/>
      <c r="BH8" s="1479"/>
      <c r="BI8" s="1479"/>
      <c r="BJ8" s="1479"/>
      <c r="BK8" s="1479"/>
      <c r="BL8" s="1479"/>
      <c r="BM8" s="1479"/>
      <c r="BN8" s="1479"/>
      <c r="BO8" s="1479"/>
      <c r="BP8" s="1479"/>
      <c r="BQ8" s="1479"/>
      <c r="BR8" s="1479"/>
      <c r="BS8" s="1479"/>
      <c r="BT8" s="1479"/>
      <c r="BU8" s="1479"/>
      <c r="BV8" s="1479"/>
      <c r="BW8" s="1479"/>
      <c r="BX8" s="1479"/>
      <c r="BY8" s="1479"/>
      <c r="CA8" s="1534">
        <f>IF(OR(AD7=$CD$1,AD7=$CD$2,AD7=$CA$3),1,0)</f>
        <v>0</v>
      </c>
      <c r="CB8" s="1535">
        <f>IF(OR(AND($X7&lt;$CA$2,$X7&lt;&gt;0),AND($X7&gt;$CB$2,$AA7=$CB$1),AND($X7&gt;$CC$2,$AA7=$CC$1)),1,0)</f>
        <v>0</v>
      </c>
      <c r="CC8" s="1535">
        <f>IF(AND($X7&gt;0,$Y7=0),1,0)</f>
        <v>0</v>
      </c>
      <c r="CD8" s="1536">
        <f>IF(AND($X7&gt;0,$Z7=""),1,0)</f>
        <v>0</v>
      </c>
      <c r="CE8" s="1537">
        <f>IF(AND($AA7="",$X7&gt;0),1,0)</f>
        <v>0</v>
      </c>
      <c r="CF8" s="2255"/>
      <c r="CH8" s="1479"/>
      <c r="CI8" s="31"/>
      <c r="CJ8" s="31"/>
      <c r="CK8" s="31"/>
      <c r="CL8" s="31"/>
      <c r="CM8" s="31"/>
      <c r="CN8" s="31"/>
      <c r="CO8" s="31"/>
      <c r="CP8" s="31"/>
      <c r="CQ8" s="31"/>
      <c r="CS8" s="56"/>
      <c r="CT8" s="56"/>
      <c r="CU8" s="30" t="str">
        <f>IF(Basisdaten!$B$15=Basisdaten!$D$2,CV8,CW8)</f>
        <v>GWG (Büromöbel, Einrichtungen,...)</v>
      </c>
      <c r="CV8" s="38" t="s">
        <v>890</v>
      </c>
      <c r="CW8" s="38" t="s">
        <v>964</v>
      </c>
      <c r="CX8" s="30" t="str">
        <f>IF(Basisdaten!$B$15=Basisdaten!$D$2,CY8,CZ8)</f>
        <v>Direkt/Pool</v>
      </c>
      <c r="CY8" s="38" t="s">
        <v>924</v>
      </c>
      <c r="CZ8" s="38" t="s">
        <v>925</v>
      </c>
      <c r="DK8" s="52"/>
    </row>
    <row r="9" spans="1:121" ht="14.25" customHeight="1">
      <c r="C9" s="1641">
        <v>0.19</v>
      </c>
      <c r="D9" s="695"/>
      <c r="E9" s="1320">
        <f>IF('2 Umsatz|Sales'!$CT$3=0,0,C9)</f>
        <v>0.19</v>
      </c>
      <c r="F9" s="278" t="str">
        <f>CU9</f>
        <v>IT Lizenzen, OS, Office, Wartung, …</v>
      </c>
      <c r="G9" s="417"/>
      <c r="H9" s="417"/>
      <c r="I9" s="417"/>
      <c r="J9" s="417"/>
      <c r="K9" s="417"/>
      <c r="L9" s="417"/>
      <c r="M9" s="417"/>
      <c r="N9" s="417"/>
      <c r="O9" s="417"/>
      <c r="P9" s="417"/>
      <c r="Q9" s="417"/>
      <c r="R9" s="417"/>
      <c r="S9" s="279">
        <f t="shared" si="1"/>
        <v>0</v>
      </c>
      <c r="T9" s="552"/>
      <c r="U9" s="1390" t="str">
        <f>CX12&amp;" "&amp;AB2</f>
        <v>GWG Direkt</v>
      </c>
      <c r="V9" s="1391"/>
      <c r="W9" s="1265">
        <f>IF(AND($Z$3=$G$2,$AB$3&gt;0),$AB$3,0)+IF(AND($Z$4=$G$2,$AB$4&gt;0),$AB$4,0)+IF(AND($Z$5=$G$2,$AB$5&gt;0),$AB$5,0)+IF(AND($Z$6=$G$2,$AB$6&gt;0),$AB$6,0)+IF(AND($Z$7=$G$2,$AB$7&gt;0),$AB$7,0)</f>
        <v>0</v>
      </c>
      <c r="X9" s="1265">
        <f>IF(AND($Z$3=$H$2,$AB$3&gt;0),$AB$3,0)+IF(AND($Z$4=$H$2,$AB$4&gt;0),$AB$4,0)+IF(AND($Z$5=$H$2,$AB$5&gt;0),$AB$5,0)+IF(AND($Z$6=$H$2,$AB$6&gt;0),$AB$6,0)+IF(AND($Z$7=$H$2,$AB$7&gt;0),$AB$7,0)</f>
        <v>0</v>
      </c>
      <c r="Y9" s="1265">
        <f>IF(AND($Z$3=$I$2,$AB$3&gt;0),$AB$3,0)+IF(AND($Z$4=$I$2,$AB$4&gt;0),$AB$4,0)+IF(AND($Z$5=$I$2,$AB$5&gt;0),$AB$5,0)+IF(AND($Z$6=$I$2,$AB$6&gt;0),$AB$6,0)+IF(AND($Z$7=$I$2,$AB$7&gt;0),$AB$7,0)</f>
        <v>0</v>
      </c>
      <c r="Z9" s="1265">
        <f>IF(AND($Z$3=$J$2,$AB$3&gt;0),$AB$3,0)+IF(AND($Z$4=$J$2,$AB$4&gt;0),$AB$4,0)+IF(AND($Z$5=$J$2,$AB$5&gt;0),$AB$5,0)+IF(AND($Z$6=$J$2,$AB$6&gt;0),$AB$6,0)+IF(AND($Z$7=$J$2,$AB$7&gt;0),$AB$7,0)</f>
        <v>0</v>
      </c>
      <c r="AA9" s="1265">
        <f>IF(AND($Z$3=$K$2,$AB$3&gt;0),$AB$3,0)+IF(AND($Z$4=$K$2,$AB$4&gt;0),$AB$4,0)+IF(AND($Z$5=$K$2,$AB$5&gt;0),$AB$5,0)+IF(AND($Z$6=$K$2,$AB$6&gt;0),$AB$6,0)+IF(AND($Z$7=$K$2,$AB$7&gt;0),$AB$7,0)</f>
        <v>0</v>
      </c>
      <c r="AB9" s="1265">
        <f>IF(AND($Z$3=$L$2,$AB$3&gt;0),$AB$3,0)+IF(AND($Z$4=$L$2,$AB$4&gt;0),$AB$4,0)+IF(AND($Z$5=$L$2,$AB$5&gt;0),$AB$5,0)+IF(AND($Z$6=$L$2,$AB$6&gt;0),$AB$6,0)+IF(AND($Z$7=$L$2,$AB$7&gt;0),$AB$7,0)</f>
        <v>0</v>
      </c>
      <c r="AC9" s="1265">
        <f>IF(AND($Z$3=$M$2,$AB$3&gt;0),$AB$3,0)+IF(AND($Z$4=$M$2,$AB$4&gt;0),$AB$4,0)+IF(AND($Z$5=$M$2,$AB$5&gt;0),$AB$5,0)+IF(AND($Z$6=$M$2,$AB$6&gt;0),$AB$6,0)+IF(AND($Z$7=$M$2,$AB$7&gt;0),$AB$7,0)</f>
        <v>0</v>
      </c>
      <c r="AD9" s="1265">
        <f>IF(AND($Z$3=$N$2,$AB$3&gt;0),$AB$3,0)+IF(AND($Z$4=$N$2,$AB$4&gt;0),$AB$4,0)+IF(AND($Z$5=$N$2,$AB$5&gt;0),$AB$5,0)+IF(AND($Z$6=$N$2,$AB$6&gt;0),$AB$6,0)+IF(AND($Z$7=$N$2,$AB$7&gt;0),$AB$7,0)</f>
        <v>0</v>
      </c>
      <c r="AE9" s="1265">
        <f>IF(AND($Z$3=$O$2,$AB$3&gt;0),$AB$3,0)+IF(AND($Z$4=$O$2,$AB$4&gt;0),$AB$4,0)+IF(AND($Z$5=$O$2,$AB$5&gt;0),$AB$5,0)+IF(AND($Z$6=$O$2,$AB$6&gt;0),$AB$6,0)+IF(AND($Z$7=$O$2,$AB$7&gt;0),$AB$7,0)</f>
        <v>0</v>
      </c>
      <c r="AF9" s="1265">
        <f>IF(AND($Z$3=$P$2,$AB$3&gt;0),$AB$3,0)+IF(AND($Z$4=$P$2,$AB$4&gt;0),$AB$4,0)+IF(AND($Z$5=$P$2,$AB$5&gt;0),$AB$5,0)+IF(AND($Z$6=$P$2,$AB$6&gt;0),$AB$6,0)+IF(AND($Z$7=$P$2,$AB$7&gt;0),$AB$7,0)</f>
        <v>0</v>
      </c>
      <c r="AG9" s="1265">
        <f>IF(AND($Z$3=$Q$2,$AB$3&gt;0),$AB$3,0)+IF(AND($Z$4=$Q$2,$AB$4&gt;0),$AB$4,0)+IF(AND($Z$5=$Q$2,$AB$5&gt;0),$AB$5,0)+IF(AND($Z$6=$Q$2,$AB$6&gt;0),$AB$6,0)+IF(AND($Z$7=$Q$2,$AB$7&gt;0),$AB$7,0)</f>
        <v>0</v>
      </c>
      <c r="AH9" s="1268">
        <f>IF(AND($Z$3=$R$2,$AB$3&gt;0),$AB$3,0)+IF(AND($Z$4=$R$2,$AB$4&gt;0),$AB$4,0)+IF(AND($Z$5=$R$2,$AB$5&gt;0),$AB$5,0)+IF(AND($Z$6=$R$2,$AB$6&gt;0),$AB$6,0)+IF(AND($Z$7=$R$2,$AB$7&gt;0),$AB$7,0)</f>
        <v>0</v>
      </c>
      <c r="AI9" s="1269">
        <f>SUM(W9:AH9)</f>
        <v>0</v>
      </c>
      <c r="AL9" s="1609"/>
      <c r="BA9" s="1479"/>
      <c r="BB9" s="1479"/>
      <c r="BC9" s="1479"/>
      <c r="BD9" s="1479"/>
      <c r="BE9" s="1479"/>
      <c r="BF9" s="1479"/>
      <c r="BG9" s="1479"/>
      <c r="BH9" s="1479"/>
      <c r="BI9" s="1479"/>
      <c r="BJ9" s="1479"/>
      <c r="BK9" s="1479"/>
      <c r="BL9" s="1479"/>
      <c r="BM9" s="1479"/>
      <c r="BN9" s="1479"/>
      <c r="BO9" s="1479"/>
      <c r="BP9" s="1479"/>
      <c r="BQ9" s="1479"/>
      <c r="BR9" s="1479"/>
      <c r="BS9" s="1479"/>
      <c r="BT9" s="1479"/>
      <c r="BU9" s="1479"/>
      <c r="BV9" s="1479"/>
      <c r="BW9" s="1479"/>
      <c r="BX9" s="1479"/>
      <c r="BY9" s="1479"/>
      <c r="CH9" s="1479"/>
      <c r="CI9" s="31"/>
      <c r="CJ9" s="31"/>
      <c r="CK9" s="31"/>
      <c r="CL9" s="31"/>
      <c r="CM9" s="31"/>
      <c r="CN9" s="31"/>
      <c r="CO9" s="31"/>
      <c r="CP9" s="31"/>
      <c r="CQ9" s="31"/>
      <c r="CS9" s="30"/>
      <c r="CT9" s="30"/>
      <c r="CU9" s="30" t="str">
        <f>IF(Basisdaten!$B$15=Basisdaten!$D$2,CV9,CW9)</f>
        <v>IT Lizenzen, OS, Office, Wartung, …</v>
      </c>
      <c r="CV9" s="38" t="s">
        <v>956</v>
      </c>
      <c r="CW9" s="38" t="s">
        <v>957</v>
      </c>
      <c r="CX9" s="30" t="str">
        <f>IF(Basisdaten!$B$15=Basisdaten!$D$2,CY9,CZ9)</f>
        <v>Direkt</v>
      </c>
      <c r="CY9" s="38" t="s">
        <v>885</v>
      </c>
      <c r="CZ9" s="38" t="s">
        <v>926</v>
      </c>
      <c r="DK9" s="52"/>
    </row>
    <row r="10" spans="1:121" ht="13.2" customHeight="1" thickBot="1">
      <c r="C10" s="1642">
        <v>0.19</v>
      </c>
      <c r="D10" s="695"/>
      <c r="E10" s="1320">
        <f>IF('2 Umsatz|Sales'!$CT$3=0,0,C10)</f>
        <v>0.19</v>
      </c>
      <c r="F10" s="539" t="str">
        <f>CU10</f>
        <v>Sonstiges</v>
      </c>
      <c r="G10" s="521"/>
      <c r="H10" s="521"/>
      <c r="I10" s="521"/>
      <c r="J10" s="521"/>
      <c r="K10" s="521"/>
      <c r="L10" s="521"/>
      <c r="M10" s="521"/>
      <c r="N10" s="521"/>
      <c r="O10" s="521"/>
      <c r="P10" s="521"/>
      <c r="Q10" s="521"/>
      <c r="R10" s="521"/>
      <c r="S10" s="530">
        <f t="shared" si="1"/>
        <v>0</v>
      </c>
      <c r="T10" s="552"/>
      <c r="U10" s="2271" t="str">
        <f>CX12&amp;" "&amp;AC2</f>
        <v>GWG Pool</v>
      </c>
      <c r="V10" s="2272"/>
      <c r="W10" s="1265">
        <f>IF(AND($Z$3=$G$2,$AC$3&gt;0),$AC$3,0)+IF(AND($Z$4=$G$2,$AC$4&gt;0),$AC$4,0)+IF(AND($Z$5=$G$2,$AC$5&gt;0),$AC$5,0)+IF(AND($Z$6=$G$2,$AC$6&gt;0),$AC$6,0)+IF(AND($Z$7=$G$2,$AC$7&gt;0),$AC$7,0)</f>
        <v>0</v>
      </c>
      <c r="X10" s="1265">
        <f>IF(AND($Z$3=H2,$AC$3&gt;0),$AC$3,0)+IF(AND($Z$4=H2,$AC$4&gt;0),$AC$4,0)+IF(AND($Z$5=H2,$AC$5&gt;0),$AC$5,0)+IF(AND($Z$6=H2,$AC$6&gt;0),$AC$6,0)+IF(AND($Z$7=H2,$AC$7&gt;0),$AC$7,0)</f>
        <v>0</v>
      </c>
      <c r="Y10" s="1265">
        <f>IF(AND($Z$3=$I$2,$AC$3&gt;0),$AC$3,0)+IF(AND($Z$4=$I$2,$AC$4&gt;0),$AC$4,0)+IF(AND($Z$5=$I$2,$AC$5&gt;0),$AC$5,0)+IF(AND($Z$6=$I$2,$AC$6&gt;0),$AC$6,0)+IF(AND($Z$7=$I$2,$AC$7&gt;0),$AC$7,0)</f>
        <v>0</v>
      </c>
      <c r="Z10" s="1265">
        <f>IF(AND($Z$3=$J$2,$AC$3&gt;0),$AC$3,0)+IF(AND($Z$4=$J$2,$AC$4&gt;0),$AC$4,0)+IF(AND($Z$5=$J$2,$AC$5&gt;0),$AC$5,0)+IF(AND($Z$6=$J$2,$AC$6&gt;0),$AC$6,0)+IF(AND($Z$7=$J$2,$AC$7&gt;0),$AC$7,0)</f>
        <v>0</v>
      </c>
      <c r="AA10" s="1265">
        <f>IF(AND($Z$3=$K$2,$AC$3&gt;0),$AC$3,0)+IF(AND($Z$4=$K$2,$AC$4&gt;0),$AC$4,0)+IF(AND($Z$5=$K$2,$AC$5&gt;0),$AC$5,0)+IF(AND($Z$6=$K$2,$AC$6&gt;0),$AC$6,0)+IF(AND($Z$7=$K$2,$AC$7&gt;0),$AC$7,0)</f>
        <v>0</v>
      </c>
      <c r="AB10" s="1265">
        <f>IF(AND($Z$3=$L$2,$AC$3&gt;0),$AC$3,0)+IF(AND($Z$4=$L$2,$AC$4&gt;0),$AC$4,0)+IF(AND($Z$5=$L$2,$AC$5&gt;0),$AC$5,0)+IF(AND($Z$6=$L$2,$AC$6&gt;0),$AC$6,0)+IF(AND($Z$7=$L$2,$AC$7&gt;0),$AC$7,0)</f>
        <v>0</v>
      </c>
      <c r="AC10" s="1265">
        <f>IF(AND($Z$3=$M$2,$AC$3&gt;0),$AC$3,0)+IF(AND($Z$4=$M$2,$AC$4&gt;0),$AC$4,0)+IF(AND($Z$5=$M$2,$AC$5&gt;0),$AC$5,0)+IF(AND($Z$6=$M$2,$AC$6&gt;0),$AC$6,0)+IF(AND($Z$7=$M$2,$AC$7&gt;0),$AC$7,0)</f>
        <v>0</v>
      </c>
      <c r="AD10" s="1265">
        <f>IF(AND($Z$3=$N$2,$AC$3&gt;0),$AC$3,0)+IF(AND($Z$4=$N$2,$AC$4&gt;0),$AC$4,0)+IF(AND($Z$5=$N$2,$AC$5&gt;0),$AC$5,0)+IF(AND($Z$6=$N$2,$AC$6&gt;0),$AC$6,0)+IF(AND($Z$7=$N$2,$AC$7&gt;0),$AC$7,0)</f>
        <v>0</v>
      </c>
      <c r="AE10" s="1265">
        <f>IF(AND($Z$3=$O$2,$AC$3&gt;0),$AC$3,0)+IF(AND($Z$4=$O$2,$AC$4&gt;0),$AC$4,0)+IF(AND($Z$5=$O$2,$AC$5&gt;0),$AC$5,0)+IF(AND($Z$6=$O$2,$AC$6&gt;0),$AC$6,0)+IF(AND($Z$7=$O$2,$AC$7&gt;0),$AC$7,0)</f>
        <v>0</v>
      </c>
      <c r="AF10" s="1265">
        <f>IF(AND($Z$3=$P$2,$AC$3&gt;0),$AC$3,0)+IF(AND($Z$4=$P$2,$AC$4&gt;0),$AC$4,0)+IF(AND($Z$5=$P$2,$AC$5&gt;0),$AC$5,0)+IF(AND($Z$6=$P$2,$AC$6&gt;0),$AC$6,0)+IF(AND($Z$7=$P$2,$AC$7&gt;0),$AC$7,0)</f>
        <v>0</v>
      </c>
      <c r="AG10" s="1265">
        <f>IF(AND($Z$3=$Q$2,$AC$3&gt;0),$AC$3,0)+IF(AND($Z$4=$Q$2,$AC$4&gt;0),$AC$4,0)+IF(AND($Z$5=$Q$2,$AC$5&gt;0),$AC$5,0)+IF(AND($Z$6=$Q$2,$AC$6&gt;0),$AC$6,0)+IF(AND($Z$7=$Q$2,$AC$7&gt;0),$AC$7,0)</f>
        <v>0</v>
      </c>
      <c r="AH10" s="1268">
        <f>IF(AND($Z$3=$R$2,$AC$3&gt;0),$AC$3,0)+IF(AND($Z$4=$R$2,$AC$4&gt;0),$AC$4,0)+IF(AND($Z$5=$R$2,$AC$5&gt;0),$AC$5,0)+IF(AND($Z$6=$R$2,$AC$6&gt;0),$AC$6,0)+IF(AND($Z$7=$R$2,$AC$7&gt;0),$AC$7,0)</f>
        <v>0</v>
      </c>
      <c r="AI10" s="1269">
        <f>SUM(W10:AH10)</f>
        <v>0</v>
      </c>
      <c r="AL10" s="1609"/>
      <c r="BA10" s="1479"/>
      <c r="BB10" s="1479"/>
      <c r="BC10" s="1479"/>
      <c r="BD10" s="1479"/>
      <c r="BE10" s="1479"/>
      <c r="BF10" s="1479"/>
      <c r="BG10" s="1479"/>
      <c r="BH10" s="1479"/>
      <c r="BI10" s="1479"/>
      <c r="BJ10" s="1479"/>
      <c r="BK10" s="1479"/>
      <c r="BL10" s="1479"/>
      <c r="BM10" s="1479"/>
      <c r="BN10" s="1479"/>
      <c r="BO10" s="1479"/>
      <c r="BP10" s="1479"/>
      <c r="BQ10" s="1479"/>
      <c r="BR10" s="1479"/>
      <c r="BS10" s="1479"/>
      <c r="BT10" s="1479"/>
      <c r="BU10" s="1479"/>
      <c r="BV10" s="1479"/>
      <c r="BW10" s="1479"/>
      <c r="BX10" s="1479"/>
      <c r="BY10" s="1479"/>
      <c r="CA10" s="1479"/>
      <c r="CB10" s="1479"/>
      <c r="CC10" s="1479"/>
      <c r="CD10" s="1479"/>
      <c r="CE10" s="1479"/>
      <c r="CF10" s="1479"/>
      <c r="CH10" s="1479"/>
      <c r="CI10" s="31"/>
      <c r="CJ10" s="31"/>
      <c r="CK10" s="31"/>
      <c r="CL10" s="31"/>
      <c r="CM10" s="31"/>
      <c r="CN10" s="31"/>
      <c r="CO10" s="31"/>
      <c r="CP10" s="31"/>
      <c r="CQ10" s="31"/>
      <c r="CS10" s="56"/>
      <c r="CT10" s="56"/>
      <c r="CU10" s="30" t="str">
        <f>IF(Basisdaten!$B$15=Basisdaten!$D$2,CV10,CW10)</f>
        <v>Sonstiges</v>
      </c>
      <c r="CV10" s="523" t="s">
        <v>275</v>
      </c>
      <c r="CW10" s="523" t="s">
        <v>277</v>
      </c>
      <c r="CX10" s="30" t="str">
        <f>IF(Basisdaten!$B$15=Basisdaten!$D$2,CY10,CZ10)</f>
        <v>Pool</v>
      </c>
      <c r="CY10" s="38" t="s">
        <v>884</v>
      </c>
      <c r="CZ10" s="38" t="s">
        <v>884</v>
      </c>
      <c r="DK10" s="52"/>
    </row>
    <row r="11" spans="1:121" ht="14.25" customHeight="1" thickTop="1">
      <c r="C11" s="1643"/>
      <c r="D11" s="695"/>
      <c r="E11" s="531"/>
      <c r="F11" s="222" t="str">
        <f>CU11</f>
        <v>Summe Verwaltung (Büro)</v>
      </c>
      <c r="G11" s="255">
        <f>SUM(G5:G7)+G9+G10</f>
        <v>0</v>
      </c>
      <c r="H11" s="255">
        <f>SUM(H5:H7)+H9+H10</f>
        <v>0</v>
      </c>
      <c r="I11" s="255">
        <f>SUM(I5:I7)+I9+I10</f>
        <v>0</v>
      </c>
      <c r="J11" s="255">
        <f t="shared" ref="J11:R11" si="2">SUM(J5:J7)+J9+J10</f>
        <v>0</v>
      </c>
      <c r="K11" s="255">
        <f t="shared" si="2"/>
        <v>0</v>
      </c>
      <c r="L11" s="255">
        <f t="shared" si="2"/>
        <v>0</v>
      </c>
      <c r="M11" s="255">
        <f t="shared" si="2"/>
        <v>0</v>
      </c>
      <c r="N11" s="255">
        <f t="shared" si="2"/>
        <v>0</v>
      </c>
      <c r="O11" s="255">
        <f t="shared" si="2"/>
        <v>0</v>
      </c>
      <c r="P11" s="255">
        <f t="shared" si="2"/>
        <v>0</v>
      </c>
      <c r="Q11" s="255">
        <f t="shared" si="2"/>
        <v>0</v>
      </c>
      <c r="R11" s="255">
        <f t="shared" si="2"/>
        <v>0</v>
      </c>
      <c r="S11" s="255">
        <f>SUM(S5:S7)+S9+S10</f>
        <v>0</v>
      </c>
      <c r="T11" s="552"/>
      <c r="U11" s="2259" t="str">
        <f ca="1">CX13</f>
        <v>3a-1.1.2 Aufstellung geringwertige Wirtschaftsgüter (GWG) 2026</v>
      </c>
      <c r="V11" s="2259"/>
      <c r="W11" s="2259"/>
      <c r="X11" s="2259"/>
      <c r="Y11" s="2259"/>
      <c r="Z11" s="2259"/>
      <c r="AL11" s="1609"/>
      <c r="BA11" s="1479"/>
      <c r="BB11" s="1479"/>
      <c r="BC11" s="1479"/>
      <c r="BD11" s="1479"/>
      <c r="BE11" s="1479"/>
      <c r="BF11" s="1479"/>
      <c r="BG11" s="1479"/>
      <c r="BH11" s="1479"/>
      <c r="BI11" s="1479"/>
      <c r="BJ11" s="1479"/>
      <c r="BK11" s="1479"/>
      <c r="BL11" s="1479"/>
      <c r="BM11" s="1479"/>
      <c r="BN11" s="1479"/>
      <c r="BO11" s="1479"/>
      <c r="BP11" s="1479"/>
      <c r="BQ11" s="1479"/>
      <c r="BR11" s="1479"/>
      <c r="BS11" s="1479"/>
      <c r="BT11" s="1479"/>
      <c r="BU11" s="1479"/>
      <c r="BV11" s="1479"/>
      <c r="BW11" s="1479"/>
      <c r="BX11" s="1479"/>
      <c r="BY11" s="1479"/>
      <c r="CA11" s="1479"/>
      <c r="CB11" s="1479"/>
      <c r="CC11" s="1479"/>
      <c r="CD11" s="1479"/>
      <c r="CE11" s="1479"/>
      <c r="CF11" s="1479"/>
      <c r="CH11" s="1479"/>
      <c r="CI11" s="31"/>
      <c r="CJ11" s="31"/>
      <c r="CK11" s="31"/>
      <c r="CL11" s="31"/>
      <c r="CM11" s="31"/>
      <c r="CN11" s="31"/>
      <c r="CO11" s="31"/>
      <c r="CP11" s="31"/>
      <c r="CQ11" s="31"/>
      <c r="CS11" s="30"/>
      <c r="CT11" s="30"/>
      <c r="CU11" s="30" t="str">
        <f>IF(Basisdaten!$B$15=Basisdaten!$D$2,CV11,CW11)</f>
        <v>Summe Verwaltung (Büro)</v>
      </c>
      <c r="CV11" s="38" t="str">
        <f>"Summe " &amp;CV4</f>
        <v>Summe Verwaltung (Büro)</v>
      </c>
      <c r="CW11" s="38" t="s">
        <v>162</v>
      </c>
      <c r="CX11" s="30" t="str">
        <f>IF(Basisdaten!$B$15=Basisdaten!$D$2,CY11,CZ11)</f>
        <v>Kommentar</v>
      </c>
      <c r="CY11" s="38" t="s">
        <v>887</v>
      </c>
      <c r="CZ11" s="38" t="s">
        <v>927</v>
      </c>
      <c r="DK11" s="52"/>
    </row>
    <row r="12" spans="1:121" ht="14.25" customHeight="1">
      <c r="C12" s="1045" t="str">
        <f>Basisdaten!$O$37</f>
        <v>MwSt</v>
      </c>
      <c r="D12" s="695"/>
      <c r="E12" s="597">
        <v>2</v>
      </c>
      <c r="F12" s="981" t="str">
        <f>CU14</f>
        <v>Kosten bei Geschäftsart Auswahl/Choose &amp; Auswahl/Choose</v>
      </c>
      <c r="G12" s="599">
        <f>IFERROR(S69,"undo")</f>
        <v>0</v>
      </c>
      <c r="H12" s="2270" t="str">
        <f>IF(G12="undo",$CU$164,"")</f>
        <v/>
      </c>
      <c r="I12" s="2270"/>
      <c r="J12" s="2270"/>
      <c r="K12" s="2270"/>
      <c r="L12" s="2270"/>
      <c r="M12" s="2270"/>
      <c r="N12" s="2270"/>
      <c r="O12" s="2270"/>
      <c r="P12" s="2270"/>
      <c r="Q12" s="601" t="s">
        <v>608</v>
      </c>
      <c r="R12" s="600"/>
      <c r="S12" s="1240"/>
      <c r="T12" s="552"/>
      <c r="U12" s="2260"/>
      <c r="V12" s="2260"/>
      <c r="W12" s="2260"/>
      <c r="X12" s="2260"/>
      <c r="Y12" s="2260"/>
      <c r="Z12" s="2260"/>
      <c r="AA12" s="1266"/>
      <c r="AB12" s="1266"/>
      <c r="AC12" s="1266"/>
      <c r="AD12" s="1266"/>
      <c r="AE12" s="1531"/>
      <c r="AF12" s="1531"/>
      <c r="AG12" s="1531"/>
      <c r="AH12" s="1531"/>
      <c r="AI12" s="1531"/>
      <c r="AK12" s="549"/>
      <c r="AL12" s="1609"/>
      <c r="BA12" s="1479"/>
      <c r="BB12" s="1479"/>
      <c r="BC12" s="1479"/>
      <c r="BD12" s="1479"/>
      <c r="BE12" s="1479"/>
      <c r="BF12" s="1479"/>
      <c r="BG12" s="1479"/>
      <c r="BH12" s="1479"/>
      <c r="BI12" s="1479"/>
      <c r="BJ12" s="1479"/>
      <c r="BK12" s="1479"/>
      <c r="BL12" s="1479"/>
      <c r="BM12" s="1479"/>
      <c r="BN12" s="1479"/>
      <c r="BO12" s="1479"/>
      <c r="BP12" s="1479"/>
      <c r="BQ12" s="1479"/>
      <c r="BR12" s="1479"/>
      <c r="BS12" s="1479"/>
      <c r="BT12" s="1479"/>
      <c r="BU12" s="1479"/>
      <c r="BV12" s="1479"/>
      <c r="BW12" s="1479"/>
      <c r="BX12" s="1479"/>
      <c r="BY12" s="1479"/>
      <c r="CA12" s="1479"/>
      <c r="CB12" s="1479"/>
      <c r="CC12" s="1479"/>
      <c r="CD12" s="1479"/>
      <c r="CE12" s="1471"/>
      <c r="CF12" s="1471"/>
      <c r="CH12" s="1475"/>
      <c r="CI12" s="971"/>
      <c r="CJ12" s="971"/>
      <c r="CM12" s="9" t="s">
        <v>800</v>
      </c>
      <c r="CN12" s="9" t="s">
        <v>1026</v>
      </c>
      <c r="CO12" s="9" t="s">
        <v>790</v>
      </c>
      <c r="CP12" s="9" t="s">
        <v>769</v>
      </c>
      <c r="CQ12" s="9" t="s">
        <v>770</v>
      </c>
      <c r="CR12" s="971" t="s">
        <v>771</v>
      </c>
      <c r="CU12" s="30" t="str">
        <f>IF(Basisdaten!$B$15=Basisdaten!$D$2,CV12,CW12)</f>
        <v>Geschäftsart</v>
      </c>
      <c r="CV12" s="38" t="s">
        <v>795</v>
      </c>
      <c r="CW12" s="38" t="s">
        <v>796</v>
      </c>
      <c r="CX12" s="30" t="str">
        <f>IF(Basisdaten!$B$15=Basisdaten!$D$2,CY12,CZ12)</f>
        <v>GWG</v>
      </c>
      <c r="CY12" s="1321" t="s">
        <v>889</v>
      </c>
      <c r="CZ12" s="1321" t="s">
        <v>929</v>
      </c>
      <c r="DK12" s="52"/>
    </row>
    <row r="13" spans="1:121" ht="14.25" customHeight="1">
      <c r="C13" s="1640">
        <v>0.19</v>
      </c>
      <c r="D13" s="695"/>
      <c r="E13" s="1319">
        <f>IF('2 Umsatz|Sales'!$CT$3=0,0,C13)</f>
        <v>0.19</v>
      </c>
      <c r="F13" s="538" t="str">
        <f>IF(AND('2 Umsatz|Sales'!E5='2 Umsatz|Sales'!CW13,'2 Umsatz|Sales'!E16='2 Umsatz|Sales'!CW13),"",CU19&amp;" "&amp;CM31)</f>
        <v xml:space="preserve">Einkauf </v>
      </c>
      <c r="G13" s="420"/>
      <c r="H13" s="420"/>
      <c r="I13" s="420"/>
      <c r="J13" s="420"/>
      <c r="K13" s="420"/>
      <c r="L13" s="420"/>
      <c r="M13" s="420"/>
      <c r="N13" s="420"/>
      <c r="O13" s="420"/>
      <c r="P13" s="420"/>
      <c r="Q13" s="420"/>
      <c r="R13" s="420"/>
      <c r="S13" s="594">
        <f>SUM(G13:R13)</f>
        <v>0</v>
      </c>
      <c r="T13" s="552"/>
      <c r="U13" s="1768" t="str">
        <f>U2</f>
        <v>Artikelbezeichnung</v>
      </c>
      <c r="V13" s="526"/>
      <c r="W13" s="336" t="str">
        <f t="shared" ref="W13:AD13" si="3">W2</f>
        <v>Betrag</v>
      </c>
      <c r="X13" s="336" t="str">
        <f t="shared" si="3"/>
        <v>Stk-Kost</v>
      </c>
      <c r="Y13" s="336" t="str">
        <f t="shared" si="3"/>
        <v>Anzahl</v>
      </c>
      <c r="Z13" s="336" t="str">
        <f t="shared" si="3"/>
        <v>Invest-Monat</v>
      </c>
      <c r="AA13" s="336" t="str">
        <f t="shared" si="3"/>
        <v>Direkt/Pool</v>
      </c>
      <c r="AB13" s="336" t="str">
        <f t="shared" si="3"/>
        <v>Direkt</v>
      </c>
      <c r="AC13" s="336" t="str">
        <f t="shared" si="3"/>
        <v>Pool</v>
      </c>
      <c r="AD13" s="336" t="str">
        <f t="shared" si="3"/>
        <v>Kommentar</v>
      </c>
      <c r="AL13" s="1609"/>
      <c r="BA13" s="1479"/>
      <c r="BB13" s="1479"/>
      <c r="BC13" s="1479"/>
      <c r="BD13" s="1479"/>
      <c r="BE13" s="1479"/>
      <c r="BF13" s="1479"/>
      <c r="BG13" s="1479"/>
      <c r="BH13" s="1479"/>
      <c r="BI13" s="1479"/>
      <c r="BJ13" s="1479"/>
      <c r="BK13" s="1479"/>
      <c r="BL13" s="1479"/>
      <c r="BM13" s="1479"/>
      <c r="BN13" s="1479"/>
      <c r="BO13" s="1479"/>
      <c r="BP13" s="1479"/>
      <c r="BQ13" s="1479"/>
      <c r="BR13" s="1479"/>
      <c r="BS13" s="1479"/>
      <c r="BT13" s="1479"/>
      <c r="BU13" s="1479"/>
      <c r="BV13" s="1479"/>
      <c r="BW13" s="1479"/>
      <c r="BX13" s="1479"/>
      <c r="BY13" s="1479"/>
      <c r="CA13" s="1479"/>
      <c r="CB13" s="1479"/>
      <c r="CC13" s="1479"/>
      <c r="CD13" s="1479"/>
      <c r="CE13" s="1471"/>
      <c r="CF13" s="1471"/>
      <c r="CH13" s="1471"/>
      <c r="CI13" s="971"/>
      <c r="CJ13" s="971"/>
      <c r="CM13" s="9"/>
      <c r="CN13" s="9"/>
      <c r="CO13" s="9"/>
      <c r="CP13" s="9"/>
      <c r="CQ13" s="9"/>
      <c r="CR13" s="9"/>
      <c r="CU13" s="30" t="str">
        <f>IF(Basisdaten!$B$15=Basisdaten!$D$2,CV13,CW13)</f>
        <v>geplante Kosten ( nur nachrichtlich; sind in Zeile 22 enthalten) :</v>
      </c>
      <c r="CV13" s="38" t="s">
        <v>933</v>
      </c>
      <c r="CW13" s="38" t="s">
        <v>932</v>
      </c>
      <c r="CX13" s="30" t="str">
        <f ca="1">IF(Basisdaten!$B$15=Basisdaten!$D$2,CY13,CZ13)</f>
        <v>3a-1.1.2 Aufstellung geringwertige Wirtschaftsgüter (GWG) 2026</v>
      </c>
      <c r="CY13" s="1321" t="str">
        <f ca="1">"3a-1.1.2 Aufstellung geringwertige Wirtschaftsgüter (GWG) "&amp;Basisdaten!$C$15</f>
        <v>3a-1.1.2 Aufstellung geringwertige Wirtschaftsgüter (GWG) 2026</v>
      </c>
      <c r="CZ13" s="1321" t="str">
        <f ca="1">"3a-1.1.2  List of low-value assets (LVA) for selected business type "&amp;Basisdaten!$C$15</f>
        <v>3a-1.1.2  List of low-value assets (LVA) for selected business type 2026</v>
      </c>
      <c r="DK13" s="52"/>
    </row>
    <row r="14" spans="1:121" ht="14.25" customHeight="1">
      <c r="C14" s="1641">
        <v>0.19</v>
      </c>
      <c r="D14" s="695"/>
      <c r="E14" s="1320">
        <f>IF('2 Umsatz|Sales'!$CT$3=0,0,C14)</f>
        <v>0.19</v>
      </c>
      <c r="F14" s="278" t="str">
        <f>IF(AND('2 Umsatz|Sales'!E5='2 Umsatz|Sales'!CW13,'2 Umsatz|Sales'!E16='2 Umsatz|Sales'!CW13),"",CM32)</f>
        <v>Notwendig nach Tab 2 für Auswahl/Choose</v>
      </c>
      <c r="G14" s="1626">
        <f>'2 Umsatz|Sales'!H15+'2 Umsatz|Sales'!H26</f>
        <v>0</v>
      </c>
      <c r="H14" s="1626">
        <f>'2 Umsatz|Sales'!I15+'2 Umsatz|Sales'!I26</f>
        <v>0</v>
      </c>
      <c r="I14" s="1626">
        <f>'2 Umsatz|Sales'!J15+'2 Umsatz|Sales'!J26</f>
        <v>0</v>
      </c>
      <c r="J14" s="1626">
        <f>'2 Umsatz|Sales'!K15+'2 Umsatz|Sales'!K26</f>
        <v>0</v>
      </c>
      <c r="K14" s="1626">
        <f>'2 Umsatz|Sales'!L15+'2 Umsatz|Sales'!L26</f>
        <v>0</v>
      </c>
      <c r="L14" s="1626">
        <f>'2 Umsatz|Sales'!M15+'2 Umsatz|Sales'!M26</f>
        <v>0</v>
      </c>
      <c r="M14" s="1626">
        <f>'2 Umsatz|Sales'!N15+'2 Umsatz|Sales'!N26</f>
        <v>0</v>
      </c>
      <c r="N14" s="1626">
        <f>'2 Umsatz|Sales'!O15+'2 Umsatz|Sales'!O26</f>
        <v>0</v>
      </c>
      <c r="O14" s="1626">
        <f>'2 Umsatz|Sales'!P15+'2 Umsatz|Sales'!P26</f>
        <v>0</v>
      </c>
      <c r="P14" s="1626">
        <f>'2 Umsatz|Sales'!Q15+'2 Umsatz|Sales'!Q26</f>
        <v>0</v>
      </c>
      <c r="Q14" s="1626">
        <f>'2 Umsatz|Sales'!R15+'2 Umsatz|Sales'!R26</f>
        <v>0</v>
      </c>
      <c r="R14" s="1626">
        <f>'2 Umsatz|Sales'!S15+'2 Umsatz|Sales'!S26</f>
        <v>0</v>
      </c>
      <c r="S14" s="279">
        <f>SUM(G14:R14)</f>
        <v>0</v>
      </c>
      <c r="T14" s="552"/>
      <c r="U14" s="2247"/>
      <c r="V14" s="2248"/>
      <c r="W14" s="1393">
        <f t="shared" ref="W14:W18" si="4">X14*Y14</f>
        <v>0</v>
      </c>
      <c r="X14" s="1237"/>
      <c r="Y14" s="1237"/>
      <c r="Z14" s="1237"/>
      <c r="AA14" s="1238"/>
      <c r="AB14" s="1239">
        <f>IF($AA14=$CC$1,0,IF(AND($AA14="Direkt",$X14&gt;Basisdaten!$B$50,$X14&lt;=Basisdaten!$C$50),$W14,IF(AND($X14&lt;=Basisdaten!$C$50,$X14&gt;Basisdaten!$B$50),$W14,0)))</f>
        <v>0</v>
      </c>
      <c r="AC14" s="1239">
        <f>IF(AA14=$CB$1,0,IF(AND($AA14="Pool",$X14&lt;=Basisdaten!$D$50,$X14&gt;Basisdaten!$B$50),$W14,0))</f>
        <v>0</v>
      </c>
      <c r="AD14" s="1392" t="str">
        <f>IF(AND($AA14=$CC$1,$X14&gt;$CC$2),$CD$2,IF(AND($AA14=$CB$1,$X14&gt;$CB$2),$CD$1,IF(AND($X14&lt;$CA$2,$X14&lt;&gt;0,$Y14&gt;0),$CA$3,"")))</f>
        <v/>
      </c>
      <c r="AK14" s="549"/>
      <c r="AL14" s="1609"/>
      <c r="BA14" s="1479"/>
      <c r="BB14" s="1479"/>
      <c r="BC14" s="1479"/>
      <c r="BD14" s="1479"/>
      <c r="BE14" s="1479"/>
      <c r="BF14" s="1479"/>
      <c r="BG14" s="1479"/>
      <c r="BH14" s="1479"/>
      <c r="BI14" s="1479"/>
      <c r="BJ14" s="1479"/>
      <c r="BK14" s="1479"/>
      <c r="BL14" s="1479"/>
      <c r="BM14" s="1479"/>
      <c r="BN14" s="1479"/>
      <c r="BO14" s="1479"/>
      <c r="BP14" s="1479"/>
      <c r="BQ14" s="1479"/>
      <c r="BR14" s="1479"/>
      <c r="BS14" s="1479"/>
      <c r="BT14" s="1479"/>
      <c r="BU14" s="1479"/>
      <c r="BV14" s="1479"/>
      <c r="BW14" s="1479"/>
      <c r="BX14" s="1479"/>
      <c r="BY14" s="1479"/>
      <c r="CA14" s="1532"/>
      <c r="CB14" s="1530" t="s">
        <v>997</v>
      </c>
      <c r="CC14" s="1530" t="s">
        <v>886</v>
      </c>
      <c r="CD14" s="481" t="s">
        <v>996</v>
      </c>
      <c r="CE14" s="1530" t="s">
        <v>995</v>
      </c>
      <c r="CF14" s="1471"/>
      <c r="CH14" s="1475"/>
      <c r="CI14" s="971"/>
      <c r="CJ14" s="971"/>
      <c r="CM14" s="9" t="s">
        <v>801</v>
      </c>
      <c r="CN14" s="9" t="s">
        <v>1023</v>
      </c>
      <c r="CO14" s="9" t="s">
        <v>787</v>
      </c>
      <c r="CP14" s="9" t="s">
        <v>783</v>
      </c>
      <c r="CQ14" s="9" t="s">
        <v>785</v>
      </c>
      <c r="CR14" s="971" t="s">
        <v>788</v>
      </c>
      <c r="CU14" s="30" t="str">
        <f>IF(Basisdaten!$B$15=Basisdaten!$D$2,CV14,CW14)</f>
        <v>Kosten bei Geschäftsart Auswahl/Choose &amp; Auswahl/Choose</v>
      </c>
      <c r="CV14" s="38" t="str">
        <f>"Kosten bei Geschäftsart "&amp;IF('2 Umsatz|Sales'!E5='2 Umsatz|Sales'!CX13,"",CL28)&amp;IF('2 Umsatz|Sales'!E17='2 Umsatz|Sales'!CX13,"",IF('2 Umsatz|Sales'!E5='2 Umsatz|Sales'!CX13,CL29," &amp; "&amp;CL29))</f>
        <v>Kosten bei Geschäftsart Auswahl/Choose &amp; Auswahl/Choose</v>
      </c>
      <c r="CW14" s="38" t="str">
        <f>"Costs for type of business "&amp;IF('2 Umsatz|Sales'!E5='2 Umsatz|Sales'!CX13,"",CL28)&amp;IF('2 Umsatz|Sales'!E17='2 Umsatz|Sales'!CX13,"",IF('2 Umsatz|Sales'!E5='2 Umsatz|Sales'!CX13,CL29," &amp; "&amp;CL29))</f>
        <v>Costs for type of business Auswahl/Choose &amp; Auswahl/Choose</v>
      </c>
      <c r="CX14" s="30">
        <f>IF(Basisdaten!$B$15=Basisdaten!$D$2,CY14,CZ14)</f>
        <v>0</v>
      </c>
      <c r="CY14" s="30"/>
      <c r="DK14" s="52"/>
    </row>
    <row r="15" spans="1:121" ht="14.25" customHeight="1">
      <c r="C15" s="1641">
        <v>0.19</v>
      </c>
      <c r="D15" s="695"/>
      <c r="E15" s="1320">
        <f>IF('2 Umsatz|Sales'!$CT$3=0,0,C15)</f>
        <v>0.19</v>
      </c>
      <c r="F15" s="278" t="str">
        <f>IF(AND('2 Umsatz|Sales'!E5='2 Umsatz|Sales'!CW13,'2 Umsatz|Sales'!E16='2 Umsatz|Sales'!CW13),"",CU17&amp;CM33)</f>
        <v xml:space="preserve">Vorräte </v>
      </c>
      <c r="G15" s="1626">
        <f>G13-G14</f>
        <v>0</v>
      </c>
      <c r="H15" s="1626">
        <f>G15+H13-H14</f>
        <v>0</v>
      </c>
      <c r="I15" s="1626">
        <f>H15+I13-I14</f>
        <v>0</v>
      </c>
      <c r="J15" s="1626">
        <f t="shared" ref="J15:Q15" si="5">I15+J13-J14</f>
        <v>0</v>
      </c>
      <c r="K15" s="1626">
        <f t="shared" si="5"/>
        <v>0</v>
      </c>
      <c r="L15" s="1626">
        <f t="shared" si="5"/>
        <v>0</v>
      </c>
      <c r="M15" s="1626">
        <f t="shared" si="5"/>
        <v>0</v>
      </c>
      <c r="N15" s="1626">
        <f t="shared" si="5"/>
        <v>0</v>
      </c>
      <c r="O15" s="1626">
        <f t="shared" si="5"/>
        <v>0</v>
      </c>
      <c r="P15" s="1626">
        <f t="shared" si="5"/>
        <v>0</v>
      </c>
      <c r="Q15" s="1626">
        <f t="shared" si="5"/>
        <v>0</v>
      </c>
      <c r="R15" s="1626">
        <f>Q15+R13-R14</f>
        <v>0</v>
      </c>
      <c r="S15" s="1627">
        <f>R15</f>
        <v>0</v>
      </c>
      <c r="T15" s="552"/>
      <c r="U15" s="2247"/>
      <c r="V15" s="2248"/>
      <c r="W15" s="1393">
        <f t="shared" si="4"/>
        <v>0</v>
      </c>
      <c r="X15" s="1237"/>
      <c r="Y15" s="1237"/>
      <c r="Z15" s="1237"/>
      <c r="AA15" s="1238"/>
      <c r="AB15" s="1239">
        <f>IF($AA15=$CC$1,0,IF(AND($AA15="Direkt",$X15&gt;Basisdaten!$B$50,$X15&lt;=Basisdaten!$C$50),$W15,IF(AND($X15&lt;=Basisdaten!$C$50,$X15&gt;Basisdaten!$B$50),$W15,0)))</f>
        <v>0</v>
      </c>
      <c r="AC15" s="1239">
        <f>IF(AA15=$CB$1,0,IF(AND($AA15="Pool",$X15&lt;=Basisdaten!$D$50,$X15&gt;Basisdaten!$B$50),$W15,0))</f>
        <v>0</v>
      </c>
      <c r="AD15" s="1392" t="str">
        <f>IF(AND($AA15=$CC$1,$X15&gt;$CC$2),$CD$2,IF(AND($AA15=$CB$1,$X15&gt;$CB$2),$CD$1,IF(AND($X15&lt;$CA$2,$X15&lt;&gt;0,$Y15&gt;0),$CA$3,"")))</f>
        <v/>
      </c>
      <c r="AL15" s="1609"/>
      <c r="BA15" s="1479"/>
      <c r="BB15" s="1479"/>
      <c r="BC15" s="1479"/>
      <c r="BD15" s="1479"/>
      <c r="BE15" s="1479"/>
      <c r="BF15" s="1479"/>
      <c r="BG15" s="1479"/>
      <c r="BH15" s="1479"/>
      <c r="BI15" s="1479"/>
      <c r="BJ15" s="1479"/>
      <c r="BK15" s="1479"/>
      <c r="BL15" s="1479"/>
      <c r="BM15" s="1479"/>
      <c r="BN15" s="1479"/>
      <c r="BO15" s="1479"/>
      <c r="BP15" s="1479"/>
      <c r="BQ15" s="1479"/>
      <c r="BR15" s="1479"/>
      <c r="BS15" s="1479"/>
      <c r="BT15" s="1479"/>
      <c r="BU15" s="1479"/>
      <c r="BV15" s="1479"/>
      <c r="BW15" s="1479"/>
      <c r="BX15" s="1479"/>
      <c r="BY15" s="1479"/>
      <c r="CA15" s="1534">
        <f>IF(OR(AD14=$CD$1,AD14=$CD$2,AD14=$CA$3),1,0)</f>
        <v>0</v>
      </c>
      <c r="CB15" s="1535">
        <f>IF(OR(AND($X14&lt;$CA$2,$X14&lt;&gt;0),AND($X14&gt;$CB$2,$AA14=$CB$1),AND($X14&gt;$CC$2,$AA14=$CC$1)),1,0)</f>
        <v>0</v>
      </c>
      <c r="CC15" s="1535">
        <f>IF(AND($X14&gt;0,$Y14=0),1,0)</f>
        <v>0</v>
      </c>
      <c r="CD15" s="1534">
        <f>IF(AND($X14&gt;0,$Z14=""),1,0)</f>
        <v>0</v>
      </c>
      <c r="CE15" s="1535">
        <f>IF(AND($AA14="",$X14&gt;0),1,0)</f>
        <v>0</v>
      </c>
      <c r="CF15" s="2255" t="s">
        <v>1008</v>
      </c>
      <c r="CH15" s="1471"/>
      <c r="CI15" s="971"/>
      <c r="CJ15" s="9" t="str">
        <f>IF(Basisdaten!$B$15=Basisdaten!$D$2,CK15,CL15)</f>
        <v xml:space="preserve">Fehler Tab2 </v>
      </c>
      <c r="CK15" s="29" t="s">
        <v>1071</v>
      </c>
      <c r="CL15" s="29" t="s">
        <v>1072</v>
      </c>
      <c r="CM15" s="9"/>
      <c r="CN15" s="9"/>
      <c r="CO15" s="9"/>
      <c r="CP15" s="9"/>
      <c r="CQ15" s="9"/>
      <c r="CR15" s="9"/>
      <c r="CU15" s="30" t="str">
        <f>IF(Basisdaten!$B$15=Basisdaten!$D$2,CV15,CW15)</f>
        <v>Planung GWG (Sofortabschreibung und Sammelpool )in Tabelle 4a-</v>
      </c>
      <c r="CV15" s="38" t="s">
        <v>967</v>
      </c>
      <c r="CW15" s="38" t="s">
        <v>958</v>
      </c>
      <c r="CX15" s="30">
        <f>IF(Basisdaten!$B$15=Basisdaten!$D$2,CY15,CZ15)</f>
        <v>0</v>
      </c>
      <c r="DK15" s="52"/>
    </row>
    <row r="16" spans="1:121" ht="14.25" customHeight="1">
      <c r="A16" s="1291" t="s">
        <v>889</v>
      </c>
      <c r="C16" s="1641">
        <v>0.19</v>
      </c>
      <c r="D16" s="695"/>
      <c r="E16" s="1320">
        <f>IF('2 Umsatz|Sales'!$CT$3=0,0,C16)</f>
        <v>0.19</v>
      </c>
      <c r="F16" s="1885" t="str">
        <f>IF(AND('2 Umsatz|Sales'!E5='2 Umsatz|Sales'!CW13,'2 Umsatz|Sales'!E16='2 Umsatz|Sales'!CW13)," ",CN30&amp; CU68&amp;" Tab 4a.1.1.2 ---&gt;")</f>
        <v>GWG Planung Tab 4a.1.1.2 ---&gt;</v>
      </c>
      <c r="G16" s="280">
        <f t="shared" ref="G16:R16" si="6">W20</f>
        <v>0</v>
      </c>
      <c r="H16" s="280">
        <f t="shared" si="6"/>
        <v>0</v>
      </c>
      <c r="I16" s="280">
        <f t="shared" si="6"/>
        <v>0</v>
      </c>
      <c r="J16" s="280">
        <f t="shared" si="6"/>
        <v>0</v>
      </c>
      <c r="K16" s="280">
        <f t="shared" si="6"/>
        <v>0</v>
      </c>
      <c r="L16" s="280">
        <f t="shared" si="6"/>
        <v>0</v>
      </c>
      <c r="M16" s="280">
        <f t="shared" si="6"/>
        <v>0</v>
      </c>
      <c r="N16" s="280">
        <f t="shared" si="6"/>
        <v>0</v>
      </c>
      <c r="O16" s="280">
        <f t="shared" si="6"/>
        <v>0</v>
      </c>
      <c r="P16" s="280">
        <f t="shared" si="6"/>
        <v>0</v>
      </c>
      <c r="Q16" s="280">
        <f t="shared" si="6"/>
        <v>0</v>
      </c>
      <c r="R16" s="280">
        <f t="shared" si="6"/>
        <v>0</v>
      </c>
      <c r="S16" s="279">
        <f t="shared" ref="S16:S21" si="7">SUM(G16:R16)</f>
        <v>0</v>
      </c>
      <c r="T16" s="552"/>
      <c r="U16" s="2247"/>
      <c r="V16" s="2248"/>
      <c r="W16" s="1393">
        <f t="shared" si="4"/>
        <v>0</v>
      </c>
      <c r="X16" s="1237"/>
      <c r="Y16" s="1237"/>
      <c r="Z16" s="1237"/>
      <c r="AA16" s="1238"/>
      <c r="AB16" s="1239">
        <f>IF($AA16=$CC$1,0,IF(AND($AA16="Direkt",$X16&gt;Basisdaten!$B$50,$X16&lt;=Basisdaten!$C$50),$W16,IF(AND($X16&lt;=Basisdaten!$C$50,$X16&gt;Basisdaten!$B$50),$W16,0)))</f>
        <v>0</v>
      </c>
      <c r="AC16" s="1239">
        <f>IF(AA16=$CB$1,0,IF(AND($AA16="Pool",$X16&lt;=Basisdaten!$D$50,$X16&gt;Basisdaten!$B$50),$W16,0))</f>
        <v>0</v>
      </c>
      <c r="AD16" s="1392" t="str">
        <f>IF(AND($AA16=$CC$1,$X16&gt;$CC$2),$CD$2,IF(AND($AA16=$CB$1,$X16&gt;$CB$2),$CD$1,IF(AND($X16&lt;$CA$2,$X16&lt;&gt;0,$Y16&gt;0),$CA$3,"")))</f>
        <v/>
      </c>
      <c r="AL16" s="1609"/>
      <c r="BA16" s="1479"/>
      <c r="BB16" s="1479"/>
      <c r="BC16" s="1479"/>
      <c r="BD16" s="1479"/>
      <c r="BE16" s="1479"/>
      <c r="BF16" s="1479"/>
      <c r="BG16" s="1479"/>
      <c r="BH16" s="1479"/>
      <c r="BI16" s="1479"/>
      <c r="BJ16" s="1479"/>
      <c r="BK16" s="1479"/>
      <c r="BL16" s="1479"/>
      <c r="BM16" s="1479"/>
      <c r="BN16" s="1479"/>
      <c r="BO16" s="1479"/>
      <c r="BP16" s="1479"/>
      <c r="BQ16" s="1479"/>
      <c r="BR16" s="1479"/>
      <c r="BS16" s="1479"/>
      <c r="BT16" s="1479"/>
      <c r="BU16" s="1479"/>
      <c r="BV16" s="1479"/>
      <c r="BW16" s="1479"/>
      <c r="BX16" s="1479"/>
      <c r="BY16" s="1479"/>
      <c r="CA16" s="1534">
        <f>IF(OR(AD15=$CD$1,AD15=$CD$2,AD15=$CA$3),1,0)</f>
        <v>0</v>
      </c>
      <c r="CB16" s="1535">
        <f>IF(OR(AND($X15&lt;$CA$2,$X15&lt;&gt;0),AND($X15&gt;$CB$2,$AA15=$CB$1),AND($X15&gt;$CC$2,$AA15=$CC$1)),1,0)</f>
        <v>0</v>
      </c>
      <c r="CC16" s="1535">
        <f>IF(AND($X15&gt;0,$Y15=0),1,0)</f>
        <v>0</v>
      </c>
      <c r="CD16" s="1534">
        <f>IF(AND($X15&gt;0,$Z15=""),1,0)</f>
        <v>0</v>
      </c>
      <c r="CE16" s="1535">
        <f>IF(AND($AA15="",$X15&gt;0),1,0)</f>
        <v>0</v>
      </c>
      <c r="CF16" s="2255"/>
      <c r="CH16" s="1475"/>
      <c r="CI16" s="971"/>
      <c r="CJ16" s="971"/>
      <c r="CM16" s="9" t="s">
        <v>780</v>
      </c>
      <c r="CN16" s="9" t="s">
        <v>1025</v>
      </c>
      <c r="CO16" s="9" t="s">
        <v>781</v>
      </c>
      <c r="CP16" s="9" t="s">
        <v>772</v>
      </c>
      <c r="CQ16" s="9" t="s">
        <v>773</v>
      </c>
      <c r="CR16" s="971" t="s">
        <v>794</v>
      </c>
      <c r="CU16" s="30" t="str">
        <f>IF(Basisdaten!$B$15=Basisdaten!$D$2,CV16,CW16)</f>
        <v>MwSt an-passen</v>
      </c>
      <c r="CV16" s="1044" t="s">
        <v>888</v>
      </c>
      <c r="CW16" s="38" t="s">
        <v>797</v>
      </c>
      <c r="CX16" s="30">
        <f>IF(Basisdaten!$B$15=Basisdaten!$D$2,CY16,CZ16)</f>
        <v>0</v>
      </c>
      <c r="DK16" s="52"/>
    </row>
    <row r="17" spans="3:115" ht="14.25" customHeight="1">
      <c r="C17" s="1641">
        <v>0.19</v>
      </c>
      <c r="D17" s="695"/>
      <c r="E17" s="1320">
        <f>IF('2 Umsatz|Sales'!$CT$3=0,0,C17)</f>
        <v>0.19</v>
      </c>
      <c r="F17" s="1292" t="str">
        <f>CO31</f>
        <v/>
      </c>
      <c r="G17" s="417"/>
      <c r="H17" s="417"/>
      <c r="I17" s="417"/>
      <c r="J17" s="417"/>
      <c r="K17" s="417"/>
      <c r="L17" s="417"/>
      <c r="M17" s="417"/>
      <c r="N17" s="417"/>
      <c r="O17" s="417"/>
      <c r="P17" s="417"/>
      <c r="Q17" s="417"/>
      <c r="R17" s="417"/>
      <c r="S17" s="279">
        <f t="shared" si="7"/>
        <v>0</v>
      </c>
      <c r="T17" s="552"/>
      <c r="U17" s="2247"/>
      <c r="V17" s="2248"/>
      <c r="W17" s="1393">
        <f t="shared" si="4"/>
        <v>0</v>
      </c>
      <c r="X17" s="1237"/>
      <c r="Y17" s="1237"/>
      <c r="Z17" s="1237"/>
      <c r="AA17" s="1238"/>
      <c r="AB17" s="1239">
        <f>IF($AA17=$CC$1,0,IF(AND($AA17="Direkt",$X17&gt;Basisdaten!$B$50,$X17&lt;=Basisdaten!$C$50),$W17,IF(AND($X17&lt;=Basisdaten!$C$50,$X17&gt;Basisdaten!$B$50),$W17,0)))</f>
        <v>0</v>
      </c>
      <c r="AC17" s="1239">
        <f>IF(AA17=$CB$1,0,IF(AND($AA17="Pool",$X17&lt;=Basisdaten!$D$50,$X17&gt;Basisdaten!$B$50),$W17,0))</f>
        <v>0</v>
      </c>
      <c r="AD17" s="1392" t="str">
        <f>IF(AND($AA17=$CC$1,$X17&gt;$CC$2),$CD$2,IF(AND($AA17=$CB$1,$X17&gt;$CB$2),$CD$1,IF(AND($X17&lt;$CA$2,$X17&lt;&gt;0,$Y17&gt;0),$CA$3,"")))</f>
        <v/>
      </c>
      <c r="AL17" s="1608"/>
      <c r="BA17" s="1479"/>
      <c r="BB17" s="1479"/>
      <c r="BC17" s="1479"/>
      <c r="BD17" s="1479"/>
      <c r="BE17" s="1479"/>
      <c r="BF17" s="1479"/>
      <c r="BG17" s="1479"/>
      <c r="BH17" s="1479"/>
      <c r="BI17" s="1479"/>
      <c r="BJ17" s="1479"/>
      <c r="BK17" s="1479"/>
      <c r="BL17" s="1479"/>
      <c r="BM17" s="1479"/>
      <c r="BN17" s="1479"/>
      <c r="BO17" s="1479"/>
      <c r="BP17" s="1479"/>
      <c r="BQ17" s="1479"/>
      <c r="BR17" s="1479"/>
      <c r="BS17" s="1479"/>
      <c r="BT17" s="1479"/>
      <c r="BU17" s="1479"/>
      <c r="BV17" s="1479"/>
      <c r="BW17" s="1479"/>
      <c r="BX17" s="1479"/>
      <c r="BY17" s="1479"/>
      <c r="CA17" s="1534">
        <f>IF(OR(AD16=$CD$1,AD16=$CD$2,AD16=$CA$3),1,0)</f>
        <v>0</v>
      </c>
      <c r="CB17" s="1535">
        <f>IF(OR(AND($X16&lt;$CA$2,$X16&lt;&gt;0),AND($X16&gt;$CB$2,$AA16=$CB$1),AND($X16&gt;$CC$2,$AA16=$CC$1)),1,0)</f>
        <v>0</v>
      </c>
      <c r="CC17" s="1535">
        <f>IF(AND($X16&gt;0,$Y16=0),1,0)</f>
        <v>0</v>
      </c>
      <c r="CD17" s="1534">
        <f>IF(AND($X16&gt;0,$Z16=""),1,0)</f>
        <v>0</v>
      </c>
      <c r="CE17" s="1535">
        <f>IF(AND($AA16="",$X16&gt;0),1,0)</f>
        <v>0</v>
      </c>
      <c r="CF17" s="2255"/>
      <c r="CH17" s="1475"/>
      <c r="CI17" s="971"/>
      <c r="CJ17" s="971"/>
      <c r="CM17" s="9" t="s">
        <v>774</v>
      </c>
      <c r="CN17" s="9" t="s">
        <v>792</v>
      </c>
      <c r="CO17" s="9" t="s">
        <v>782</v>
      </c>
      <c r="CP17" s="9" t="s">
        <v>784</v>
      </c>
      <c r="CQ17" s="9" t="s">
        <v>786</v>
      </c>
      <c r="CR17" s="971" t="s">
        <v>794</v>
      </c>
      <c r="CU17" s="30" t="str">
        <f>IF(Basisdaten!$B$15=Basisdaten!$D$2,CV17,CW17)</f>
        <v xml:space="preserve">Vorräte </v>
      </c>
      <c r="CV17" s="38" t="s">
        <v>908</v>
      </c>
      <c r="CW17" s="38" t="s">
        <v>909</v>
      </c>
      <c r="CX17" s="30">
        <f>IF(Basisdaten!$B$15=Basisdaten!$D$2,CY17,CZ17)</f>
        <v>0</v>
      </c>
      <c r="DK17" s="52"/>
    </row>
    <row r="18" spans="3:115" ht="14.25" customHeight="1">
      <c r="C18" s="1641">
        <v>0.19</v>
      </c>
      <c r="D18" s="695"/>
      <c r="E18" s="1320">
        <f>IF('2 Umsatz|Sales'!$CT$3=0,0,C18)</f>
        <v>0.19</v>
      </c>
      <c r="F18" s="1292" t="str">
        <f>CP31</f>
        <v/>
      </c>
      <c r="G18" s="417"/>
      <c r="H18" s="417"/>
      <c r="I18" s="417"/>
      <c r="J18" s="417"/>
      <c r="K18" s="417"/>
      <c r="L18" s="417"/>
      <c r="M18" s="417"/>
      <c r="N18" s="417"/>
      <c r="O18" s="417"/>
      <c r="P18" s="417"/>
      <c r="Q18" s="417"/>
      <c r="R18" s="417"/>
      <c r="S18" s="279">
        <f>SUM(G18:R18)</f>
        <v>0</v>
      </c>
      <c r="T18" s="552"/>
      <c r="U18" s="2247"/>
      <c r="V18" s="2248"/>
      <c r="W18" s="1393">
        <f t="shared" si="4"/>
        <v>0</v>
      </c>
      <c r="X18" s="1237"/>
      <c r="Y18" s="1237"/>
      <c r="Z18" s="1237"/>
      <c r="AA18" s="1238"/>
      <c r="AB18" s="1239">
        <f>IF($AA18=$CC$1,0,IF(AND($AA18="Direkt",$X18&gt;Basisdaten!$B$50,$X18&lt;=Basisdaten!$C$50),$W18,IF(AND($X18&lt;=Basisdaten!$C$50,$X18&gt;Basisdaten!$B$50),$W18,0)))</f>
        <v>0</v>
      </c>
      <c r="AC18" s="1239">
        <f>IF(AA18=$CB$1,0,IF(AND($AA18="Pool",$X18&lt;=Basisdaten!$D$50,$X18&gt;Basisdaten!$B$50),$W18,0))</f>
        <v>0</v>
      </c>
      <c r="AD18" s="1392" t="str">
        <f>IF(AND($AA18=$CC$1,$X18&gt;$CC$2),$CD$2,IF(AND($AA18=$CB$1,$X18&gt;$CB$2),$CD$1,IF(AND($X18&lt;$CA$2,$X18&lt;&gt;0,$Y18&gt;0),$CA$3,"")))</f>
        <v/>
      </c>
      <c r="AL18" s="1609"/>
      <c r="BA18" s="1479"/>
      <c r="BB18" s="1479"/>
      <c r="BC18" s="1479"/>
      <c r="BD18" s="1479"/>
      <c r="BE18" s="1479"/>
      <c r="BF18" s="1479"/>
      <c r="BG18" s="1479"/>
      <c r="BH18" s="1479"/>
      <c r="BI18" s="1479"/>
      <c r="BJ18" s="1479"/>
      <c r="BK18" s="1479"/>
      <c r="BL18" s="1479"/>
      <c r="BM18" s="1479"/>
      <c r="BN18" s="1479"/>
      <c r="BO18" s="1479"/>
      <c r="BP18" s="1479"/>
      <c r="BQ18" s="1479"/>
      <c r="BR18" s="1479"/>
      <c r="BS18" s="1479"/>
      <c r="BT18" s="1479"/>
      <c r="BU18" s="1479"/>
      <c r="BV18" s="1479"/>
      <c r="BW18" s="1479"/>
      <c r="BX18" s="1479"/>
      <c r="BY18" s="1479"/>
      <c r="CA18" s="1534">
        <f>IF(OR(AD17=$CD$1,AD17=$CD$2,AD17=$CA$3),1,0)</f>
        <v>0</v>
      </c>
      <c r="CB18" s="1535">
        <f>IF(OR(AND($X17&lt;$CA$2,$X17&lt;&gt;0),AND($X17&gt;$CB$2,$AA17=$CB$1),AND($X17&gt;$CC$2,$AA17=$CC$1)),1,0)</f>
        <v>0</v>
      </c>
      <c r="CC18" s="1535">
        <f>IF(AND($X17&gt;0,$Y17=0),1,0)</f>
        <v>0</v>
      </c>
      <c r="CD18" s="1534">
        <f>IF(AND($X17&gt;0,$Z17=""),1,0)</f>
        <v>0</v>
      </c>
      <c r="CE18" s="1535">
        <f>IF(AND($AA17="",$X17&gt;0),1,0)</f>
        <v>0</v>
      </c>
      <c r="CF18" s="2255"/>
      <c r="CH18" s="1471"/>
      <c r="CI18" s="971"/>
      <c r="CJ18" s="971"/>
      <c r="CM18" s="9" t="s">
        <v>813</v>
      </c>
      <c r="CN18" s="9" t="s">
        <v>794</v>
      </c>
      <c r="CO18" s="9" t="s">
        <v>794</v>
      </c>
      <c r="CP18" s="9" t="s">
        <v>794</v>
      </c>
      <c r="CQ18" s="9" t="s">
        <v>794</v>
      </c>
      <c r="CR18" s="9" t="s">
        <v>794</v>
      </c>
      <c r="CU18" s="30" t="str">
        <f>IF(Basisdaten!$B$15=Basisdaten!$D$2,CV18,CW18)</f>
        <v xml:space="preserve">Notwendig nach Tab 2 für </v>
      </c>
      <c r="CV18" s="38" t="s">
        <v>823</v>
      </c>
      <c r="CW18" s="38" t="s">
        <v>824</v>
      </c>
      <c r="CX18" s="30">
        <f>IF(Basisdaten!$B$15=Basisdaten!$D$2,CY18,CZ18)</f>
        <v>0</v>
      </c>
      <c r="DK18" s="52"/>
    </row>
    <row r="19" spans="3:115" ht="14.25" customHeight="1">
      <c r="C19" s="1641">
        <v>0.19</v>
      </c>
      <c r="D19" s="695"/>
      <c r="E19" s="1320">
        <f>IF('2 Umsatz|Sales'!$CT$3=0,0,C19)</f>
        <v>0.19</v>
      </c>
      <c r="F19" s="1292" t="str">
        <f>CQ31</f>
        <v/>
      </c>
      <c r="G19" s="417"/>
      <c r="H19" s="417"/>
      <c r="I19" s="417"/>
      <c r="J19" s="417"/>
      <c r="K19" s="417"/>
      <c r="L19" s="417"/>
      <c r="M19" s="417"/>
      <c r="N19" s="417"/>
      <c r="O19" s="417"/>
      <c r="P19" s="417"/>
      <c r="Q19" s="417"/>
      <c r="R19" s="417"/>
      <c r="S19" s="279">
        <f t="shared" si="7"/>
        <v>0</v>
      </c>
      <c r="T19" s="552"/>
      <c r="U19" s="2251">
        <f ca="1">Basisdaten!C15</f>
        <v>2026</v>
      </c>
      <c r="V19" s="2252"/>
      <c r="W19" s="1270" t="str">
        <f t="shared" ref="W19:AI19" si="8">W8</f>
        <v>Jan.</v>
      </c>
      <c r="X19" s="1270" t="str">
        <f t="shared" si="8"/>
        <v>Feb</v>
      </c>
      <c r="Y19" s="1270" t="str">
        <f t="shared" si="8"/>
        <v>Mrz</v>
      </c>
      <c r="Z19" s="1270" t="str">
        <f t="shared" si="8"/>
        <v>Apr</v>
      </c>
      <c r="AA19" s="1270" t="str">
        <f t="shared" si="8"/>
        <v>Mai</v>
      </c>
      <c r="AB19" s="1270" t="str">
        <f t="shared" si="8"/>
        <v>Jun</v>
      </c>
      <c r="AC19" s="1270" t="str">
        <f t="shared" si="8"/>
        <v>Jul</v>
      </c>
      <c r="AD19" s="1270" t="str">
        <f t="shared" si="8"/>
        <v>Aug</v>
      </c>
      <c r="AE19" s="1270" t="str">
        <f t="shared" si="8"/>
        <v>Sep</v>
      </c>
      <c r="AF19" s="1270" t="str">
        <f t="shared" si="8"/>
        <v>Okt</v>
      </c>
      <c r="AG19" s="1270" t="str">
        <f t="shared" si="8"/>
        <v>Nov</v>
      </c>
      <c r="AH19" s="1270" t="str">
        <f t="shared" si="8"/>
        <v>Dez</v>
      </c>
      <c r="AI19" s="1271">
        <f t="shared" ca="1" si="8"/>
        <v>2026</v>
      </c>
      <c r="AL19" s="1609"/>
      <c r="BA19" s="1479"/>
      <c r="BB19" s="1479"/>
      <c r="BC19" s="1479"/>
      <c r="BD19" s="1479"/>
      <c r="BE19" s="1479"/>
      <c r="BF19" s="1479"/>
      <c r="BG19" s="1479"/>
      <c r="BH19" s="1479"/>
      <c r="BI19" s="1479"/>
      <c r="BJ19" s="1479"/>
      <c r="BK19" s="1479"/>
      <c r="BL19" s="1479"/>
      <c r="BM19" s="1479"/>
      <c r="BN19" s="1479"/>
      <c r="BO19" s="1479"/>
      <c r="BP19" s="1479"/>
      <c r="BQ19" s="1479"/>
      <c r="BR19" s="1479"/>
      <c r="BS19" s="1479"/>
      <c r="BT19" s="1479"/>
      <c r="BU19" s="1479"/>
      <c r="BV19" s="1479"/>
      <c r="BW19" s="1479"/>
      <c r="BX19" s="1479"/>
      <c r="BY19" s="1479"/>
      <c r="CA19" s="1534">
        <f>IF(OR(AD18=$CD$1,AD18=$CD$2,AD18=$CA$3),1,0)</f>
        <v>0</v>
      </c>
      <c r="CB19" s="1535">
        <f>IF(OR(AND($X18&lt;$CA$2,$X18&lt;&gt;0),AND($X18&gt;$CB$2,$AA18=$CB$1),AND($X18&gt;$CC$2,$AA18=$CC$1)),1,0)</f>
        <v>0</v>
      </c>
      <c r="CC19" s="1535">
        <f>IF(AND($X18&gt;0,$Y18=0),1,0)</f>
        <v>0</v>
      </c>
      <c r="CD19" s="1534">
        <f>IF(AND($X18&gt;0,$Z18=""),1,0)</f>
        <v>0</v>
      </c>
      <c r="CE19" s="1535">
        <f>IF(AND($AA18="",$X18&gt;0),1,0)</f>
        <v>0</v>
      </c>
      <c r="CF19" s="2255"/>
      <c r="CH19" s="1471"/>
      <c r="CI19" s="971"/>
      <c r="CJ19" s="971"/>
      <c r="CM19" s="9" t="s">
        <v>814</v>
      </c>
      <c r="CN19" s="9" t="s">
        <v>794</v>
      </c>
      <c r="CO19" s="9" t="s">
        <v>794</v>
      </c>
      <c r="CP19" s="9" t="s">
        <v>794</v>
      </c>
      <c r="CQ19" s="9" t="s">
        <v>794</v>
      </c>
      <c r="CR19" s="9" t="s">
        <v>794</v>
      </c>
      <c r="CU19" s="30" t="str">
        <f>IF(Basisdaten!$B$15=Basisdaten!$D$2,CV19,CW19)</f>
        <v>Einkauf</v>
      </c>
      <c r="CV19" s="38" t="s">
        <v>930</v>
      </c>
      <c r="CW19" s="38" t="s">
        <v>931</v>
      </c>
      <c r="CX19" s="30">
        <f>IF(Basisdaten!$B$15=Basisdaten!$D$2,CY19,CZ19)</f>
        <v>0</v>
      </c>
      <c r="DK19" s="52"/>
    </row>
    <row r="20" spans="3:115" ht="14.25" customHeight="1">
      <c r="C20" s="1641">
        <v>0.19</v>
      </c>
      <c r="D20" s="695"/>
      <c r="E20" s="1320">
        <f>IF('2 Umsatz|Sales'!$CT$3=0,0,C20)</f>
        <v>0.19</v>
      </c>
      <c r="F20" s="1292" t="str">
        <f>CR31</f>
        <v/>
      </c>
      <c r="G20" s="417"/>
      <c r="H20" s="417"/>
      <c r="I20" s="417"/>
      <c r="J20" s="417"/>
      <c r="K20" s="417"/>
      <c r="L20" s="417"/>
      <c r="M20" s="417"/>
      <c r="N20" s="417"/>
      <c r="O20" s="417"/>
      <c r="P20" s="417"/>
      <c r="Q20" s="417"/>
      <c r="R20" s="417"/>
      <c r="S20" s="279">
        <f t="shared" si="7"/>
        <v>0</v>
      </c>
      <c r="T20" s="552"/>
      <c r="U20" s="1390" t="str">
        <f>CX12&amp;" "&amp;AB13</f>
        <v>GWG Direkt</v>
      </c>
      <c r="V20" s="1391"/>
      <c r="W20" s="1352">
        <f>IF(AND($Z$14=$G$2,$AB$14&gt;0),$AB$14,0)+IF(AND($Z$15=$G$2,$AB$15&gt;0),$AB$15,0)+IF(AND($Z$16=$G$2,$AB$17&gt;0),$AB$16,0)+IF(AND($Z$17=$G$2,$AB$16&gt;0),$AB$17,0)+IF(AND($Z$18=$G$2,$AB$18&gt;0),$AB$18,0)</f>
        <v>0</v>
      </c>
      <c r="X20" s="1352">
        <f t="shared" ref="X20:AH20" si="9">IF(AND($Z$14=H2,$AB$14&gt;0),$AB$14,0)+IF(AND($Z$15=H2,$AB$15&gt;0),$AB$15,0)+IF(AND($Z$16=H2,$AB$17&gt;0),$AB$16,0)+IF(AND($Z$17=H2,$AB$16&gt;0),$AB$17,0)+IF(AND($Z$18=H2,$AB$18&gt;0),$AB$18,0)</f>
        <v>0</v>
      </c>
      <c r="Y20" s="1352">
        <f t="shared" si="9"/>
        <v>0</v>
      </c>
      <c r="Z20" s="1352">
        <f t="shared" si="9"/>
        <v>0</v>
      </c>
      <c r="AA20" s="1352">
        <f t="shared" si="9"/>
        <v>0</v>
      </c>
      <c r="AB20" s="1352">
        <f t="shared" si="9"/>
        <v>0</v>
      </c>
      <c r="AC20" s="1352">
        <f t="shared" si="9"/>
        <v>0</v>
      </c>
      <c r="AD20" s="1352">
        <f t="shared" si="9"/>
        <v>0</v>
      </c>
      <c r="AE20" s="1352">
        <f t="shared" si="9"/>
        <v>0</v>
      </c>
      <c r="AF20" s="1352">
        <f t="shared" si="9"/>
        <v>0</v>
      </c>
      <c r="AG20" s="1352">
        <f t="shared" si="9"/>
        <v>0</v>
      </c>
      <c r="AH20" s="1352">
        <f t="shared" si="9"/>
        <v>0</v>
      </c>
      <c r="AI20" s="1287">
        <f>SUM(W20:AH20)</f>
        <v>0</v>
      </c>
      <c r="AJ20" s="1533"/>
      <c r="AL20" s="1609"/>
      <c r="BA20" s="1479"/>
      <c r="BB20" s="1479"/>
      <c r="BC20" s="1479"/>
      <c r="BD20" s="1479"/>
      <c r="BE20" s="1479"/>
      <c r="BF20" s="1479"/>
      <c r="BG20" s="1479"/>
      <c r="BH20" s="1479"/>
      <c r="BI20" s="1479"/>
      <c r="BJ20" s="1479"/>
      <c r="BK20" s="1479"/>
      <c r="BL20" s="1479"/>
      <c r="BM20" s="1479"/>
      <c r="BN20" s="1479"/>
      <c r="BO20" s="1479"/>
      <c r="BP20" s="1479"/>
      <c r="BQ20" s="1479"/>
      <c r="BR20" s="1479"/>
      <c r="BS20" s="1479"/>
      <c r="BT20" s="1479"/>
      <c r="BU20" s="1479"/>
      <c r="BV20" s="1479"/>
      <c r="BW20" s="1479"/>
      <c r="BX20" s="1479"/>
      <c r="BY20" s="1479"/>
      <c r="CH20" s="1471"/>
      <c r="CI20" s="971"/>
      <c r="CJ20" s="971"/>
      <c r="CM20" s="9" t="s">
        <v>789</v>
      </c>
      <c r="CN20" s="9" t="s">
        <v>1026</v>
      </c>
      <c r="CO20" s="9" t="s">
        <v>1073</v>
      </c>
      <c r="CP20" s="9" t="s">
        <v>794</v>
      </c>
      <c r="CQ20" s="9" t="s">
        <v>794</v>
      </c>
      <c r="CR20" s="9" t="s">
        <v>794</v>
      </c>
      <c r="CU20" s="30">
        <f>IF(Basisdaten!$B$15=Basisdaten!$D$2,CV20,CW20)</f>
        <v>0</v>
      </c>
      <c r="CV20" s="38"/>
      <c r="CW20" s="38"/>
      <c r="CX20" s="30">
        <f>IF(Basisdaten!$B$15=Basisdaten!$D$2,CY20,CZ20)</f>
        <v>0</v>
      </c>
      <c r="DK20" s="52"/>
    </row>
    <row r="21" spans="3:115" ht="14.25" customHeight="1" thickBot="1">
      <c r="C21" s="1642">
        <v>0.19</v>
      </c>
      <c r="D21" s="695"/>
      <c r="E21" s="1320">
        <f>IF('2 Umsatz|Sales'!$CT$3=0,0,C21)</f>
        <v>0.19</v>
      </c>
      <c r="F21" s="539" t="str">
        <f>CU25</f>
        <v>Sonstiges</v>
      </c>
      <c r="G21" s="521"/>
      <c r="H21" s="521"/>
      <c r="I21" s="521"/>
      <c r="J21" s="521"/>
      <c r="K21" s="521"/>
      <c r="L21" s="521"/>
      <c r="M21" s="521"/>
      <c r="N21" s="521"/>
      <c r="O21" s="521"/>
      <c r="P21" s="521"/>
      <c r="Q21" s="521"/>
      <c r="R21" s="521"/>
      <c r="S21" s="537">
        <f t="shared" si="7"/>
        <v>0</v>
      </c>
      <c r="T21" s="552"/>
      <c r="U21" s="2271" t="str">
        <f>CX12&amp;" "&amp;AC13</f>
        <v>GWG Pool</v>
      </c>
      <c r="V21" s="2272"/>
      <c r="W21" s="1352">
        <f>IF(AND($Z$14=$G$2,$AC$14&gt;0),$AC$14,0)+IF(AND($Z$15=$G$2,$AC$15&gt;0),$AC$15,0)+IF(AND($Z$16=$G$2,$AC$16&gt;0),$AC$16,0)+IF(AND($Z$17=$G$2,$AC$17&gt;0),$AC$17,0)+IF(AND($Z$18=$G$2,$AC$18&gt;0),$AC$18,0)</f>
        <v>0</v>
      </c>
      <c r="X21" s="1352">
        <f t="shared" ref="X21:AH21" si="10">IF(AND($Z$14=H2,$AC$14&gt;0),$AC$14,0)+IF(AND($Z$15=H2,$AC$15&gt;0),$AC$15,0)+IF(AND($Z$16=H2,$AC$16&gt;0),$AC$16,0)+IF(AND($Z$17=H2,$AC$17&gt;0),$AC$17,0)+IF(AND($Z$18=H2,$AC$18&gt;0),$AC$18,0)</f>
        <v>0</v>
      </c>
      <c r="Y21" s="1352">
        <f t="shared" si="10"/>
        <v>0</v>
      </c>
      <c r="Z21" s="1352">
        <f t="shared" si="10"/>
        <v>0</v>
      </c>
      <c r="AA21" s="1352">
        <f t="shared" si="10"/>
        <v>0</v>
      </c>
      <c r="AB21" s="1352">
        <f t="shared" si="10"/>
        <v>0</v>
      </c>
      <c r="AC21" s="1352">
        <f t="shared" si="10"/>
        <v>0</v>
      </c>
      <c r="AD21" s="1352">
        <f t="shared" si="10"/>
        <v>0</v>
      </c>
      <c r="AE21" s="1352">
        <f t="shared" si="10"/>
        <v>0</v>
      </c>
      <c r="AF21" s="1352">
        <f t="shared" si="10"/>
        <v>0</v>
      </c>
      <c r="AG21" s="1352">
        <f t="shared" si="10"/>
        <v>0</v>
      </c>
      <c r="AH21" s="1352">
        <f t="shared" si="10"/>
        <v>0</v>
      </c>
      <c r="AI21" s="1287">
        <f>SUM(W21:AH21)</f>
        <v>0</v>
      </c>
      <c r="AJ21" s="1533"/>
      <c r="AL21" s="1609"/>
      <c r="BA21" s="1479"/>
      <c r="BB21" s="1479"/>
      <c r="BC21" s="1479"/>
      <c r="BD21" s="1479"/>
      <c r="BE21" s="1479"/>
      <c r="BF21" s="1479"/>
      <c r="BG21" s="1479"/>
      <c r="BH21" s="1479"/>
      <c r="BI21" s="1479"/>
      <c r="BJ21" s="1479"/>
      <c r="BK21" s="1479"/>
      <c r="BL21" s="1479"/>
      <c r="BM21" s="1479"/>
      <c r="BN21" s="1479"/>
      <c r="BO21" s="1479"/>
      <c r="BP21" s="1479"/>
      <c r="BQ21" s="1479"/>
      <c r="BR21" s="1479"/>
      <c r="BS21" s="1479"/>
      <c r="BT21" s="1479"/>
      <c r="BU21" s="1479"/>
      <c r="BV21" s="1479"/>
      <c r="BW21" s="1479"/>
      <c r="BX21" s="1479"/>
      <c r="BY21" s="1479"/>
      <c r="CH21" s="1471"/>
      <c r="CI21" s="971"/>
      <c r="CJ21" s="971"/>
      <c r="CM21" s="9" t="s">
        <v>775</v>
      </c>
      <c r="CN21" s="9" t="s">
        <v>1024</v>
      </c>
      <c r="CO21" s="9" t="s">
        <v>1074</v>
      </c>
      <c r="CP21" s="9" t="s">
        <v>794</v>
      </c>
      <c r="CQ21" s="9" t="s">
        <v>794</v>
      </c>
      <c r="CR21" s="9" t="s">
        <v>794</v>
      </c>
      <c r="CU21" s="30" t="str">
        <f>IF(Basisdaten!$B$15=Basisdaten!$D$2,CV21,CW21)</f>
        <v>investitonen aus TAB 3_ Invest</v>
      </c>
      <c r="CV21" s="38" t="s">
        <v>970</v>
      </c>
      <c r="CW21" s="523" t="s">
        <v>971</v>
      </c>
      <c r="CX21" s="30">
        <f>IF(Basisdaten!$B$15=Basisdaten!$D$2,CY21,CZ21)</f>
        <v>0</v>
      </c>
      <c r="DK21" s="52"/>
    </row>
    <row r="22" spans="3:115" ht="14.25" customHeight="1" thickTop="1">
      <c r="C22" s="1644"/>
      <c r="D22" s="695"/>
      <c r="E22" s="531"/>
      <c r="F22" s="536" t="str">
        <f>CU22</f>
        <v>Summe Kosten Geschäftsart</v>
      </c>
      <c r="G22" s="534">
        <f>SUM(G16:G21)+G14</f>
        <v>0</v>
      </c>
      <c r="H22" s="534">
        <f t="shared" ref="H22:R22" si="11">SUM(H16:H21)+H14</f>
        <v>0</v>
      </c>
      <c r="I22" s="534">
        <f t="shared" si="11"/>
        <v>0</v>
      </c>
      <c r="J22" s="534">
        <f t="shared" si="11"/>
        <v>0</v>
      </c>
      <c r="K22" s="534">
        <f t="shared" si="11"/>
        <v>0</v>
      </c>
      <c r="L22" s="534">
        <f t="shared" si="11"/>
        <v>0</v>
      </c>
      <c r="M22" s="534">
        <f t="shared" si="11"/>
        <v>0</v>
      </c>
      <c r="N22" s="534">
        <f t="shared" si="11"/>
        <v>0</v>
      </c>
      <c r="O22" s="534">
        <f t="shared" si="11"/>
        <v>0</v>
      </c>
      <c r="P22" s="534">
        <f t="shared" si="11"/>
        <v>0</v>
      </c>
      <c r="Q22" s="534">
        <f t="shared" si="11"/>
        <v>0</v>
      </c>
      <c r="R22" s="534">
        <f t="shared" si="11"/>
        <v>0</v>
      </c>
      <c r="S22" s="534">
        <f>SUM(S16:S21)+S14</f>
        <v>0</v>
      </c>
      <c r="T22" s="552"/>
      <c r="U22" s="2258" t="str">
        <f ca="1">CU184&amp;Basisdaten!$C$15</f>
        <v>4a-2 Nebenrechung Personalkosten für das Jahr 2026</v>
      </c>
      <c r="V22" s="2258"/>
      <c r="W22" s="2258"/>
      <c r="X22" s="2258"/>
      <c r="Y22" s="2258"/>
      <c r="Z22" s="2043"/>
      <c r="AA22" s="2043"/>
      <c r="AB22" s="2043"/>
      <c r="AC22" s="2043"/>
      <c r="AD22" s="2043"/>
      <c r="AE22" s="2043"/>
      <c r="AF22" s="2043"/>
      <c r="AG22" s="2043"/>
      <c r="AH22" s="2043"/>
      <c r="AI22" s="2043"/>
      <c r="AJ22" s="1533"/>
      <c r="AL22" s="1609"/>
      <c r="BA22" s="1479"/>
      <c r="BB22" s="1479"/>
      <c r="BC22" s="1479"/>
      <c r="BD22" s="1479"/>
      <c r="BE22" s="1479"/>
      <c r="BF22" s="1479"/>
      <c r="BG22" s="1479"/>
      <c r="BH22" s="1479"/>
      <c r="BI22" s="1479"/>
      <c r="BJ22" s="1479"/>
      <c r="BK22" s="1479"/>
      <c r="BL22" s="1479"/>
      <c r="BM22" s="1479"/>
      <c r="BN22" s="1479"/>
      <c r="BO22" s="1479"/>
      <c r="BP22" s="1479"/>
      <c r="BQ22" s="1479"/>
      <c r="BR22" s="1479"/>
      <c r="BS22" s="1479"/>
      <c r="BT22" s="1479"/>
      <c r="BU22" s="1479"/>
      <c r="BV22" s="1479"/>
      <c r="BW22" s="1479"/>
      <c r="BX22" s="1479"/>
      <c r="BY22" s="1479"/>
      <c r="BZ22" s="1479"/>
      <c r="CA22" s="1479"/>
      <c r="CB22" s="1479"/>
      <c r="CC22" s="1479"/>
      <c r="CD22" s="1479"/>
      <c r="CE22" s="1479"/>
      <c r="CF22" s="1471"/>
      <c r="CG22" s="1475"/>
      <c r="CH22" s="1475"/>
      <c r="CI22" s="971"/>
      <c r="CJ22" s="971"/>
      <c r="CK22" t="s">
        <v>793</v>
      </c>
      <c r="CL22" t="str">
        <f>'2 Umsatz|Sales'!CW40</f>
        <v>Auswahl/Choose</v>
      </c>
      <c r="CM22" s="29" t="s">
        <v>794</v>
      </c>
      <c r="CN22" s="29" t="s">
        <v>794</v>
      </c>
      <c r="CO22" s="29" t="s">
        <v>794</v>
      </c>
      <c r="CP22" s="29" t="s">
        <v>794</v>
      </c>
      <c r="CQ22" s="29" t="s">
        <v>794</v>
      </c>
      <c r="CR22" s="29" t="s">
        <v>794</v>
      </c>
      <c r="CU22" s="30" t="str">
        <f>IF(Basisdaten!$B$15=Basisdaten!$D$2,CV22,CW22)</f>
        <v>Summe Kosten Geschäftsart</v>
      </c>
      <c r="CV22" s="38" t="str">
        <f>"Summe Kosten "&amp;CV12</f>
        <v>Summe Kosten Geschäftsart</v>
      </c>
      <c r="CW22" s="38" t="str">
        <f>"Sum costs "&amp;CW12</f>
        <v>Sum costs business type</v>
      </c>
      <c r="CX22" s="30">
        <f>IF(Basisdaten!$B$15=Basisdaten!$D$2,CY22,CZ22)</f>
        <v>0</v>
      </c>
      <c r="DK22" s="52"/>
    </row>
    <row r="23" spans="3:115" ht="14.25" customHeight="1">
      <c r="C23" s="1635"/>
      <c r="D23" s="695"/>
      <c r="E23" s="597">
        <v>3</v>
      </c>
      <c r="F23" s="598" t="str">
        <f>CU23</f>
        <v>Personalkosten (nur Angestellte)  geplant Tab 4a-1.2   ===&gt;</v>
      </c>
      <c r="G23" s="599"/>
      <c r="H23" s="2270"/>
      <c r="I23" s="2270"/>
      <c r="J23" s="2270"/>
      <c r="K23" s="2270"/>
      <c r="L23" s="2270"/>
      <c r="M23" s="2270"/>
      <c r="N23" s="2270"/>
      <c r="O23" s="2270"/>
      <c r="P23" s="2270"/>
      <c r="Q23" s="601"/>
      <c r="R23" s="600"/>
      <c r="S23" s="1240"/>
      <c r="T23" s="251"/>
      <c r="U23" s="2250"/>
      <c r="V23" s="2250"/>
      <c r="W23" s="2250"/>
      <c r="X23" s="2250"/>
      <c r="Y23" s="2250"/>
      <c r="Z23" s="2045"/>
      <c r="AA23" s="1257"/>
      <c r="AB23" s="2044"/>
      <c r="AC23" s="1257"/>
      <c r="AD23" s="2045"/>
      <c r="AE23" s="2046"/>
      <c r="AF23" s="2046"/>
      <c r="AG23" s="2046"/>
      <c r="AH23" s="2046"/>
      <c r="AI23" s="2046"/>
      <c r="AJ23" s="1857" t="str">
        <f>AJ102</f>
        <v>↓Sozialabgaben↓</v>
      </c>
      <c r="AK23" s="326"/>
      <c r="AL23" s="1608"/>
      <c r="AM23" s="50"/>
      <c r="BA23" s="1479"/>
      <c r="BB23" s="1479"/>
      <c r="BC23" s="1479"/>
      <c r="BD23" s="1479"/>
      <c r="BE23" s="1479"/>
      <c r="BF23" s="1479"/>
      <c r="BG23" s="1479"/>
      <c r="BH23" s="1479"/>
      <c r="BI23" s="1479"/>
      <c r="BJ23" s="1479"/>
      <c r="BK23" s="1479"/>
      <c r="BL23" s="1479"/>
      <c r="BM23" s="1479"/>
      <c r="BN23" s="1479"/>
      <c r="BO23" s="1479"/>
      <c r="BP23" s="1479"/>
      <c r="BQ23" s="1479"/>
      <c r="BR23" s="1479"/>
      <c r="BS23" s="1479"/>
      <c r="BT23" s="1479"/>
      <c r="BU23" s="1479"/>
      <c r="BV23" s="1479"/>
      <c r="BW23" s="1479"/>
      <c r="BX23" s="1479"/>
      <c r="BY23" s="1479"/>
      <c r="BZ23" s="1479"/>
      <c r="CA23" s="1479"/>
      <c r="CB23" s="1479"/>
      <c r="CC23" s="1479"/>
      <c r="CD23" s="1479"/>
      <c r="CE23" s="1479"/>
      <c r="CF23" s="1471"/>
      <c r="CG23" s="1475"/>
      <c r="CH23" s="1475"/>
      <c r="CI23" s="971"/>
      <c r="CJ23" s="9" t="str">
        <f>'2 Umsatz|Sales'!CY22</f>
        <v>Prod:</v>
      </c>
      <c r="CL23" t="str">
        <f>'2 Umsatz|Sales'!CW51</f>
        <v>Produktion</v>
      </c>
      <c r="CM23" s="9" t="str">
        <f>IF('Deckblatt|Cover'!$I$3=Basisdaten!$D$2,CM12,CM14)</f>
        <v>Teile für Produktion</v>
      </c>
      <c r="CN23" s="9" t="str">
        <f>IF('Deckblatt|Cover'!$I$3=Basisdaten!$D$2,CN12,CN14)</f>
        <v>Werkzeug, Vorrichtung,.</v>
      </c>
      <c r="CO23" s="9" t="str">
        <f>IF('Deckblatt|Cover'!$I$3=Basisdaten!$D$2,CO12,CO14)</f>
        <v>Halle/Lager</v>
      </c>
      <c r="CP23" s="9" t="str">
        <f>IF('Deckblatt|Cover'!$I$3=Basisdaten!$D$2,CP12,CP14)</f>
        <v>Instandhaltung</v>
      </c>
      <c r="CQ23" s="9" t="str">
        <f>IF('Deckblatt|Cover'!$I$3=Basisdaten!$D$2,CQ12,CQ14)</f>
        <v>Leasing Maschinen</v>
      </c>
      <c r="CR23" s="971" t="str">
        <f>IF('Deckblatt|Cover'!$I$3=Basisdaten!$D$2,CR12,CR14)</f>
        <v>Prozesskosten</v>
      </c>
      <c r="CU23" s="30" t="str">
        <f>IF(Basisdaten!$B$15=Basisdaten!$D$2,CV23,CW23)</f>
        <v>Personalkosten (nur Angestellte)  geplant Tab 4a-1.2   ===&gt;</v>
      </c>
      <c r="CV23" s="38" t="s">
        <v>905</v>
      </c>
      <c r="CW23" s="38" t="s">
        <v>955</v>
      </c>
      <c r="CX23" s="30">
        <f>IF(Basisdaten!$B$15=Basisdaten!$D$2,CY23,CZ23)</f>
        <v>0</v>
      </c>
      <c r="DK23" s="52"/>
    </row>
    <row r="24" spans="3:115" ht="14.25" customHeight="1">
      <c r="C24" s="29"/>
      <c r="D24" s="695"/>
      <c r="E24" s="1256">
        <v>0</v>
      </c>
      <c r="F24" s="538" t="str">
        <f>CU24</f>
        <v>Löhne, Gehälter (s. Nebenrechnung)</v>
      </c>
      <c r="G24" s="1387">
        <f t="shared" ref="G24:R24" si="12">X35-G25</f>
        <v>0</v>
      </c>
      <c r="H24" s="1387">
        <f t="shared" si="12"/>
        <v>0</v>
      </c>
      <c r="I24" s="1387">
        <f t="shared" si="12"/>
        <v>0</v>
      </c>
      <c r="J24" s="1387">
        <f t="shared" si="12"/>
        <v>0</v>
      </c>
      <c r="K24" s="1387">
        <f t="shared" si="12"/>
        <v>0</v>
      </c>
      <c r="L24" s="1387">
        <f t="shared" si="12"/>
        <v>0</v>
      </c>
      <c r="M24" s="1387">
        <f t="shared" si="12"/>
        <v>0</v>
      </c>
      <c r="N24" s="1387">
        <f t="shared" si="12"/>
        <v>0</v>
      </c>
      <c r="O24" s="1387">
        <f t="shared" si="12"/>
        <v>0</v>
      </c>
      <c r="P24" s="1387">
        <f t="shared" si="12"/>
        <v>0</v>
      </c>
      <c r="Q24" s="1387">
        <f t="shared" si="12"/>
        <v>0</v>
      </c>
      <c r="R24" s="1387">
        <f t="shared" si="12"/>
        <v>0</v>
      </c>
      <c r="S24" s="594">
        <f>SUM(G24:R24)</f>
        <v>0</v>
      </c>
      <c r="T24" s="552"/>
      <c r="U24" s="2253" t="str">
        <f>CU170&amp;"/"&amp;CU182</f>
        <v>Gehalt/Lohn</v>
      </c>
      <c r="V24" s="2254"/>
      <c r="W24" s="720"/>
      <c r="X24" s="542" t="str">
        <f t="shared" ref="X24:AI24" si="13">W19</f>
        <v>Jan.</v>
      </c>
      <c r="Y24" s="542" t="str">
        <f t="shared" si="13"/>
        <v>Feb</v>
      </c>
      <c r="Z24" s="542" t="str">
        <f t="shared" si="13"/>
        <v>Mrz</v>
      </c>
      <c r="AA24" s="542" t="str">
        <f t="shared" si="13"/>
        <v>Apr</v>
      </c>
      <c r="AB24" s="542" t="str">
        <f t="shared" si="13"/>
        <v>Mai</v>
      </c>
      <c r="AC24" s="542" t="str">
        <f t="shared" si="13"/>
        <v>Jun</v>
      </c>
      <c r="AD24" s="542" t="str">
        <f t="shared" si="13"/>
        <v>Jul</v>
      </c>
      <c r="AE24" s="542" t="str">
        <f t="shared" si="13"/>
        <v>Aug</v>
      </c>
      <c r="AF24" s="542" t="str">
        <f t="shared" si="13"/>
        <v>Sep</v>
      </c>
      <c r="AG24" s="542" t="str">
        <f t="shared" si="13"/>
        <v>Okt</v>
      </c>
      <c r="AH24" s="542" t="str">
        <f t="shared" si="13"/>
        <v>Nov</v>
      </c>
      <c r="AI24" s="542" t="str">
        <f t="shared" si="13"/>
        <v>Dez</v>
      </c>
      <c r="AJ24" s="1786">
        <f>Basisdaten!$E$35</f>
        <v>0.192</v>
      </c>
      <c r="AK24" s="326"/>
      <c r="AL24" s="1609"/>
      <c r="AM24" s="50"/>
      <c r="BA24" s="1479"/>
      <c r="BB24" s="1479"/>
      <c r="BC24" s="1479"/>
      <c r="BD24" s="1479"/>
      <c r="BE24" s="1479"/>
      <c r="BF24" s="1479"/>
      <c r="BG24" s="1479"/>
      <c r="BH24" s="1479"/>
      <c r="BI24" s="1479"/>
      <c r="BJ24" s="1479"/>
      <c r="BK24" s="1479"/>
      <c r="BL24" s="1479"/>
      <c r="BM24" s="1479"/>
      <c r="BN24" s="1479"/>
      <c r="BO24" s="1479"/>
      <c r="BP24" s="1479"/>
      <c r="BQ24" s="1479"/>
      <c r="BR24" s="1479"/>
      <c r="BS24" s="1479"/>
      <c r="BT24" s="1479"/>
      <c r="BU24" s="1479"/>
      <c r="BV24" s="1479"/>
      <c r="BW24" s="1479"/>
      <c r="BX24" s="1479"/>
      <c r="BY24" s="1479"/>
      <c r="BZ24" s="1479"/>
      <c r="CA24" s="1479"/>
      <c r="CB24" s="1479"/>
      <c r="CC24" s="1479"/>
      <c r="CD24" s="1479"/>
      <c r="CE24" s="1479"/>
      <c r="CF24" s="1471"/>
      <c r="CG24" s="1475"/>
      <c r="CH24" s="1475"/>
      <c r="CI24" s="971"/>
      <c r="CJ24" s="9" t="str">
        <f>'2 Umsatz|Sales'!CX22</f>
        <v>Hndl:</v>
      </c>
      <c r="CL24" t="str">
        <f>'2 Umsatz|Sales'!CW47</f>
        <v>Handel</v>
      </c>
      <c r="CM24" s="9" t="str">
        <f>IF('Deckblatt|Cover'!$I$3=Basisdaten!$D$2,CM16,CM17)</f>
        <v>Lagerware</v>
      </c>
      <c r="CN24" s="9" t="str">
        <f>IF('Deckblatt|Cover'!$I$3=Basisdaten!$D$2,CN16,CN17)</f>
        <v>Einrichtung</v>
      </c>
      <c r="CO24" s="9" t="str">
        <f>IF('Deckblatt|Cover'!$I$3=Basisdaten!$D$2,CO16,CO17)</f>
        <v>Lager</v>
      </c>
      <c r="CP24" s="9" t="str">
        <f>IF('Deckblatt|Cover'!$I$3=Basisdaten!$D$2,CP16,CP17)</f>
        <v>Zoll</v>
      </c>
      <c r="CQ24" s="9" t="str">
        <f>IF('Deckblatt|Cover'!$I$3=Basisdaten!$D$2,CQ16,CQ17)</f>
        <v>Versand</v>
      </c>
      <c r="CR24" s="9" t="str">
        <f>IF('Deckblatt|Cover'!$I$3=Basisdaten!$D$2,CR16,CR17)</f>
        <v>!</v>
      </c>
      <c r="CU24" s="30" t="str">
        <f>IF(Basisdaten!$B$15=Basisdaten!$D$2,CV24,CW24)</f>
        <v>Löhne, Gehälter (s. Nebenrechnung)</v>
      </c>
      <c r="CV24" s="38" t="s">
        <v>1000</v>
      </c>
      <c r="CW24" s="38" t="s">
        <v>1001</v>
      </c>
      <c r="CX24" s="30">
        <f>IF(Basisdaten!$B$15=Basisdaten!$D$2,CY24,CZ24)</f>
        <v>0</v>
      </c>
      <c r="DK24" s="52"/>
    </row>
    <row r="25" spans="3:115" s="30" customFormat="1" ht="16.05" customHeight="1" thickBot="1">
      <c r="D25" s="1747"/>
      <c r="E25" s="1320">
        <f>IF('2 Umsatz|Sales'!$CT$3=0,0,C25)</f>
        <v>0</v>
      </c>
      <c r="F25" s="1738" t="s">
        <v>592</v>
      </c>
      <c r="G25" s="1745">
        <f t="shared" ref="G25:R25" si="14">X36</f>
        <v>0</v>
      </c>
      <c r="H25" s="1745">
        <f t="shared" si="14"/>
        <v>0</v>
      </c>
      <c r="I25" s="1745">
        <f t="shared" si="14"/>
        <v>0</v>
      </c>
      <c r="J25" s="1745">
        <f t="shared" si="14"/>
        <v>0</v>
      </c>
      <c r="K25" s="1745">
        <f t="shared" si="14"/>
        <v>0</v>
      </c>
      <c r="L25" s="1745">
        <f t="shared" si="14"/>
        <v>0</v>
      </c>
      <c r="M25" s="1745">
        <f t="shared" si="14"/>
        <v>0</v>
      </c>
      <c r="N25" s="1745">
        <f t="shared" si="14"/>
        <v>0</v>
      </c>
      <c r="O25" s="1745">
        <f t="shared" si="14"/>
        <v>0</v>
      </c>
      <c r="P25" s="1745">
        <f t="shared" si="14"/>
        <v>0</v>
      </c>
      <c r="Q25" s="1745">
        <f t="shared" si="14"/>
        <v>0</v>
      </c>
      <c r="R25" s="1745">
        <f t="shared" si="14"/>
        <v>0</v>
      </c>
      <c r="S25" s="1741">
        <f>SUM(G25:R25)</f>
        <v>0</v>
      </c>
      <c r="T25" s="1748"/>
      <c r="U25" s="1795" t="str">
        <f>$CU$190</f>
        <v>netto</v>
      </c>
      <c r="V25" s="1794"/>
      <c r="W25" s="543" t="str">
        <f>CU169</f>
        <v>Mitarbeiter</v>
      </c>
      <c r="X25" s="617"/>
      <c r="Y25" s="617"/>
      <c r="Z25" s="617"/>
      <c r="AA25" s="617"/>
      <c r="AB25" s="617"/>
      <c r="AC25" s="617"/>
      <c r="AD25" s="617"/>
      <c r="AE25" s="617"/>
      <c r="AF25" s="617"/>
      <c r="AG25" s="617"/>
      <c r="AH25" s="617"/>
      <c r="AI25" s="617"/>
      <c r="AJ25" s="1860" t="str">
        <f>AJ104</f>
        <v>↓m. Lohn-St↓</v>
      </c>
      <c r="AK25" s="326"/>
      <c r="AL25" s="1746"/>
      <c r="AM25" s="50"/>
      <c r="AN25" s="50"/>
      <c r="AO25" s="50"/>
      <c r="AP25" s="50"/>
      <c r="AQ25" s="50"/>
      <c r="AR25" s="50"/>
      <c r="AS25" s="50"/>
      <c r="AT25" s="50"/>
      <c r="AU25" s="50"/>
      <c r="AV25" s="50"/>
      <c r="AW25" s="50"/>
      <c r="AX25" s="50"/>
      <c r="AY25" s="50"/>
      <c r="AZ25" s="50"/>
      <c r="BA25" s="176"/>
      <c r="BB25" s="176"/>
      <c r="BC25" s="176"/>
      <c r="BD25" s="176"/>
      <c r="BE25" s="176"/>
      <c r="BF25" s="176"/>
      <c r="BG25" s="176"/>
      <c r="BH25" s="176"/>
      <c r="BI25" s="176"/>
      <c r="BJ25" s="176"/>
      <c r="BK25" s="176"/>
      <c r="BL25" s="176"/>
      <c r="BM25" s="176"/>
      <c r="BN25" s="176"/>
      <c r="BO25" s="176"/>
      <c r="BP25" s="176"/>
      <c r="BQ25" s="176"/>
      <c r="BR25" s="176"/>
      <c r="BS25" s="176"/>
      <c r="BT25" s="176"/>
      <c r="BU25" s="176"/>
      <c r="BV25" s="176"/>
      <c r="BW25" s="176"/>
      <c r="BX25" s="176"/>
      <c r="BY25" s="176"/>
      <c r="BZ25" s="176"/>
      <c r="CA25" s="176"/>
      <c r="CB25" s="176"/>
      <c r="CC25" s="176"/>
      <c r="CD25" s="176"/>
      <c r="CE25" s="176"/>
      <c r="CF25" s="832"/>
      <c r="CG25" s="832"/>
      <c r="CH25" s="832"/>
      <c r="CI25" s="1749"/>
      <c r="CJ25" s="309" t="str">
        <f>'2 Umsatz|Sales'!CW22</f>
        <v>DL:</v>
      </c>
      <c r="CL25" s="308" t="str">
        <f>'2 Umsatz|Sales'!CW43</f>
        <v>Dienstleistung</v>
      </c>
      <c r="CM25" s="309" t="str">
        <f>IF('Deckblatt|Cover'!$I$3=Basisdaten!$D$2,CM18,CM19)</f>
        <v>Nebenkosten</v>
      </c>
      <c r="CN25" s="309" t="str">
        <f>IF('Deckblatt|Cover'!$I$3=Basisdaten!$D$2,CN18,CN19)</f>
        <v>!</v>
      </c>
      <c r="CO25" s="309" t="str">
        <f>IF('Deckblatt|Cover'!$I$3=Basisdaten!$D$2,CO18,CO19)</f>
        <v>!</v>
      </c>
      <c r="CP25" s="309" t="str">
        <f>IF('Deckblatt|Cover'!$I$3=Basisdaten!$D$2,CP18,CP19)</f>
        <v>!</v>
      </c>
      <c r="CQ25" s="309" t="str">
        <f>IF('Deckblatt|Cover'!$I$3=Basisdaten!$D$2,CQ18,CQ19)</f>
        <v>!</v>
      </c>
      <c r="CR25" s="309" t="str">
        <f>IF('Deckblatt|Cover'!$I$3=Basisdaten!$D$2,CR18,CR19)</f>
        <v>!</v>
      </c>
      <c r="CU25" s="30" t="str">
        <f>IF(Basisdaten!$B$15=Basisdaten!$D$2,CV25,CW25)</f>
        <v>Sonstiges</v>
      </c>
      <c r="CV25" s="523" t="s">
        <v>275</v>
      </c>
      <c r="CW25" s="523" t="s">
        <v>277</v>
      </c>
      <c r="CX25" s="30">
        <f>IF(Basisdaten!$B$15=Basisdaten!$D$2,CY25,CZ25)</f>
        <v>0</v>
      </c>
      <c r="CY25" s="116"/>
      <c r="CZ25" s="116"/>
      <c r="DA25" s="116"/>
      <c r="DB25" s="116"/>
      <c r="DC25" s="116"/>
      <c r="DD25" s="116"/>
      <c r="DE25" s="116"/>
      <c r="DF25" s="116"/>
      <c r="DG25" s="116"/>
      <c r="DH25" s="116"/>
      <c r="DI25" s="116"/>
      <c r="DJ25" s="116"/>
      <c r="DK25" s="55"/>
    </row>
    <row r="26" spans="3:115" ht="14.25" customHeight="1" thickTop="1">
      <c r="C26" s="1644"/>
      <c r="D26" s="695"/>
      <c r="E26" s="531"/>
      <c r="F26" s="536" t="str">
        <f>CU26</f>
        <v>Summe Personalkosten</v>
      </c>
      <c r="G26" s="534">
        <f>SUM(G24:G25)</f>
        <v>0</v>
      </c>
      <c r="H26" s="534">
        <f t="shared" ref="H26:Q26" si="15">SUM(H24:H25)</f>
        <v>0</v>
      </c>
      <c r="I26" s="534">
        <f t="shared" si="15"/>
        <v>0</v>
      </c>
      <c r="J26" s="534">
        <f t="shared" si="15"/>
        <v>0</v>
      </c>
      <c r="K26" s="534">
        <f t="shared" si="15"/>
        <v>0</v>
      </c>
      <c r="L26" s="534">
        <f t="shared" si="15"/>
        <v>0</v>
      </c>
      <c r="M26" s="534">
        <f t="shared" si="15"/>
        <v>0</v>
      </c>
      <c r="N26" s="534">
        <f t="shared" si="15"/>
        <v>0</v>
      </c>
      <c r="O26" s="534">
        <f t="shared" si="15"/>
        <v>0</v>
      </c>
      <c r="P26" s="534">
        <f t="shared" si="15"/>
        <v>0</v>
      </c>
      <c r="Q26" s="534">
        <f t="shared" si="15"/>
        <v>0</v>
      </c>
      <c r="R26" s="534">
        <f>SUM(R24:R25)</f>
        <v>0</v>
      </c>
      <c r="S26" s="528">
        <f>SUM(G26:R26)</f>
        <v>0</v>
      </c>
      <c r="T26" s="552">
        <v>1</v>
      </c>
      <c r="U26" s="1795" t="str">
        <f>$CU$191</f>
        <v>brutto</v>
      </c>
      <c r="V26" s="1340">
        <f>V25*(1+$AJ$24)</f>
        <v>0</v>
      </c>
      <c r="W26" s="543" t="str">
        <f>$CU$170&amp;" "&amp;T26</f>
        <v>Gehalt 1</v>
      </c>
      <c r="X26" s="1340">
        <f>($V$26+$AJ$24)*X25</f>
        <v>0</v>
      </c>
      <c r="Y26" s="1340">
        <f t="shared" ref="Y26:AI26" si="16">($V$26+$AJ$24)*Y25</f>
        <v>0</v>
      </c>
      <c r="Z26" s="1340">
        <f t="shared" si="16"/>
        <v>0</v>
      </c>
      <c r="AA26" s="1340">
        <f t="shared" si="16"/>
        <v>0</v>
      </c>
      <c r="AB26" s="1340">
        <f t="shared" si="16"/>
        <v>0</v>
      </c>
      <c r="AC26" s="1340">
        <f t="shared" si="16"/>
        <v>0</v>
      </c>
      <c r="AD26" s="1340">
        <f t="shared" si="16"/>
        <v>0</v>
      </c>
      <c r="AE26" s="1340">
        <f t="shared" si="16"/>
        <v>0</v>
      </c>
      <c r="AF26" s="1340">
        <f t="shared" si="16"/>
        <v>0</v>
      </c>
      <c r="AG26" s="1340">
        <f t="shared" si="16"/>
        <v>0</v>
      </c>
      <c r="AH26" s="1340">
        <f t="shared" si="16"/>
        <v>0</v>
      </c>
      <c r="AI26" s="1340">
        <f t="shared" si="16"/>
        <v>0</v>
      </c>
      <c r="AJ26" s="1859">
        <f>IF(V26*12&lt;=Basisdaten!$D$21,0,IF(V26*12&lt;=Basisdaten!$F$21,V26*(Basisdaten!$E$23*(V26*12-Basisdaten!$E$21)+Basisdaten!$E$22),IF(V26*12&lt;=Basisdaten!$H$21,V26*(Basisdaten!$G$23*(V26*12-Basisdaten!$G$21)+Basisdaten!$G$22),IF(V26*12&lt;=Basisdaten!$J$21,V26*(Basisdaten!$I$23*(V26*12-Basisdaten!$I$21)+Basisdaten!$I$22),IF(V26*12&gt;Basisdaten!$K$21,V26*Basisdaten!$K$22,"hoppla")))))</f>
        <v>0</v>
      </c>
      <c r="AL26" s="1609"/>
      <c r="AM26" s="50"/>
      <c r="BA26" s="1479"/>
      <c r="BB26" s="1479"/>
      <c r="BC26" s="1479"/>
      <c r="BD26" s="1479"/>
      <c r="BE26" s="1479"/>
      <c r="BF26" s="1479"/>
      <c r="BG26" s="1479"/>
      <c r="BH26" s="1479"/>
      <c r="BI26" s="1479"/>
      <c r="BJ26" s="1479"/>
      <c r="BK26" s="1479"/>
      <c r="BL26" s="1479"/>
      <c r="BM26" s="1479"/>
      <c r="BN26" s="1479"/>
      <c r="BO26" s="1479"/>
      <c r="BP26" s="1479"/>
      <c r="BQ26" s="1479"/>
      <c r="BR26" s="1479"/>
      <c r="BS26" s="1479"/>
      <c r="BT26" s="1479"/>
      <c r="BU26" s="1479"/>
      <c r="BV26" s="1479"/>
      <c r="BW26" s="1479"/>
      <c r="BX26" s="1479"/>
      <c r="BY26" s="1479"/>
      <c r="BZ26" s="1479"/>
      <c r="CA26" s="1479"/>
      <c r="CB26" s="1479"/>
      <c r="CC26" s="1479"/>
      <c r="CD26" s="1479"/>
      <c r="CE26" s="1479"/>
      <c r="CF26" s="1471"/>
      <c r="CG26" s="1471"/>
      <c r="CH26" s="1471"/>
      <c r="CI26" s="971"/>
      <c r="CJ26" s="9" t="str">
        <f>'2 Umsatz|Sales'!CZ22</f>
        <v>HW:</v>
      </c>
      <c r="CL26" t="str">
        <f>'2 Umsatz|Sales'!CW55</f>
        <v>Handwerk</v>
      </c>
      <c r="CM26" s="9" t="str">
        <f>IF('Deckblatt|Cover'!$I$3=Basisdaten!$D$2,CM20,CM21)</f>
        <v xml:space="preserve">Verbrauchsmaterial </v>
      </c>
      <c r="CN26" s="9" t="str">
        <f>IF('Deckblatt|Cover'!$I$3=Basisdaten!$D$2,CN20,CN21)</f>
        <v>Werkzeug, Vorrichtung,.</v>
      </c>
      <c r="CO26" s="9" t="str">
        <f>IF('Deckblatt|Cover'!$I$3=Basisdaten!$D$2,CO20,CO21)</f>
        <v xml:space="preserve">Werkstattmiete </v>
      </c>
      <c r="CP26" s="9" t="str">
        <f>IF('Deckblatt|Cover'!$I$3=Basisdaten!$D$2,CP20,CP21)</f>
        <v>!</v>
      </c>
      <c r="CQ26" s="9" t="str">
        <f>IF('Deckblatt|Cover'!$I$3=Basisdaten!$D$2,CQ20,CQ21)</f>
        <v>!</v>
      </c>
      <c r="CR26" s="9" t="str">
        <f>IF('Deckblatt|Cover'!$I$3=Basisdaten!$D$2,CR20,CR21)</f>
        <v>!</v>
      </c>
      <c r="CU26" s="30" t="str">
        <f>IF(Basisdaten!$B$15=Basisdaten!$D$2,CV26,CW26)</f>
        <v>Summe Personalkosten</v>
      </c>
      <c r="CV26" s="38" t="s">
        <v>123</v>
      </c>
      <c r="CW26" s="38" t="s">
        <v>163</v>
      </c>
      <c r="CX26" s="30">
        <f>IF(Basisdaten!$B$15=Basisdaten!$D$2,CY26,CZ26)</f>
        <v>0</v>
      </c>
      <c r="DK26" s="52"/>
    </row>
    <row r="27" spans="3:115" ht="14.25" customHeight="1">
      <c r="C27" s="1045" t="str">
        <f>$C$12</f>
        <v>MwSt</v>
      </c>
      <c r="D27" s="695"/>
      <c r="E27" s="597">
        <v>4</v>
      </c>
      <c r="F27" s="598" t="str">
        <f t="shared" ref="F27:F32" si="17">CU27</f>
        <v>Reisekosten</v>
      </c>
      <c r="G27" s="599">
        <f>IFERROR(S71,"undo")</f>
        <v>0</v>
      </c>
      <c r="H27" s="2270" t="str">
        <f>IF(G27="undo",$CU$164,"")</f>
        <v/>
      </c>
      <c r="I27" s="2270"/>
      <c r="J27" s="2270"/>
      <c r="K27" s="2270"/>
      <c r="L27" s="2270"/>
      <c r="M27" s="2270"/>
      <c r="N27" s="2270"/>
      <c r="O27" s="2270"/>
      <c r="P27" s="2270"/>
      <c r="Q27" s="601" t="s">
        <v>608</v>
      </c>
      <c r="R27" s="600"/>
      <c r="S27" s="1240"/>
      <c r="T27" s="552"/>
      <c r="U27" s="1795" t="str">
        <f t="shared" ref="U27:U32" si="18">U25</f>
        <v>netto</v>
      </c>
      <c r="V27" s="1765"/>
      <c r="W27" s="543" t="str">
        <f>W25</f>
        <v>Mitarbeiter</v>
      </c>
      <c r="X27" s="617"/>
      <c r="Y27" s="617"/>
      <c r="Z27" s="617"/>
      <c r="AA27" s="617"/>
      <c r="AB27" s="617"/>
      <c r="AC27" s="617"/>
      <c r="AD27" s="617"/>
      <c r="AE27" s="617"/>
      <c r="AF27" s="617"/>
      <c r="AG27" s="617"/>
      <c r="AH27" s="617"/>
      <c r="AI27" s="617"/>
      <c r="AJ27" s="1860" t="str">
        <f>AJ25</f>
        <v>↓m. Lohn-St↓</v>
      </c>
      <c r="AL27" s="1608"/>
      <c r="AM27" s="50"/>
      <c r="BA27" s="1479"/>
      <c r="BB27" s="1479"/>
      <c r="BC27" s="1479"/>
      <c r="BD27" s="1479"/>
      <c r="BE27" s="1479"/>
      <c r="BF27" s="1479"/>
      <c r="BG27" s="1479"/>
      <c r="BH27" s="1479"/>
      <c r="BI27" s="1479"/>
      <c r="BJ27" s="1479"/>
      <c r="BK27" s="1479"/>
      <c r="BL27" s="1479"/>
      <c r="BM27" s="1479"/>
      <c r="BN27" s="1479"/>
      <c r="BO27" s="1479"/>
      <c r="BP27" s="1479"/>
      <c r="BQ27" s="1479"/>
      <c r="BR27" s="1479"/>
      <c r="BS27" s="1479"/>
      <c r="BT27" s="1479"/>
      <c r="BU27" s="1479"/>
      <c r="BV27" s="1479"/>
      <c r="BW27" s="1479"/>
      <c r="BX27" s="1479"/>
      <c r="BY27" s="1479"/>
      <c r="BZ27" s="1479"/>
      <c r="CA27" s="1479"/>
      <c r="CB27" s="1479"/>
      <c r="CC27" s="1479"/>
      <c r="CD27" s="1479"/>
      <c r="CE27" s="1479"/>
      <c r="CF27" s="1471"/>
      <c r="CG27" s="1471"/>
      <c r="CH27" s="1471"/>
      <c r="CJ27" s="9" t="str">
        <f>'2 Umsatz|Sales'!CV22</f>
        <v>Um:</v>
      </c>
      <c r="CL27" t="str">
        <f>'2 Umsatz|Sales'!CW41</f>
        <v>Umsatz</v>
      </c>
      <c r="CM27" s="29" t="str">
        <f t="shared" ref="CM27:CR27" si="19">CM25</f>
        <v>Nebenkosten</v>
      </c>
      <c r="CN27" s="29" t="str">
        <f t="shared" si="19"/>
        <v>!</v>
      </c>
      <c r="CO27" s="29" t="str">
        <f t="shared" si="19"/>
        <v>!</v>
      </c>
      <c r="CP27" s="29" t="str">
        <f t="shared" si="19"/>
        <v>!</v>
      </c>
      <c r="CQ27" s="29" t="str">
        <f t="shared" si="19"/>
        <v>!</v>
      </c>
      <c r="CR27" s="29" t="str">
        <f t="shared" si="19"/>
        <v>!</v>
      </c>
      <c r="CU27" s="30" t="str">
        <f>IF(Basisdaten!$B$15=Basisdaten!$D$2,CV27,CW27)</f>
        <v>Reisekosten</v>
      </c>
      <c r="CV27" s="38" t="s">
        <v>94</v>
      </c>
      <c r="CW27" s="38" t="s">
        <v>144</v>
      </c>
      <c r="CX27" s="30">
        <f>IF(Basisdaten!$B$15=Basisdaten!$D$2,CY27,CZ27)</f>
        <v>0</v>
      </c>
      <c r="DK27" s="52"/>
    </row>
    <row r="28" spans="3:115" ht="14.25" customHeight="1">
      <c r="C28" s="1640">
        <v>0.19</v>
      </c>
      <c r="D28" s="695"/>
      <c r="E28" s="1319">
        <f>IF('2 Umsatz|Sales'!$CT$3=0,0,C28)</f>
        <v>0.19</v>
      </c>
      <c r="F28" s="538" t="str">
        <f t="shared" si="17"/>
        <v>Fahrtkosten</v>
      </c>
      <c r="G28" s="420"/>
      <c r="H28" s="420"/>
      <c r="I28" s="420"/>
      <c r="J28" s="420"/>
      <c r="K28" s="420"/>
      <c r="L28" s="420"/>
      <c r="M28" s="420"/>
      <c r="N28" s="420"/>
      <c r="O28" s="420"/>
      <c r="P28" s="420"/>
      <c r="Q28" s="420"/>
      <c r="R28" s="420"/>
      <c r="S28" s="594">
        <f>SUM(G28:R28)</f>
        <v>0</v>
      </c>
      <c r="T28" s="552">
        <v>2</v>
      </c>
      <c r="U28" s="1795" t="str">
        <f t="shared" si="18"/>
        <v>brutto</v>
      </c>
      <c r="V28" s="1397">
        <f>V27*(1+$AJ$24)</f>
        <v>0</v>
      </c>
      <c r="W28" s="543" t="str">
        <f>$CU$170&amp;" "&amp;T28</f>
        <v>Gehalt 2</v>
      </c>
      <c r="X28" s="1340">
        <f>($V$28+$AJ$24)*X27</f>
        <v>0</v>
      </c>
      <c r="Y28" s="1340">
        <f>($V$28+$AJ$24)*Y27</f>
        <v>0</v>
      </c>
      <c r="Z28" s="1340">
        <f t="shared" ref="Z28:AI28" si="20">($V$28+$AJ$24)*Z27</f>
        <v>0</v>
      </c>
      <c r="AA28" s="1340">
        <f t="shared" si="20"/>
        <v>0</v>
      </c>
      <c r="AB28" s="1340">
        <f t="shared" si="20"/>
        <v>0</v>
      </c>
      <c r="AC28" s="1340">
        <f t="shared" si="20"/>
        <v>0</v>
      </c>
      <c r="AD28" s="1340">
        <f t="shared" si="20"/>
        <v>0</v>
      </c>
      <c r="AE28" s="1340">
        <f t="shared" si="20"/>
        <v>0</v>
      </c>
      <c r="AF28" s="1340">
        <f t="shared" si="20"/>
        <v>0</v>
      </c>
      <c r="AG28" s="1340">
        <f t="shared" si="20"/>
        <v>0</v>
      </c>
      <c r="AH28" s="1340">
        <f t="shared" si="20"/>
        <v>0</v>
      </c>
      <c r="AI28" s="1340">
        <f t="shared" si="20"/>
        <v>0</v>
      </c>
      <c r="AJ28" s="1358">
        <f>IF(V28*12&lt;=Basisdaten!$D$21,0,IF(V28*12&lt;=Basisdaten!$F$21,V28*(Basisdaten!$E$23*(V28*12-Basisdaten!$E$21)+Basisdaten!$E$22),IF(V28*12&lt;=Basisdaten!$H$21,V28*(Basisdaten!$G$23*(V28*12-Basisdaten!$G$21)+Basisdaten!$G$22),IF(V28*12&lt;=Basisdaten!$J$21,V28*(Basisdaten!$I$23*(V28*12-Basisdaten!$I$21)+Basisdaten!$I$22),IF(V28*12&gt;Basisdaten!$K$21,V28*Basisdaten!$K$22,"hoppla")))))</f>
        <v>0</v>
      </c>
      <c r="AL28" s="1609"/>
      <c r="AM28" s="50"/>
      <c r="BA28" s="1479"/>
      <c r="BB28" s="1479"/>
      <c r="BC28" s="1479"/>
      <c r="BD28" s="1479"/>
      <c r="BE28" s="1479"/>
      <c r="BF28" s="1479"/>
      <c r="BG28" s="1479"/>
      <c r="BH28" s="1479"/>
      <c r="BI28" s="1479"/>
      <c r="BJ28" s="1479"/>
      <c r="BK28" s="1479"/>
      <c r="BL28" s="1479"/>
      <c r="BM28" s="1479"/>
      <c r="BN28" s="1479"/>
      <c r="BO28" s="1479"/>
      <c r="BP28" s="1479"/>
      <c r="BQ28" s="1479"/>
      <c r="BR28" s="1479"/>
      <c r="BS28" s="1479"/>
      <c r="BT28" s="1479"/>
      <c r="BU28" s="1479"/>
      <c r="BV28" s="1479"/>
      <c r="BW28" s="1479"/>
      <c r="BX28" s="1479"/>
      <c r="BY28" s="1479"/>
      <c r="BZ28" s="1479"/>
      <c r="CA28" s="1479"/>
      <c r="CB28" s="1479"/>
      <c r="CC28" s="1479"/>
      <c r="CD28" s="1479"/>
      <c r="CE28" s="1471"/>
      <c r="CF28" s="1481"/>
      <c r="CG28" s="1471"/>
      <c r="CH28" s="1471"/>
      <c r="CI28" s="972" t="s">
        <v>791</v>
      </c>
      <c r="CJ28" s="998" t="str">
        <f>IF(CL28=CL23,CJ23,IF(CL28=CL24,CJ24,IF(CL28=CL25,CJ25,IF(CL28=CL26,CJ26,IF(CL29=CL27,CJ27,CJ15)))))</f>
        <v xml:space="preserve">Fehler Tab2 </v>
      </c>
      <c r="CK28" s="973" t="str">
        <f>CL28&amp;": "</f>
        <v xml:space="preserve">Auswahl/Choose: </v>
      </c>
      <c r="CL28" s="1172" t="str">
        <f>'2 Umsatz|Sales'!E5</f>
        <v>Auswahl/Choose</v>
      </c>
      <c r="CM28" s="9" t="str">
        <f>IF($CL28=$CL22,CM22,IF($CL28=$CL23,CM23,IF($CL28=$CL24,CM24,IF($CL28=$CL25,CM25,IF($CL28=$CL26,CM26,IF($CL$28=$CL$27,CM27,CJ15))))))</f>
        <v>!</v>
      </c>
      <c r="CN28" s="9" t="str">
        <f>IF($CL28=$CL22,CN22,IF($CL28=$CL23,CN23,IF($CL28=$CL24,CN24,IF($CL28=$CL25,CN25,IF($CL28=$CL26,CN26,IF($CL$28=$CL27,CN27,CJ15))))))</f>
        <v>!</v>
      </c>
      <c r="CO28" s="9" t="str">
        <f>IF($CL28=$CL22,CO22,IF($CL28=$CL23,CO23,IF($CL28=$CL24,CO24,IF($CL28=$CL25,CO25,IF($CL28=$CL26,CO26,IF($CL$28=$CL27,CO27,CJ15))))))</f>
        <v>!</v>
      </c>
      <c r="CP28" s="9" t="str">
        <f>IF($CL28=$CL22,CP22,IF($CL28=$CL23,CP23,IF($CL28=$CL24,CP24,IF($CL28=$CL25,CP25,IF($CL28=$CL26,CP26,IF($CL$28=$CL27,CP27,CJ15))))))</f>
        <v>!</v>
      </c>
      <c r="CQ28" s="9" t="str">
        <f>IF($CL28=$CL22,CQ22,IF($CL28=$CL23,CQ23,IF($CL28=$CL24,CQ24,IF($CL28=$CL25,CQ25,IF($CL28=$CL26,CQ26,IF($CL$28=$CL27,CQ27,CJ15))))))</f>
        <v>!</v>
      </c>
      <c r="CR28" s="9" t="str">
        <f>IF($CL28=$CL22,CR22,IF($CL28=$CL23,CR23,IF($CL28=$CL24,CR24,IF($CL28=$CL25,CR25,IF($CL28=$CL26,CR26,IF($CL$28=$CL27,CR27,CJ15))))))</f>
        <v>!</v>
      </c>
      <c r="CU28" s="30" t="str">
        <f>IF(Basisdaten!$B$15=Basisdaten!$D$2,CV28,CW28)</f>
        <v>Fahrtkosten</v>
      </c>
      <c r="CV28" s="38" t="s">
        <v>97</v>
      </c>
      <c r="CW28" s="38" t="s">
        <v>144</v>
      </c>
      <c r="CX28" s="30">
        <f>IF(Basisdaten!$B$15=Basisdaten!$D$2,CY28,CZ28)</f>
        <v>0</v>
      </c>
      <c r="DK28" s="52"/>
    </row>
    <row r="29" spans="3:115" ht="14.25" customHeight="1">
      <c r="C29" s="1641">
        <v>0.19</v>
      </c>
      <c r="D29" s="695"/>
      <c r="E29" s="1320">
        <f>IF('2 Umsatz|Sales'!$CT$3=0,0,C29)</f>
        <v>0.19</v>
      </c>
      <c r="F29" s="278" t="str">
        <f t="shared" si="17"/>
        <v>Reisekostenpauschalen</v>
      </c>
      <c r="G29" s="417"/>
      <c r="H29" s="417"/>
      <c r="I29" s="417"/>
      <c r="J29" s="417"/>
      <c r="K29" s="417"/>
      <c r="L29" s="417"/>
      <c r="M29" s="417"/>
      <c r="N29" s="417"/>
      <c r="O29" s="417"/>
      <c r="P29" s="417"/>
      <c r="Q29" s="417"/>
      <c r="R29" s="417"/>
      <c r="S29" s="279">
        <f>SUM(G29:R29)</f>
        <v>0</v>
      </c>
      <c r="T29" s="552"/>
      <c r="U29" s="1795" t="str">
        <f t="shared" si="18"/>
        <v>netto</v>
      </c>
      <c r="V29" s="1338"/>
      <c r="W29" s="29" t="str">
        <f>W25</f>
        <v>Mitarbeiter</v>
      </c>
      <c r="X29" s="617"/>
      <c r="Y29" s="617"/>
      <c r="Z29" s="617"/>
      <c r="AA29" s="617"/>
      <c r="AB29" s="617"/>
      <c r="AC29" s="617"/>
      <c r="AD29" s="617"/>
      <c r="AE29" s="617"/>
      <c r="AF29" s="617"/>
      <c r="AG29" s="617"/>
      <c r="AH29" s="617"/>
      <c r="AI29" s="617"/>
      <c r="AJ29" s="1860" t="str">
        <f>AJ27</f>
        <v>↓m. Lohn-St↓</v>
      </c>
      <c r="AK29" s="549"/>
      <c r="AL29" s="1609"/>
      <c r="AM29" s="50"/>
      <c r="BA29" s="1479"/>
      <c r="BB29" s="1479"/>
      <c r="BC29" s="1479"/>
      <c r="BD29" s="1479"/>
      <c r="BE29" s="1479"/>
      <c r="BF29" s="1479"/>
      <c r="BG29" s="1479"/>
      <c r="BH29" s="1479"/>
      <c r="BI29" s="1479"/>
      <c r="BJ29" s="1479"/>
      <c r="BK29" s="1479"/>
      <c r="BL29" s="1479"/>
      <c r="BM29" s="1479"/>
      <c r="BN29" s="1479"/>
      <c r="BO29" s="1479"/>
      <c r="BP29" s="1479"/>
      <c r="BQ29" s="1479"/>
      <c r="BR29" s="1479"/>
      <c r="BS29" s="1479"/>
      <c r="BT29" s="1479"/>
      <c r="BU29" s="1479"/>
      <c r="BV29" s="1479"/>
      <c r="BW29" s="1479"/>
      <c r="BX29" s="1479"/>
      <c r="BY29" s="1479"/>
      <c r="BZ29" s="1479"/>
      <c r="CA29" s="1479"/>
      <c r="CB29" s="1479"/>
      <c r="CC29" s="1479"/>
      <c r="CD29" s="1479"/>
      <c r="CE29" s="1471"/>
      <c r="CF29" s="1481"/>
      <c r="CG29" s="1471"/>
      <c r="CH29" s="1471"/>
      <c r="CI29" s="972" t="s">
        <v>791</v>
      </c>
      <c r="CJ29" s="998" t="str">
        <f>IF(CL29=CL23,CJ23,IF(CL29=CL24,CJ24,IF(CL29=CL25,CJ25,IF(CL29=CL26,CJ26,IF(CL29=CL27,CJ27,CJ15)))))</f>
        <v xml:space="preserve">Fehler Tab2 </v>
      </c>
      <c r="CK29" s="973" t="str">
        <f>CL29&amp;": "</f>
        <v xml:space="preserve">Auswahl/Choose: </v>
      </c>
      <c r="CL29" s="1172" t="str">
        <f>'2 Umsatz|Sales'!E16</f>
        <v>Auswahl/Choose</v>
      </c>
      <c r="CM29" s="9" t="str">
        <f>IF($CL29=$CL22,CM22,IF($CL29=$CL23,CM23,IF($CL29=$CL24,CM24,IF($CL29=$CL25,CM25,IF($CL29=$CL26,CM26,IF(CL29=CL27,CM27,CJ15))))))</f>
        <v>!</v>
      </c>
      <c r="CN29" s="9" t="str">
        <f>IF($CL29=$CL22,CN22,IF($CL29=$CL23,CN23,IF($CL29=$CL24,CN24,IF($CL29=$CL25,CN25,IF($CL29=$CL26,CN26,IF($CL$29=$CL27,CN27,CJ15))))))</f>
        <v>!</v>
      </c>
      <c r="CO29" s="9" t="str">
        <f>IF($CL29=$CL22,CO22,IF($CL29=$CL23,CO23,IF($CL29=$CL24,CO24,IF($CL29=$CL25,CO25,IF($CL29=$CL26,CO26,IF($CL$29=$CL27,CO27,CJ15))))))</f>
        <v>!</v>
      </c>
      <c r="CP29" s="9" t="str">
        <f>IF($CL29=$CL22,CP22,IF($CL29=$CL23,CP23,IF($CL29=$CL24,CP24,IF($CL29=$CL25,CP25,IF($CL29=$CL26,CP26,IF($CL$29=$CL27,CP27,CJ15))))))</f>
        <v>!</v>
      </c>
      <c r="CQ29" s="9" t="str">
        <f>IF($CL29=$CL22,CQ22,IF($CL29=$CL23,CQ23,IF($CL29=$CL24,CQ24,IF($CL29=$CL25,CQ25,IF($CL29=$CL26,CQ26,IF($CL$29=$CL27,CQ27,CJ15))))))</f>
        <v>!</v>
      </c>
      <c r="CR29" s="9" t="str">
        <f>IF($CL29=$CL22,CR22,IF($CL29=$CL23,CR23,IF($CL29=$CL24,CR24,IF($CL29=$CL25,CR25,IF($CL29=$CL26,CR26,IF($CL$29=$CL27,CR27,CJ15))))))</f>
        <v>!</v>
      </c>
      <c r="CU29" s="30" t="str">
        <f>IF(Basisdaten!$B$15=Basisdaten!$D$2,CV29,CW29)</f>
        <v>Reisekostenpauschalen</v>
      </c>
      <c r="CV29" s="38" t="s">
        <v>91</v>
      </c>
      <c r="CW29" s="38" t="s">
        <v>159</v>
      </c>
      <c r="CX29" s="30">
        <f>IF(Basisdaten!$B$15=Basisdaten!$D$2,CY29,CZ29)</f>
        <v>0</v>
      </c>
      <c r="DK29" s="52"/>
    </row>
    <row r="30" spans="3:115" ht="14.25" customHeight="1" thickBot="1">
      <c r="C30" s="1641">
        <v>0.19</v>
      </c>
      <c r="D30" s="695"/>
      <c r="E30" s="1320">
        <f>IF('2 Umsatz|Sales'!$CT$3=0,0,C30)</f>
        <v>0.19</v>
      </c>
      <c r="F30" s="278" t="str">
        <f t="shared" si="17"/>
        <v>Übernachtungen</v>
      </c>
      <c r="G30" s="417"/>
      <c r="H30" s="417"/>
      <c r="I30" s="417"/>
      <c r="J30" s="417"/>
      <c r="K30" s="417"/>
      <c r="L30" s="417"/>
      <c r="M30" s="417"/>
      <c r="N30" s="417"/>
      <c r="O30" s="417"/>
      <c r="P30" s="417"/>
      <c r="Q30" s="417"/>
      <c r="R30" s="417"/>
      <c r="S30" s="279">
        <f>SUM(G30:R30)</f>
        <v>0</v>
      </c>
      <c r="T30" s="552">
        <v>3</v>
      </c>
      <c r="U30" s="1795" t="str">
        <f t="shared" si="18"/>
        <v>brutto</v>
      </c>
      <c r="V30" s="1809">
        <f>V29*(1+$AJ$24)</f>
        <v>0</v>
      </c>
      <c r="W30" s="543" t="str">
        <f>$CU$170&amp;" "&amp;T30</f>
        <v>Gehalt 3</v>
      </c>
      <c r="X30" s="1341">
        <f>($V$30+$AJ$24)*X29</f>
        <v>0</v>
      </c>
      <c r="Y30" s="1341">
        <f t="shared" ref="Y30:AI30" si="21">($V$30+$AJ$24)*Y29</f>
        <v>0</v>
      </c>
      <c r="Z30" s="1341">
        <f t="shared" si="21"/>
        <v>0</v>
      </c>
      <c r="AA30" s="1341">
        <f t="shared" si="21"/>
        <v>0</v>
      </c>
      <c r="AB30" s="1341">
        <f t="shared" si="21"/>
        <v>0</v>
      </c>
      <c r="AC30" s="1341">
        <f t="shared" si="21"/>
        <v>0</v>
      </c>
      <c r="AD30" s="1341">
        <f t="shared" si="21"/>
        <v>0</v>
      </c>
      <c r="AE30" s="1341">
        <f t="shared" si="21"/>
        <v>0</v>
      </c>
      <c r="AF30" s="1341">
        <f t="shared" si="21"/>
        <v>0</v>
      </c>
      <c r="AG30" s="1341">
        <f t="shared" si="21"/>
        <v>0</v>
      </c>
      <c r="AH30" s="1341">
        <f t="shared" si="21"/>
        <v>0</v>
      </c>
      <c r="AI30" s="1341">
        <f t="shared" si="21"/>
        <v>0</v>
      </c>
      <c r="AJ30" s="1358">
        <f>IF(V30*12&lt;=Basisdaten!$D$21,0,IF(V30*12&lt;=Basisdaten!$F$21,V30*(Basisdaten!$E$23*(V30*12-Basisdaten!$E$21)+Basisdaten!$E$22),IF(V30*12&lt;=Basisdaten!$H$21,V30*(Basisdaten!$G$23*(V30*12-Basisdaten!$G$21)+Basisdaten!$G$22),IF(V30*12&lt;=Basisdaten!$J$21,V30*(Basisdaten!$I$23*(V30*12-Basisdaten!$I$21)+Basisdaten!$I$22),IF(V30*12&gt;Basisdaten!$K$21,V30*Basisdaten!$K$22,"hoppla")))))</f>
        <v>0</v>
      </c>
      <c r="AK30" s="1478"/>
      <c r="AL30" s="1609"/>
      <c r="AM30" s="50"/>
      <c r="BA30" s="1479"/>
      <c r="BB30" s="1479"/>
      <c r="BC30" s="1479"/>
      <c r="BD30" s="1479"/>
      <c r="BE30" s="1479"/>
      <c r="BF30" s="1479"/>
      <c r="BG30" s="1479"/>
      <c r="BH30" s="1479"/>
      <c r="BI30" s="1479"/>
      <c r="BJ30" s="1479"/>
      <c r="BK30" s="1479"/>
      <c r="BL30" s="1479"/>
      <c r="BM30" s="1479"/>
      <c r="BN30" s="1479"/>
      <c r="BO30" s="1479"/>
      <c r="BP30" s="1479"/>
      <c r="BQ30" s="1479"/>
      <c r="BR30" s="1479"/>
      <c r="BS30" s="1479"/>
      <c r="BT30" s="1479"/>
      <c r="BU30" s="1479"/>
      <c r="BV30" s="1479"/>
      <c r="BW30" s="1479"/>
      <c r="BX30" s="1479"/>
      <c r="BY30" s="1479"/>
      <c r="BZ30" s="1479"/>
      <c r="CA30" s="1479"/>
      <c r="CB30" s="1479"/>
      <c r="CC30" s="1479"/>
      <c r="CD30" s="1479"/>
      <c r="CE30" s="1479"/>
      <c r="CF30" s="1471"/>
      <c r="CG30" s="1471"/>
      <c r="CH30" s="1471"/>
      <c r="CI30"/>
      <c r="CJ30"/>
      <c r="CL30" s="31"/>
      <c r="CM30" s="9" t="str">
        <f>IF(AND(CM28="!",CM29="!"),"",IF(AND(CM28="!",CM29&lt;&gt;"!"),$CJ$29&amp;CM29,IF(AND(CM28&lt;&gt;"!",CM29="!"),$CJ$28&amp;CM28,$CJ$28&amp;CM28&amp;"; "&amp;$CJ$29&amp;CM29)))</f>
        <v/>
      </c>
      <c r="CN30" s="9" t="str">
        <f>CX12&amp;" "&amp;IF(AND(CN28="!",CN29="!"),"",IF(AND(CN28="!",CN29&lt;&gt;"!"),$CJ$29&amp;CN29,IF(AND(CN28&lt;&gt;"!",CN29="!"),$CJ$28&amp;CN28,$CJ$28&amp;CN28&amp;"; "&amp;$CJ$29&amp;CN29)))</f>
        <v xml:space="preserve">GWG </v>
      </c>
      <c r="CO30" s="9" t="str">
        <f>IF(AND(CO28="!",CO29="!"),"",IF(AND(CO28="!",CO29&lt;&gt;"!"),$CJ$29&amp;CO29,IF(AND(CO28&lt;&gt;"!",CO29="!"),$CJ$28&amp;CO28,$CJ$28&amp;CO28&amp;"; "&amp;$CJ$29&amp;CO29)))</f>
        <v/>
      </c>
      <c r="CP30" s="9" t="str">
        <f>IF(AND(CP28="!",CP29="!"),"",IF(AND(CP28="!",CP29&lt;&gt;"!"),$CJ$29&amp;CP29,IF(AND(CP28&lt;&gt;"!",CP29="!"),$CJ$28&amp;CP28,$CJ$28&amp;CP28&amp;"; "&amp;$CJ$29&amp;CP29)))</f>
        <v/>
      </c>
      <c r="CQ30" s="9" t="str">
        <f>IF(AND(CQ28="!",CQ29="!"),"",IF(AND(CQ28="!",CQ29&lt;&gt;"!"),$CJ$29&amp;CQ29,IF(AND(CQ28&lt;&gt;"!",CQ29="!"),$CJ$28&amp;CQ28,$CJ$28&amp;CQ28&amp;"; "&amp;$CJ$28&amp;CQ29)))</f>
        <v/>
      </c>
      <c r="CR30" s="9" t="str">
        <f>IF(AND(CR28="!",CR29="!"),"",IF(AND(CR28="!",CR29&lt;&gt;"!"),$CJ$29&amp;CR29,IF(AND(CR28&lt;&gt;"!",CR29="!"),$CJ$28&amp;CR28,$CJ$28&amp;CR28&amp;"; "&amp;$CJ$29&amp;CR29)))</f>
        <v/>
      </c>
      <c r="CT30" s="43"/>
      <c r="CU30" s="30" t="str">
        <f>IF(Basisdaten!$B$15=Basisdaten!$D$2,CV30,CW30)</f>
        <v>Übernachtungen</v>
      </c>
      <c r="CV30" s="38" t="s">
        <v>95</v>
      </c>
      <c r="CW30" s="38" t="s">
        <v>169</v>
      </c>
      <c r="CX30" s="30">
        <f>IF(Basisdaten!$B$15=Basisdaten!$D$2,CY30,CZ30)</f>
        <v>0</v>
      </c>
      <c r="DK30" s="52"/>
    </row>
    <row r="31" spans="3:115" ht="14.25" customHeight="1" thickBot="1">
      <c r="C31" s="1642">
        <v>0.19</v>
      </c>
      <c r="D31" s="695"/>
      <c r="E31" s="1320">
        <f>IF('2 Umsatz|Sales'!$CT$3=0,0,C31)</f>
        <v>0.19</v>
      </c>
      <c r="F31" s="539" t="str">
        <f t="shared" si="17"/>
        <v>Sonstiges</v>
      </c>
      <c r="G31" s="521"/>
      <c r="H31" s="521"/>
      <c r="I31" s="521"/>
      <c r="J31" s="521"/>
      <c r="K31" s="521"/>
      <c r="L31" s="521"/>
      <c r="M31" s="521"/>
      <c r="N31" s="521"/>
      <c r="O31" s="521"/>
      <c r="P31" s="521"/>
      <c r="Q31" s="521"/>
      <c r="R31" s="521"/>
      <c r="S31" s="530">
        <f>SUM(G31:R31)</f>
        <v>0</v>
      </c>
      <c r="T31" s="552"/>
      <c r="U31" s="1810" t="str">
        <f t="shared" si="18"/>
        <v>netto</v>
      </c>
      <c r="V31" s="1811"/>
      <c r="W31" s="1812" t="str">
        <f>$CU$189</f>
        <v>GF</v>
      </c>
      <c r="X31" s="1813"/>
      <c r="Y31" s="1813"/>
      <c r="Z31" s="1813"/>
      <c r="AA31" s="1813"/>
      <c r="AB31" s="1813"/>
      <c r="AC31" s="1813"/>
      <c r="AD31" s="1813"/>
      <c r="AE31" s="1813"/>
      <c r="AF31" s="1813"/>
      <c r="AG31" s="1813"/>
      <c r="AH31" s="1813"/>
      <c r="AI31" s="1813"/>
      <c r="AJ31" s="2040" t="str">
        <f>AJ29</f>
        <v>↓m. Lohn-St↓</v>
      </c>
      <c r="AK31" s="549"/>
      <c r="AL31" s="1609"/>
      <c r="AM31" s="50"/>
      <c r="BA31" s="1479"/>
      <c r="BB31" s="1479"/>
      <c r="BC31" s="1479"/>
      <c r="BD31" s="1479"/>
      <c r="BE31" s="1479"/>
      <c r="BF31" s="1479"/>
      <c r="BG31" s="1479"/>
      <c r="BH31" s="1479"/>
      <c r="BI31" s="1479"/>
      <c r="BJ31" s="1479"/>
      <c r="BK31" s="1479"/>
      <c r="BL31" s="1479"/>
      <c r="BM31" s="1479"/>
      <c r="BN31" s="1479"/>
      <c r="BO31" s="1479"/>
      <c r="BP31" s="1479"/>
      <c r="BQ31" s="1479"/>
      <c r="BR31" s="1479"/>
      <c r="BS31" s="1479"/>
      <c r="BT31" s="1479"/>
      <c r="BU31" s="1479"/>
      <c r="BV31" s="1479"/>
      <c r="BW31" s="1479"/>
      <c r="BX31" s="1479"/>
      <c r="BY31" s="1479"/>
      <c r="BZ31" s="1479"/>
      <c r="CA31" s="1479"/>
      <c r="CB31" s="1479"/>
      <c r="CC31" s="1479"/>
      <c r="CD31" s="1479"/>
      <c r="CE31" s="1479"/>
      <c r="CF31" s="1479"/>
      <c r="CG31" s="1479"/>
      <c r="CH31" s="1479"/>
      <c r="CI31"/>
      <c r="CJ31"/>
      <c r="CM31" s="9" t="str">
        <f>IF(AND(CM28="!",CM29="!"),"",IF(AND(CM28="!",CM29&lt;&gt;"!"),$CJ$29&amp;CM29,IF(AND(CM28&lt;&gt;"!",CM29="!"),$CJ$28&amp;CM28,$CJ$28&amp;CM28&amp;"; "&amp;$CJ$29&amp;CM29)))</f>
        <v/>
      </c>
      <c r="CN31" s="9" t="str">
        <f>CX12&amp;" "&amp;IF(AND(CN28="!",CN29="!"),"",IF(AND(CN28="!",CN29&lt;&gt;"!"),$CJ$29&amp;CN29,IF(AND(CN28&lt;&gt;"!",CN29="!"),$CJ$28&amp;CN28,$CJ$28&amp;CN28&amp;"; "&amp;$CJ$29&amp;CN29)))</f>
        <v xml:space="preserve">GWG </v>
      </c>
      <c r="CO31" s="9" t="str">
        <f>IF(AND(CO28="!",CO29="!"),"",IF(AND(CO28="!",CO29&lt;&gt;"!"),$CJ$29&amp;CO29,IF(AND(CO28&lt;&gt;"!",CO29="!"),$CJ$28&amp;CO28,$CJ$28&amp;CO28&amp;"; "&amp;$CJ$29&amp;CO29)))</f>
        <v/>
      </c>
      <c r="CP31" s="9" t="str">
        <f>IF(AND(CP28="!",CP29="!"),"",IF(AND(CP28="!",CP29&lt;&gt;"!"),$CJ$29&amp;CP29,IF(AND(CP28&lt;&gt;"!",CP29="!"),$CJ$28&amp;CP28,$CJ$28&amp;CP28&amp;"; "&amp;$CJ$29&amp;CP29)))</f>
        <v/>
      </c>
      <c r="CQ31" s="9" t="str">
        <f>IF(AND(CQ28="!",CQ29="!"),"",IF(AND(CQ28="!",CQ29&lt;&gt;"!"),$CJ$29&amp;CQ29,IF(AND(CQ28&lt;&gt;"!",CQ29="!"),$CJ$28&amp;CQ28,$CJ$28&amp;CQ28&amp;"; "&amp;$CJ$29&amp;CQ29)))</f>
        <v/>
      </c>
      <c r="CR31" s="9" t="str">
        <f>IF(AND(CR28="!",CR29="!"),"",IF(AND(CR28="!",CR29&lt;&gt;"!"),$CJ$29&amp;CR29,IF(AND(CR28&lt;&gt;"!",CR29="!"),$CJ$28&amp;CR28,$CJ$28&amp;CR28&amp;"; "&amp;$CJ$29&amp;CR29)))</f>
        <v/>
      </c>
      <c r="CS31" s="544"/>
      <c r="CT31" s="233"/>
      <c r="CU31" s="30" t="str">
        <f>IF(Basisdaten!$B$15=Basisdaten!$D$2,CV31,CW31)</f>
        <v>Sonstiges</v>
      </c>
      <c r="CV31" s="523" t="s">
        <v>275</v>
      </c>
      <c r="CW31" s="523" t="s">
        <v>277</v>
      </c>
      <c r="CX31" s="30">
        <f>IF(Basisdaten!$B$15=Basisdaten!$D$2,CY31,CZ31)</f>
        <v>0</v>
      </c>
      <c r="DK31" s="52"/>
    </row>
    <row r="32" spans="3:115" ht="14.25" customHeight="1" thickTop="1" thickBot="1">
      <c r="C32" s="1644"/>
      <c r="D32" s="695"/>
      <c r="E32" s="1135"/>
      <c r="F32" s="536" t="str">
        <f t="shared" si="17"/>
        <v>Summe Reisekosten</v>
      </c>
      <c r="G32" s="534">
        <f>SUM(G28:G31)</f>
        <v>0</v>
      </c>
      <c r="H32" s="534">
        <f t="shared" ref="H32:Q32" si="22">SUM(H28:H31)</f>
        <v>0</v>
      </c>
      <c r="I32" s="534">
        <f>SUM(I28:I31)</f>
        <v>0</v>
      </c>
      <c r="J32" s="534">
        <f t="shared" si="22"/>
        <v>0</v>
      </c>
      <c r="K32" s="534">
        <f t="shared" si="22"/>
        <v>0</v>
      </c>
      <c r="L32" s="534">
        <f>SUM(L28:L31)</f>
        <v>0</v>
      </c>
      <c r="M32" s="534">
        <f t="shared" si="22"/>
        <v>0</v>
      </c>
      <c r="N32" s="534">
        <f t="shared" si="22"/>
        <v>0</v>
      </c>
      <c r="O32" s="534">
        <f t="shared" si="22"/>
        <v>0</v>
      </c>
      <c r="P32" s="534">
        <f t="shared" si="22"/>
        <v>0</v>
      </c>
      <c r="Q32" s="534">
        <f t="shared" si="22"/>
        <v>0</v>
      </c>
      <c r="R32" s="534">
        <f>SUM(R28:R31)</f>
        <v>0</v>
      </c>
      <c r="S32" s="528">
        <f>SUM(G32:R32)</f>
        <v>0</v>
      </c>
      <c r="T32" s="552"/>
      <c r="U32" s="1814" t="str">
        <f t="shared" si="18"/>
        <v>brutto</v>
      </c>
      <c r="V32" s="1815">
        <f>V31*(1+$AJ$24)</f>
        <v>0</v>
      </c>
      <c r="W32" s="1816" t="str">
        <f>$CU$170&amp;" "&amp;$CU$189</f>
        <v>Gehalt GF</v>
      </c>
      <c r="X32" s="1817">
        <f>($V$32+$AJ$24)*X31</f>
        <v>0</v>
      </c>
      <c r="Y32" s="1817">
        <f t="shared" ref="Y32:AI32" si="23">($V$32+$AJ$24)*Y31</f>
        <v>0</v>
      </c>
      <c r="Z32" s="1817">
        <f t="shared" si="23"/>
        <v>0</v>
      </c>
      <c r="AA32" s="1817">
        <f t="shared" si="23"/>
        <v>0</v>
      </c>
      <c r="AB32" s="1817">
        <f t="shared" si="23"/>
        <v>0</v>
      </c>
      <c r="AC32" s="1817">
        <f t="shared" si="23"/>
        <v>0</v>
      </c>
      <c r="AD32" s="1817">
        <f t="shared" si="23"/>
        <v>0</v>
      </c>
      <c r="AE32" s="1817">
        <f t="shared" si="23"/>
        <v>0</v>
      </c>
      <c r="AF32" s="1817">
        <f t="shared" si="23"/>
        <v>0</v>
      </c>
      <c r="AG32" s="1817">
        <f t="shared" si="23"/>
        <v>0</v>
      </c>
      <c r="AH32" s="1817">
        <f t="shared" si="23"/>
        <v>0</v>
      </c>
      <c r="AI32" s="1818">
        <f t="shared" si="23"/>
        <v>0</v>
      </c>
      <c r="AJ32" s="1348">
        <f>IF(V32*12&lt;=Basisdaten!$D$21,0,IF(V32*12&lt;=Basisdaten!$F$21,V32*(Basisdaten!$E$23*(V32*12-Basisdaten!$E$21)+Basisdaten!$E$22),IF(V32*12&lt;=Basisdaten!$H$21,V32*(Basisdaten!$G$23*(V32*12-Basisdaten!$G$21)+Basisdaten!$G$22),IF(V32*12&lt;=Basisdaten!$J$21,V32*(Basisdaten!$I$23*(V32*12-Basisdaten!$I$21)+Basisdaten!$I$22),IF(V32*12&gt;Basisdaten!$K$21,V32*Basisdaten!$K$22,"hoppla")))))</f>
        <v>0</v>
      </c>
      <c r="AK32" s="549"/>
      <c r="AL32" s="1608"/>
      <c r="AM32" s="50"/>
      <c r="BA32" s="1479"/>
      <c r="BB32" s="1479"/>
      <c r="BC32" s="1479"/>
      <c r="BD32" s="1479"/>
      <c r="BE32" s="1479"/>
      <c r="BF32" s="1479"/>
      <c r="BG32" s="1479"/>
      <c r="BH32" s="1479"/>
      <c r="BI32" s="1479"/>
      <c r="BJ32" s="1479"/>
      <c r="BK32" s="1479"/>
      <c r="BL32" s="1479"/>
      <c r="BM32" s="1479"/>
      <c r="BN32" s="1479"/>
      <c r="BO32" s="1479"/>
      <c r="BP32" s="1479"/>
      <c r="BQ32" s="1479"/>
      <c r="BR32" s="1479"/>
      <c r="BS32" s="1479"/>
      <c r="BT32" s="1479"/>
      <c r="BU32" s="1479"/>
      <c r="BV32" s="1479"/>
      <c r="BW32" s="1479"/>
      <c r="BX32" s="1479"/>
      <c r="BY32" s="1479"/>
      <c r="BZ32" s="1479"/>
      <c r="CA32" s="1479"/>
      <c r="CB32" s="1479"/>
      <c r="CC32" s="1479"/>
      <c r="CD32" s="1479"/>
      <c r="CE32" s="1479"/>
      <c r="CF32" s="1479"/>
      <c r="CG32" s="1479"/>
      <c r="CH32" s="1479"/>
      <c r="CI32"/>
      <c r="CJ32"/>
      <c r="CM32" s="9" t="str">
        <f>$CU$18&amp;$CL$28&amp;IF($CL$29=$CL$28,""," &amp; "&amp;$CL$29)</f>
        <v>Notwendig nach Tab 2 für Auswahl/Choose</v>
      </c>
      <c r="CN32" s="25"/>
      <c r="CO32" s="25"/>
      <c r="CP32" s="25"/>
      <c r="CQ32" s="25"/>
      <c r="CR32" s="25"/>
      <c r="CS32" s="547"/>
      <c r="CT32" s="233"/>
      <c r="CU32" s="30" t="str">
        <f>IF(Basisdaten!$B$15=Basisdaten!$D$2,CV32,CW32)</f>
        <v>Summe Reisekosten</v>
      </c>
      <c r="CV32" s="38" t="str">
        <f>"Summe " &amp;CV27</f>
        <v>Summe Reisekosten</v>
      </c>
      <c r="CW32" s="38" t="s">
        <v>165</v>
      </c>
      <c r="CX32" s="30">
        <f>IF(Basisdaten!$B$15=Basisdaten!$D$2,CY32,CZ32)</f>
        <v>0</v>
      </c>
      <c r="DK32" s="52"/>
    </row>
    <row r="33" spans="3:115" ht="14.25" customHeight="1">
      <c r="C33" s="1045" t="str">
        <f>$C$12</f>
        <v>MwSt</v>
      </c>
      <c r="D33" s="695"/>
      <c r="E33" s="597">
        <v>5</v>
      </c>
      <c r="F33" s="598" t="str">
        <f t="shared" ref="F33:F38" si="24">CU33</f>
        <v>Versicherungen und Beiträge (betrieblich!)</v>
      </c>
      <c r="G33" s="599">
        <f>IFERROR(S72,"undo")</f>
        <v>0</v>
      </c>
      <c r="H33" s="2270" t="str">
        <f>IF(G33="undo",$CU$164,"")</f>
        <v/>
      </c>
      <c r="I33" s="2270"/>
      <c r="J33" s="2270"/>
      <c r="K33" s="2270"/>
      <c r="L33" s="2270"/>
      <c r="M33" s="2270"/>
      <c r="N33" s="2270"/>
      <c r="O33" s="2270"/>
      <c r="P33" s="2270"/>
      <c r="Q33" s="601" t="s">
        <v>608</v>
      </c>
      <c r="R33" s="600"/>
      <c r="S33" s="1240"/>
      <c r="T33" s="552"/>
      <c r="U33" s="2261" t="str">
        <f>$CU$190&amp;" = "
&amp;$CU$191</f>
        <v>netto = brutto</v>
      </c>
      <c r="V33" s="2256"/>
      <c r="W33" s="1854" t="s">
        <v>1054</v>
      </c>
      <c r="X33" s="617"/>
      <c r="Y33" s="617"/>
      <c r="Z33" s="617"/>
      <c r="AA33" s="617"/>
      <c r="AB33" s="617"/>
      <c r="AC33" s="617"/>
      <c r="AD33" s="617"/>
      <c r="AE33" s="617"/>
      <c r="AF33" s="617"/>
      <c r="AG33" s="617"/>
      <c r="AH33" s="617"/>
      <c r="AI33" s="617"/>
      <c r="AJ33" s="1359" t="str">
        <f>AJ112</f>
        <v>↓Obergrenze↓</v>
      </c>
      <c r="AK33" s="549"/>
      <c r="AL33" s="1609"/>
      <c r="AM33" s="50"/>
      <c r="BA33" s="1479"/>
      <c r="BB33" s="1479"/>
      <c r="BC33" s="1479"/>
      <c r="BD33" s="1479"/>
      <c r="BE33" s="1479"/>
      <c r="BF33" s="1479"/>
      <c r="BG33" s="1479"/>
      <c r="BH33" s="1479"/>
      <c r="BI33" s="1479"/>
      <c r="BJ33" s="1479"/>
      <c r="BK33" s="1479"/>
      <c r="BL33" s="1479"/>
      <c r="BM33" s="1479"/>
      <c r="BN33" s="1479"/>
      <c r="BO33" s="1479"/>
      <c r="BP33" s="1479"/>
      <c r="BQ33" s="1479"/>
      <c r="BR33" s="1479"/>
      <c r="BS33" s="1479"/>
      <c r="BT33" s="1479"/>
      <c r="BU33" s="1479"/>
      <c r="BV33" s="1479"/>
      <c r="BW33" s="1479"/>
      <c r="BX33" s="1479"/>
      <c r="BY33" s="1479"/>
      <c r="BZ33" s="1479"/>
      <c r="CA33" s="1479"/>
      <c r="CB33" s="1479"/>
      <c r="CC33" s="1479"/>
      <c r="CD33" s="1479"/>
      <c r="CE33" s="1479"/>
      <c r="CF33" s="1479"/>
      <c r="CG33" s="1479"/>
      <c r="CH33" s="1479"/>
      <c r="CI33" s="60"/>
      <c r="CJ33" s="60"/>
      <c r="CK33" s="31"/>
      <c r="CL33" s="31"/>
      <c r="CM33" s="25"/>
      <c r="CN33" s="25"/>
      <c r="CO33" s="25"/>
      <c r="CS33" s="548"/>
      <c r="CT33" s="233"/>
      <c r="CU33" s="30" t="str">
        <f>IF(Basisdaten!$B$15=Basisdaten!$D$2,CV33,CW33)</f>
        <v>Versicherungen und Beiträge (betrieblich!)</v>
      </c>
      <c r="CV33" s="38" t="s">
        <v>303</v>
      </c>
      <c r="CW33" s="38" t="s">
        <v>304</v>
      </c>
      <c r="CX33" s="30">
        <f>IF(Basisdaten!$B$15=Basisdaten!$D$2,CY33,CZ33)</f>
        <v>0</v>
      </c>
      <c r="DK33" s="52"/>
    </row>
    <row r="34" spans="3:115" ht="14.25" customHeight="1" thickBot="1">
      <c r="C34" s="1640">
        <v>0.19</v>
      </c>
      <c r="D34" s="695"/>
      <c r="E34" s="1319">
        <f>IF('2 Umsatz|Sales'!$CT$3=0,0,C34)</f>
        <v>0.19</v>
      </c>
      <c r="F34" s="538" t="str">
        <f t="shared" si="24"/>
        <v>Haftpflicht</v>
      </c>
      <c r="G34" s="420"/>
      <c r="H34" s="420"/>
      <c r="I34" s="420"/>
      <c r="J34" s="420"/>
      <c r="K34" s="420"/>
      <c r="L34" s="420"/>
      <c r="M34" s="420"/>
      <c r="N34" s="420"/>
      <c r="O34" s="420"/>
      <c r="P34" s="420"/>
      <c r="Q34" s="420"/>
      <c r="R34" s="420"/>
      <c r="S34" s="594">
        <f>SUM(G34:R34)</f>
        <v>0</v>
      </c>
      <c r="T34" s="552"/>
      <c r="U34" s="2262"/>
      <c r="V34" s="2257"/>
      <c r="W34" s="1855" t="str">
        <f>CU182</f>
        <v>Lohn</v>
      </c>
      <c r="X34" s="1341">
        <f t="shared" ref="X34:AI34" si="25">X33*$V$33</f>
        <v>0</v>
      </c>
      <c r="Y34" s="1341">
        <f t="shared" si="25"/>
        <v>0</v>
      </c>
      <c r="Z34" s="1341">
        <f t="shared" si="25"/>
        <v>0</v>
      </c>
      <c r="AA34" s="1341">
        <f t="shared" si="25"/>
        <v>0</v>
      </c>
      <c r="AB34" s="1341">
        <f t="shared" si="25"/>
        <v>0</v>
      </c>
      <c r="AC34" s="1341">
        <f t="shared" si="25"/>
        <v>0</v>
      </c>
      <c r="AD34" s="1341">
        <f t="shared" si="25"/>
        <v>0</v>
      </c>
      <c r="AE34" s="1341">
        <f t="shared" si="25"/>
        <v>0</v>
      </c>
      <c r="AF34" s="1341">
        <f t="shared" si="25"/>
        <v>0</v>
      </c>
      <c r="AG34" s="1341">
        <f t="shared" si="25"/>
        <v>0</v>
      </c>
      <c r="AH34" s="1341">
        <f t="shared" si="25"/>
        <v>0</v>
      </c>
      <c r="AI34" s="1341">
        <f t="shared" si="25"/>
        <v>0</v>
      </c>
      <c r="AJ34" s="1373">
        <f>Basisdaten!$L$39</f>
        <v>603</v>
      </c>
      <c r="AK34" s="1478"/>
      <c r="AL34" s="1609"/>
      <c r="AM34" s="50"/>
      <c r="BA34" s="1479"/>
      <c r="BB34" s="1479"/>
      <c r="BC34" s="1479"/>
      <c r="BD34" s="1479"/>
      <c r="BE34" s="1479"/>
      <c r="BF34" s="1479"/>
      <c r="BG34" s="1479"/>
      <c r="BH34" s="1479"/>
      <c r="BI34" s="1479"/>
      <c r="BJ34" s="1479"/>
      <c r="BK34" s="1479"/>
      <c r="BL34" s="1479"/>
      <c r="BM34" s="1479"/>
      <c r="BN34" s="1479"/>
      <c r="BO34" s="1479"/>
      <c r="BP34" s="1479"/>
      <c r="BQ34" s="1479"/>
      <c r="BR34" s="1479"/>
      <c r="BS34" s="1479"/>
      <c r="BT34" s="1479"/>
      <c r="BU34" s="1479"/>
      <c r="BV34" s="1479"/>
      <c r="BW34" s="1479"/>
      <c r="BX34" s="1479"/>
      <c r="BY34" s="1479"/>
      <c r="BZ34" s="1479"/>
      <c r="CA34" s="1479"/>
      <c r="CB34" s="1479"/>
      <c r="CC34" s="1479"/>
      <c r="CD34" s="1479"/>
      <c r="CE34" s="1479"/>
      <c r="CF34" s="1479"/>
      <c r="CG34" s="1479"/>
      <c r="CH34" s="1479"/>
      <c r="CI34" s="31"/>
      <c r="CJ34" s="31"/>
      <c r="CK34" s="31"/>
      <c r="CL34" s="31"/>
      <c r="CM34" s="25"/>
      <c r="CN34" s="25"/>
      <c r="CO34" s="25"/>
      <c r="CP34" s="25"/>
      <c r="CQ34" s="25"/>
      <c r="CS34" s="233"/>
      <c r="CT34" s="233"/>
      <c r="CU34" s="30" t="str">
        <f>IF(Basisdaten!$B$15=Basisdaten!$D$2,CV34,CW34)</f>
        <v>Haftpflicht</v>
      </c>
      <c r="CV34" s="38" t="s">
        <v>38</v>
      </c>
      <c r="CW34" s="38" t="s">
        <v>147</v>
      </c>
      <c r="CX34" s="30">
        <f>IF(Basisdaten!$B$15=Basisdaten!$D$2,CY34,CZ34)</f>
        <v>0</v>
      </c>
      <c r="DK34" s="52"/>
    </row>
    <row r="35" spans="3:115" ht="14.25" customHeight="1" thickTop="1" thickBot="1">
      <c r="C35" s="1641">
        <v>0.19</v>
      </c>
      <c r="D35" s="695"/>
      <c r="E35" s="1320">
        <f>IF('2 Umsatz|Sales'!$CT$3=0,0,C35)</f>
        <v>0.19</v>
      </c>
      <c r="F35" s="278" t="str">
        <f t="shared" si="24"/>
        <v>Rechtschutzversicherung</v>
      </c>
      <c r="G35" s="417"/>
      <c r="H35" s="417"/>
      <c r="I35" s="417"/>
      <c r="J35" s="417"/>
      <c r="K35" s="417"/>
      <c r="L35" s="417"/>
      <c r="M35" s="417"/>
      <c r="N35" s="417"/>
      <c r="O35" s="417"/>
      <c r="P35" s="417"/>
      <c r="Q35" s="417"/>
      <c r="R35" s="417"/>
      <c r="S35" s="279">
        <f>SUM(G35:R35)</f>
        <v>0</v>
      </c>
      <c r="T35" s="552"/>
      <c r="U35" s="2263" t="str">
        <f>$CU$180</f>
        <v>Gehaltssumme</v>
      </c>
      <c r="V35" s="2264"/>
      <c r="W35" s="2265"/>
      <c r="X35" s="1351">
        <f>X26+X28+X30+X32+X34</f>
        <v>0</v>
      </c>
      <c r="Y35" s="1351">
        <f t="shared" ref="Y35:AI35" si="26">Y26+Y28+Y30+Y32+Y34</f>
        <v>0</v>
      </c>
      <c r="Z35" s="1351">
        <f t="shared" si="26"/>
        <v>0</v>
      </c>
      <c r="AA35" s="1351">
        <f t="shared" si="26"/>
        <v>0</v>
      </c>
      <c r="AB35" s="1351">
        <f t="shared" si="26"/>
        <v>0</v>
      </c>
      <c r="AC35" s="1351">
        <f t="shared" si="26"/>
        <v>0</v>
      </c>
      <c r="AD35" s="1351">
        <f t="shared" si="26"/>
        <v>0</v>
      </c>
      <c r="AE35" s="1351">
        <f t="shared" si="26"/>
        <v>0</v>
      </c>
      <c r="AF35" s="1351">
        <f t="shared" si="26"/>
        <v>0</v>
      </c>
      <c r="AG35" s="1351">
        <f t="shared" si="26"/>
        <v>0</v>
      </c>
      <c r="AH35" s="1351">
        <f t="shared" si="26"/>
        <v>0</v>
      </c>
      <c r="AI35" s="1351">
        <f t="shared" si="26"/>
        <v>0</v>
      </c>
      <c r="AJ35" s="1351">
        <f>SUM(X35:AI35)</f>
        <v>0</v>
      </c>
      <c r="AK35" s="326"/>
      <c r="AL35" s="1609"/>
      <c r="AM35" s="50"/>
      <c r="BA35" s="1479"/>
      <c r="BB35" s="1479"/>
      <c r="BC35" s="1479"/>
      <c r="BD35" s="1479"/>
      <c r="BE35" s="1479"/>
      <c r="BF35" s="1479"/>
      <c r="BG35" s="1479"/>
      <c r="BH35" s="1479"/>
      <c r="BI35" s="1479"/>
      <c r="BJ35" s="1479"/>
      <c r="BK35" s="1479"/>
      <c r="BL35" s="1479"/>
      <c r="BM35" s="1479"/>
      <c r="BN35" s="1479"/>
      <c r="BO35" s="1479"/>
      <c r="BP35" s="1479"/>
      <c r="BQ35" s="1479"/>
      <c r="BR35" s="1479"/>
      <c r="BS35" s="1479"/>
      <c r="BT35" s="1479"/>
      <c r="BU35" s="1479"/>
      <c r="BV35" s="1479"/>
      <c r="BW35" s="1479"/>
      <c r="BX35" s="1479"/>
      <c r="BY35" s="1479"/>
      <c r="BZ35" s="1479"/>
      <c r="CA35" s="1479"/>
      <c r="CB35" s="1479"/>
      <c r="CC35" s="1479"/>
      <c r="CD35" s="1479"/>
      <c r="CE35" s="1479"/>
      <c r="CF35" s="1479"/>
      <c r="CG35" s="1479"/>
      <c r="CH35" s="1479"/>
      <c r="CI35" s="31"/>
      <c r="CJ35" s="31"/>
      <c r="CK35" s="31"/>
      <c r="CL35" s="31"/>
      <c r="CM35" s="25"/>
      <c r="CN35" s="25"/>
      <c r="CO35" s="25"/>
      <c r="CS35" s="548"/>
      <c r="CT35" s="233"/>
      <c r="CU35" s="30" t="str">
        <f>IF(Basisdaten!$B$15=Basisdaten!$D$2,CV35,CW35)</f>
        <v>Rechtschutzversicherung</v>
      </c>
      <c r="CV35" s="38" t="s">
        <v>39</v>
      </c>
      <c r="CW35" s="38" t="s">
        <v>158</v>
      </c>
      <c r="CX35" s="30">
        <f>IF(Basisdaten!$B$15=Basisdaten!$D$2,CY35,CZ35)</f>
        <v>0</v>
      </c>
      <c r="DK35" s="52"/>
    </row>
    <row r="36" spans="3:115" ht="14.25" customHeight="1" thickTop="1">
      <c r="C36" s="1641">
        <v>0.19</v>
      </c>
      <c r="D36" s="695"/>
      <c r="E36" s="1320">
        <f>IF('2 Umsatz|Sales'!$CT$3=0,0,C36)</f>
        <v>0.19</v>
      </c>
      <c r="F36" s="278" t="str">
        <f t="shared" si="24"/>
        <v>Beiträge (IHK, Berufsverbände, ...)</v>
      </c>
      <c r="G36" s="417"/>
      <c r="H36" s="417"/>
      <c r="I36" s="417"/>
      <c r="J36" s="417"/>
      <c r="K36" s="417"/>
      <c r="L36" s="417"/>
      <c r="M36" s="417"/>
      <c r="N36" s="417"/>
      <c r="O36" s="417"/>
      <c r="P36" s="417"/>
      <c r="Q36" s="417"/>
      <c r="R36" s="417"/>
      <c r="S36" s="279">
        <f>SUM(G36:R36)</f>
        <v>0</v>
      </c>
      <c r="T36" s="552"/>
      <c r="U36" s="2266" t="str">
        <f>CU177&amp;"*"</f>
        <v>Sozialabgaben*</v>
      </c>
      <c r="V36" s="2267"/>
      <c r="W36" s="2268"/>
      <c r="X36" s="1374">
        <f>(X26+X28+X30+X32)*$AJ$24+X34*Basisdaten!$F$35</f>
        <v>0</v>
      </c>
      <c r="Y36" s="1374">
        <f>(Y26+Y28+Y30+Y32)*$AJ$24+Y34*Basisdaten!$F$35</f>
        <v>0</v>
      </c>
      <c r="Z36" s="1374">
        <f>(Z26+Z28+Z30+Z32)*$AJ$24+Z34*Basisdaten!$F$35</f>
        <v>0</v>
      </c>
      <c r="AA36" s="1374">
        <f>(AA26+AA28+AA30+AA32)*$AJ$24+AA34*Basisdaten!$F$35</f>
        <v>0</v>
      </c>
      <c r="AB36" s="1374">
        <f>(AB26+AB28+AB30+AB32)*$AJ$24+AB34*Basisdaten!$F$35</f>
        <v>0</v>
      </c>
      <c r="AC36" s="1374">
        <f>(AC26+AC28+AC30+AC32)*$AJ$24+AC34*Basisdaten!$F$35</f>
        <v>0</v>
      </c>
      <c r="AD36" s="1374">
        <f>(AD26+AD28+AD30+AD32)*$AJ$24+AD34*Basisdaten!$F$35</f>
        <v>0</v>
      </c>
      <c r="AE36" s="1374">
        <f>(AE26+AE28+AE30+AE32)*$AJ$24+AE34*Basisdaten!$F$35</f>
        <v>0</v>
      </c>
      <c r="AF36" s="1374">
        <f>(AF26+AF28+AF30+AF32)*$AJ$24+AF34*Basisdaten!$F$35</f>
        <v>0</v>
      </c>
      <c r="AG36" s="1374">
        <f>(AG26+AG28+AG30+AG32)*$AJ$24+AG34*Basisdaten!$F$35</f>
        <v>0</v>
      </c>
      <c r="AH36" s="1374">
        <f>(AH26+AH28+AH30+AH32)*$AJ$24+AH34*Basisdaten!$F$35</f>
        <v>0</v>
      </c>
      <c r="AI36" s="1374">
        <f>(AI26+AI28+AI30+AI32)*$AJ$24+AI34*Basisdaten!$F$35</f>
        <v>0</v>
      </c>
      <c r="AJ36" s="253">
        <f>SUM(X36:AI36)</f>
        <v>0</v>
      </c>
      <c r="AK36" s="1349"/>
      <c r="AL36" s="1609"/>
      <c r="AM36" s="1349"/>
      <c r="AN36" s="1349"/>
      <c r="AO36" s="1349"/>
      <c r="BA36" s="1479"/>
      <c r="BB36" s="1479"/>
      <c r="BC36" s="1479"/>
      <c r="BD36" s="1479"/>
      <c r="BE36" s="1479"/>
      <c r="BF36" s="1479"/>
      <c r="BG36" s="1479"/>
      <c r="BH36" s="1479"/>
      <c r="BI36" s="1479"/>
      <c r="BJ36" s="1479"/>
      <c r="BK36" s="1479"/>
      <c r="BL36" s="1479"/>
      <c r="BM36" s="1479"/>
      <c r="BN36" s="1479"/>
      <c r="BO36" s="1479"/>
      <c r="BP36" s="1479"/>
      <c r="BQ36" s="1479"/>
      <c r="BR36" s="1479"/>
      <c r="BS36" s="1479"/>
      <c r="BT36" s="1479"/>
      <c r="BU36" s="1479"/>
      <c r="BV36" s="1479"/>
      <c r="BW36" s="1479"/>
      <c r="BX36" s="1479"/>
      <c r="BY36" s="1479"/>
      <c r="BZ36" s="1479"/>
      <c r="CA36" s="1479"/>
      <c r="CB36" s="1479"/>
      <c r="CC36" s="1479"/>
      <c r="CD36" s="1479"/>
      <c r="CE36" s="1479"/>
      <c r="CF36" s="1479"/>
      <c r="CG36" s="1479"/>
      <c r="CH36" s="1479"/>
      <c r="CI36" s="31"/>
      <c r="CJ36" s="31"/>
      <c r="CK36" s="31"/>
      <c r="CL36" s="31"/>
      <c r="CN36" s="25"/>
      <c r="CO36" s="25"/>
      <c r="CS36" s="548"/>
      <c r="CT36" s="31" t="str">
        <f>LEFT(CT70,1)</f>
        <v/>
      </c>
      <c r="CU36" s="30" t="str">
        <f>IF(Basisdaten!$B$15=Basisdaten!$D$2,CV36,CW36)</f>
        <v>Beiträge (IHK, Berufsverbände, ...)</v>
      </c>
      <c r="CV36" s="38" t="s">
        <v>283</v>
      </c>
      <c r="CW36" s="38" t="s">
        <v>284</v>
      </c>
      <c r="CX36" s="30">
        <f>IF(Basisdaten!$B$15=Basisdaten!$D$2,CY36,CZ36)</f>
        <v>0</v>
      </c>
      <c r="DK36" s="52"/>
    </row>
    <row r="37" spans="3:115" ht="14.25" customHeight="1" thickBot="1">
      <c r="C37" s="1642">
        <v>0.19</v>
      </c>
      <c r="D37" s="695"/>
      <c r="E37" s="1628">
        <f>IF('2 Umsatz|Sales'!$CT$3=0,0,C37)</f>
        <v>0.19</v>
      </c>
      <c r="F37" s="539" t="str">
        <f t="shared" si="24"/>
        <v>Sonstiges</v>
      </c>
      <c r="G37" s="521"/>
      <c r="H37" s="521"/>
      <c r="I37" s="521"/>
      <c r="J37" s="521"/>
      <c r="K37" s="521"/>
      <c r="L37" s="521"/>
      <c r="M37" s="521"/>
      <c r="N37" s="521"/>
      <c r="O37" s="521"/>
      <c r="P37" s="521"/>
      <c r="Q37" s="521"/>
      <c r="R37" s="521"/>
      <c r="S37" s="530">
        <f>SUM(G37:R37)</f>
        <v>0</v>
      </c>
      <c r="T37" s="552"/>
      <c r="U37" s="29" t="str">
        <f>"* "&amp;U36&amp;" "&amp;W33&amp;" = "&amp;Basisdaten!$F$35*100&amp;" %"</f>
        <v>* Sozialabgaben* MinijoblerIn = 28 %</v>
      </c>
      <c r="AK37" s="613"/>
      <c r="AL37" s="1609"/>
      <c r="AM37" s="613"/>
      <c r="AN37" s="613"/>
      <c r="AO37" s="613"/>
      <c r="BA37" s="1479"/>
      <c r="BB37" s="1479"/>
      <c r="BC37" s="1479"/>
      <c r="BD37" s="1479"/>
      <c r="BE37" s="1479"/>
      <c r="BF37" s="1479"/>
      <c r="BG37" s="1479"/>
      <c r="BH37" s="1479"/>
      <c r="BI37" s="1479"/>
      <c r="BJ37" s="1479"/>
      <c r="BK37" s="1479"/>
      <c r="BL37" s="1479"/>
      <c r="BM37" s="1479"/>
      <c r="BN37" s="1479"/>
      <c r="BO37" s="1479"/>
      <c r="BP37" s="1479"/>
      <c r="BQ37" s="1479"/>
      <c r="BR37" s="1479"/>
      <c r="BS37" s="1479"/>
      <c r="BT37" s="1479"/>
      <c r="BU37" s="1479"/>
      <c r="BV37" s="1479"/>
      <c r="BW37" s="1479"/>
      <c r="BX37" s="1479"/>
      <c r="BY37" s="1479"/>
      <c r="BZ37" s="1479"/>
      <c r="CA37" s="1479"/>
      <c r="CB37" s="1479"/>
      <c r="CC37" s="1479"/>
      <c r="CD37" s="1479"/>
      <c r="CE37" s="1479"/>
      <c r="CF37" s="1479"/>
      <c r="CG37" s="1479"/>
      <c r="CH37" s="1479"/>
      <c r="CI37" s="31"/>
      <c r="CJ37" s="31"/>
      <c r="CK37" s="31"/>
      <c r="CL37" s="31"/>
      <c r="CN37" s="25"/>
      <c r="CO37" s="26"/>
      <c r="CP37" s="26"/>
      <c r="CQ37" s="26"/>
      <c r="CR37" s="26"/>
      <c r="CS37" s="25"/>
      <c r="CT37" s="31" t="str">
        <f>RIGHT(CT70,1)</f>
        <v/>
      </c>
      <c r="CU37" s="30" t="str">
        <f>IF(Basisdaten!$B$15=Basisdaten!$D$2,CV37,CW37)</f>
        <v>Sonstiges</v>
      </c>
      <c r="CV37" s="523" t="s">
        <v>275</v>
      </c>
      <c r="CW37" s="523" t="s">
        <v>277</v>
      </c>
      <c r="CX37" s="30">
        <f>IF(Basisdaten!$B$15=Basisdaten!$D$2,CY37,CZ37)</f>
        <v>0</v>
      </c>
      <c r="DK37" s="52"/>
    </row>
    <row r="38" spans="3:115" ht="14.25" customHeight="1" thickTop="1">
      <c r="C38" s="1644"/>
      <c r="D38" s="695"/>
      <c r="E38" s="531"/>
      <c r="F38" s="536" t="str">
        <f t="shared" si="24"/>
        <v>Summe Versicherungen und Beiträge (betrieblich!)</v>
      </c>
      <c r="G38" s="534">
        <f>SUM(G34:G37)</f>
        <v>0</v>
      </c>
      <c r="H38" s="534">
        <f>SUM(H34:H37)</f>
        <v>0</v>
      </c>
      <c r="I38" s="534">
        <f t="shared" ref="I38:R38" si="27">SUM(I34:I37)</f>
        <v>0</v>
      </c>
      <c r="J38" s="534">
        <f>SUM(J34:J37)</f>
        <v>0</v>
      </c>
      <c r="K38" s="534">
        <f t="shared" si="27"/>
        <v>0</v>
      </c>
      <c r="L38" s="534">
        <f t="shared" si="27"/>
        <v>0</v>
      </c>
      <c r="M38" s="534">
        <f t="shared" si="27"/>
        <v>0</v>
      </c>
      <c r="N38" s="534">
        <f t="shared" si="27"/>
        <v>0</v>
      </c>
      <c r="O38" s="534">
        <f t="shared" si="27"/>
        <v>0</v>
      </c>
      <c r="P38" s="534">
        <f t="shared" si="27"/>
        <v>0</v>
      </c>
      <c r="Q38" s="534">
        <f t="shared" si="27"/>
        <v>0</v>
      </c>
      <c r="R38" s="534">
        <f t="shared" si="27"/>
        <v>0</v>
      </c>
      <c r="S38" s="528">
        <f>SUM(G38:R38)</f>
        <v>0</v>
      </c>
      <c r="T38" s="552"/>
      <c r="AK38" s="326"/>
      <c r="AL38" s="1609"/>
      <c r="AM38" s="326"/>
      <c r="AN38" s="326"/>
      <c r="AO38" s="326"/>
      <c r="BA38" s="1479"/>
      <c r="BB38" s="1479"/>
      <c r="BC38" s="1479"/>
      <c r="BD38" s="1479"/>
      <c r="BE38" s="1479"/>
      <c r="BF38" s="1479"/>
      <c r="BG38" s="1479"/>
      <c r="BH38" s="1479"/>
      <c r="BI38" s="1479"/>
      <c r="BJ38" s="1479"/>
      <c r="BK38" s="1479"/>
      <c r="BL38" s="1479"/>
      <c r="BM38" s="1479"/>
      <c r="BN38" s="1479"/>
      <c r="BO38" s="1479"/>
      <c r="BP38" s="1479"/>
      <c r="BQ38" s="1479"/>
      <c r="BR38" s="1479"/>
      <c r="BS38" s="1479"/>
      <c r="BT38" s="1479"/>
      <c r="BU38" s="1479"/>
      <c r="BV38" s="1479"/>
      <c r="BW38" s="1479"/>
      <c r="BX38" s="1479"/>
      <c r="BY38" s="1479"/>
      <c r="BZ38" s="1479"/>
      <c r="CA38" s="1479"/>
      <c r="CB38" s="1479"/>
      <c r="CC38" s="1479"/>
      <c r="CD38" s="1479"/>
      <c r="CE38" s="1479"/>
      <c r="CF38" s="1479"/>
      <c r="CG38" s="1479"/>
      <c r="CH38" s="1479"/>
      <c r="CI38" s="31"/>
      <c r="CJ38" s="31"/>
      <c r="CK38" s="31"/>
      <c r="CL38" s="31"/>
      <c r="CN38" s="26"/>
      <c r="CO38" s="26"/>
      <c r="CP38" s="26"/>
      <c r="CQ38" s="26"/>
      <c r="CR38" s="26"/>
      <c r="CS38" s="25"/>
      <c r="CT38" s="233"/>
      <c r="CU38" s="30" t="str">
        <f>IF(Basisdaten!$B$15=Basisdaten!$D$2,CV38,CW38)</f>
        <v>Summe Versicherungen und Beiträge (betrieblich!)</v>
      </c>
      <c r="CV38" s="38" t="str">
        <f>"Summe "&amp;CV33</f>
        <v>Summe Versicherungen und Beiträge (betrieblich!)</v>
      </c>
      <c r="CW38" s="38" t="s">
        <v>167</v>
      </c>
      <c r="CX38" s="30">
        <f>IF(Basisdaten!$B$15=Basisdaten!$D$2,CY38,CZ38)</f>
        <v>0</v>
      </c>
      <c r="DK38" s="52"/>
    </row>
    <row r="39" spans="3:115" ht="14.25" customHeight="1">
      <c r="C39" s="1045" t="str">
        <f>$C$12</f>
        <v>MwSt</v>
      </c>
      <c r="D39" s="695"/>
      <c r="E39" s="597">
        <v>6</v>
      </c>
      <c r="F39" s="598" t="str">
        <f>CU39</f>
        <v>KFZ Kosten / Betriebliche Nutzung</v>
      </c>
      <c r="G39" s="599">
        <f>IFERROR(S73,"undo")</f>
        <v>0</v>
      </c>
      <c r="H39" s="2270" t="str">
        <f>IF(G39="undo",$CU$164,"")</f>
        <v/>
      </c>
      <c r="I39" s="2270"/>
      <c r="J39" s="2270"/>
      <c r="K39" s="2270"/>
      <c r="L39" s="2270"/>
      <c r="M39" s="2270"/>
      <c r="N39" s="2270"/>
      <c r="O39" s="2270"/>
      <c r="P39" s="2270"/>
      <c r="Q39" s="601" t="s">
        <v>608</v>
      </c>
      <c r="R39" s="600"/>
      <c r="S39" s="1240"/>
      <c r="T39" s="552"/>
      <c r="U39" s="552"/>
      <c r="V39" s="552"/>
      <c r="W39" s="552"/>
      <c r="X39" s="552"/>
      <c r="Y39" s="552"/>
      <c r="Z39" s="552"/>
      <c r="AA39" s="552"/>
      <c r="AB39" s="552"/>
      <c r="AC39" s="552"/>
      <c r="AD39" s="552"/>
      <c r="AE39" s="552"/>
      <c r="AF39" s="552"/>
      <c r="AG39" s="552"/>
      <c r="AH39" s="552"/>
      <c r="AI39" s="552"/>
      <c r="AJ39" s="1343"/>
      <c r="AK39" s="1220"/>
      <c r="AL39" s="1609"/>
      <c r="AM39" s="1220"/>
      <c r="AN39" s="1220"/>
      <c r="AO39" s="1220"/>
      <c r="BA39" s="1479"/>
      <c r="BB39" s="1479"/>
      <c r="BC39" s="1479"/>
      <c r="BD39" s="1479"/>
      <c r="BE39" s="1479"/>
      <c r="BF39" s="1479"/>
      <c r="BG39" s="1479"/>
      <c r="BH39" s="1479"/>
      <c r="BI39" s="1479"/>
      <c r="BJ39" s="1479"/>
      <c r="BK39" s="1479"/>
      <c r="BL39" s="1479"/>
      <c r="BM39" s="1479"/>
      <c r="BN39" s="1479"/>
      <c r="BO39" s="1479"/>
      <c r="BP39" s="1479"/>
      <c r="BQ39" s="1479"/>
      <c r="BR39" s="1479"/>
      <c r="BS39" s="1479"/>
      <c r="BT39" s="1479"/>
      <c r="BU39" s="1479"/>
      <c r="BV39" s="1479"/>
      <c r="BW39" s="1479"/>
      <c r="BX39" s="1479"/>
      <c r="BY39" s="1479"/>
      <c r="BZ39" s="1479"/>
      <c r="CA39" s="1479"/>
      <c r="CB39" s="1479"/>
      <c r="CC39" s="1479"/>
      <c r="CD39" s="1479"/>
      <c r="CE39" s="1479"/>
      <c r="CF39" s="1479"/>
      <c r="CG39" s="1479"/>
      <c r="CH39" s="1479"/>
      <c r="CI39" s="31"/>
      <c r="CJ39" s="31"/>
      <c r="CK39" s="31"/>
      <c r="CL39" s="31"/>
      <c r="CN39" s="31"/>
      <c r="CO39" s="31"/>
      <c r="CS39" s="548"/>
      <c r="CT39" s="233"/>
      <c r="CU39" s="30" t="str">
        <f>IF(Basisdaten!$B$15=Basisdaten!$D$2,CV39,CW39)</f>
        <v>KFZ Kosten / Betriebliche Nutzung</v>
      </c>
      <c r="CV39" s="38" t="s">
        <v>105</v>
      </c>
      <c r="CW39" s="38" t="s">
        <v>378</v>
      </c>
      <c r="CX39" s="30">
        <f>IF(Basisdaten!$B$15=Basisdaten!$D$2,CY39,CZ39)</f>
        <v>0</v>
      </c>
      <c r="DK39" s="52"/>
    </row>
    <row r="40" spans="3:115" ht="14.25" customHeight="1">
      <c r="C40" s="1640">
        <v>0.19</v>
      </c>
      <c r="D40" s="695"/>
      <c r="E40" s="1319">
        <f>IF('2 Umsatz|Sales'!$CT$3=0,0,C40)</f>
        <v>0.19</v>
      </c>
      <c r="F40" s="538" t="str">
        <f t="shared" ref="F40:F45" si="28">CU40</f>
        <v>Leasingraten Kfz</v>
      </c>
      <c r="G40" s="420"/>
      <c r="H40" s="420"/>
      <c r="I40" s="420"/>
      <c r="J40" s="420"/>
      <c r="K40" s="420"/>
      <c r="L40" s="420"/>
      <c r="M40" s="420"/>
      <c r="N40" s="420"/>
      <c r="O40" s="420"/>
      <c r="P40" s="420"/>
      <c r="Q40" s="420"/>
      <c r="R40" s="420"/>
      <c r="S40" s="594">
        <f t="shared" ref="S40:S45" si="29">SUM(G40:R40)</f>
        <v>0</v>
      </c>
      <c r="T40" s="552"/>
      <c r="U40" s="552"/>
      <c r="V40" s="552"/>
      <c r="W40" s="552"/>
      <c r="X40" s="552"/>
      <c r="Y40" s="552"/>
      <c r="Z40" s="552"/>
      <c r="AA40" s="552"/>
      <c r="AB40" s="552"/>
      <c r="AC40" s="552"/>
      <c r="AD40" s="552"/>
      <c r="AE40" s="552"/>
      <c r="AF40" s="552"/>
      <c r="AG40" s="552"/>
      <c r="AH40" s="552"/>
      <c r="AI40" s="552"/>
      <c r="AJ40" s="1343"/>
      <c r="AK40" s="912"/>
      <c r="AL40" s="1609"/>
      <c r="AM40" s="912"/>
      <c r="AN40" s="912"/>
      <c r="AO40" s="912"/>
      <c r="BA40" s="1479"/>
      <c r="BB40" s="1479"/>
      <c r="BC40" s="1479"/>
      <c r="BD40" s="1479"/>
      <c r="BE40" s="1479"/>
      <c r="BF40" s="1479"/>
      <c r="BG40" s="1479"/>
      <c r="BH40" s="1479"/>
      <c r="BI40" s="1479"/>
      <c r="BJ40" s="1479"/>
      <c r="BK40" s="1479"/>
      <c r="BL40" s="1479"/>
      <c r="BM40" s="1479"/>
      <c r="BN40" s="1479"/>
      <c r="BO40" s="1479"/>
      <c r="BP40" s="1479"/>
      <c r="BQ40" s="1479"/>
      <c r="BR40" s="1479"/>
      <c r="BS40" s="1479"/>
      <c r="BT40" s="1479"/>
      <c r="BU40" s="1479"/>
      <c r="BV40" s="1479"/>
      <c r="BW40" s="1479"/>
      <c r="BX40" s="1479"/>
      <c r="BY40" s="1479"/>
      <c r="BZ40" s="1479"/>
      <c r="CA40" s="1479"/>
      <c r="CB40" s="1479"/>
      <c r="CC40" s="1479"/>
      <c r="CD40" s="1479"/>
      <c r="CE40" s="1479"/>
      <c r="CF40" s="1479"/>
      <c r="CG40" s="1479"/>
      <c r="CH40" s="1479"/>
      <c r="CI40" s="31"/>
      <c r="CJ40" s="31"/>
      <c r="CK40" s="31"/>
      <c r="CL40" s="31"/>
      <c r="CN40" s="31"/>
      <c r="CO40" s="31"/>
      <c r="CS40" s="544"/>
      <c r="CU40" s="30" t="str">
        <f>IF(Basisdaten!$B$15=Basisdaten!$D$2,CV40,CW40)</f>
        <v>Leasingraten Kfz</v>
      </c>
      <c r="CV40" s="38" t="s">
        <v>104</v>
      </c>
      <c r="CW40" s="38" t="s">
        <v>151</v>
      </c>
      <c r="CX40" s="30">
        <f>IF(Basisdaten!$B$15=Basisdaten!$D$2,CY40,CZ40)</f>
        <v>0</v>
      </c>
      <c r="DK40" s="52"/>
    </row>
    <row r="41" spans="3:115" ht="14.25" customHeight="1">
      <c r="C41" s="1641">
        <v>0.19</v>
      </c>
      <c r="D41" s="695"/>
      <c r="E41" s="1320">
        <f>IF('2 Umsatz|Sales'!$CT$3=0,0,C41)</f>
        <v>0.19</v>
      </c>
      <c r="F41" s="278" t="str">
        <f t="shared" si="28"/>
        <v>Versicherungen/Kfz-Steuer</v>
      </c>
      <c r="G41" s="417"/>
      <c r="H41" s="417"/>
      <c r="I41" s="417"/>
      <c r="J41" s="417"/>
      <c r="K41" s="417"/>
      <c r="L41" s="417"/>
      <c r="M41" s="417"/>
      <c r="N41" s="417"/>
      <c r="O41" s="417"/>
      <c r="P41" s="417"/>
      <c r="Q41" s="417"/>
      <c r="R41" s="417"/>
      <c r="S41" s="279">
        <f t="shared" si="29"/>
        <v>0</v>
      </c>
      <c r="T41" s="552"/>
      <c r="U41" s="552"/>
      <c r="V41" s="552"/>
      <c r="W41" s="552"/>
      <c r="X41" s="552"/>
      <c r="Y41" s="552"/>
      <c r="Z41" s="552"/>
      <c r="AA41" s="552"/>
      <c r="AB41" s="552"/>
      <c r="AC41" s="552"/>
      <c r="AD41" s="552"/>
      <c r="AE41" s="552"/>
      <c r="AF41" s="552"/>
      <c r="AG41" s="552"/>
      <c r="AH41" s="552"/>
      <c r="AI41" s="552"/>
      <c r="AJ41" s="1343"/>
      <c r="AL41" s="1609"/>
      <c r="AM41" s="1339"/>
      <c r="AN41" s="1339"/>
      <c r="AO41" s="1339"/>
      <c r="BA41" s="1479"/>
      <c r="BB41" s="1479"/>
      <c r="BC41" s="1479"/>
      <c r="BD41" s="1479"/>
      <c r="BE41" s="1479"/>
      <c r="BF41" s="1479"/>
      <c r="BG41" s="1479"/>
      <c r="BH41" s="1479"/>
      <c r="BI41" s="1479"/>
      <c r="BJ41" s="1479"/>
      <c r="BK41" s="1479"/>
      <c r="BL41" s="1479"/>
      <c r="BM41" s="1479"/>
      <c r="BN41" s="1479"/>
      <c r="BO41" s="1479"/>
      <c r="BP41" s="1479"/>
      <c r="BQ41" s="1479"/>
      <c r="BR41" s="1479"/>
      <c r="BS41" s="1479"/>
      <c r="BT41" s="1479"/>
      <c r="BU41" s="1479"/>
      <c r="BV41" s="1479"/>
      <c r="BW41" s="1479"/>
      <c r="BX41" s="1479"/>
      <c r="BY41" s="1479"/>
      <c r="BZ41" s="1479"/>
      <c r="CA41" s="1479"/>
      <c r="CB41" s="1479"/>
      <c r="CC41" s="1479"/>
      <c r="CD41" s="1479"/>
      <c r="CE41" s="1479"/>
      <c r="CF41" s="1479"/>
      <c r="CG41" s="1479"/>
      <c r="CH41" s="1479"/>
      <c r="CI41" s="31"/>
      <c r="CJ41" s="31"/>
      <c r="CK41" s="31"/>
      <c r="CL41" s="31"/>
      <c r="CN41" s="31"/>
      <c r="CO41" s="31"/>
      <c r="CS41" s="544"/>
      <c r="CU41" s="30" t="str">
        <f>IF(Basisdaten!$B$15=Basisdaten!$D$2,CV41,CW41)</f>
        <v>Versicherungen/Kfz-Steuer</v>
      </c>
      <c r="CV41" s="38" t="s">
        <v>285</v>
      </c>
      <c r="CW41" s="38" t="s">
        <v>379</v>
      </c>
      <c r="CX41" s="30">
        <f>IF(Basisdaten!$B$15=Basisdaten!$D$2,CY41,CZ41)</f>
        <v>0</v>
      </c>
      <c r="DK41" s="52"/>
    </row>
    <row r="42" spans="3:115" ht="14.25" customHeight="1">
      <c r="C42" s="1641">
        <v>0.19</v>
      </c>
      <c r="D42" s="695"/>
      <c r="E42" s="1320">
        <f>IF('2 Umsatz|Sales'!$CT$3=0,0,C42)</f>
        <v>0.19</v>
      </c>
      <c r="F42" s="278" t="str">
        <f t="shared" si="28"/>
        <v>Fahrzeugkosten (Tanken und Reparatur)</v>
      </c>
      <c r="G42" s="417"/>
      <c r="H42" s="417"/>
      <c r="I42" s="417"/>
      <c r="J42" s="417"/>
      <c r="K42" s="417"/>
      <c r="L42" s="417"/>
      <c r="M42" s="417"/>
      <c r="N42" s="417"/>
      <c r="O42" s="417"/>
      <c r="P42" s="417"/>
      <c r="Q42" s="417"/>
      <c r="R42" s="417"/>
      <c r="S42" s="279">
        <f t="shared" si="29"/>
        <v>0</v>
      </c>
      <c r="T42" s="552"/>
      <c r="AL42" s="1609"/>
      <c r="AM42" s="1339"/>
      <c r="AN42" s="1339"/>
      <c r="AO42" s="1339"/>
      <c r="BA42" s="1479"/>
      <c r="BB42" s="1479"/>
      <c r="BC42" s="1479"/>
      <c r="BD42" s="1479"/>
      <c r="BE42" s="1479"/>
      <c r="BF42" s="1479"/>
      <c r="BG42" s="1479"/>
      <c r="BH42" s="1479"/>
      <c r="BI42" s="1479"/>
      <c r="BJ42" s="1479"/>
      <c r="BK42" s="1479"/>
      <c r="BL42" s="1479"/>
      <c r="BM42" s="1479"/>
      <c r="BN42" s="1479"/>
      <c r="BO42" s="1479"/>
      <c r="BP42" s="1479"/>
      <c r="BQ42" s="1479"/>
      <c r="BR42" s="1479"/>
      <c r="BS42" s="1479"/>
      <c r="BT42" s="1479"/>
      <c r="BU42" s="1479"/>
      <c r="BV42" s="1479"/>
      <c r="BW42" s="1479"/>
      <c r="BX42" s="1479"/>
      <c r="BY42" s="1479"/>
      <c r="BZ42" s="1479"/>
      <c r="CA42" s="1479"/>
      <c r="CB42" s="1479"/>
      <c r="CC42" s="1479"/>
      <c r="CD42" s="1479"/>
      <c r="CE42" s="1479"/>
      <c r="CF42" s="1479"/>
      <c r="CG42" s="1479"/>
      <c r="CH42" s="1479"/>
      <c r="CI42" s="31"/>
      <c r="CJ42" s="31"/>
      <c r="CK42" s="31"/>
      <c r="CL42" s="31"/>
      <c r="CM42" s="31"/>
      <c r="CN42" s="31"/>
      <c r="CO42" s="31"/>
      <c r="CS42" s="544"/>
      <c r="CU42" s="30" t="str">
        <f>IF(Basisdaten!$B$15=Basisdaten!$D$2,CV42,CW42)</f>
        <v>Fahrzeugkosten (Tanken und Reparatur)</v>
      </c>
      <c r="CV42" s="38" t="s">
        <v>286</v>
      </c>
      <c r="CW42" s="38" t="s">
        <v>381</v>
      </c>
      <c r="CX42" s="30">
        <f>IF(Basisdaten!$B$15=Basisdaten!$D$2,CY42,CZ42)</f>
        <v>0</v>
      </c>
      <c r="DK42" s="52"/>
    </row>
    <row r="43" spans="3:115" ht="14.25" customHeight="1">
      <c r="C43" s="1641">
        <v>0.19</v>
      </c>
      <c r="D43" s="695"/>
      <c r="E43" s="1320">
        <f>IF('2 Umsatz|Sales'!$CT$3=0,0,C43)</f>
        <v>0.19</v>
      </c>
      <c r="F43" s="278" t="str">
        <f t="shared" si="28"/>
        <v>Abrechenbare Kilometerkosten</v>
      </c>
      <c r="G43" s="417"/>
      <c r="H43" s="417"/>
      <c r="I43" s="417"/>
      <c r="J43" s="417"/>
      <c r="K43" s="417"/>
      <c r="L43" s="417"/>
      <c r="M43" s="417"/>
      <c r="N43" s="417"/>
      <c r="O43" s="417"/>
      <c r="P43" s="417"/>
      <c r="Q43" s="417"/>
      <c r="R43" s="417"/>
      <c r="S43" s="279">
        <f t="shared" si="29"/>
        <v>0</v>
      </c>
      <c r="T43" s="552"/>
      <c r="AL43" s="1609"/>
      <c r="AM43" s="1339"/>
      <c r="AN43" s="1339"/>
      <c r="AO43" s="1339"/>
      <c r="BA43" s="1479"/>
      <c r="BB43" s="1479"/>
      <c r="BC43" s="1479"/>
      <c r="BD43" s="1479"/>
      <c r="BE43" s="1479"/>
      <c r="BF43" s="1479"/>
      <c r="BG43" s="1479"/>
      <c r="BH43" s="1479"/>
      <c r="BI43" s="1479"/>
      <c r="BJ43" s="1479"/>
      <c r="BK43" s="1479"/>
      <c r="BL43" s="1479"/>
      <c r="BM43" s="1479"/>
      <c r="BN43" s="1479"/>
      <c r="BO43" s="1479"/>
      <c r="BP43" s="1479"/>
      <c r="BQ43" s="1479"/>
      <c r="BR43" s="1479"/>
      <c r="BS43" s="1479"/>
      <c r="BT43" s="1479"/>
      <c r="BU43" s="1479"/>
      <c r="BV43" s="1479"/>
      <c r="BW43" s="1479"/>
      <c r="BX43" s="1479"/>
      <c r="BY43" s="1479"/>
      <c r="BZ43" s="1479"/>
      <c r="CA43" s="1479"/>
      <c r="CB43" s="1479"/>
      <c r="CC43" s="1479"/>
      <c r="CD43" s="1479"/>
      <c r="CE43" s="1479"/>
      <c r="CF43" s="1479"/>
      <c r="CG43" s="1479"/>
      <c r="CH43" s="1479"/>
      <c r="CI43" s="31"/>
      <c r="CJ43" s="31"/>
      <c r="CK43" s="31"/>
      <c r="CL43" s="31"/>
      <c r="CM43" s="31"/>
      <c r="CN43" s="31"/>
      <c r="CO43" s="31"/>
      <c r="CS43" s="544"/>
      <c r="CU43" s="30" t="str">
        <f>IF(Basisdaten!$B$15=Basisdaten!$D$2,CV43,CW43)</f>
        <v>Abrechenbare Kilometerkosten</v>
      </c>
      <c r="CV43" s="38" t="s">
        <v>102</v>
      </c>
      <c r="CW43" s="38" t="s">
        <v>380</v>
      </c>
      <c r="CX43" s="30">
        <f>IF(Basisdaten!$B$15=Basisdaten!$D$2,CY43,CZ43)</f>
        <v>0</v>
      </c>
      <c r="DK43" s="52"/>
    </row>
    <row r="44" spans="3:115" ht="14.25" customHeight="1" thickBot="1">
      <c r="C44" s="1642">
        <v>0.19</v>
      </c>
      <c r="D44" s="695"/>
      <c r="E44" s="1320">
        <f>IF('2 Umsatz|Sales'!$CT$3=0,0,C44)</f>
        <v>0.19</v>
      </c>
      <c r="F44" s="539" t="str">
        <f t="shared" si="28"/>
        <v>Sonstiges</v>
      </c>
      <c r="G44" s="521"/>
      <c r="H44" s="521"/>
      <c r="I44" s="521"/>
      <c r="J44" s="521"/>
      <c r="K44" s="521"/>
      <c r="L44" s="521"/>
      <c r="M44" s="521"/>
      <c r="N44" s="521"/>
      <c r="O44" s="521"/>
      <c r="P44" s="521"/>
      <c r="Q44" s="521"/>
      <c r="R44" s="521"/>
      <c r="S44" s="530">
        <f t="shared" si="29"/>
        <v>0</v>
      </c>
      <c r="T44" s="552"/>
      <c r="AL44" s="1609"/>
      <c r="AM44" s="1339"/>
      <c r="AN44" s="1339"/>
      <c r="AO44" s="1339"/>
      <c r="BA44" s="1479"/>
      <c r="BB44" s="1479"/>
      <c r="BC44" s="1479"/>
      <c r="BD44" s="1479"/>
      <c r="BE44" s="1479"/>
      <c r="BF44" s="1479"/>
      <c r="BG44" s="1479"/>
      <c r="BH44" s="1479"/>
      <c r="BI44" s="1479"/>
      <c r="BJ44" s="1479"/>
      <c r="BK44" s="1479"/>
      <c r="BL44" s="1479"/>
      <c r="BM44" s="1479"/>
      <c r="BN44" s="1479"/>
      <c r="BO44" s="1479"/>
      <c r="BP44" s="1479"/>
      <c r="BQ44" s="1479"/>
      <c r="BR44" s="1479"/>
      <c r="BS44" s="1479"/>
      <c r="BT44" s="1479"/>
      <c r="BU44" s="1479"/>
      <c r="BV44" s="1479"/>
      <c r="BW44" s="1479"/>
      <c r="BX44" s="1479"/>
      <c r="BY44" s="1479"/>
      <c r="BZ44" s="1479"/>
      <c r="CA44" s="1479"/>
      <c r="CB44" s="1479"/>
      <c r="CC44" s="1479"/>
      <c r="CD44" s="1479"/>
      <c r="CE44" s="1479"/>
      <c r="CF44" s="1479"/>
      <c r="CG44" s="1479"/>
      <c r="CH44" s="1479"/>
      <c r="CI44" s="31"/>
      <c r="CJ44" s="31"/>
      <c r="CK44" s="31"/>
      <c r="CL44" s="31"/>
      <c r="CM44" s="31"/>
      <c r="CN44" s="31"/>
      <c r="CO44" s="31"/>
      <c r="CS44" s="544"/>
      <c r="CU44" s="30" t="str">
        <f>IF(Basisdaten!$B$15=Basisdaten!$D$2,CV44,CW44)</f>
        <v>Sonstiges</v>
      </c>
      <c r="CV44" s="523" t="s">
        <v>275</v>
      </c>
      <c r="CW44" s="523" t="s">
        <v>277</v>
      </c>
      <c r="CX44" s="30">
        <f>IF(Basisdaten!$B$15=Basisdaten!$D$2,CY44,CZ44)</f>
        <v>0</v>
      </c>
      <c r="DK44" s="52"/>
    </row>
    <row r="45" spans="3:115" ht="14.25" customHeight="1" thickTop="1">
      <c r="C45" s="1644"/>
      <c r="D45" s="695"/>
      <c r="E45" s="531"/>
      <c r="F45" s="536" t="str">
        <f t="shared" si="28"/>
        <v>Summe KFZ Kosten / Betriebliche Nutzung</v>
      </c>
      <c r="G45" s="534">
        <f>SUM(G40:G44)</f>
        <v>0</v>
      </c>
      <c r="H45" s="534">
        <f t="shared" ref="H45:R45" si="30">SUM(H40:H44)</f>
        <v>0</v>
      </c>
      <c r="I45" s="534">
        <f t="shared" si="30"/>
        <v>0</v>
      </c>
      <c r="J45" s="534">
        <f t="shared" si="30"/>
        <v>0</v>
      </c>
      <c r="K45" s="534">
        <f t="shared" si="30"/>
        <v>0</v>
      </c>
      <c r="L45" s="534">
        <f t="shared" si="30"/>
        <v>0</v>
      </c>
      <c r="M45" s="534">
        <f t="shared" si="30"/>
        <v>0</v>
      </c>
      <c r="N45" s="534">
        <f t="shared" si="30"/>
        <v>0</v>
      </c>
      <c r="O45" s="534">
        <f t="shared" si="30"/>
        <v>0</v>
      </c>
      <c r="P45" s="534">
        <f t="shared" si="30"/>
        <v>0</v>
      </c>
      <c r="Q45" s="534">
        <f t="shared" si="30"/>
        <v>0</v>
      </c>
      <c r="R45" s="534">
        <f t="shared" si="30"/>
        <v>0</v>
      </c>
      <c r="S45" s="528">
        <f t="shared" si="29"/>
        <v>0</v>
      </c>
      <c r="T45" s="552"/>
      <c r="AL45" s="1609"/>
      <c r="AM45" s="1339"/>
      <c r="AN45" s="1339"/>
      <c r="AO45" s="1339"/>
      <c r="BA45" s="1479"/>
      <c r="BB45" s="1479"/>
      <c r="BC45" s="1479"/>
      <c r="BD45" s="1479"/>
      <c r="BE45" s="1479"/>
      <c r="BF45" s="1479"/>
      <c r="BG45" s="1479"/>
      <c r="BH45" s="1479"/>
      <c r="BI45" s="1479"/>
      <c r="BJ45" s="1479"/>
      <c r="BK45" s="1479"/>
      <c r="BL45" s="1479"/>
      <c r="BM45" s="1479"/>
      <c r="BN45" s="1479"/>
      <c r="BO45" s="1479"/>
      <c r="BP45" s="1479"/>
      <c r="BQ45" s="1479"/>
      <c r="BR45" s="1479"/>
      <c r="BS45" s="1479"/>
      <c r="BT45" s="1479"/>
      <c r="BU45" s="1479"/>
      <c r="BV45" s="1479"/>
      <c r="BW45" s="1479"/>
      <c r="BX45" s="1479"/>
      <c r="BY45" s="1479"/>
      <c r="BZ45" s="1479"/>
      <c r="CA45" s="1479"/>
      <c r="CB45" s="1479"/>
      <c r="CC45" s="1479"/>
      <c r="CD45" s="1479"/>
      <c r="CE45" s="1479"/>
      <c r="CF45" s="1479"/>
      <c r="CG45" s="1479"/>
      <c r="CH45" s="1479"/>
      <c r="CI45" s="31"/>
      <c r="CJ45" s="31"/>
      <c r="CK45" s="31"/>
      <c r="CL45" s="31"/>
      <c r="CM45" s="31"/>
      <c r="CN45" s="31"/>
      <c r="CO45" s="31"/>
      <c r="CP45" s="31"/>
      <c r="CQ45" s="31"/>
      <c r="CS45" s="43"/>
      <c r="CT45" s="43"/>
      <c r="CU45" s="30" t="str">
        <f>IF(Basisdaten!$B$15=Basisdaten!$D$2,CV45,CW45)</f>
        <v>Summe KFZ Kosten / Betriebliche Nutzung</v>
      </c>
      <c r="CV45" s="38" t="str">
        <f>"Summe "&amp;CV39</f>
        <v>Summe KFZ Kosten / Betriebliche Nutzung</v>
      </c>
      <c r="CW45" s="38" t="s">
        <v>178</v>
      </c>
      <c r="CX45" s="30">
        <f>IF(Basisdaten!$B$15=Basisdaten!$D$2,CY45,CZ45)</f>
        <v>0</v>
      </c>
      <c r="DK45" s="52"/>
    </row>
    <row r="46" spans="3:115" ht="14.25" customHeight="1">
      <c r="C46" s="1045" t="str">
        <f>$C$12</f>
        <v>MwSt</v>
      </c>
      <c r="D46" s="695"/>
      <c r="E46" s="597">
        <v>7</v>
      </c>
      <c r="F46" s="598" t="str">
        <f>CU46</f>
        <v>Marketing  u. Werbung</v>
      </c>
      <c r="G46" s="599">
        <f>IFERROR(S74,"undo")</f>
        <v>0</v>
      </c>
      <c r="H46" s="2270" t="str">
        <f>IF(G46="undo",$CU$164,"")</f>
        <v/>
      </c>
      <c r="I46" s="2270"/>
      <c r="J46" s="2270"/>
      <c r="K46" s="2270"/>
      <c r="L46" s="2270"/>
      <c r="M46" s="2270"/>
      <c r="N46" s="2270"/>
      <c r="O46" s="2270"/>
      <c r="P46" s="2270"/>
      <c r="Q46" s="601" t="s">
        <v>608</v>
      </c>
      <c r="R46" s="600"/>
      <c r="S46" s="1240"/>
      <c r="T46" s="552"/>
      <c r="AL46" s="1609"/>
      <c r="AM46" s="1339"/>
      <c r="AN46" s="1339"/>
      <c r="AO46" s="1339"/>
      <c r="BA46" s="1479"/>
      <c r="BB46" s="1479"/>
      <c r="BC46" s="1479"/>
      <c r="BD46" s="1479"/>
      <c r="BE46" s="1479"/>
      <c r="BF46" s="1479"/>
      <c r="BG46" s="1479"/>
      <c r="BH46" s="1479"/>
      <c r="BI46" s="1479"/>
      <c r="BJ46" s="1479"/>
      <c r="BK46" s="1479"/>
      <c r="BL46" s="1479"/>
      <c r="BM46" s="1479"/>
      <c r="BN46" s="1479"/>
      <c r="BO46" s="1479"/>
      <c r="BP46" s="1479"/>
      <c r="BQ46" s="1479"/>
      <c r="BR46" s="1479"/>
      <c r="BS46" s="1479"/>
      <c r="BT46" s="1479"/>
      <c r="BU46" s="1479"/>
      <c r="BV46" s="1479"/>
      <c r="BW46" s="1479"/>
      <c r="BX46" s="1479"/>
      <c r="BY46" s="1479"/>
      <c r="BZ46" s="1479"/>
      <c r="CA46" s="1479"/>
      <c r="CB46" s="1479"/>
      <c r="CC46" s="1479"/>
      <c r="CD46" s="1479"/>
      <c r="CE46" s="1479"/>
      <c r="CF46" s="1479"/>
      <c r="CG46" s="1479"/>
      <c r="CH46" s="1479"/>
      <c r="CI46" s="31"/>
      <c r="CJ46" s="31"/>
      <c r="CK46" s="31"/>
      <c r="CL46" s="31"/>
      <c r="CM46" s="31"/>
      <c r="CN46" s="31"/>
      <c r="CO46" s="31"/>
      <c r="CP46" s="31"/>
      <c r="CQ46" s="31"/>
      <c r="CS46" s="233"/>
      <c r="CT46" s="233"/>
      <c r="CU46" s="30" t="str">
        <f>IF(Basisdaten!$B$15=Basisdaten!$D$2,CV46,CW46)</f>
        <v>Marketing  u. Werbung</v>
      </c>
      <c r="CV46" s="38" t="s">
        <v>98</v>
      </c>
      <c r="CW46" s="38" t="s">
        <v>153</v>
      </c>
      <c r="CX46" s="30">
        <f>IF(Basisdaten!$B$15=Basisdaten!$D$2,CY46,CZ46)</f>
        <v>0</v>
      </c>
      <c r="DK46" s="52"/>
    </row>
    <row r="47" spans="3:115" ht="14.25" customHeight="1">
      <c r="C47" s="1646">
        <v>0.19</v>
      </c>
      <c r="D47" s="695"/>
      <c r="E47" s="1319">
        <f>IF('2 Umsatz|Sales'!$CT$3=0,0,C47)</f>
        <v>0.19</v>
      </c>
      <c r="F47" s="538" t="str">
        <f t="shared" ref="F47:F53" si="31">CU47</f>
        <v>Marktforschung</v>
      </c>
      <c r="G47" s="420"/>
      <c r="H47" s="420"/>
      <c r="I47" s="420"/>
      <c r="J47" s="420"/>
      <c r="K47" s="420"/>
      <c r="L47" s="420"/>
      <c r="M47" s="420"/>
      <c r="N47" s="420"/>
      <c r="O47" s="420"/>
      <c r="P47" s="420"/>
      <c r="Q47" s="420"/>
      <c r="R47" s="420"/>
      <c r="S47" s="594">
        <f t="shared" ref="S47:S58" si="32">SUM(G47:R47)</f>
        <v>0</v>
      </c>
      <c r="T47" s="552"/>
      <c r="AL47" s="1609"/>
      <c r="AM47" s="1339"/>
      <c r="AN47" s="1339"/>
      <c r="AO47" s="1339"/>
      <c r="BA47" s="1479"/>
      <c r="BB47" s="1479"/>
      <c r="BC47" s="1479"/>
      <c r="BD47" s="1479"/>
      <c r="BE47" s="1479"/>
      <c r="BF47" s="1479"/>
      <c r="BG47" s="1479"/>
      <c r="BH47" s="1479"/>
      <c r="BI47" s="1479"/>
      <c r="BJ47" s="1479"/>
      <c r="BK47" s="1479"/>
      <c r="BL47" s="1479"/>
      <c r="BM47" s="1479"/>
      <c r="BN47" s="1479"/>
      <c r="BO47" s="1479"/>
      <c r="BP47" s="1479"/>
      <c r="BQ47" s="1479"/>
      <c r="BR47" s="1479"/>
      <c r="BS47" s="1479"/>
      <c r="BT47" s="1479"/>
      <c r="BU47" s="1479"/>
      <c r="BV47" s="1479"/>
      <c r="BW47" s="1479"/>
      <c r="BX47" s="1479"/>
      <c r="BY47" s="1479"/>
      <c r="BZ47" s="1479"/>
      <c r="CA47" s="1479"/>
      <c r="CB47" s="1479"/>
      <c r="CC47" s="1479"/>
      <c r="CD47" s="1479"/>
      <c r="CE47" s="1479"/>
      <c r="CF47" s="1479"/>
      <c r="CG47" s="1479"/>
      <c r="CH47" s="1479"/>
      <c r="CI47" s="31"/>
      <c r="CJ47" s="31"/>
      <c r="CK47" s="31"/>
      <c r="CL47" s="31"/>
      <c r="CM47" s="31"/>
      <c r="CN47" s="31"/>
      <c r="CO47" s="31"/>
      <c r="CP47" s="31"/>
      <c r="CQ47" s="31"/>
      <c r="CS47" s="233"/>
      <c r="CT47" s="233"/>
      <c r="CU47" s="30" t="str">
        <f>IF(Basisdaten!$B$15=Basisdaten!$D$2,CV47,CW47)</f>
        <v>Marktforschung</v>
      </c>
      <c r="CV47" s="38" t="s">
        <v>33</v>
      </c>
      <c r="CW47" s="38" t="s">
        <v>154</v>
      </c>
      <c r="CX47" s="30">
        <f>IF(Basisdaten!$B$15=Basisdaten!$D$2,CY47,CZ47)</f>
        <v>0</v>
      </c>
      <c r="DK47" s="52"/>
    </row>
    <row r="48" spans="3:115" ht="14.25" customHeight="1">
      <c r="C48" s="1646">
        <v>0.19</v>
      </c>
      <c r="D48" s="695"/>
      <c r="E48" s="1320">
        <f>IF('2 Umsatz|Sales'!$CT$3=0,0,C48)</f>
        <v>0.19</v>
      </c>
      <c r="F48" s="278" t="str">
        <f t="shared" si="31"/>
        <v>Briefpapier, Visitenkarte, Stempel</v>
      </c>
      <c r="G48" s="417"/>
      <c r="H48" s="417"/>
      <c r="I48" s="417"/>
      <c r="J48" s="417"/>
      <c r="K48" s="417"/>
      <c r="L48" s="417"/>
      <c r="M48" s="417"/>
      <c r="N48" s="417"/>
      <c r="O48" s="417"/>
      <c r="P48" s="417"/>
      <c r="Q48" s="417"/>
      <c r="R48" s="417"/>
      <c r="S48" s="279">
        <f t="shared" si="32"/>
        <v>0</v>
      </c>
      <c r="T48" s="552"/>
      <c r="AL48" s="1609"/>
      <c r="AM48" s="1339"/>
      <c r="AN48" s="1339"/>
      <c r="AO48" s="1339"/>
      <c r="BA48" s="1479"/>
      <c r="BB48" s="1479"/>
      <c r="BC48" s="1479"/>
      <c r="BD48" s="1479"/>
      <c r="BE48" s="1479"/>
      <c r="BF48" s="1479"/>
      <c r="BG48" s="1479"/>
      <c r="BH48" s="1479"/>
      <c r="BI48" s="1479"/>
      <c r="BJ48" s="1479"/>
      <c r="BK48" s="1479"/>
      <c r="BL48" s="1479"/>
      <c r="BM48" s="1479"/>
      <c r="BN48" s="1479"/>
      <c r="BO48" s="1479"/>
      <c r="BP48" s="1479"/>
      <c r="BQ48" s="1479"/>
      <c r="BR48" s="1479"/>
      <c r="BS48" s="1479"/>
      <c r="BT48" s="1479"/>
      <c r="BU48" s="1479"/>
      <c r="BV48" s="1479"/>
      <c r="BW48" s="1479"/>
      <c r="BX48" s="1479"/>
      <c r="BY48" s="1479"/>
      <c r="BZ48" s="1479"/>
      <c r="CA48" s="1479"/>
      <c r="CB48" s="1479"/>
      <c r="CC48" s="1479"/>
      <c r="CD48" s="1479"/>
      <c r="CE48" s="1479"/>
      <c r="CF48" s="1479"/>
      <c r="CG48" s="1479"/>
      <c r="CH48" s="1479"/>
      <c r="CI48" s="31"/>
      <c r="CJ48" s="31"/>
      <c r="CK48" s="31"/>
      <c r="CL48" s="31"/>
      <c r="CM48" s="31"/>
      <c r="CN48" s="31"/>
      <c r="CO48" s="31"/>
      <c r="CP48" s="31"/>
      <c r="CQ48" s="31"/>
      <c r="CS48" s="233"/>
      <c r="CT48" s="233"/>
      <c r="CU48" s="30" t="str">
        <f>IF(Basisdaten!$B$15=Basisdaten!$D$2,CV48,CW48)</f>
        <v>Briefpapier, Visitenkarte, Stempel</v>
      </c>
      <c r="CV48" s="38" t="s">
        <v>36</v>
      </c>
      <c r="CW48" s="38" t="s">
        <v>382</v>
      </c>
      <c r="CX48" s="30">
        <f>IF(Basisdaten!$B$15=Basisdaten!$D$2,CY48,CZ48)</f>
        <v>0</v>
      </c>
      <c r="DK48" s="52"/>
    </row>
    <row r="49" spans="3:115" ht="14.25" customHeight="1">
      <c r="C49" s="1646">
        <v>0.19</v>
      </c>
      <c r="D49" s="695"/>
      <c r="E49" s="1320">
        <f>IF('2 Umsatz|Sales'!$CT$3=0,0,C49)</f>
        <v>0.19</v>
      </c>
      <c r="F49" s="278" t="str">
        <f t="shared" si="31"/>
        <v>Webseite, lfd. Webseitenpflege</v>
      </c>
      <c r="G49" s="417"/>
      <c r="H49" s="417"/>
      <c r="I49" s="417"/>
      <c r="J49" s="417"/>
      <c r="K49" s="417"/>
      <c r="L49" s="417"/>
      <c r="M49" s="417"/>
      <c r="N49" s="417"/>
      <c r="O49" s="417"/>
      <c r="P49" s="417"/>
      <c r="Q49" s="417"/>
      <c r="R49" s="417"/>
      <c r="S49" s="279">
        <f t="shared" si="32"/>
        <v>0</v>
      </c>
      <c r="T49" s="552"/>
      <c r="AL49" s="1609"/>
      <c r="AM49" s="1339"/>
      <c r="AN49" s="1339"/>
      <c r="AO49" s="1339"/>
      <c r="BA49" s="1479"/>
      <c r="BB49" s="1479"/>
      <c r="BC49" s="1479"/>
      <c r="BD49" s="1479"/>
      <c r="BE49" s="1479"/>
      <c r="BF49" s="1479"/>
      <c r="BG49" s="1479"/>
      <c r="BH49" s="1479"/>
      <c r="BI49" s="1479"/>
      <c r="BJ49" s="1479"/>
      <c r="BK49" s="1479"/>
      <c r="BL49" s="1479"/>
      <c r="BM49" s="1479"/>
      <c r="BN49" s="1479"/>
      <c r="BO49" s="1479"/>
      <c r="BP49" s="1479"/>
      <c r="BQ49" s="1479"/>
      <c r="BR49" s="1479"/>
      <c r="BS49" s="1479"/>
      <c r="BT49" s="1479"/>
      <c r="BU49" s="1479"/>
      <c r="BV49" s="1479"/>
      <c r="BW49" s="1479"/>
      <c r="BX49" s="1479"/>
      <c r="BY49" s="1479"/>
      <c r="BZ49" s="1479"/>
      <c r="CA49" s="1479"/>
      <c r="CB49" s="1479"/>
      <c r="CC49" s="1479"/>
      <c r="CD49" s="1479"/>
      <c r="CE49" s="1479"/>
      <c r="CF49" s="1479"/>
      <c r="CG49" s="1479"/>
      <c r="CH49" s="1479"/>
      <c r="CI49" s="31"/>
      <c r="CJ49" s="31"/>
      <c r="CK49" s="31"/>
      <c r="CL49" s="31"/>
      <c r="CM49" s="31"/>
      <c r="CN49" s="31"/>
      <c r="CO49" s="31"/>
      <c r="CP49" s="31"/>
      <c r="CQ49" s="31"/>
      <c r="CS49" s="233"/>
      <c r="CT49" s="233"/>
      <c r="CU49" s="30" t="str">
        <f>IF(Basisdaten!$B$15=Basisdaten!$D$2,CV49,CW49)</f>
        <v>Webseite, lfd. Webseitenpflege</v>
      </c>
      <c r="CV49" s="38" t="s">
        <v>132</v>
      </c>
      <c r="CW49" s="38" t="s">
        <v>383</v>
      </c>
      <c r="CX49" s="30">
        <f>IF(Basisdaten!$B$15=Basisdaten!$D$2,CY49,CZ49)</f>
        <v>0</v>
      </c>
      <c r="DK49" s="52"/>
    </row>
    <row r="50" spans="3:115" ht="14.25" customHeight="1">
      <c r="C50" s="1646">
        <v>0.19</v>
      </c>
      <c r="D50" s="695"/>
      <c r="E50" s="1320">
        <f>IF('2 Umsatz|Sales'!$CT$3=0,0,C50)</f>
        <v>0.19</v>
      </c>
      <c r="F50" s="278" t="str">
        <f t="shared" si="31"/>
        <v>Flyer, Prospekte, Broschüren, Anzeigen</v>
      </c>
      <c r="G50" s="417"/>
      <c r="H50" s="417"/>
      <c r="I50" s="417"/>
      <c r="J50" s="417"/>
      <c r="K50" s="417"/>
      <c r="L50" s="417"/>
      <c r="M50" s="417"/>
      <c r="N50" s="417"/>
      <c r="O50" s="417"/>
      <c r="P50" s="417"/>
      <c r="Q50" s="417"/>
      <c r="R50" s="417"/>
      <c r="S50" s="279">
        <f t="shared" si="32"/>
        <v>0</v>
      </c>
      <c r="T50" s="552"/>
      <c r="AL50" s="1609"/>
      <c r="AM50" s="1339"/>
      <c r="AN50" s="1339"/>
      <c r="AO50" s="1339"/>
      <c r="BA50" s="1479"/>
      <c r="BB50" s="1479"/>
      <c r="BC50" s="1479"/>
      <c r="BD50" s="1479"/>
      <c r="BE50" s="1479"/>
      <c r="BF50" s="1479"/>
      <c r="BG50" s="1479"/>
      <c r="BH50" s="1479"/>
      <c r="BI50" s="1479"/>
      <c r="BJ50" s="1479"/>
      <c r="BK50" s="1479"/>
      <c r="BL50" s="1479"/>
      <c r="BM50" s="1479"/>
      <c r="BN50" s="1479"/>
      <c r="BO50" s="1479"/>
      <c r="BP50" s="1479"/>
      <c r="BQ50" s="1479"/>
      <c r="BR50" s="1479"/>
      <c r="BS50" s="1479"/>
      <c r="BT50" s="1479"/>
      <c r="BU50" s="1479"/>
      <c r="BV50" s="1479"/>
      <c r="BW50" s="1479"/>
      <c r="BX50" s="1479"/>
      <c r="BY50" s="1479"/>
      <c r="BZ50" s="1479"/>
      <c r="CA50" s="1479"/>
      <c r="CB50" s="1479"/>
      <c r="CC50" s="1479"/>
      <c r="CD50" s="1479"/>
      <c r="CE50" s="1479"/>
      <c r="CF50" s="1479"/>
      <c r="CG50" s="1479"/>
      <c r="CH50" s="1479"/>
      <c r="CI50" s="31"/>
      <c r="CJ50" s="31"/>
      <c r="CK50" s="31"/>
      <c r="CL50" s="31"/>
      <c r="CM50" s="31"/>
      <c r="CN50" s="31"/>
      <c r="CO50" s="31"/>
      <c r="CP50" s="31"/>
      <c r="CQ50" s="31"/>
      <c r="CS50" s="233"/>
      <c r="CT50" s="233"/>
      <c r="CU50" s="30" t="str">
        <f>IF(Basisdaten!$B$15=Basisdaten!$D$2,CV50,CW50)</f>
        <v>Flyer, Prospekte, Broschüren, Anzeigen</v>
      </c>
      <c r="CV50" s="38" t="s">
        <v>99</v>
      </c>
      <c r="CW50" s="38" t="s">
        <v>180</v>
      </c>
      <c r="CX50" s="30">
        <f>IF(Basisdaten!$B$15=Basisdaten!$D$2,CY50,CZ50)</f>
        <v>0</v>
      </c>
      <c r="DK50" s="52"/>
    </row>
    <row r="51" spans="3:115" ht="14.25" customHeight="1">
      <c r="C51" s="1646">
        <v>0.19</v>
      </c>
      <c r="D51" s="695"/>
      <c r="E51" s="1320">
        <f>IF('2 Umsatz|Sales'!$CT$3=0,0,C51)</f>
        <v>0.19</v>
      </c>
      <c r="F51" s="278" t="str">
        <f t="shared" si="31"/>
        <v>Bewirtungskosten</v>
      </c>
      <c r="G51" s="417"/>
      <c r="H51" s="417"/>
      <c r="I51" s="417"/>
      <c r="J51" s="417"/>
      <c r="K51" s="417"/>
      <c r="L51" s="417"/>
      <c r="M51" s="417"/>
      <c r="N51" s="417"/>
      <c r="O51" s="417"/>
      <c r="P51" s="417"/>
      <c r="Q51" s="417"/>
      <c r="R51" s="417"/>
      <c r="S51" s="279">
        <f t="shared" si="32"/>
        <v>0</v>
      </c>
      <c r="T51" s="552"/>
      <c r="AL51" s="1609"/>
      <c r="AM51" s="1339"/>
      <c r="AN51" s="1339"/>
      <c r="AO51" s="1339"/>
      <c r="BA51" s="1479"/>
      <c r="BB51" s="1479"/>
      <c r="BC51" s="1479"/>
      <c r="BD51" s="1479"/>
      <c r="BE51" s="1479"/>
      <c r="BF51" s="1479"/>
      <c r="BG51" s="1479"/>
      <c r="BH51" s="1479"/>
      <c r="BI51" s="1479"/>
      <c r="BJ51" s="1479"/>
      <c r="BK51" s="1479"/>
      <c r="BL51" s="1479"/>
      <c r="BM51" s="1479"/>
      <c r="BN51" s="1479"/>
      <c r="BO51" s="1479"/>
      <c r="BP51" s="1479"/>
      <c r="BQ51" s="1479"/>
      <c r="BR51" s="1479"/>
      <c r="BS51" s="1479"/>
      <c r="BT51" s="1479"/>
      <c r="BU51" s="1479"/>
      <c r="BV51" s="1479"/>
      <c r="BW51" s="1479"/>
      <c r="BX51" s="1479"/>
      <c r="BY51" s="1479"/>
      <c r="BZ51" s="1479"/>
      <c r="CA51" s="1479"/>
      <c r="CB51" s="1479"/>
      <c r="CC51" s="1479"/>
      <c r="CD51" s="1479"/>
      <c r="CE51" s="1479"/>
      <c r="CF51" s="1479"/>
      <c r="CG51" s="1479"/>
      <c r="CH51" s="1479"/>
      <c r="CI51" s="31"/>
      <c r="CJ51" s="31"/>
      <c r="CK51" s="31"/>
      <c r="CL51" s="31"/>
      <c r="CM51" s="31"/>
      <c r="CN51" s="31"/>
      <c r="CO51" s="31"/>
      <c r="CP51" s="31"/>
      <c r="CQ51" s="31"/>
      <c r="CS51" s="233"/>
      <c r="CT51" s="233"/>
      <c r="CU51" s="30" t="str">
        <f>IF(Basisdaten!$B$15=Basisdaten!$D$2,CV51,CW51)</f>
        <v>Bewirtungskosten</v>
      </c>
      <c r="CV51" s="38" t="s">
        <v>289</v>
      </c>
      <c r="CW51" s="38" t="s">
        <v>343</v>
      </c>
      <c r="CX51" s="30">
        <f>IF(Basisdaten!$B$15=Basisdaten!$D$2,CY51,CZ51)</f>
        <v>0</v>
      </c>
      <c r="DK51" s="52"/>
    </row>
    <row r="52" spans="3:115" ht="14.25" customHeight="1" thickBot="1">
      <c r="C52" s="1646">
        <v>0.19</v>
      </c>
      <c r="D52" s="695"/>
      <c r="E52" s="1320">
        <f>IF('2 Umsatz|Sales'!$CT$3=0,0,C52)</f>
        <v>0.19</v>
      </c>
      <c r="F52" s="539" t="str">
        <f t="shared" si="31"/>
        <v>Sonstiges, Messen, ...</v>
      </c>
      <c r="G52" s="521"/>
      <c r="H52" s="521"/>
      <c r="I52" s="521"/>
      <c r="J52" s="521"/>
      <c r="K52" s="521"/>
      <c r="L52" s="521"/>
      <c r="M52" s="521"/>
      <c r="N52" s="521"/>
      <c r="O52" s="521"/>
      <c r="P52" s="521"/>
      <c r="Q52" s="521"/>
      <c r="R52" s="521"/>
      <c r="S52" s="530">
        <f t="shared" si="32"/>
        <v>0</v>
      </c>
      <c r="T52" s="552"/>
      <c r="AL52" s="1609"/>
      <c r="AM52" s="1339"/>
      <c r="AN52" s="1339"/>
      <c r="AO52" s="1339"/>
      <c r="BA52" s="1479"/>
      <c r="BB52" s="1479"/>
      <c r="BC52" s="1479"/>
      <c r="BD52" s="1479"/>
      <c r="BE52" s="1479"/>
      <c r="BF52" s="1479"/>
      <c r="BG52" s="1479"/>
      <c r="BH52" s="1479"/>
      <c r="BI52" s="1479"/>
      <c r="BJ52" s="1479"/>
      <c r="BK52" s="1479"/>
      <c r="BL52" s="1479"/>
      <c r="BM52" s="1479"/>
      <c r="BN52" s="1479"/>
      <c r="BO52" s="1479"/>
      <c r="BP52" s="1479"/>
      <c r="BQ52" s="1479"/>
      <c r="BR52" s="1479"/>
      <c r="BS52" s="1479"/>
      <c r="BT52" s="1479"/>
      <c r="BU52" s="1479"/>
      <c r="BV52" s="1479"/>
      <c r="BW52" s="1479"/>
      <c r="BX52" s="1479"/>
      <c r="BY52" s="1479"/>
      <c r="BZ52" s="1479"/>
      <c r="CA52" s="1479"/>
      <c r="CB52" s="1479"/>
      <c r="CC52" s="1479"/>
      <c r="CD52" s="1479"/>
      <c r="CE52" s="1479"/>
      <c r="CF52" s="1479"/>
      <c r="CG52" s="1479"/>
      <c r="CH52" s="1479"/>
      <c r="CI52" s="31"/>
      <c r="CJ52" s="31"/>
      <c r="CK52" s="31"/>
      <c r="CL52" s="31"/>
      <c r="CM52" s="31"/>
      <c r="CN52" s="31"/>
      <c r="CO52" s="31"/>
      <c r="CP52" s="31"/>
      <c r="CQ52" s="31"/>
      <c r="CS52" s="233"/>
      <c r="CT52" s="233"/>
      <c r="CU52" s="30" t="str">
        <f>IF(Basisdaten!$B$15=Basisdaten!$D$2,CV52,CW52)</f>
        <v>Sonstiges, Messen, ...</v>
      </c>
      <c r="CV52" s="523" t="s">
        <v>100</v>
      </c>
      <c r="CW52" s="523" t="s">
        <v>384</v>
      </c>
      <c r="CX52" s="30">
        <f>IF(Basisdaten!$B$15=Basisdaten!$D$2,CY52,CZ52)</f>
        <v>0</v>
      </c>
      <c r="DK52" s="52"/>
    </row>
    <row r="53" spans="3:115" ht="14.25" customHeight="1" thickTop="1">
      <c r="C53" s="1644">
        <f>IF(Basisdaten!$L$15=Basisdaten!$Q$15,0,MwSt_19)</f>
        <v>0.19</v>
      </c>
      <c r="D53" s="695"/>
      <c r="E53" s="531"/>
      <c r="F53" s="536" t="str">
        <f t="shared" si="31"/>
        <v>Summe Marketing  u. Werbung</v>
      </c>
      <c r="G53" s="534">
        <f>SUM(G47:G52)</f>
        <v>0</v>
      </c>
      <c r="H53" s="534">
        <f t="shared" ref="H53:R53" si="33">SUM(H47:H52)</f>
        <v>0</v>
      </c>
      <c r="I53" s="534">
        <f t="shared" si="33"/>
        <v>0</v>
      </c>
      <c r="J53" s="534">
        <f t="shared" si="33"/>
        <v>0</v>
      </c>
      <c r="K53" s="534">
        <f t="shared" si="33"/>
        <v>0</v>
      </c>
      <c r="L53" s="534">
        <f t="shared" si="33"/>
        <v>0</v>
      </c>
      <c r="M53" s="534">
        <f>SUM(M47:M52)</f>
        <v>0</v>
      </c>
      <c r="N53" s="534">
        <f t="shared" si="33"/>
        <v>0</v>
      </c>
      <c r="O53" s="534">
        <f t="shared" si="33"/>
        <v>0</v>
      </c>
      <c r="P53" s="534">
        <f t="shared" si="33"/>
        <v>0</v>
      </c>
      <c r="Q53" s="534">
        <f t="shared" si="33"/>
        <v>0</v>
      </c>
      <c r="R53" s="534">
        <f t="shared" si="33"/>
        <v>0</v>
      </c>
      <c r="S53" s="528">
        <f t="shared" si="32"/>
        <v>0</v>
      </c>
      <c r="T53" s="552"/>
      <c r="AL53" s="1609"/>
      <c r="AM53" s="1339"/>
      <c r="AN53" s="1339"/>
      <c r="AO53" s="1339"/>
      <c r="BA53" s="1479"/>
      <c r="BB53" s="1479"/>
      <c r="BC53" s="1479"/>
      <c r="BD53" s="1479"/>
      <c r="BE53" s="1479"/>
      <c r="BF53" s="1479"/>
      <c r="BG53" s="1479"/>
      <c r="BH53" s="1479"/>
      <c r="BI53" s="1479"/>
      <c r="BJ53" s="1479"/>
      <c r="BK53" s="1479"/>
      <c r="BL53" s="1479"/>
      <c r="BM53" s="1479"/>
      <c r="BN53" s="1479"/>
      <c r="BO53" s="1479"/>
      <c r="BP53" s="1479"/>
      <c r="BQ53" s="1479"/>
      <c r="BR53" s="1479"/>
      <c r="BS53" s="1479"/>
      <c r="BT53" s="1479"/>
      <c r="BU53" s="1479"/>
      <c r="BV53" s="1479"/>
      <c r="BW53" s="1479"/>
      <c r="BX53" s="1479"/>
      <c r="BY53" s="1479"/>
      <c r="BZ53" s="1479"/>
      <c r="CA53" s="1479"/>
      <c r="CB53" s="1479"/>
      <c r="CC53" s="1479"/>
      <c r="CD53" s="1479"/>
      <c r="CE53" s="1479"/>
      <c r="CF53" s="1479"/>
      <c r="CG53" s="1479"/>
      <c r="CH53" s="1479"/>
      <c r="CI53" s="31"/>
      <c r="CJ53" s="31"/>
      <c r="CK53" s="31"/>
      <c r="CL53" s="31"/>
      <c r="CM53" s="31"/>
      <c r="CN53" s="31"/>
      <c r="CO53" s="31"/>
      <c r="CP53" s="31"/>
      <c r="CQ53" s="31"/>
      <c r="CS53" s="233"/>
      <c r="CT53" s="233"/>
      <c r="CU53" s="30" t="str">
        <f>IF(Basisdaten!$B$15=Basisdaten!$D$2,CV53,CW53)</f>
        <v>Summe Marketing  u. Werbung</v>
      </c>
      <c r="CV53" s="38" t="str">
        <f>"Summe "&amp;CV46</f>
        <v>Summe Marketing  u. Werbung</v>
      </c>
      <c r="CW53" s="38" t="s">
        <v>179</v>
      </c>
      <c r="CX53" s="30">
        <f>IF(Basisdaten!$B$15=Basisdaten!$D$2,CY53,CZ53)</f>
        <v>0</v>
      </c>
      <c r="DK53" s="52"/>
    </row>
    <row r="54" spans="3:115" ht="14.25" customHeight="1">
      <c r="C54" s="1045" t="str">
        <f>$C$12</f>
        <v>MwSt</v>
      </c>
      <c r="D54" s="695"/>
      <c r="E54" s="597">
        <v>8</v>
      </c>
      <c r="F54" s="598" t="str">
        <f>CU54</f>
        <v>Gründungs-, Rechts- und Beratungskosten</v>
      </c>
      <c r="G54" s="599">
        <f>IFERROR(S75,"undo")</f>
        <v>0</v>
      </c>
      <c r="H54" s="2270" t="str">
        <f>IF(G54="undo",$CU$164,"")</f>
        <v/>
      </c>
      <c r="I54" s="2270"/>
      <c r="J54" s="2270"/>
      <c r="K54" s="2270"/>
      <c r="L54" s="2270"/>
      <c r="M54" s="2270"/>
      <c r="N54" s="2270"/>
      <c r="O54" s="2270"/>
      <c r="P54" s="2270"/>
      <c r="Q54" s="601" t="s">
        <v>608</v>
      </c>
      <c r="R54" s="600"/>
      <c r="S54" s="1240"/>
      <c r="T54" s="552"/>
      <c r="AL54" s="1609"/>
      <c r="AM54" s="1339"/>
      <c r="AN54" s="1339"/>
      <c r="AO54" s="1339"/>
      <c r="BA54" s="1479"/>
      <c r="BB54" s="1479"/>
      <c r="BC54" s="1479"/>
      <c r="BD54" s="1479"/>
      <c r="BE54" s="1479"/>
      <c r="BF54" s="1479"/>
      <c r="BG54" s="1479"/>
      <c r="BH54" s="1479"/>
      <c r="BI54" s="1479"/>
      <c r="BJ54" s="1479"/>
      <c r="BK54" s="1479"/>
      <c r="BL54" s="1479"/>
      <c r="BM54" s="1479"/>
      <c r="BN54" s="1479"/>
      <c r="BO54" s="1479"/>
      <c r="BP54" s="1479"/>
      <c r="BQ54" s="1479"/>
      <c r="BR54" s="1479"/>
      <c r="BS54" s="1479"/>
      <c r="BT54" s="1479"/>
      <c r="BU54" s="1479"/>
      <c r="BV54" s="1479"/>
      <c r="BW54" s="1479"/>
      <c r="BX54" s="1479"/>
      <c r="BY54" s="1479"/>
      <c r="BZ54" s="1479"/>
      <c r="CA54" s="1479"/>
      <c r="CB54" s="1479"/>
      <c r="CC54" s="1479"/>
      <c r="CD54" s="1479"/>
      <c r="CE54" s="1479"/>
      <c r="CF54" s="1479"/>
      <c r="CG54" s="1479"/>
      <c r="CH54" s="1479"/>
      <c r="CI54" s="31"/>
      <c r="CJ54" s="31"/>
      <c r="CK54" s="31"/>
      <c r="CL54" s="31"/>
      <c r="CM54" s="31"/>
      <c r="CN54" s="31"/>
      <c r="CO54" s="31"/>
      <c r="CP54" s="31"/>
      <c r="CQ54" s="31"/>
      <c r="CS54" s="233"/>
      <c r="CT54" s="233"/>
      <c r="CU54" s="30" t="str">
        <f>IF(Basisdaten!$B$15=Basisdaten!$D$2,CV54,CW54)</f>
        <v>Gründungs-, Rechts- und Beratungskosten</v>
      </c>
      <c r="CV54" s="38" t="s">
        <v>1078</v>
      </c>
      <c r="CW54" s="38" t="s">
        <v>1079</v>
      </c>
      <c r="CX54" s="30">
        <f>IF(Basisdaten!$B$15=Basisdaten!$D$2,CY54,CZ54)</f>
        <v>0</v>
      </c>
      <c r="DK54" s="52"/>
    </row>
    <row r="55" spans="3:115" ht="14.25" customHeight="1">
      <c r="C55" s="1646">
        <v>0.19</v>
      </c>
      <c r="D55" s="695"/>
      <c r="E55" s="1319">
        <f>IF('2 Umsatz|Sales'!$CT$3=0,0,C55)</f>
        <v>0.19</v>
      </c>
      <c r="F55" s="538" t="str">
        <f>CU55</f>
        <v>Buchhaltung</v>
      </c>
      <c r="G55" s="417"/>
      <c r="H55" s="417"/>
      <c r="I55" s="417"/>
      <c r="J55" s="417"/>
      <c r="K55" s="417"/>
      <c r="L55" s="417"/>
      <c r="M55" s="417"/>
      <c r="N55" s="417"/>
      <c r="O55" s="417"/>
      <c r="P55" s="417"/>
      <c r="Q55" s="417"/>
      <c r="R55" s="417"/>
      <c r="S55" s="594">
        <f t="shared" si="32"/>
        <v>0</v>
      </c>
      <c r="T55" s="552"/>
      <c r="AL55" s="1609"/>
      <c r="AM55" s="1339"/>
      <c r="AN55" s="1339"/>
      <c r="AO55" s="1339"/>
      <c r="BA55" s="1479"/>
      <c r="BB55" s="1479"/>
      <c r="BC55" s="1479"/>
      <c r="BD55" s="1479"/>
      <c r="BE55" s="1479"/>
      <c r="BF55" s="1479"/>
      <c r="BG55" s="1479"/>
      <c r="BH55" s="1479"/>
      <c r="BI55" s="1479"/>
      <c r="BJ55" s="1479"/>
      <c r="BK55" s="1479"/>
      <c r="BL55" s="1479"/>
      <c r="BM55" s="1479"/>
      <c r="BN55" s="1479"/>
      <c r="BO55" s="1479"/>
      <c r="BP55" s="1479"/>
      <c r="BQ55" s="1479"/>
      <c r="BR55" s="1479"/>
      <c r="BS55" s="1479"/>
      <c r="BT55" s="1479"/>
      <c r="BU55" s="1479"/>
      <c r="BV55" s="1479"/>
      <c r="BW55" s="1479"/>
      <c r="BX55" s="1479"/>
      <c r="BY55" s="1479"/>
      <c r="BZ55" s="1479"/>
      <c r="CA55" s="1479"/>
      <c r="CB55" s="1479"/>
      <c r="CC55" s="1479"/>
      <c r="CD55" s="1479"/>
      <c r="CE55" s="1479"/>
      <c r="CF55" s="1479"/>
      <c r="CG55" s="1479"/>
      <c r="CH55" s="1479"/>
      <c r="CI55" s="31"/>
      <c r="CJ55" s="31"/>
      <c r="CK55" s="31"/>
      <c r="CL55" s="31"/>
      <c r="CM55" s="31"/>
      <c r="CN55" s="31"/>
      <c r="CO55" s="31"/>
      <c r="CP55" s="31"/>
      <c r="CQ55" s="31"/>
      <c r="CS55" s="233"/>
      <c r="CT55" s="233"/>
      <c r="CU55" s="30" t="str">
        <f>IF(Basisdaten!$B$15=Basisdaten!$D$2,CV55,CW55)</f>
        <v>Buchhaltung</v>
      </c>
      <c r="CV55" s="38" t="s">
        <v>292</v>
      </c>
      <c r="CW55" s="38" t="s">
        <v>1080</v>
      </c>
      <c r="CX55" s="30">
        <f>IF(Basisdaten!$B$15=Basisdaten!$D$2,CY55,CZ55)</f>
        <v>0</v>
      </c>
      <c r="DK55" s="52"/>
    </row>
    <row r="56" spans="3:115" ht="14.25" customHeight="1">
      <c r="C56" s="1646">
        <v>0.19</v>
      </c>
      <c r="D56" s="695"/>
      <c r="E56" s="1320">
        <f>IF('2 Umsatz|Sales'!$CT$3=0,0,C56)</f>
        <v>0.19</v>
      </c>
      <c r="F56" s="278" t="str">
        <f>CU56</f>
        <v>Steuerberatung, Abschluss, Prüfung</v>
      </c>
      <c r="G56" s="417"/>
      <c r="H56" s="417"/>
      <c r="I56" s="417"/>
      <c r="J56" s="417"/>
      <c r="K56" s="417"/>
      <c r="L56" s="417"/>
      <c r="M56" s="417"/>
      <c r="N56" s="417"/>
      <c r="O56" s="417"/>
      <c r="P56" s="417"/>
      <c r="Q56" s="417"/>
      <c r="R56" s="417"/>
      <c r="S56" s="279">
        <f t="shared" si="32"/>
        <v>0</v>
      </c>
      <c r="T56" s="552"/>
      <c r="AL56" s="1609"/>
      <c r="AM56" s="1339"/>
      <c r="AN56" s="1339"/>
      <c r="AO56" s="1339"/>
      <c r="BA56" s="1479"/>
      <c r="BB56" s="1479"/>
      <c r="BC56" s="1479"/>
      <c r="BD56" s="1479"/>
      <c r="BE56" s="1479"/>
      <c r="BF56" s="1479"/>
      <c r="BG56" s="1479"/>
      <c r="BH56" s="1479"/>
      <c r="BI56" s="1479"/>
      <c r="BJ56" s="1479"/>
      <c r="BK56" s="1479"/>
      <c r="BL56" s="1479"/>
      <c r="BM56" s="1479"/>
      <c r="BN56" s="1479"/>
      <c r="BO56" s="1479"/>
      <c r="BP56" s="1479"/>
      <c r="BQ56" s="1479"/>
      <c r="BR56" s="1479"/>
      <c r="BS56" s="1479"/>
      <c r="BT56" s="1479"/>
      <c r="BU56" s="1479"/>
      <c r="BV56" s="1479"/>
      <c r="BW56" s="1479"/>
      <c r="BX56" s="1479"/>
      <c r="BY56" s="1479"/>
      <c r="BZ56" s="1479"/>
      <c r="CA56" s="1479"/>
      <c r="CB56" s="1479"/>
      <c r="CC56" s="1479"/>
      <c r="CD56" s="1479"/>
      <c r="CE56" s="1479"/>
      <c r="CF56" s="1479"/>
      <c r="CG56" s="1479"/>
      <c r="CH56" s="1479"/>
      <c r="CI56" s="31"/>
      <c r="CJ56" s="31"/>
      <c r="CK56" s="31"/>
      <c r="CL56" s="31"/>
      <c r="CM56" s="31"/>
      <c r="CN56" s="31"/>
      <c r="CO56" s="31"/>
      <c r="CP56" s="31"/>
      <c r="CQ56" s="31"/>
      <c r="CS56" s="233"/>
      <c r="CT56" s="233"/>
      <c r="CU56" s="30" t="str">
        <f>IF(Basisdaten!$B$15=Basisdaten!$D$2,CV56,CW56)</f>
        <v>Steuerberatung, Abschluss, Prüfung</v>
      </c>
      <c r="CV56" s="38" t="s">
        <v>293</v>
      </c>
      <c r="CW56" s="38" t="s">
        <v>385</v>
      </c>
      <c r="CX56" s="30">
        <f>IF(Basisdaten!$B$15=Basisdaten!$D$2,CY56,CZ56)</f>
        <v>0</v>
      </c>
      <c r="DK56" s="52"/>
    </row>
    <row r="57" spans="3:115" ht="14.25" customHeight="1" thickBot="1">
      <c r="C57" s="1646">
        <v>0.19</v>
      </c>
      <c r="D57" s="695"/>
      <c r="E57" s="1628">
        <f>IF('2 Umsatz|Sales'!$CT$3=0,0,C57)</f>
        <v>0.19</v>
      </c>
      <c r="F57" s="539" t="str">
        <f>CU57</f>
        <v>Sonstiges</v>
      </c>
      <c r="G57" s="521"/>
      <c r="H57" s="521"/>
      <c r="I57" s="521"/>
      <c r="J57" s="521"/>
      <c r="K57" s="521"/>
      <c r="L57" s="521"/>
      <c r="M57" s="521"/>
      <c r="N57" s="521"/>
      <c r="O57" s="521"/>
      <c r="P57" s="521"/>
      <c r="Q57" s="521"/>
      <c r="R57" s="521"/>
      <c r="S57" s="530">
        <f t="shared" si="32"/>
        <v>0</v>
      </c>
      <c r="T57" s="552"/>
      <c r="AL57" s="1609"/>
      <c r="AM57" s="1339"/>
      <c r="AN57" s="1339"/>
      <c r="AO57" s="1339"/>
      <c r="BA57" s="1479"/>
      <c r="BB57" s="1479"/>
      <c r="BC57" s="1479"/>
      <c r="BD57" s="1479"/>
      <c r="BE57" s="1479"/>
      <c r="BF57" s="1479"/>
      <c r="BG57" s="1479"/>
      <c r="BH57" s="1479"/>
      <c r="BI57" s="1479"/>
      <c r="BJ57" s="1479"/>
      <c r="BK57" s="1479"/>
      <c r="BL57" s="1479"/>
      <c r="BM57" s="1479"/>
      <c r="BN57" s="1479"/>
      <c r="BO57" s="1479"/>
      <c r="BP57" s="1479"/>
      <c r="BQ57" s="1479"/>
      <c r="BR57" s="1479"/>
      <c r="BS57" s="1479"/>
      <c r="BT57" s="1479"/>
      <c r="BU57" s="1479"/>
      <c r="BV57" s="1479"/>
      <c r="BW57" s="1479"/>
      <c r="BX57" s="1479"/>
      <c r="BY57" s="1479"/>
      <c r="BZ57" s="1479"/>
      <c r="CA57" s="1479"/>
      <c r="CB57" s="1479"/>
      <c r="CC57" s="1479"/>
      <c r="CD57" s="1479"/>
      <c r="CE57" s="1479"/>
      <c r="CF57" s="1479"/>
      <c r="CG57" s="1479"/>
      <c r="CH57" s="1479"/>
      <c r="CI57" s="31"/>
      <c r="CJ57" s="31"/>
      <c r="CK57" s="31"/>
      <c r="CL57" s="31"/>
      <c r="CM57" s="31"/>
      <c r="CN57" s="31"/>
      <c r="CO57" s="31"/>
      <c r="CP57" s="31"/>
      <c r="CQ57" s="31"/>
      <c r="CS57" s="233"/>
      <c r="CT57" s="233"/>
      <c r="CU57" s="30" t="str">
        <f>IF(Basisdaten!$B$15=Basisdaten!$D$2,CV57,CW57)</f>
        <v>Sonstiges</v>
      </c>
      <c r="CV57" s="523" t="s">
        <v>275</v>
      </c>
      <c r="CW57" s="523" t="s">
        <v>277</v>
      </c>
      <c r="CX57" s="30">
        <f>IF(Basisdaten!$B$15=Basisdaten!$D$2,CY57,CZ57)</f>
        <v>0</v>
      </c>
      <c r="DK57" s="52"/>
    </row>
    <row r="58" spans="3:115" ht="13.2" customHeight="1" thickTop="1">
      <c r="C58" s="1644">
        <f>IF(Basisdaten!$L$15=Basisdaten!$Q$15,0,MwSt_19)</f>
        <v>0.19</v>
      </c>
      <c r="D58" s="695"/>
      <c r="E58" s="531"/>
      <c r="F58" s="536" t="str">
        <f>CU58</f>
        <v>Summe Rechts- und Beratungskosten</v>
      </c>
      <c r="G58" s="534">
        <f>SUM(G55:G57)</f>
        <v>0</v>
      </c>
      <c r="H58" s="534">
        <f>SUM(H55:H57)</f>
        <v>0</v>
      </c>
      <c r="I58" s="534">
        <f>SUM(I55:I57)</f>
        <v>0</v>
      </c>
      <c r="J58" s="534">
        <f t="shared" ref="J58:R58" si="34">SUM(J55:J57)</f>
        <v>0</v>
      </c>
      <c r="K58" s="534">
        <f t="shared" si="34"/>
        <v>0</v>
      </c>
      <c r="L58" s="534">
        <f t="shared" si="34"/>
        <v>0</v>
      </c>
      <c r="M58" s="534">
        <f t="shared" si="34"/>
        <v>0</v>
      </c>
      <c r="N58" s="534">
        <f t="shared" si="34"/>
        <v>0</v>
      </c>
      <c r="O58" s="534">
        <f t="shared" si="34"/>
        <v>0</v>
      </c>
      <c r="P58" s="534">
        <f>SUM(P55:P57)</f>
        <v>0</v>
      </c>
      <c r="Q58" s="534">
        <f t="shared" si="34"/>
        <v>0</v>
      </c>
      <c r="R58" s="534">
        <f t="shared" si="34"/>
        <v>0</v>
      </c>
      <c r="S58" s="528">
        <f t="shared" si="32"/>
        <v>0</v>
      </c>
      <c r="T58" s="552"/>
      <c r="AK58" s="1142"/>
      <c r="AL58" s="1609"/>
      <c r="AM58" s="1142"/>
      <c r="AN58" s="1142"/>
      <c r="AO58" s="1142"/>
      <c r="BA58" s="1479"/>
      <c r="BB58" s="1479"/>
      <c r="BC58" s="1479"/>
      <c r="BD58" s="1479"/>
      <c r="BE58" s="1479"/>
      <c r="BF58" s="1479"/>
      <c r="BG58" s="1479"/>
      <c r="BH58" s="1479"/>
      <c r="BI58" s="1479"/>
      <c r="BJ58" s="1479"/>
      <c r="BK58" s="1479"/>
      <c r="BL58" s="1479"/>
      <c r="BM58" s="1479"/>
      <c r="BN58" s="1479"/>
      <c r="BO58" s="1479"/>
      <c r="BP58" s="1479"/>
      <c r="BQ58" s="1479"/>
      <c r="BR58" s="1479"/>
      <c r="BS58" s="1479"/>
      <c r="BT58" s="1479"/>
      <c r="BU58" s="1479"/>
      <c r="BV58" s="1479"/>
      <c r="BW58" s="1479"/>
      <c r="BX58" s="1479"/>
      <c r="BY58" s="1479"/>
      <c r="BZ58" s="1479"/>
      <c r="CA58" s="1479"/>
      <c r="CB58" s="1479"/>
      <c r="CC58" s="1479"/>
      <c r="CD58" s="1479"/>
      <c r="CE58" s="1479"/>
      <c r="CF58" s="1479"/>
      <c r="CG58" s="1479"/>
      <c r="CH58" s="1479"/>
      <c r="CI58" s="31"/>
      <c r="CJ58" s="31"/>
      <c r="CK58" s="31"/>
      <c r="CL58" s="31"/>
      <c r="CM58" s="31"/>
      <c r="CN58" s="31"/>
      <c r="CO58" s="31"/>
      <c r="CP58" s="31"/>
      <c r="CQ58" s="31"/>
      <c r="CS58" s="233"/>
      <c r="CT58" s="233"/>
      <c r="CU58" s="30" t="str">
        <f>IF(Basisdaten!$B$15=Basisdaten!$D$2,CV58,CW58)</f>
        <v>Summe Rechts- und Beratungskosten</v>
      </c>
      <c r="CV58" s="38" t="s">
        <v>294</v>
      </c>
      <c r="CW58" s="38" t="s">
        <v>298</v>
      </c>
      <c r="CX58" s="30">
        <f>IF(Basisdaten!$B$15=Basisdaten!$D$2,CY58,CZ58)</f>
        <v>0</v>
      </c>
      <c r="DK58" s="52"/>
    </row>
    <row r="59" spans="3:115" ht="14.25" customHeight="1">
      <c r="C59" s="1635"/>
      <c r="D59" s="695"/>
      <c r="E59" s="597">
        <v>9</v>
      </c>
      <c r="F59" s="598" t="str">
        <f t="shared" ref="F59:F64" si="35">CU59</f>
        <v>Verschiedenes</v>
      </c>
      <c r="G59" s="599">
        <f>IFERROR(S76,"undo")</f>
        <v>0</v>
      </c>
      <c r="H59" s="2270" t="str">
        <f>IF(G59="undo",$CU$164,"")</f>
        <v/>
      </c>
      <c r="I59" s="2270"/>
      <c r="J59" s="2270"/>
      <c r="K59" s="2270"/>
      <c r="L59" s="2270"/>
      <c r="M59" s="2270"/>
      <c r="N59" s="2270"/>
      <c r="O59" s="2270"/>
      <c r="P59" s="2270"/>
      <c r="Q59" s="601" t="s">
        <v>608</v>
      </c>
      <c r="R59" s="600"/>
      <c r="S59" s="1240"/>
      <c r="T59" s="552"/>
      <c r="AL59" s="1609"/>
      <c r="AM59" s="1339"/>
      <c r="AN59" s="1339"/>
      <c r="AO59" s="1339"/>
      <c r="BA59" s="1479"/>
      <c r="BB59" s="1479"/>
      <c r="BC59" s="1479"/>
      <c r="BD59" s="1479"/>
      <c r="BE59" s="1479"/>
      <c r="BF59" s="1479"/>
      <c r="BG59" s="1479"/>
      <c r="BH59" s="1479"/>
      <c r="BI59" s="1479"/>
      <c r="BJ59" s="1479"/>
      <c r="BK59" s="1479"/>
      <c r="BL59" s="1479"/>
      <c r="BM59" s="1479"/>
      <c r="BN59" s="1479"/>
      <c r="BO59" s="1479"/>
      <c r="BP59" s="1479"/>
      <c r="BQ59" s="1479"/>
      <c r="BR59" s="1479"/>
      <c r="BS59" s="1479"/>
      <c r="BT59" s="1479"/>
      <c r="BU59" s="1479"/>
      <c r="BV59" s="1479"/>
      <c r="BW59" s="1479"/>
      <c r="BX59" s="1479"/>
      <c r="BY59" s="1479"/>
      <c r="BZ59" s="1479"/>
      <c r="CA59" s="1479"/>
      <c r="CB59" s="1479"/>
      <c r="CC59" s="1479"/>
      <c r="CD59" s="1479"/>
      <c r="CE59" s="1479"/>
      <c r="CF59" s="1479"/>
      <c r="CG59" s="1479"/>
      <c r="CH59" s="1479"/>
      <c r="CI59" s="31"/>
      <c r="CJ59" s="31"/>
      <c r="CK59" s="31"/>
      <c r="CL59" s="31"/>
      <c r="CM59" s="31"/>
      <c r="CN59" s="31"/>
      <c r="CO59" s="31"/>
      <c r="CP59" s="31"/>
      <c r="CQ59" s="31"/>
      <c r="CU59" s="30" t="str">
        <f>IF(Basisdaten!$B$15=Basisdaten!$D$2,CV59,CW59)</f>
        <v>Verschiedenes</v>
      </c>
      <c r="CV59" s="38" t="s">
        <v>25</v>
      </c>
      <c r="CW59" s="38" t="s">
        <v>172</v>
      </c>
      <c r="CX59" s="30">
        <f>IF(Basisdaten!$B$15=Basisdaten!$D$2,CY59,CZ59)</f>
        <v>0</v>
      </c>
      <c r="DK59" s="52"/>
    </row>
    <row r="60" spans="3:115" ht="14.25" customHeight="1">
      <c r="C60" s="1236" t="str">
        <f>$C$12</f>
        <v>MwSt</v>
      </c>
      <c r="D60" s="695"/>
      <c r="E60" s="1254">
        <v>0</v>
      </c>
      <c r="F60" s="538" t="str">
        <f t="shared" si="35"/>
        <v>Finanzaufwand / Zinsen     aus TAB "7 Finanzierung|Financing"</v>
      </c>
      <c r="G60" s="594">
        <f>'8 Kapital|Capital'!E64</f>
        <v>0</v>
      </c>
      <c r="H60" s="594">
        <f>'8 Kapital|Capital'!F64</f>
        <v>0</v>
      </c>
      <c r="I60" s="594">
        <f>'8 Kapital|Capital'!G64</f>
        <v>0</v>
      </c>
      <c r="J60" s="594">
        <f>'8 Kapital|Capital'!H64</f>
        <v>0</v>
      </c>
      <c r="K60" s="594">
        <f>'8 Kapital|Capital'!I64</f>
        <v>0</v>
      </c>
      <c r="L60" s="594">
        <f>'8 Kapital|Capital'!J64</f>
        <v>0</v>
      </c>
      <c r="M60" s="594">
        <f>'8 Kapital|Capital'!K64</f>
        <v>0</v>
      </c>
      <c r="N60" s="594">
        <f>'8 Kapital|Capital'!L64</f>
        <v>0</v>
      </c>
      <c r="O60" s="594">
        <f>'8 Kapital|Capital'!M64</f>
        <v>0</v>
      </c>
      <c r="P60" s="594">
        <f>'8 Kapital|Capital'!N64</f>
        <v>0</v>
      </c>
      <c r="Q60" s="594">
        <f>'8 Kapital|Capital'!O64</f>
        <v>0</v>
      </c>
      <c r="R60" s="594">
        <f>'8 Kapital|Capital'!P64</f>
        <v>0</v>
      </c>
      <c r="S60" s="596">
        <f>SUM(G60:R60)</f>
        <v>0</v>
      </c>
      <c r="T60" s="552"/>
      <c r="AL60" s="1609"/>
      <c r="AM60" s="1339"/>
      <c r="AN60" s="1339"/>
      <c r="AO60" s="1339"/>
      <c r="BA60" s="1479"/>
      <c r="BB60" s="1479"/>
      <c r="BC60" s="1479"/>
      <c r="BD60" s="1479"/>
      <c r="BE60" s="1479"/>
      <c r="BF60" s="1479"/>
      <c r="BG60" s="1479"/>
      <c r="BH60" s="1479"/>
      <c r="BI60" s="1479"/>
      <c r="BJ60" s="1479"/>
      <c r="BK60" s="1479"/>
      <c r="BL60" s="1479"/>
      <c r="BM60" s="1479"/>
      <c r="BN60" s="1479"/>
      <c r="BO60" s="1479"/>
      <c r="BP60" s="1479"/>
      <c r="BQ60" s="1479"/>
      <c r="BR60" s="1479"/>
      <c r="BS60" s="1479"/>
      <c r="BT60" s="1479"/>
      <c r="BU60" s="1479"/>
      <c r="BV60" s="1479"/>
      <c r="BW60" s="1479"/>
      <c r="BX60" s="1479"/>
      <c r="BY60" s="1479"/>
      <c r="BZ60" s="1479"/>
      <c r="CA60" s="1479"/>
      <c r="CB60" s="1479"/>
      <c r="CC60" s="1479"/>
      <c r="CD60" s="1479"/>
      <c r="CE60" s="1479"/>
      <c r="CF60" s="1479"/>
      <c r="CG60" s="1479"/>
      <c r="CH60" s="1479"/>
      <c r="CI60" s="31"/>
      <c r="CJ60" s="31"/>
      <c r="CK60" s="31"/>
      <c r="CL60" s="31"/>
      <c r="CM60" s="31"/>
      <c r="CN60" s="31"/>
      <c r="CO60" s="31"/>
      <c r="CP60" s="31"/>
      <c r="CQ60" s="31"/>
      <c r="CU60" s="30" t="str">
        <f>IF(Basisdaten!$B$15=Basisdaten!$D$2,CV60,CW60)</f>
        <v>Finanzaufwand / Zinsen     aus TAB "7 Finanzierung|Financing"</v>
      </c>
      <c r="CV60" s="38" t="s">
        <v>968</v>
      </c>
      <c r="CW60" s="38" t="s">
        <v>969</v>
      </c>
      <c r="CX60" s="30">
        <f>IF(Basisdaten!$B$15=Basisdaten!$D$2,CY60,CZ60)</f>
        <v>0</v>
      </c>
      <c r="DK60" s="52"/>
    </row>
    <row r="61" spans="3:115" ht="14.25" customHeight="1">
      <c r="C61" s="1646">
        <v>0.19</v>
      </c>
      <c r="D61" s="695"/>
      <c r="E61" s="1320">
        <f>IF('2 Umsatz|Sales'!$CT$3=0,0,C61)</f>
        <v>0.19</v>
      </c>
      <c r="F61" s="278" t="str">
        <f t="shared" si="35"/>
        <v>Fachliteratur, Bücher</v>
      </c>
      <c r="G61" s="420"/>
      <c r="H61" s="420"/>
      <c r="I61" s="420"/>
      <c r="J61" s="420"/>
      <c r="K61" s="420"/>
      <c r="L61" s="420"/>
      <c r="M61" s="420"/>
      <c r="N61" s="420"/>
      <c r="O61" s="420"/>
      <c r="P61" s="420"/>
      <c r="Q61" s="420"/>
      <c r="R61" s="420"/>
      <c r="S61" s="279">
        <f>SUM(G61:R61)</f>
        <v>0</v>
      </c>
      <c r="T61" s="552"/>
      <c r="U61" s="26"/>
      <c r="V61" s="26"/>
      <c r="X61" s="28"/>
      <c r="Y61" s="549"/>
      <c r="Z61" s="549"/>
      <c r="AA61" s="28"/>
      <c r="AB61" s="28"/>
      <c r="AC61" s="28"/>
      <c r="AD61" s="28"/>
      <c r="AE61" s="28"/>
      <c r="AF61" s="28"/>
      <c r="AG61" s="28"/>
      <c r="AH61" s="28"/>
      <c r="AI61" s="28"/>
      <c r="AJ61" s="28"/>
      <c r="AK61" s="549"/>
      <c r="AL61" s="1609"/>
      <c r="AM61" s="549"/>
      <c r="AN61" s="549"/>
      <c r="AO61" s="549"/>
      <c r="BA61" s="1479"/>
      <c r="BB61" s="1479"/>
      <c r="BC61" s="1479"/>
      <c r="BD61" s="1479"/>
      <c r="BE61" s="1479"/>
      <c r="BF61" s="1479"/>
      <c r="BG61" s="1479"/>
      <c r="BH61" s="1479"/>
      <c r="BI61" s="1479"/>
      <c r="BJ61" s="1479"/>
      <c r="BK61" s="1479"/>
      <c r="BL61" s="1479"/>
      <c r="BM61" s="1479"/>
      <c r="BN61" s="1479"/>
      <c r="BO61" s="1479"/>
      <c r="BP61" s="1479"/>
      <c r="BQ61" s="1479"/>
      <c r="BR61" s="1479"/>
      <c r="BS61" s="1479"/>
      <c r="BT61" s="1479"/>
      <c r="BU61" s="1479"/>
      <c r="BV61" s="1479"/>
      <c r="BW61" s="1479"/>
      <c r="BX61" s="1479"/>
      <c r="BY61" s="1479"/>
      <c r="BZ61" s="1479"/>
      <c r="CA61" s="1479"/>
      <c r="CB61" s="1479"/>
      <c r="CC61" s="1479"/>
      <c r="CD61" s="1479"/>
      <c r="CE61" s="1479"/>
      <c r="CF61" s="1479"/>
      <c r="CG61" s="1479"/>
      <c r="CH61" s="1479"/>
      <c r="CI61" s="31"/>
      <c r="CJ61" s="31"/>
      <c r="CK61" s="31"/>
      <c r="CL61" s="31"/>
      <c r="CM61" s="31"/>
      <c r="CN61" s="31"/>
      <c r="CO61" s="31"/>
      <c r="CP61" s="31"/>
      <c r="CQ61" s="31"/>
      <c r="CS61" s="233"/>
      <c r="CT61" s="233"/>
      <c r="CU61" s="30" t="str">
        <f>IF(Basisdaten!$B$15=Basisdaten!$D$2,CV61,CW61)</f>
        <v>Fachliteratur, Bücher</v>
      </c>
      <c r="CV61" s="38" t="s">
        <v>96</v>
      </c>
      <c r="CW61" s="38" t="s">
        <v>386</v>
      </c>
      <c r="CX61" s="30">
        <f>IF(Basisdaten!$B$15=Basisdaten!$D$2,CY61,CZ61)</f>
        <v>0</v>
      </c>
      <c r="DK61" s="52"/>
    </row>
    <row r="62" spans="3:115" ht="14.25" customHeight="1">
      <c r="C62" s="1646">
        <v>0.19</v>
      </c>
      <c r="D62" s="695"/>
      <c r="E62" s="1320">
        <f>IF('2 Umsatz|Sales'!$CT$3=0,0,C62)</f>
        <v>0.19</v>
      </c>
      <c r="F62" s="278" t="str">
        <f t="shared" si="35"/>
        <v>Schulungen</v>
      </c>
      <c r="G62" s="417"/>
      <c r="H62" s="417"/>
      <c r="I62" s="417"/>
      <c r="J62" s="417"/>
      <c r="K62" s="417"/>
      <c r="L62" s="417"/>
      <c r="M62" s="417"/>
      <c r="N62" s="417"/>
      <c r="O62" s="417"/>
      <c r="P62" s="417"/>
      <c r="Q62" s="417"/>
      <c r="R62" s="417"/>
      <c r="S62" s="279">
        <f>SUM(G62:R62)</f>
        <v>0</v>
      </c>
      <c r="T62" s="552"/>
      <c r="U62" s="26"/>
      <c r="V62" s="26"/>
      <c r="X62" s="28"/>
      <c r="Y62" s="549"/>
      <c r="Z62" s="549"/>
      <c r="AA62" s="28"/>
      <c r="AB62" s="28"/>
      <c r="AC62" s="28"/>
      <c r="AD62" s="28"/>
      <c r="AE62" s="28"/>
      <c r="AF62" s="28"/>
      <c r="AG62" s="28"/>
      <c r="AH62" s="28"/>
      <c r="AI62" s="28"/>
      <c r="AJ62" s="28"/>
      <c r="AK62" s="549"/>
      <c r="AL62" s="1609"/>
      <c r="AM62" s="549"/>
      <c r="AN62" s="549"/>
      <c r="AO62" s="549"/>
      <c r="BA62" s="1479"/>
      <c r="BB62" s="1479"/>
      <c r="BC62" s="1479"/>
      <c r="BD62" s="1479"/>
      <c r="BE62" s="1479"/>
      <c r="BF62" s="1479"/>
      <c r="BG62" s="1479"/>
      <c r="BH62" s="1479"/>
      <c r="BI62" s="1479"/>
      <c r="BJ62" s="1479"/>
      <c r="BK62" s="1479"/>
      <c r="BL62" s="1479"/>
      <c r="BM62" s="1479"/>
      <c r="BN62" s="1479"/>
      <c r="BO62" s="1479"/>
      <c r="BP62" s="1479"/>
      <c r="BQ62" s="1479"/>
      <c r="BR62" s="1479"/>
      <c r="BS62" s="1479"/>
      <c r="BT62" s="1479"/>
      <c r="BU62" s="1479"/>
      <c r="BV62" s="1479"/>
      <c r="BW62" s="1479"/>
      <c r="BX62" s="1479"/>
      <c r="BY62" s="1479"/>
      <c r="BZ62" s="1479"/>
      <c r="CA62" s="1479"/>
      <c r="CB62" s="1479"/>
      <c r="CC62" s="1479"/>
      <c r="CD62" s="1479"/>
      <c r="CE62" s="1479"/>
      <c r="CF62" s="1479"/>
      <c r="CG62" s="1479"/>
      <c r="CH62" s="1479"/>
      <c r="CI62" s="31"/>
      <c r="CJ62" s="31"/>
      <c r="CK62" s="31"/>
      <c r="CL62" s="31"/>
      <c r="CM62" s="31"/>
      <c r="CN62" s="31"/>
      <c r="CO62" s="31"/>
      <c r="CP62" s="31"/>
      <c r="CQ62" s="31"/>
      <c r="CS62" s="233"/>
      <c r="CT62" s="233"/>
      <c r="CU62" s="30" t="str">
        <f>IF(Basisdaten!$B$15=Basisdaten!$D$2,CV62,CW62)</f>
        <v>Schulungen</v>
      </c>
      <c r="CV62" s="38" t="s">
        <v>300</v>
      </c>
      <c r="CW62" s="38" t="s">
        <v>387</v>
      </c>
      <c r="CX62" s="30">
        <f>IF(Basisdaten!$B$15=Basisdaten!$D$2,CY62,CZ62)</f>
        <v>0</v>
      </c>
      <c r="DK62" s="52"/>
    </row>
    <row r="63" spans="3:115" ht="14.25" customHeight="1" thickBot="1">
      <c r="C63" s="1646">
        <v>0.19</v>
      </c>
      <c r="D63" s="695"/>
      <c r="E63" s="1320">
        <f>IF('2 Umsatz|Sales'!$CT$3=0,0,C63)</f>
        <v>0.19</v>
      </c>
      <c r="F63" s="539" t="str">
        <f t="shared" si="35"/>
        <v>Sonstiges</v>
      </c>
      <c r="G63" s="521"/>
      <c r="H63" s="521"/>
      <c r="I63" s="521"/>
      <c r="J63" s="521"/>
      <c r="K63" s="521"/>
      <c r="L63" s="521"/>
      <c r="M63" s="521"/>
      <c r="N63" s="521"/>
      <c r="O63" s="521"/>
      <c r="P63" s="521"/>
      <c r="Q63" s="521"/>
      <c r="R63" s="521"/>
      <c r="S63" s="530">
        <f>SUM(G63:R63)</f>
        <v>0</v>
      </c>
      <c r="T63" s="552"/>
      <c r="U63" s="26"/>
      <c r="V63" s="26"/>
      <c r="X63" s="28"/>
      <c r="Y63" s="549"/>
      <c r="Z63" s="549"/>
      <c r="AA63" s="28"/>
      <c r="AB63" s="28"/>
      <c r="AC63" s="28"/>
      <c r="AD63" s="28"/>
      <c r="AE63" s="28"/>
      <c r="AF63" s="28"/>
      <c r="AG63" s="28"/>
      <c r="AH63" s="28"/>
      <c r="AI63" s="28"/>
      <c r="AJ63" s="28"/>
      <c r="AK63" s="549"/>
      <c r="AL63" s="1609"/>
      <c r="AM63" s="549"/>
      <c r="BA63" s="1479"/>
      <c r="BB63" s="1479"/>
      <c r="BC63" s="1479"/>
      <c r="BD63" s="1479"/>
      <c r="BE63" s="1479"/>
      <c r="BF63" s="1479"/>
      <c r="BG63" s="1479"/>
      <c r="BH63" s="1479"/>
      <c r="BI63" s="1479"/>
      <c r="BJ63" s="1479"/>
      <c r="BK63" s="1479"/>
      <c r="BL63" s="1479"/>
      <c r="BM63" s="1479"/>
      <c r="BN63" s="1479"/>
      <c r="BO63" s="1479"/>
      <c r="BP63" s="1479"/>
      <c r="BQ63" s="1479"/>
      <c r="BR63" s="1479"/>
      <c r="BS63" s="1479"/>
      <c r="BT63" s="1479"/>
      <c r="BU63" s="1479"/>
      <c r="BV63" s="1479"/>
      <c r="BW63" s="1479"/>
      <c r="BX63" s="1479"/>
      <c r="BY63" s="1479"/>
      <c r="BZ63" s="1479"/>
      <c r="CA63" s="1479"/>
      <c r="CB63" s="1479"/>
      <c r="CC63" s="1479"/>
      <c r="CD63" s="1479"/>
      <c r="CE63" s="1479"/>
      <c r="CF63" s="1479"/>
      <c r="CG63" s="1479"/>
      <c r="CH63" s="1479"/>
      <c r="CI63" s="31"/>
      <c r="CJ63" s="31"/>
      <c r="CK63" s="31"/>
      <c r="CL63" s="31"/>
      <c r="CM63" s="31"/>
      <c r="CN63" s="31"/>
      <c r="CO63" s="31"/>
      <c r="CP63" s="31"/>
      <c r="CQ63" s="31"/>
      <c r="CS63" s="233"/>
      <c r="CT63" s="233"/>
      <c r="CU63" s="30" t="str">
        <f>IF(Basisdaten!$B$15=Basisdaten!$D$2,CV63,CW63)</f>
        <v>Sonstiges</v>
      </c>
      <c r="CV63" s="523" t="s">
        <v>275</v>
      </c>
      <c r="CW63" s="523" t="s">
        <v>277</v>
      </c>
      <c r="CX63" s="30">
        <f>IF(Basisdaten!$B$15=Basisdaten!$D$2,CY63,CZ63)</f>
        <v>0</v>
      </c>
      <c r="DK63" s="52"/>
    </row>
    <row r="64" spans="3:115" ht="14.25" customHeight="1" thickTop="1" thickBot="1">
      <c r="C64" s="1637"/>
      <c r="D64" s="695"/>
      <c r="E64" s="531"/>
      <c r="F64" s="536" t="str">
        <f t="shared" si="35"/>
        <v>Summe Verschiedenes</v>
      </c>
      <c r="G64" s="534">
        <f>SUM(G60:G63)</f>
        <v>0</v>
      </c>
      <c r="H64" s="534">
        <f>SUM(H60:H63)</f>
        <v>0</v>
      </c>
      <c r="I64" s="534">
        <f>SUM(I60:I63)</f>
        <v>0</v>
      </c>
      <c r="J64" s="534">
        <f t="shared" ref="J64:R64" si="36">SUM(J60:J63)</f>
        <v>0</v>
      </c>
      <c r="K64" s="534">
        <f t="shared" si="36"/>
        <v>0</v>
      </c>
      <c r="L64" s="534">
        <f t="shared" si="36"/>
        <v>0</v>
      </c>
      <c r="M64" s="534">
        <f t="shared" si="36"/>
        <v>0</v>
      </c>
      <c r="N64" s="534">
        <f t="shared" si="36"/>
        <v>0</v>
      </c>
      <c r="O64" s="534">
        <f t="shared" si="36"/>
        <v>0</v>
      </c>
      <c r="P64" s="534">
        <f t="shared" si="36"/>
        <v>0</v>
      </c>
      <c r="Q64" s="534">
        <f t="shared" si="36"/>
        <v>0</v>
      </c>
      <c r="R64" s="534">
        <f t="shared" si="36"/>
        <v>0</v>
      </c>
      <c r="S64" s="253">
        <f>SUM(G64:R64)</f>
        <v>0</v>
      </c>
      <c r="T64" s="552"/>
      <c r="U64" s="25"/>
      <c r="V64" s="25"/>
      <c r="X64" s="28"/>
      <c r="Y64" s="28"/>
      <c r="Z64" s="28"/>
      <c r="AA64" s="28"/>
      <c r="AB64" s="28"/>
      <c r="AC64" s="28"/>
      <c r="AD64" s="28"/>
      <c r="AE64" s="28"/>
      <c r="AF64" s="28"/>
      <c r="AG64" s="28"/>
      <c r="AH64" s="28"/>
      <c r="AI64" s="28"/>
      <c r="AJ64" s="28"/>
      <c r="AK64" s="549"/>
      <c r="AL64" s="549"/>
      <c r="AM64" s="549"/>
      <c r="BA64" s="1479"/>
      <c r="BB64" s="1479"/>
      <c r="BC64" s="1479"/>
      <c r="BD64" s="1479"/>
      <c r="BE64" s="1479"/>
      <c r="BF64" s="1479"/>
      <c r="BG64" s="1479"/>
      <c r="BH64" s="1479"/>
      <c r="BI64" s="1479"/>
      <c r="BJ64" s="1479"/>
      <c r="BK64" s="1479"/>
      <c r="BL64" s="1479"/>
      <c r="BM64" s="1479"/>
      <c r="BN64" s="1479"/>
      <c r="BO64" s="1479"/>
      <c r="BP64" s="1479"/>
      <c r="BQ64" s="1479"/>
      <c r="BR64" s="1479"/>
      <c r="BS64" s="1479"/>
      <c r="BT64" s="1479"/>
      <c r="BU64" s="1479"/>
      <c r="BV64" s="1479"/>
      <c r="BW64" s="1479"/>
      <c r="BX64" s="1479"/>
      <c r="BY64" s="1479"/>
      <c r="BZ64" s="1479"/>
      <c r="CA64" s="1479"/>
      <c r="CB64" s="1479"/>
      <c r="CC64" s="1479"/>
      <c r="CD64" s="1479"/>
      <c r="CE64" s="1479"/>
      <c r="CF64" s="1479"/>
      <c r="CG64" s="1479"/>
      <c r="CH64" s="1479"/>
      <c r="CI64" s="31"/>
      <c r="CJ64" s="31"/>
      <c r="CK64" s="31"/>
      <c r="CL64" s="31"/>
      <c r="CM64" s="31"/>
      <c r="CN64" s="31"/>
      <c r="CO64" s="31"/>
      <c r="CP64" s="31"/>
      <c r="CQ64" s="31"/>
      <c r="CS64" s="233"/>
      <c r="CT64" s="233"/>
      <c r="CU64" s="30" t="str">
        <f>IF(Basisdaten!$B$15=Basisdaten!$D$2,CV64,CW64)</f>
        <v>Summe Verschiedenes</v>
      </c>
      <c r="CV64" s="38" t="s">
        <v>302</v>
      </c>
      <c r="CW64" s="38" t="s">
        <v>166</v>
      </c>
      <c r="CX64" s="30">
        <f>IF(Basisdaten!$B$15=Basisdaten!$D$2,CY64,CZ64)</f>
        <v>0</v>
      </c>
      <c r="DK64" s="52"/>
    </row>
    <row r="65" spans="3:121" s="170" customFormat="1" ht="14.25" customHeight="1" thickTop="1">
      <c r="C65" s="588"/>
      <c r="D65" s="695"/>
      <c r="E65" s="524"/>
      <c r="F65" s="575" t="str">
        <f>CU65</f>
        <v>Summe Betriebskosten I</v>
      </c>
      <c r="G65" s="256">
        <f t="shared" ref="G65:S65" si="37">G64+G58+G53+G45+G38+G32+G26+G22+G11</f>
        <v>0</v>
      </c>
      <c r="H65" s="256">
        <f t="shared" si="37"/>
        <v>0</v>
      </c>
      <c r="I65" s="256">
        <f t="shared" si="37"/>
        <v>0</v>
      </c>
      <c r="J65" s="256">
        <f t="shared" si="37"/>
        <v>0</v>
      </c>
      <c r="K65" s="256">
        <f t="shared" si="37"/>
        <v>0</v>
      </c>
      <c r="L65" s="256">
        <f t="shared" si="37"/>
        <v>0</v>
      </c>
      <c r="M65" s="256">
        <f t="shared" si="37"/>
        <v>0</v>
      </c>
      <c r="N65" s="256">
        <f t="shared" si="37"/>
        <v>0</v>
      </c>
      <c r="O65" s="256">
        <f t="shared" si="37"/>
        <v>0</v>
      </c>
      <c r="P65" s="256">
        <f t="shared" si="37"/>
        <v>0</v>
      </c>
      <c r="Q65" s="256">
        <f t="shared" si="37"/>
        <v>0</v>
      </c>
      <c r="R65" s="256">
        <f t="shared" si="37"/>
        <v>0</v>
      </c>
      <c r="S65" s="256">
        <f t="shared" si="37"/>
        <v>0</v>
      </c>
      <c r="T65" s="552"/>
      <c r="U65" s="98"/>
      <c r="V65" s="98"/>
      <c r="W65" s="98"/>
      <c r="X65" s="98"/>
      <c r="Y65" s="98"/>
      <c r="Z65" s="98"/>
      <c r="AA65" s="98"/>
      <c r="AB65" s="98"/>
      <c r="AC65" s="98"/>
      <c r="AD65" s="98"/>
      <c r="AE65" s="98"/>
      <c r="AF65" s="98"/>
      <c r="AG65" s="98"/>
      <c r="AH65" s="98"/>
      <c r="AI65" s="237"/>
      <c r="AJ65" s="237"/>
      <c r="AK65" s="549"/>
      <c r="AL65" s="549"/>
      <c r="AM65" s="549"/>
      <c r="AN65" s="171"/>
      <c r="AO65" s="171"/>
      <c r="AP65" s="171"/>
      <c r="AQ65" s="171"/>
      <c r="AR65" s="171"/>
      <c r="AS65" s="171"/>
      <c r="AT65" s="171"/>
      <c r="AU65" s="171"/>
      <c r="AV65" s="171"/>
      <c r="AW65" s="171"/>
      <c r="AX65" s="171"/>
      <c r="AY65" s="171"/>
      <c r="AZ65" s="171"/>
      <c r="BA65" s="1479"/>
      <c r="BB65" s="1479"/>
      <c r="BC65" s="1479"/>
      <c r="BD65" s="1479"/>
      <c r="BE65" s="1479"/>
      <c r="BF65" s="1479"/>
      <c r="BG65" s="1479"/>
      <c r="BH65" s="1479"/>
      <c r="BI65" s="1479"/>
      <c r="BJ65" s="1479"/>
      <c r="BK65" s="1479"/>
      <c r="BL65" s="1479"/>
      <c r="BM65" s="1479"/>
      <c r="BN65" s="1479"/>
      <c r="BO65" s="1479"/>
      <c r="BP65" s="1479"/>
      <c r="BQ65" s="1479"/>
      <c r="BR65" s="1479"/>
      <c r="BS65" s="1479"/>
      <c r="BT65" s="1479"/>
      <c r="BU65" s="1479"/>
      <c r="BV65" s="1479"/>
      <c r="BW65" s="1479"/>
      <c r="BX65" s="1479"/>
      <c r="BY65" s="1479"/>
      <c r="BZ65" s="1479"/>
      <c r="CA65" s="1479"/>
      <c r="CB65" s="1479"/>
      <c r="CC65" s="1479"/>
      <c r="CD65" s="1479"/>
      <c r="CE65" s="1479"/>
      <c r="CF65" s="1479"/>
      <c r="CG65" s="1479"/>
      <c r="CH65" s="1479"/>
      <c r="CI65" s="31"/>
      <c r="CJ65" s="31"/>
      <c r="CK65" s="31"/>
      <c r="CL65" s="31"/>
      <c r="CM65" s="31"/>
      <c r="CN65" s="31"/>
      <c r="CO65" s="31"/>
      <c r="CP65" s="31"/>
      <c r="CQ65" s="31"/>
      <c r="CS65" s="238"/>
      <c r="CT65" s="238"/>
      <c r="CU65" s="30" t="str">
        <f>IF(Basisdaten!$B$15=Basisdaten!$D$2,CV65,CW65)</f>
        <v>Summe Betriebskosten I</v>
      </c>
      <c r="CV65" s="141" t="s">
        <v>34</v>
      </c>
      <c r="CW65" s="38" t="s">
        <v>161</v>
      </c>
      <c r="CX65" s="30">
        <f>IF(Basisdaten!$B$15=Basisdaten!$D$2,CY65,CZ65)</f>
        <v>0</v>
      </c>
      <c r="CY65" s="220"/>
      <c r="CZ65" s="220"/>
      <c r="DA65" s="220"/>
      <c r="DB65" s="220"/>
      <c r="DC65" s="220"/>
      <c r="DD65" s="220"/>
      <c r="DE65" s="220"/>
      <c r="DF65" s="220"/>
      <c r="DG65" s="220"/>
      <c r="DH65" s="220"/>
      <c r="DI65" s="220"/>
      <c r="DJ65" s="220"/>
      <c r="DK65" s="97"/>
    </row>
    <row r="66" spans="3:121" ht="14.25" customHeight="1" thickBot="1">
      <c r="C66" s="34"/>
      <c r="D66" s="695"/>
      <c r="E66" s="1255">
        <f>IF('2 Umsatz|Sales'!$CT$3=0,0,C66)</f>
        <v>0</v>
      </c>
      <c r="F66" s="576" t="str">
        <f>CU66</f>
        <v>Abschreibungen aus TAB "4 Invest"</v>
      </c>
      <c r="G66" s="254">
        <f>'4 Invest'!D$298</f>
        <v>0</v>
      </c>
      <c r="H66" s="254">
        <f>'4 Invest'!E$298</f>
        <v>0</v>
      </c>
      <c r="I66" s="254">
        <f>'4 Invest'!F$298</f>
        <v>0</v>
      </c>
      <c r="J66" s="254">
        <f>'4 Invest'!G$298</f>
        <v>0</v>
      </c>
      <c r="K66" s="254">
        <f>'4 Invest'!H$298</f>
        <v>0</v>
      </c>
      <c r="L66" s="254">
        <f>'4 Invest'!I$298</f>
        <v>0</v>
      </c>
      <c r="M66" s="254">
        <f>'4 Invest'!J$298</f>
        <v>0</v>
      </c>
      <c r="N66" s="254">
        <f>'4 Invest'!K$298</f>
        <v>0</v>
      </c>
      <c r="O66" s="254">
        <f>'4 Invest'!L$298</f>
        <v>0</v>
      </c>
      <c r="P66" s="254">
        <f>'4 Invest'!M$298</f>
        <v>0</v>
      </c>
      <c r="Q66" s="254">
        <f>'4 Invest'!N$298</f>
        <v>0</v>
      </c>
      <c r="R66" s="254">
        <f>'4 Invest'!O$298</f>
        <v>0</v>
      </c>
      <c r="S66" s="254">
        <f>SUM(G66:R66)</f>
        <v>0</v>
      </c>
      <c r="T66" s="552"/>
      <c r="U66" s="25"/>
      <c r="V66" s="25"/>
      <c r="W66" s="25"/>
      <c r="X66" s="25"/>
      <c r="Y66" s="25"/>
      <c r="Z66" s="25"/>
      <c r="AA66" s="25"/>
      <c r="AB66" s="25"/>
      <c r="AC66" s="25"/>
      <c r="AD66" s="25"/>
      <c r="AE66" s="25"/>
      <c r="AF66" s="25"/>
      <c r="AG66" s="25"/>
      <c r="AH66" s="25"/>
      <c r="AI66" s="25"/>
      <c r="AJ66" s="25"/>
      <c r="AK66" s="549"/>
      <c r="AL66" s="549"/>
      <c r="AM66" s="549"/>
      <c r="BA66" s="1479"/>
      <c r="BB66" s="1479"/>
      <c r="BC66" s="1479"/>
      <c r="BD66" s="1479"/>
      <c r="BE66" s="1479"/>
      <c r="BF66" s="1479"/>
      <c r="BG66" s="1479"/>
      <c r="BH66" s="1479"/>
      <c r="BI66" s="1479"/>
      <c r="BJ66" s="1479"/>
      <c r="BK66" s="1479"/>
      <c r="BL66" s="1479"/>
      <c r="BM66" s="1479"/>
      <c r="BN66" s="1479"/>
      <c r="BO66" s="1479"/>
      <c r="BP66" s="1479"/>
      <c r="BQ66" s="1479"/>
      <c r="BR66" s="1479"/>
      <c r="BS66" s="1479"/>
      <c r="BT66" s="1479"/>
      <c r="BU66" s="1479"/>
      <c r="BV66" s="1479"/>
      <c r="BW66" s="1479"/>
      <c r="BX66" s="1479"/>
      <c r="BY66" s="1479"/>
      <c r="BZ66" s="1479"/>
      <c r="CA66" s="1479"/>
      <c r="CB66" s="1479"/>
      <c r="CC66" s="1479"/>
      <c r="CD66" s="1479"/>
      <c r="CE66" s="1479"/>
      <c r="CF66" s="1479"/>
      <c r="CG66" s="1479"/>
      <c r="CH66" s="1479"/>
      <c r="CI66" s="31"/>
      <c r="CJ66" s="31"/>
      <c r="CK66" s="31"/>
      <c r="CL66" s="31"/>
      <c r="CM66" s="31"/>
      <c r="CN66" s="31"/>
      <c r="CO66" s="31"/>
      <c r="CP66" s="31"/>
      <c r="CQ66" s="31"/>
      <c r="CS66" s="233"/>
      <c r="CT66" s="233"/>
      <c r="CU66" s="30" t="str">
        <f>IF(Basisdaten!$B$15=Basisdaten!$D$2,CV66,CW66)</f>
        <v>Abschreibungen aus TAB "4 Invest"</v>
      </c>
      <c r="CV66" s="141" t="s">
        <v>1082</v>
      </c>
      <c r="CW66" s="38" t="s">
        <v>1081</v>
      </c>
      <c r="CX66" s="30">
        <f>IF(Basisdaten!$B$15=Basisdaten!$D$2,CY66,CZ66)</f>
        <v>0</v>
      </c>
      <c r="DK66" s="52"/>
    </row>
    <row r="67" spans="3:121" s="30" customFormat="1" ht="13.8" customHeight="1" thickTop="1">
      <c r="C67" s="589"/>
      <c r="D67" s="695"/>
      <c r="E67" s="618"/>
      <c r="F67" s="525" t="str">
        <f>CU67</f>
        <v>Summe Betriebskosten II</v>
      </c>
      <c r="G67" s="532">
        <f t="shared" ref="G67:S67" si="38">G65+G66</f>
        <v>0</v>
      </c>
      <c r="H67" s="532">
        <f t="shared" si="38"/>
        <v>0</v>
      </c>
      <c r="I67" s="532">
        <f t="shared" si="38"/>
        <v>0</v>
      </c>
      <c r="J67" s="532">
        <f t="shared" si="38"/>
        <v>0</v>
      </c>
      <c r="K67" s="532">
        <f t="shared" si="38"/>
        <v>0</v>
      </c>
      <c r="L67" s="532">
        <f t="shared" si="38"/>
        <v>0</v>
      </c>
      <c r="M67" s="532">
        <f t="shared" si="38"/>
        <v>0</v>
      </c>
      <c r="N67" s="532">
        <f t="shared" si="38"/>
        <v>0</v>
      </c>
      <c r="O67" s="532">
        <f t="shared" si="38"/>
        <v>0</v>
      </c>
      <c r="P67" s="532">
        <f t="shared" si="38"/>
        <v>0</v>
      </c>
      <c r="Q67" s="532">
        <f t="shared" si="38"/>
        <v>0</v>
      </c>
      <c r="R67" s="532">
        <f t="shared" si="38"/>
        <v>0</v>
      </c>
      <c r="S67" s="532">
        <f t="shared" si="38"/>
        <v>0</v>
      </c>
      <c r="T67" s="552"/>
      <c r="U67" s="25"/>
      <c r="V67" s="25"/>
      <c r="W67" s="25"/>
      <c r="X67" s="25"/>
      <c r="Y67" s="25"/>
      <c r="Z67" s="25"/>
      <c r="AA67" s="25"/>
      <c r="AB67" s="25"/>
      <c r="AC67" s="25"/>
      <c r="AD67" s="25"/>
      <c r="AE67" s="25"/>
      <c r="AF67" s="25"/>
      <c r="AG67" s="25"/>
      <c r="AH67" s="25"/>
      <c r="AI67" s="25"/>
      <c r="AJ67" s="25"/>
      <c r="AK67" s="549"/>
      <c r="AL67" s="549"/>
      <c r="AM67" s="549"/>
      <c r="AN67" s="50"/>
      <c r="AO67" s="50"/>
      <c r="AP67" s="50"/>
      <c r="AQ67" s="50"/>
      <c r="AR67" s="50"/>
      <c r="AS67" s="50"/>
      <c r="AT67" s="50"/>
      <c r="AU67" s="50"/>
      <c r="AV67" s="50"/>
      <c r="AW67" s="50"/>
      <c r="AX67" s="50"/>
      <c r="AY67" s="50"/>
      <c r="AZ67" s="50"/>
      <c r="BA67" s="1479"/>
      <c r="BB67" s="1479"/>
      <c r="BC67" s="1479"/>
      <c r="BD67" s="1479"/>
      <c r="BE67" s="1479"/>
      <c r="BF67" s="1479"/>
      <c r="BG67" s="1479"/>
      <c r="BH67" s="1479"/>
      <c r="BI67" s="1479"/>
      <c r="BJ67" s="1479"/>
      <c r="BK67" s="1479"/>
      <c r="BL67" s="1479"/>
      <c r="BM67" s="1479"/>
      <c r="BN67" s="1479"/>
      <c r="BO67" s="1479"/>
      <c r="BP67" s="1479"/>
      <c r="BQ67" s="1479"/>
      <c r="BR67" s="1479"/>
      <c r="BS67" s="1479"/>
      <c r="BT67" s="1479"/>
      <c r="BU67" s="1479"/>
      <c r="BV67" s="1479"/>
      <c r="BW67" s="1479"/>
      <c r="BX67" s="1479"/>
      <c r="BY67" s="1479"/>
      <c r="BZ67" s="1479"/>
      <c r="CA67" s="1479"/>
      <c r="CB67" s="1479"/>
      <c r="CC67" s="1479"/>
      <c r="CD67" s="1479"/>
      <c r="CE67" s="1479"/>
      <c r="CF67" s="1479"/>
      <c r="CG67" s="1479"/>
      <c r="CH67" s="1479"/>
      <c r="CI67" s="31"/>
      <c r="CJ67" s="31"/>
      <c r="CK67" s="31"/>
      <c r="CL67" s="31"/>
      <c r="CM67" s="31"/>
      <c r="CN67" s="31"/>
      <c r="CO67" s="31"/>
      <c r="CP67" s="31"/>
      <c r="CQ67" s="31"/>
      <c r="CS67" s="233"/>
      <c r="CT67" s="233"/>
      <c r="CU67" s="30" t="str">
        <f>IF(Basisdaten!$B$15=Basisdaten!$D$2,CV67,CW67)</f>
        <v>Summe Betriebskosten II</v>
      </c>
      <c r="CV67" s="38" t="str">
        <f>"Summe Betriebskosten II"</f>
        <v>Summe Betriebskosten II</v>
      </c>
      <c r="CW67" s="38" t="s">
        <v>270</v>
      </c>
      <c r="CX67" s="30">
        <f>IF(Basisdaten!$B$15=Basisdaten!$D$2,CY67,CZ67)</f>
        <v>0</v>
      </c>
      <c r="CY67" s="116"/>
      <c r="CZ67" s="116"/>
      <c r="DA67" s="116"/>
      <c r="DB67" s="116"/>
      <c r="DC67" s="116"/>
      <c r="DD67" s="116"/>
      <c r="DE67" s="116"/>
      <c r="DF67" s="116"/>
      <c r="DG67" s="116"/>
      <c r="DH67" s="116"/>
      <c r="DI67" s="116"/>
      <c r="DJ67" s="116"/>
      <c r="DK67" s="55"/>
    </row>
    <row r="68" spans="3:121" ht="14.25" hidden="1" customHeight="1">
      <c r="C68" s="1772"/>
      <c r="D68" s="695"/>
      <c r="E68" s="1776">
        <v>1</v>
      </c>
      <c r="F68" s="1773" t="str">
        <f>Basisdaten!$O$37</f>
        <v>MwSt</v>
      </c>
      <c r="G68" s="1774">
        <f t="shared" ref="G68:R68" si="39">G5*$E5+G6*$E6+G7*$E7+G9*$E9+G10*$E10</f>
        <v>0</v>
      </c>
      <c r="H68" s="1774">
        <f t="shared" si="39"/>
        <v>0</v>
      </c>
      <c r="I68" s="1774">
        <f t="shared" si="39"/>
        <v>0</v>
      </c>
      <c r="J68" s="1774">
        <f t="shared" si="39"/>
        <v>0</v>
      </c>
      <c r="K68" s="1774">
        <f t="shared" si="39"/>
        <v>0</v>
      </c>
      <c r="L68" s="1774">
        <f t="shared" si="39"/>
        <v>0</v>
      </c>
      <c r="M68" s="1774">
        <f t="shared" si="39"/>
        <v>0</v>
      </c>
      <c r="N68" s="1774">
        <f t="shared" si="39"/>
        <v>0</v>
      </c>
      <c r="O68" s="1774">
        <f t="shared" si="39"/>
        <v>0</v>
      </c>
      <c r="P68" s="1774">
        <f t="shared" si="39"/>
        <v>0</v>
      </c>
      <c r="Q68" s="1774">
        <f t="shared" si="39"/>
        <v>0</v>
      </c>
      <c r="R68" s="1774">
        <f t="shared" si="39"/>
        <v>0</v>
      </c>
      <c r="S68" s="1774">
        <f>SUM(G68:R68)</f>
        <v>0</v>
      </c>
      <c r="T68" s="552"/>
      <c r="U68" s="25"/>
      <c r="V68" s="25"/>
      <c r="W68" s="25"/>
      <c r="X68" s="25"/>
      <c r="Y68" s="25"/>
      <c r="Z68" s="25"/>
      <c r="AA68" s="25"/>
      <c r="AB68" s="25"/>
      <c r="AC68" s="25"/>
      <c r="AD68" s="25"/>
      <c r="AE68" s="25"/>
      <c r="AF68" s="25"/>
      <c r="AG68" s="25"/>
      <c r="AH68" s="25"/>
      <c r="AI68" s="25"/>
      <c r="AJ68" s="25"/>
      <c r="AL68" s="549"/>
      <c r="AM68" s="1480"/>
      <c r="AN68" s="1480"/>
      <c r="BA68" s="1479"/>
      <c r="BB68" s="1479"/>
      <c r="BC68" s="1479"/>
      <c r="BD68" s="1479"/>
      <c r="BE68" s="1479"/>
      <c r="BF68" s="1479"/>
      <c r="BG68" s="1479"/>
      <c r="BH68" s="1479"/>
      <c r="BI68" s="1479"/>
      <c r="BJ68" s="1479"/>
      <c r="BK68" s="1479"/>
      <c r="BL68" s="1479"/>
      <c r="BM68" s="1479"/>
      <c r="BN68" s="1479"/>
      <c r="BO68" s="1479"/>
      <c r="BP68" s="1479"/>
      <c r="BQ68" s="1479"/>
      <c r="BR68" s="1479"/>
      <c r="BS68" s="1479"/>
      <c r="BT68" s="1479"/>
      <c r="BU68" s="1479"/>
      <c r="BV68" s="1479"/>
      <c r="BW68" s="1479"/>
      <c r="BX68" s="1479"/>
      <c r="BY68" s="1479"/>
      <c r="CA68" s="1479"/>
      <c r="CB68" s="1479"/>
      <c r="CC68" s="1479"/>
      <c r="CD68" s="1479"/>
      <c r="CE68" s="1479"/>
      <c r="CF68" s="1479"/>
      <c r="CH68" s="1479"/>
      <c r="CI68" s="31"/>
      <c r="CJ68" s="31"/>
      <c r="CK68" s="31"/>
      <c r="CL68" s="31"/>
      <c r="CM68" s="31"/>
      <c r="CN68" s="31"/>
      <c r="CO68" s="31"/>
      <c r="CP68" s="31"/>
      <c r="CQ68" s="31"/>
      <c r="CS68" s="233"/>
      <c r="CT68" s="233"/>
      <c r="CU68" s="30" t="str">
        <f>IF(Basisdaten!$B$15=Basisdaten!$D$2,CV68,CW68)</f>
        <v>Planung</v>
      </c>
      <c r="CV68" s="523" t="s">
        <v>965</v>
      </c>
      <c r="CW68" s="523" t="s">
        <v>966</v>
      </c>
      <c r="CX68" s="30">
        <f>IF(Basisdaten!$B$15=Basisdaten!$D$2,CY68,CZ68)</f>
        <v>0</v>
      </c>
      <c r="CY68" s="1321"/>
      <c r="CZ68" s="1321"/>
      <c r="DK68" s="52"/>
    </row>
    <row r="69" spans="3:121" ht="14.25" hidden="1" customHeight="1">
      <c r="C69" s="1644"/>
      <c r="D69" s="695"/>
      <c r="E69" s="1776">
        <v>2</v>
      </c>
      <c r="F69" s="1773" t="str">
        <f t="shared" ref="F69:F76" si="40">$F$68</f>
        <v>MwSt</v>
      </c>
      <c r="G69" s="761">
        <f t="shared" ref="G69:R69" si="41">G14*$E14+G17*$E17+G18*$E18+G19*$E19+G20*$E20+G21*$E21</f>
        <v>0</v>
      </c>
      <c r="H69" s="761">
        <f t="shared" si="41"/>
        <v>0</v>
      </c>
      <c r="I69" s="761">
        <f t="shared" si="41"/>
        <v>0</v>
      </c>
      <c r="J69" s="761">
        <f t="shared" si="41"/>
        <v>0</v>
      </c>
      <c r="K69" s="761">
        <f t="shared" si="41"/>
        <v>0</v>
      </c>
      <c r="L69" s="761">
        <f t="shared" si="41"/>
        <v>0</v>
      </c>
      <c r="M69" s="761">
        <f t="shared" si="41"/>
        <v>0</v>
      </c>
      <c r="N69" s="761">
        <f t="shared" si="41"/>
        <v>0</v>
      </c>
      <c r="O69" s="761">
        <f t="shared" si="41"/>
        <v>0</v>
      </c>
      <c r="P69" s="761">
        <f t="shared" si="41"/>
        <v>0</v>
      </c>
      <c r="Q69" s="761">
        <f t="shared" si="41"/>
        <v>0</v>
      </c>
      <c r="R69" s="761">
        <f t="shared" si="41"/>
        <v>0</v>
      </c>
      <c r="S69" s="1774">
        <f t="shared" ref="S69:S76" si="42">SUM(G69:R69)</f>
        <v>0</v>
      </c>
      <c r="T69" s="552"/>
      <c r="U69" s="25"/>
      <c r="V69" s="25"/>
      <c r="W69" s="25"/>
      <c r="X69" s="25"/>
      <c r="Y69" s="25"/>
      <c r="Z69" s="25"/>
      <c r="AA69" s="25"/>
      <c r="AB69" s="25"/>
      <c r="AC69" s="25"/>
      <c r="AD69" s="25"/>
      <c r="AE69" s="25"/>
      <c r="AF69" s="25"/>
      <c r="AG69" s="25"/>
      <c r="AH69" s="25"/>
      <c r="AI69" s="25"/>
      <c r="AJ69" s="25"/>
      <c r="AK69" s="549"/>
      <c r="AL69" s="549"/>
      <c r="BA69" s="1479"/>
      <c r="BB69" s="1479"/>
      <c r="BC69" s="1479"/>
      <c r="BD69" s="1479"/>
      <c r="BE69" s="1479"/>
      <c r="BF69" s="1479"/>
      <c r="BG69" s="1479"/>
      <c r="BH69" s="1479"/>
      <c r="BI69" s="1479"/>
      <c r="BJ69" s="1479"/>
      <c r="BK69" s="1479"/>
      <c r="BL69" s="1479"/>
      <c r="BM69" s="1479"/>
      <c r="BN69" s="1479"/>
      <c r="BO69" s="1479"/>
      <c r="BP69" s="1479"/>
      <c r="BQ69" s="1479"/>
      <c r="BR69" s="1479"/>
      <c r="BS69" s="1479"/>
      <c r="BT69" s="1479"/>
      <c r="BU69" s="1479"/>
      <c r="BV69" s="1479"/>
      <c r="BW69" s="1479"/>
      <c r="BX69" s="1479"/>
      <c r="BY69" s="1479"/>
      <c r="BZ69" s="1479"/>
      <c r="CA69" s="1479"/>
      <c r="CB69" s="1479"/>
      <c r="CC69" s="1479"/>
      <c r="CD69" s="1479"/>
      <c r="CE69" s="1479"/>
      <c r="CF69" s="1471"/>
      <c r="CG69" s="1475"/>
      <c r="CH69" s="1475"/>
      <c r="CV69" s="523"/>
      <c r="CW69" s="523"/>
      <c r="CX69" s="30">
        <f>IF(Basisdaten!$B$15=Basisdaten!$D$2,CY69,CZ69)</f>
        <v>0</v>
      </c>
      <c r="DK69" s="52"/>
    </row>
    <row r="70" spans="3:121" ht="14.25" hidden="1" customHeight="1">
      <c r="C70" s="1645"/>
      <c r="D70" s="695"/>
      <c r="E70" s="1776">
        <v>3</v>
      </c>
      <c r="F70" s="1773" t="str">
        <f t="shared" si="40"/>
        <v>MwSt</v>
      </c>
      <c r="G70" s="761">
        <f t="shared" ref="G70:R70" si="43">G25*$E25+X71</f>
        <v>0</v>
      </c>
      <c r="H70" s="761">
        <f t="shared" si="43"/>
        <v>0</v>
      </c>
      <c r="I70" s="761">
        <f t="shared" si="43"/>
        <v>0</v>
      </c>
      <c r="J70" s="761">
        <f t="shared" si="43"/>
        <v>0</v>
      </c>
      <c r="K70" s="761">
        <f t="shared" si="43"/>
        <v>0</v>
      </c>
      <c r="L70" s="761">
        <f t="shared" si="43"/>
        <v>0</v>
      </c>
      <c r="M70" s="761">
        <f t="shared" si="43"/>
        <v>0</v>
      </c>
      <c r="N70" s="761">
        <f t="shared" si="43"/>
        <v>0</v>
      </c>
      <c r="O70" s="761">
        <f t="shared" si="43"/>
        <v>0</v>
      </c>
      <c r="P70" s="761">
        <f t="shared" si="43"/>
        <v>0</v>
      </c>
      <c r="Q70" s="761">
        <f t="shared" si="43"/>
        <v>0</v>
      </c>
      <c r="R70" s="761">
        <f t="shared" si="43"/>
        <v>0</v>
      </c>
      <c r="S70" s="1774">
        <f t="shared" si="42"/>
        <v>0</v>
      </c>
      <c r="T70" s="552"/>
      <c r="U70" s="25"/>
      <c r="V70" s="25"/>
      <c r="W70" s="25"/>
      <c r="X70" s="25"/>
      <c r="Y70" s="25"/>
      <c r="Z70" s="25"/>
      <c r="AA70" s="25"/>
      <c r="AB70" s="25"/>
      <c r="AC70" s="25"/>
      <c r="AD70" s="25"/>
      <c r="AE70" s="25"/>
      <c r="AF70" s="25"/>
      <c r="AG70" s="25"/>
      <c r="AH70" s="25"/>
      <c r="AI70" s="25"/>
      <c r="AJ70" s="25"/>
      <c r="AL70" s="549"/>
      <c r="AM70" s="1480"/>
      <c r="AN70" s="1480"/>
      <c r="BA70" s="1479"/>
      <c r="BB70" s="1479"/>
      <c r="BC70" s="1479"/>
      <c r="BD70" s="1479"/>
      <c r="BE70" s="1479"/>
      <c r="BF70" s="1479"/>
      <c r="BG70" s="1479"/>
      <c r="BH70" s="1479"/>
      <c r="BI70" s="1479"/>
      <c r="BJ70" s="1479"/>
      <c r="BK70" s="1479"/>
      <c r="BL70" s="1479"/>
      <c r="BM70" s="1479"/>
      <c r="BN70" s="1479"/>
      <c r="BO70" s="1479"/>
      <c r="BP70" s="1479"/>
      <c r="BQ70" s="1479"/>
      <c r="BR70" s="1479"/>
      <c r="BS70" s="1479"/>
      <c r="BT70" s="1479"/>
      <c r="BU70" s="1479"/>
      <c r="BV70" s="1479"/>
      <c r="BW70" s="1479"/>
      <c r="BX70" s="1479"/>
      <c r="BY70" s="1479"/>
      <c r="BZ70" s="1479"/>
      <c r="CA70" s="1479"/>
      <c r="CB70" s="1479"/>
      <c r="CC70" s="1479"/>
      <c r="CD70" s="1479"/>
      <c r="CE70" s="1479"/>
      <c r="CF70" s="1471"/>
      <c r="CG70" s="1471"/>
      <c r="CH70" s="1471"/>
      <c r="CU70" s="30"/>
      <c r="CV70" s="523"/>
      <c r="CW70" s="523"/>
      <c r="CX70" s="30">
        <f>IF(Basisdaten!$B$15=Basisdaten!$D$2,CY70,CZ70)</f>
        <v>0</v>
      </c>
      <c r="DK70" s="52"/>
    </row>
    <row r="71" spans="3:121" ht="14.25" hidden="1" customHeight="1">
      <c r="C71" s="1644"/>
      <c r="D71" s="695"/>
      <c r="E71" s="1776">
        <v>4</v>
      </c>
      <c r="F71" s="1773" t="str">
        <f t="shared" si="40"/>
        <v>MwSt</v>
      </c>
      <c r="G71" s="761">
        <f t="shared" ref="G71:R71" si="44">G28*$E28+G29*$E29+G30*$E30+G31*$E31</f>
        <v>0</v>
      </c>
      <c r="H71" s="761">
        <f t="shared" si="44"/>
        <v>0</v>
      </c>
      <c r="I71" s="761">
        <f t="shared" si="44"/>
        <v>0</v>
      </c>
      <c r="J71" s="761">
        <f>J28*$E28+J29*$E29+J30*$E30+J31*$E31</f>
        <v>0</v>
      </c>
      <c r="K71" s="761">
        <f t="shared" si="44"/>
        <v>0</v>
      </c>
      <c r="L71" s="761">
        <f t="shared" si="44"/>
        <v>0</v>
      </c>
      <c r="M71" s="761">
        <f t="shared" si="44"/>
        <v>0</v>
      </c>
      <c r="N71" s="761">
        <f t="shared" si="44"/>
        <v>0</v>
      </c>
      <c r="O71" s="761">
        <f t="shared" si="44"/>
        <v>0</v>
      </c>
      <c r="P71" s="761">
        <f t="shared" si="44"/>
        <v>0</v>
      </c>
      <c r="Q71" s="761">
        <f t="shared" si="44"/>
        <v>0</v>
      </c>
      <c r="R71" s="761">
        <f t="shared" si="44"/>
        <v>0</v>
      </c>
      <c r="S71" s="1774">
        <f t="shared" si="42"/>
        <v>0</v>
      </c>
      <c r="T71" s="552"/>
      <c r="U71" s="1777" t="s">
        <v>943</v>
      </c>
      <c r="V71" s="1778"/>
      <c r="W71" s="1394"/>
      <c r="X71" s="1268">
        <f t="shared" ref="X71:AI71" si="45">X25*$AJ$26+X27*$AJ$28+X29*$AJ$30+X31*$AJ$32</f>
        <v>0</v>
      </c>
      <c r="Y71" s="1268">
        <f t="shared" si="45"/>
        <v>0</v>
      </c>
      <c r="Z71" s="1268">
        <f t="shared" si="45"/>
        <v>0</v>
      </c>
      <c r="AA71" s="1268">
        <f t="shared" si="45"/>
        <v>0</v>
      </c>
      <c r="AB71" s="1268">
        <f t="shared" si="45"/>
        <v>0</v>
      </c>
      <c r="AC71" s="1268">
        <f t="shared" si="45"/>
        <v>0</v>
      </c>
      <c r="AD71" s="1268">
        <f t="shared" si="45"/>
        <v>0</v>
      </c>
      <c r="AE71" s="1268">
        <f t="shared" si="45"/>
        <v>0</v>
      </c>
      <c r="AF71" s="1268">
        <f t="shared" si="45"/>
        <v>0</v>
      </c>
      <c r="AG71" s="1268">
        <f t="shared" si="45"/>
        <v>0</v>
      </c>
      <c r="AH71" s="1268">
        <f t="shared" si="45"/>
        <v>0</v>
      </c>
      <c r="AI71" s="1268">
        <f t="shared" si="45"/>
        <v>0</v>
      </c>
      <c r="AJ71" s="1268">
        <f>SUM(X71:AI71)</f>
        <v>0</v>
      </c>
      <c r="AK71" s="549"/>
      <c r="AL71" s="549"/>
      <c r="BA71" s="1479"/>
      <c r="BB71" s="1479"/>
      <c r="BC71" s="1479"/>
      <c r="BD71" s="1479"/>
      <c r="BE71" s="1479"/>
      <c r="BF71" s="1479"/>
      <c r="BG71" s="1479"/>
      <c r="BH71" s="1479"/>
      <c r="BI71" s="1479"/>
      <c r="BJ71" s="1479"/>
      <c r="BK71" s="1479"/>
      <c r="BL71" s="1479"/>
      <c r="BM71" s="1479"/>
      <c r="BN71" s="1479"/>
      <c r="BO71" s="1479"/>
      <c r="BP71" s="1479"/>
      <c r="BQ71" s="1479"/>
      <c r="BR71" s="1479"/>
      <c r="BS71" s="1479"/>
      <c r="BT71" s="1479"/>
      <c r="BU71" s="1479"/>
      <c r="BV71" s="1479"/>
      <c r="BW71" s="1479"/>
      <c r="BX71" s="1479"/>
      <c r="BY71" s="1479"/>
      <c r="BZ71" s="1479"/>
      <c r="CA71" s="1479"/>
      <c r="CB71" s="1479"/>
      <c r="CC71" s="1479"/>
      <c r="CD71" s="1479"/>
      <c r="CE71" s="1479"/>
      <c r="CF71" s="1479"/>
      <c r="CG71" s="1479"/>
      <c r="CH71" s="1479"/>
      <c r="CI71" s="31">
        <f>CI30</f>
        <v>0</v>
      </c>
      <c r="CJ71" s="31"/>
      <c r="CK71" s="31"/>
      <c r="CL71" s="31"/>
      <c r="CM71" s="25"/>
      <c r="CN71" s="25"/>
      <c r="CO71" s="25"/>
      <c r="CS71" s="548"/>
      <c r="CT71" s="233"/>
      <c r="CU71" s="30"/>
      <c r="CV71" s="523"/>
      <c r="CW71" s="523"/>
      <c r="CX71" s="30">
        <f>IF(Basisdaten!$B$15=Basisdaten!$D$2,CY71,CZ71)</f>
        <v>0</v>
      </c>
      <c r="DK71" s="52"/>
    </row>
    <row r="72" spans="3:121" ht="14.25" hidden="1" customHeight="1">
      <c r="C72" s="1644"/>
      <c r="D72" s="695"/>
      <c r="E72" s="1776">
        <v>5</v>
      </c>
      <c r="F72" s="1773" t="str">
        <f t="shared" si="40"/>
        <v>MwSt</v>
      </c>
      <c r="G72" s="761">
        <f t="shared" ref="G72:R72" si="46">G34*$E34+G35*$E35+G36*$E36+G37*$E37</f>
        <v>0</v>
      </c>
      <c r="H72" s="761">
        <f t="shared" si="46"/>
        <v>0</v>
      </c>
      <c r="I72" s="761">
        <f t="shared" si="46"/>
        <v>0</v>
      </c>
      <c r="J72" s="761">
        <f t="shared" si="46"/>
        <v>0</v>
      </c>
      <c r="K72" s="761">
        <f t="shared" si="46"/>
        <v>0</v>
      </c>
      <c r="L72" s="761">
        <f t="shared" si="46"/>
        <v>0</v>
      </c>
      <c r="M72" s="761">
        <f t="shared" si="46"/>
        <v>0</v>
      </c>
      <c r="N72" s="761">
        <f t="shared" si="46"/>
        <v>0</v>
      </c>
      <c r="O72" s="761">
        <f t="shared" si="46"/>
        <v>0</v>
      </c>
      <c r="P72" s="761">
        <f t="shared" si="46"/>
        <v>0</v>
      </c>
      <c r="Q72" s="761">
        <f t="shared" si="46"/>
        <v>0</v>
      </c>
      <c r="R72" s="761">
        <f t="shared" si="46"/>
        <v>0</v>
      </c>
      <c r="S72" s="1774">
        <f t="shared" si="42"/>
        <v>0</v>
      </c>
      <c r="T72" s="552"/>
      <c r="U72" s="552"/>
      <c r="V72" s="552"/>
      <c r="W72" s="552"/>
      <c r="X72" s="552"/>
      <c r="Y72" s="552"/>
      <c r="Z72" s="552"/>
      <c r="AA72" s="552"/>
      <c r="AB72" s="552"/>
      <c r="AC72" s="552"/>
      <c r="AD72" s="552"/>
      <c r="AE72" s="552"/>
      <c r="AF72" s="552"/>
      <c r="AG72" s="552"/>
      <c r="AH72" s="552"/>
      <c r="AI72" s="552"/>
      <c r="AJ72" s="1343"/>
      <c r="AK72" s="549"/>
      <c r="AL72" s="549"/>
      <c r="AM72" s="549"/>
      <c r="AN72" s="549"/>
      <c r="AO72" s="549"/>
      <c r="BA72" s="1479"/>
      <c r="BB72" s="1479"/>
      <c r="BC72" s="1479"/>
      <c r="BD72" s="1479"/>
      <c r="BE72" s="1479"/>
      <c r="BF72" s="1479"/>
      <c r="BG72" s="1479"/>
      <c r="BH72" s="1479"/>
      <c r="BI72" s="1479"/>
      <c r="BJ72" s="1479"/>
      <c r="BK72" s="1479"/>
      <c r="BL72" s="1479"/>
      <c r="BM72" s="1479"/>
      <c r="BN72" s="1479"/>
      <c r="BO72" s="1479"/>
      <c r="BP72" s="1479"/>
      <c r="BQ72" s="1479"/>
      <c r="BR72" s="1479"/>
      <c r="BS72" s="1479"/>
      <c r="BT72" s="1479"/>
      <c r="BU72" s="1479"/>
      <c r="BV72" s="1479"/>
      <c r="BW72" s="1479"/>
      <c r="BX72" s="1479"/>
      <c r="BY72" s="1479"/>
      <c r="BZ72" s="1479"/>
      <c r="CA72" s="1479"/>
      <c r="CB72" s="1479"/>
      <c r="CC72" s="1479"/>
      <c r="CD72" s="1479"/>
      <c r="CE72" s="1479"/>
      <c r="CF72" s="1479"/>
      <c r="CG72" s="1479"/>
      <c r="CH72" s="1479"/>
      <c r="CI72" s="31"/>
      <c r="CJ72" s="31"/>
      <c r="CK72" s="31"/>
      <c r="CL72" s="31"/>
      <c r="CN72" s="31"/>
      <c r="CO72" s="31"/>
      <c r="CP72" s="31"/>
      <c r="CQ72" s="31"/>
      <c r="CS72" s="233"/>
      <c r="CT72" s="233"/>
      <c r="CU72" s="30"/>
      <c r="CV72" s="523"/>
      <c r="CW72" s="523"/>
      <c r="CX72" s="30">
        <f>IF(Basisdaten!$B$15=Basisdaten!$D$2,CY72,CZ72)</f>
        <v>0</v>
      </c>
      <c r="DK72" s="52"/>
    </row>
    <row r="73" spans="3:121" ht="14.25" hidden="1" customHeight="1">
      <c r="C73" s="1644"/>
      <c r="D73" s="695"/>
      <c r="E73" s="1776">
        <v>6</v>
      </c>
      <c r="F73" s="1773" t="str">
        <f t="shared" si="40"/>
        <v>MwSt</v>
      </c>
      <c r="G73" s="761">
        <f t="shared" ref="G73:R73" si="47">G40*$E40+G41*$E41+G42*$E42+G43*$E43+G44*$E44</f>
        <v>0</v>
      </c>
      <c r="H73" s="761">
        <f t="shared" si="47"/>
        <v>0</v>
      </c>
      <c r="I73" s="761">
        <f t="shared" si="47"/>
        <v>0</v>
      </c>
      <c r="J73" s="761">
        <f t="shared" si="47"/>
        <v>0</v>
      </c>
      <c r="K73" s="761">
        <f t="shared" si="47"/>
        <v>0</v>
      </c>
      <c r="L73" s="761">
        <f t="shared" si="47"/>
        <v>0</v>
      </c>
      <c r="M73" s="761">
        <f t="shared" si="47"/>
        <v>0</v>
      </c>
      <c r="N73" s="761">
        <f t="shared" si="47"/>
        <v>0</v>
      </c>
      <c r="O73" s="761">
        <f t="shared" si="47"/>
        <v>0</v>
      </c>
      <c r="P73" s="761">
        <f t="shared" si="47"/>
        <v>0</v>
      </c>
      <c r="Q73" s="761">
        <f t="shared" si="47"/>
        <v>0</v>
      </c>
      <c r="R73" s="761">
        <f t="shared" si="47"/>
        <v>0</v>
      </c>
      <c r="S73" s="1774">
        <f t="shared" si="42"/>
        <v>0</v>
      </c>
      <c r="T73" s="552"/>
      <c r="U73" s="26"/>
      <c r="V73" s="26"/>
      <c r="X73" s="28"/>
      <c r="Y73" s="549"/>
      <c r="Z73" s="549"/>
      <c r="AA73" s="28"/>
      <c r="AB73" s="28"/>
      <c r="AC73" s="28"/>
      <c r="AD73" s="28"/>
      <c r="AE73" s="28"/>
      <c r="AF73" s="28"/>
      <c r="AG73" s="28"/>
      <c r="AH73" s="28"/>
      <c r="AI73" s="28"/>
      <c r="AJ73" s="28"/>
      <c r="AK73" s="549"/>
      <c r="AL73" s="549"/>
      <c r="AM73" s="549"/>
      <c r="AN73" s="549"/>
      <c r="AO73" s="549"/>
      <c r="BA73" s="1479"/>
      <c r="BB73" s="1479"/>
      <c r="BC73" s="1479"/>
      <c r="BD73" s="1479"/>
      <c r="BE73" s="1479"/>
      <c r="BF73" s="1479"/>
      <c r="BG73" s="1479"/>
      <c r="BH73" s="1479"/>
      <c r="BI73" s="1479"/>
      <c r="BJ73" s="1479"/>
      <c r="BK73" s="1479"/>
      <c r="BL73" s="1479"/>
      <c r="BM73" s="1479"/>
      <c r="BN73" s="1479"/>
      <c r="BO73" s="1479"/>
      <c r="BP73" s="1479"/>
      <c r="BQ73" s="1479"/>
      <c r="BR73" s="1479"/>
      <c r="BS73" s="1479"/>
      <c r="BT73" s="1479"/>
      <c r="BU73" s="1479"/>
      <c r="BV73" s="1479"/>
      <c r="BW73" s="1479"/>
      <c r="BX73" s="1479"/>
      <c r="BY73" s="1479"/>
      <c r="BZ73" s="1479"/>
      <c r="CA73" s="1479"/>
      <c r="CB73" s="1479"/>
      <c r="CC73" s="1479"/>
      <c r="CD73" s="1479"/>
      <c r="CE73" s="1479"/>
      <c r="CF73" s="1479"/>
      <c r="CG73" s="1479"/>
      <c r="CH73" s="1479"/>
      <c r="CI73" s="31"/>
      <c r="CJ73" s="31"/>
      <c r="CK73" s="31"/>
      <c r="CL73" s="31"/>
      <c r="CM73" s="31"/>
      <c r="CN73" s="31"/>
      <c r="CO73" s="31"/>
      <c r="CP73" s="31"/>
      <c r="CQ73" s="31"/>
      <c r="CS73" s="233"/>
      <c r="CT73" s="233"/>
      <c r="CU73" s="30"/>
      <c r="CV73" s="523"/>
      <c r="CW73" s="523"/>
      <c r="CX73" s="30">
        <f>IF(Basisdaten!$B$15=Basisdaten!$D$2,CY73,CZ73)</f>
        <v>0</v>
      </c>
      <c r="DK73" s="52"/>
    </row>
    <row r="74" spans="3:121" ht="14.25" hidden="1" customHeight="1">
      <c r="C74" s="1644">
        <f>IF(Basisdaten!$L$15=Basisdaten!$Q$15,0,MwSt_19)</f>
        <v>0.19</v>
      </c>
      <c r="D74" s="695"/>
      <c r="E74" s="1776">
        <v>7</v>
      </c>
      <c r="F74" s="1773" t="str">
        <f t="shared" si="40"/>
        <v>MwSt</v>
      </c>
      <c r="G74" s="761">
        <f t="shared" ref="G74:R74" si="48">G48*$E48+G49*$E49+G50*$E50+G51*$E51+G52*$E52</f>
        <v>0</v>
      </c>
      <c r="H74" s="761">
        <f t="shared" si="48"/>
        <v>0</v>
      </c>
      <c r="I74" s="761">
        <f t="shared" si="48"/>
        <v>0</v>
      </c>
      <c r="J74" s="761">
        <f t="shared" si="48"/>
        <v>0</v>
      </c>
      <c r="K74" s="761">
        <f t="shared" si="48"/>
        <v>0</v>
      </c>
      <c r="L74" s="761">
        <f t="shared" si="48"/>
        <v>0</v>
      </c>
      <c r="M74" s="761">
        <f t="shared" si="48"/>
        <v>0</v>
      </c>
      <c r="N74" s="761">
        <f t="shared" si="48"/>
        <v>0</v>
      </c>
      <c r="O74" s="761">
        <f t="shared" si="48"/>
        <v>0</v>
      </c>
      <c r="P74" s="761">
        <f t="shared" si="48"/>
        <v>0</v>
      </c>
      <c r="Q74" s="761">
        <f t="shared" si="48"/>
        <v>0</v>
      </c>
      <c r="R74" s="761">
        <f t="shared" si="48"/>
        <v>0</v>
      </c>
      <c r="S74" s="1774">
        <f t="shared" si="42"/>
        <v>0</v>
      </c>
      <c r="T74" s="552"/>
      <c r="U74" s="26"/>
      <c r="V74" s="26"/>
      <c r="X74" s="28"/>
      <c r="Y74" s="549"/>
      <c r="Z74" s="549"/>
      <c r="AA74" s="28"/>
      <c r="AB74" s="28"/>
      <c r="AC74" s="28"/>
      <c r="AD74" s="28"/>
      <c r="AE74" s="28"/>
      <c r="AF74" s="28"/>
      <c r="AG74" s="28"/>
      <c r="AH74" s="28"/>
      <c r="AI74" s="28"/>
      <c r="AJ74" s="28"/>
      <c r="AK74" s="549"/>
      <c r="AL74" s="549"/>
      <c r="AM74" s="549"/>
      <c r="AN74" s="549"/>
      <c r="AO74" s="549"/>
      <c r="BA74" s="1479"/>
      <c r="BB74" s="1479"/>
      <c r="BC74" s="1479"/>
      <c r="BD74" s="1479"/>
      <c r="BE74" s="1479"/>
      <c r="BF74" s="1479"/>
      <c r="BG74" s="1479"/>
      <c r="BH74" s="1479"/>
      <c r="BI74" s="1479"/>
      <c r="BJ74" s="1479"/>
      <c r="BK74" s="1479"/>
      <c r="BL74" s="1479"/>
      <c r="BM74" s="1479"/>
      <c r="BN74" s="1479"/>
      <c r="BO74" s="1479"/>
      <c r="BP74" s="1479"/>
      <c r="BQ74" s="1479"/>
      <c r="BR74" s="1479"/>
      <c r="BS74" s="1479"/>
      <c r="BT74" s="1479"/>
      <c r="BU74" s="1479"/>
      <c r="BV74" s="1479"/>
      <c r="BW74" s="1479"/>
      <c r="BX74" s="1479"/>
      <c r="BY74" s="1479"/>
      <c r="BZ74" s="1479"/>
      <c r="CA74" s="1479"/>
      <c r="CB74" s="1479"/>
      <c r="CC74" s="1479"/>
      <c r="CD74" s="1479"/>
      <c r="CE74" s="1479"/>
      <c r="CF74" s="1479"/>
      <c r="CG74" s="1479"/>
      <c r="CH74" s="1479"/>
      <c r="CI74" s="31"/>
      <c r="CJ74" s="31"/>
      <c r="CK74" s="31"/>
      <c r="CL74" s="31"/>
      <c r="CM74" s="31"/>
      <c r="CN74" s="31"/>
      <c r="CO74" s="31"/>
      <c r="CP74" s="31"/>
      <c r="CQ74" s="31"/>
      <c r="CS74" s="233"/>
      <c r="CT74" s="233"/>
      <c r="CU74" s="30"/>
      <c r="CV74" s="523"/>
      <c r="CW74" s="523"/>
      <c r="CX74" s="30">
        <f>IF(Basisdaten!$B$15=Basisdaten!$D$2,CY74,CZ74)</f>
        <v>0</v>
      </c>
      <c r="DK74" s="52"/>
    </row>
    <row r="75" spans="3:121" ht="14.25" hidden="1" customHeight="1">
      <c r="C75" s="1644">
        <f>IF(Basisdaten!$L$15=Basisdaten!$Q$15,0,MwSt_19)</f>
        <v>0.19</v>
      </c>
      <c r="D75" s="695"/>
      <c r="E75" s="1776">
        <v>8</v>
      </c>
      <c r="F75" s="1773" t="str">
        <f t="shared" si="40"/>
        <v>MwSt</v>
      </c>
      <c r="G75" s="761">
        <f t="shared" ref="G75:R75" si="49">G55*$E55+G56*$E56+G57*$E57</f>
        <v>0</v>
      </c>
      <c r="H75" s="761">
        <f t="shared" si="49"/>
        <v>0</v>
      </c>
      <c r="I75" s="761">
        <f t="shared" si="49"/>
        <v>0</v>
      </c>
      <c r="J75" s="761">
        <f t="shared" si="49"/>
        <v>0</v>
      </c>
      <c r="K75" s="761">
        <f t="shared" si="49"/>
        <v>0</v>
      </c>
      <c r="L75" s="761">
        <f t="shared" si="49"/>
        <v>0</v>
      </c>
      <c r="M75" s="761">
        <f t="shared" si="49"/>
        <v>0</v>
      </c>
      <c r="N75" s="761">
        <f t="shared" si="49"/>
        <v>0</v>
      </c>
      <c r="O75" s="761">
        <f t="shared" si="49"/>
        <v>0</v>
      </c>
      <c r="P75" s="761">
        <f t="shared" si="49"/>
        <v>0</v>
      </c>
      <c r="Q75" s="761">
        <f t="shared" si="49"/>
        <v>0</v>
      </c>
      <c r="R75" s="761">
        <f t="shared" si="49"/>
        <v>0</v>
      </c>
      <c r="S75" s="1774">
        <f t="shared" si="42"/>
        <v>0</v>
      </c>
      <c r="T75" s="552"/>
      <c r="U75" s="26"/>
      <c r="V75" s="26"/>
      <c r="X75" s="28"/>
      <c r="Y75" s="549"/>
      <c r="Z75" s="549"/>
      <c r="AA75" s="28"/>
      <c r="AB75" s="28"/>
      <c r="AC75" s="28"/>
      <c r="AD75" s="28"/>
      <c r="AE75" s="28"/>
      <c r="AF75" s="28"/>
      <c r="AG75" s="28"/>
      <c r="AH75" s="28"/>
      <c r="AI75" s="28"/>
      <c r="AJ75" s="28"/>
      <c r="AK75" s="549"/>
      <c r="AL75" s="549"/>
      <c r="AM75" s="549"/>
      <c r="AN75" s="549"/>
      <c r="AO75" s="549"/>
      <c r="BA75" s="1479"/>
      <c r="BB75" s="1479"/>
      <c r="BC75" s="1479"/>
      <c r="BD75" s="1479"/>
      <c r="BE75" s="1479"/>
      <c r="BF75" s="1479"/>
      <c r="BG75" s="1479"/>
      <c r="BH75" s="1479"/>
      <c r="BI75" s="1479"/>
      <c r="BJ75" s="1479"/>
      <c r="BK75" s="1479"/>
      <c r="BL75" s="1479"/>
      <c r="BM75" s="1479"/>
      <c r="BN75" s="1479"/>
      <c r="BO75" s="1479"/>
      <c r="BP75" s="1479"/>
      <c r="BQ75" s="1479"/>
      <c r="BR75" s="1479"/>
      <c r="BS75" s="1479"/>
      <c r="BT75" s="1479"/>
      <c r="BU75" s="1479"/>
      <c r="BV75" s="1479"/>
      <c r="BW75" s="1479"/>
      <c r="BX75" s="1479"/>
      <c r="BY75" s="1479"/>
      <c r="BZ75" s="1479"/>
      <c r="CA75" s="1479"/>
      <c r="CB75" s="1479"/>
      <c r="CC75" s="1479"/>
      <c r="CD75" s="1479"/>
      <c r="CE75" s="1479"/>
      <c r="CF75" s="1479"/>
      <c r="CG75" s="1479"/>
      <c r="CH75" s="1479"/>
      <c r="CI75" s="31"/>
      <c r="CJ75" s="31"/>
      <c r="CK75" s="31"/>
      <c r="CL75" s="31"/>
      <c r="CM75" s="31"/>
      <c r="CN75" s="31"/>
      <c r="CO75" s="31"/>
      <c r="CP75" s="31"/>
      <c r="CQ75" s="31"/>
      <c r="CS75" s="233"/>
      <c r="CT75" s="233"/>
      <c r="CU75" s="30"/>
      <c r="CV75" s="523"/>
      <c r="CW75" s="523"/>
      <c r="CX75" s="30">
        <f>IF(Basisdaten!$B$15=Basisdaten!$D$2,CY75,CZ75)</f>
        <v>0</v>
      </c>
      <c r="DK75" s="52"/>
    </row>
    <row r="76" spans="3:121" ht="14.25" hidden="1" customHeight="1">
      <c r="C76" s="1637"/>
      <c r="D76" s="695"/>
      <c r="E76" s="1776">
        <v>9</v>
      </c>
      <c r="F76" s="1773" t="str">
        <f t="shared" si="40"/>
        <v>MwSt</v>
      </c>
      <c r="G76" s="761">
        <f t="shared" ref="G76:R76" si="50">G60*$E60+G61*$E61+G62*$E62+G63*$E63</f>
        <v>0</v>
      </c>
      <c r="H76" s="761">
        <f t="shared" si="50"/>
        <v>0</v>
      </c>
      <c r="I76" s="761">
        <f t="shared" si="50"/>
        <v>0</v>
      </c>
      <c r="J76" s="761">
        <f t="shared" si="50"/>
        <v>0</v>
      </c>
      <c r="K76" s="761">
        <f t="shared" si="50"/>
        <v>0</v>
      </c>
      <c r="L76" s="761">
        <f t="shared" si="50"/>
        <v>0</v>
      </c>
      <c r="M76" s="761">
        <f t="shared" si="50"/>
        <v>0</v>
      </c>
      <c r="N76" s="761">
        <f t="shared" si="50"/>
        <v>0</v>
      </c>
      <c r="O76" s="761">
        <f t="shared" si="50"/>
        <v>0</v>
      </c>
      <c r="P76" s="761">
        <f t="shared" si="50"/>
        <v>0</v>
      </c>
      <c r="Q76" s="761">
        <f t="shared" si="50"/>
        <v>0</v>
      </c>
      <c r="R76" s="761">
        <f t="shared" si="50"/>
        <v>0</v>
      </c>
      <c r="S76" s="1774">
        <f t="shared" si="42"/>
        <v>0</v>
      </c>
      <c r="T76" s="552"/>
      <c r="U76" s="26"/>
      <c r="V76" s="26"/>
      <c r="X76" s="28"/>
      <c r="Y76" s="549"/>
      <c r="Z76" s="549"/>
      <c r="AA76" s="28"/>
      <c r="AB76" s="28"/>
      <c r="AC76" s="28"/>
      <c r="AD76" s="28"/>
      <c r="AE76" s="28"/>
      <c r="AF76" s="28"/>
      <c r="AG76" s="28"/>
      <c r="AH76" s="28"/>
      <c r="AI76" s="28"/>
      <c r="AJ76" s="28"/>
      <c r="AK76" s="549"/>
      <c r="AL76" s="549"/>
      <c r="AM76" s="549"/>
      <c r="BA76" s="1479"/>
      <c r="BB76" s="1479"/>
      <c r="BC76" s="1479"/>
      <c r="BD76" s="1479"/>
      <c r="BE76" s="1479"/>
      <c r="BF76" s="1479"/>
      <c r="BG76" s="1479"/>
      <c r="BH76" s="1479"/>
      <c r="BI76" s="1479"/>
      <c r="BJ76" s="1479"/>
      <c r="BK76" s="1479"/>
      <c r="BL76" s="1479"/>
      <c r="BM76" s="1479"/>
      <c r="BN76" s="1479"/>
      <c r="BO76" s="1479"/>
      <c r="BP76" s="1479"/>
      <c r="BQ76" s="1479"/>
      <c r="BR76" s="1479"/>
      <c r="BS76" s="1479"/>
      <c r="BT76" s="1479"/>
      <c r="BU76" s="1479"/>
      <c r="BV76" s="1479"/>
      <c r="BW76" s="1479"/>
      <c r="BX76" s="1479"/>
      <c r="BY76" s="1479"/>
      <c r="BZ76" s="1479"/>
      <c r="CA76" s="1479"/>
      <c r="CB76" s="1479"/>
      <c r="CC76" s="1479"/>
      <c r="CD76" s="1479"/>
      <c r="CE76" s="1479"/>
      <c r="CF76" s="1479"/>
      <c r="CG76" s="1479"/>
      <c r="CH76" s="1479"/>
      <c r="CI76" s="31"/>
      <c r="CJ76" s="31"/>
      <c r="CK76" s="31"/>
      <c r="CL76" s="31"/>
      <c r="CM76" s="31"/>
      <c r="CN76" s="31"/>
      <c r="CO76" s="31"/>
      <c r="CP76" s="31"/>
      <c r="CQ76" s="31"/>
      <c r="CS76" s="233"/>
      <c r="CT76" s="233"/>
      <c r="CV76" s="29"/>
      <c r="CW76" s="29"/>
      <c r="CX76" s="30">
        <f>IF(Basisdaten!$B$15=Basisdaten!$D$2,CY76,CZ76)</f>
        <v>0</v>
      </c>
      <c r="DK76" s="52"/>
    </row>
    <row r="77" spans="3:121" ht="14.25" customHeight="1">
      <c r="C77" s="591"/>
      <c r="D77" s="695"/>
      <c r="E77" s="1775"/>
      <c r="F77" s="1262" t="str">
        <f>CU78</f>
        <v>MwSt gesamt</v>
      </c>
      <c r="G77" s="1264">
        <f>G5*$E5+G6*$E6+G7*$E7+G9*$E9+G10*$E10+G13*$E14+G17*$E17+G18*$E18+G19*$E19+G20*$E20+G21*$E21+G14*$E25+G28*$E28+G29*$E29+G30*$E30+G31*$E31+G34*$E34+G35*$E35+G36*$E36+G37*$E37+G40*$E40+G41*$E41+G42*$E42+G43*$E43+G44*$E44+G48*$E48+G49*$E49+G50*$E50+G51*$E51+G52*$E52+G55*$E55+G56*$E56+G57*$E57+G60*$E60+G61*$E61+G62*$E62+G63*$E63</f>
        <v>0</v>
      </c>
      <c r="H77" s="1264">
        <f>H5*$E5+H6*$E6+H7*$E7+H9*$E9+H10*$E10+H13*$E14+H17*$E17+H18*$E18+H19*$E19+H20*$E20+H21*$E21+H14*$E25+H28*$E28+H29*$E29+H30*$E30+H31*$E31+H34*$E34+H35*$E35+H36*$E36+H37*$E37+H40*$E40+H41*$E41+H42*$E42+H43*$E43+H44*$E44+H48*$E48+H49*$E49+H50*$E50+H51*$E51+H52*$E52+H55*$E55+H56*$E56+H57*$E57+H60*$E60+H61*$E61+H62*$E62+H63*$E63</f>
        <v>0</v>
      </c>
      <c r="I77" s="1264">
        <f>I5*$E5+I6*$E6+I7*$E7+I9*$E9+I10*$E10+I13*$E14+I17*$E17+I18*$E18+I19*$E19+I20*$E20+I21*$E21+I14*$E25+I28*$E28+I29*$E29+I30*$E30+I31*$E31+I34*$E34+I35*$E35+I36*$E36+I37*$E37+I40*$E40+I41*$E41+I42*$E42+I43*$E43+I44*$E44+I48*$E48+I49*$E49+I50*$E50+I51*$E51+I52*$E52+I55*$E55+I56*$E56+I57*$E57+I60*$E60+I61*$E61+I62*$E62+I63*$E63</f>
        <v>0</v>
      </c>
      <c r="J77" s="1264">
        <f>J5*$E5+J6*$E6+J7*$E7+J9*$E9+J10*$E10+J13*$E14+J17*$E17+J18*$E18+J19*$E19+J20*$E20+J21*$E21+J14*$E25+J28*$E28+J29*$E29+J30*$E30+J31*$E31+J34*$E34+J35*$E35+J36*$E36+J37*$E37+J40*$E40+J41*$E41+J42*$E42+J43*$E43+J44*$E44+J48*$E48+J49*$E49+J50*$E50+J51*$E51+J52*$E52+J55*$E55+J56*$E56+J57*$E57+J60*$E60+J61*$E61+J62*$E62+J63*$E63</f>
        <v>0</v>
      </c>
      <c r="K77" s="1264">
        <f>K5*$E5+K6*$E6+K7*$E7+K9*$E9+K10*$E10+K13*$E14+K17*$E17+K18*$E18+K19*$E19+K20*$E20+K21*$E21+K14*$E25+K28*$E28+K29*$E29+K30*$E30+K31*$E31+K34*$E34+K35*$E35+K36*$E36+K37*$E37+K40*$E40+K41*$E41+K42*$E42+K43*$E43+K44*$E44+K48*$E48+K49*$E49+K50*$E50+K51*$E51+K52*$E52+K55*$E55+K56*$E56+K57*$E57+K60*$E60+K61*$E61+K62*$E62+K63*$E63</f>
        <v>0</v>
      </c>
      <c r="L77" s="1264">
        <f t="shared" ref="L77:R77" si="51">L5*$E5+L6*$E6+L7*$E7+L9*$E9+L10*$E10+L13*$E14+L17*$E17+L18*$E18+L19*$E19+L20*$E20+L21*$E21+L14*$E25+L28*$E28+L29*$E29+L30*$E30+L31*$E31+L34*$E34+L35*$E35+L36*$E36+L37*$E37+L40*$E40+L41*$E41+L42*$E42+L43*$E43+L44*$E44+L48*$E48+L49*$E49+L50*$E50+L51*$E51+L52*$E52+L55*$E55+L56*$E56+L57*$E57+L60*$E60+L61*$E61+L62*$E62+L63*$E63</f>
        <v>0</v>
      </c>
      <c r="M77" s="1264">
        <f t="shared" si="51"/>
        <v>0</v>
      </c>
      <c r="N77" s="1264">
        <f t="shared" si="51"/>
        <v>0</v>
      </c>
      <c r="O77" s="1264">
        <f t="shared" si="51"/>
        <v>0</v>
      </c>
      <c r="P77" s="1264">
        <f t="shared" si="51"/>
        <v>0</v>
      </c>
      <c r="Q77" s="1264">
        <f t="shared" si="51"/>
        <v>0</v>
      </c>
      <c r="R77" s="1264">
        <f t="shared" si="51"/>
        <v>0</v>
      </c>
      <c r="S77" s="1290">
        <f>SUM(G77:R77)</f>
        <v>0</v>
      </c>
      <c r="T77" s="552"/>
      <c r="W77" s="592"/>
      <c r="X77" s="592"/>
      <c r="Y77" s="592"/>
      <c r="Z77" s="592"/>
      <c r="AA77" s="592"/>
      <c r="AB77" s="592"/>
      <c r="AC77" s="592"/>
      <c r="AD77" s="592"/>
      <c r="AE77" s="592"/>
      <c r="AF77" s="592"/>
      <c r="AG77" s="592"/>
      <c r="AH77" s="592"/>
      <c r="AI77" s="592"/>
      <c r="AJ77" s="592"/>
      <c r="AK77" s="613"/>
      <c r="AL77" s="549"/>
      <c r="AM77" s="613"/>
      <c r="AN77" s="1482"/>
      <c r="AO77" s="1482"/>
      <c r="AP77" s="1482"/>
      <c r="AQ77" s="1482"/>
      <c r="AR77" s="1482"/>
      <c r="AS77" s="1482"/>
      <c r="AT77" s="1482"/>
      <c r="AU77" s="1482"/>
      <c r="AV77" s="1482"/>
      <c r="AW77" s="1482"/>
      <c r="AX77" s="1482"/>
      <c r="AY77" s="1482"/>
      <c r="AZ77" s="1482"/>
      <c r="BA77" s="1483"/>
      <c r="BB77" s="1483"/>
      <c r="BC77" s="1483"/>
      <c r="BD77" s="1483"/>
      <c r="BE77" s="1483"/>
      <c r="BF77" s="1483"/>
      <c r="BG77" s="1483"/>
      <c r="BH77" s="1483"/>
      <c r="BI77" s="1483"/>
      <c r="BJ77" s="1483"/>
      <c r="BK77" s="1483"/>
      <c r="BL77" s="1483"/>
      <c r="BM77" s="1483"/>
      <c r="BN77" s="1483"/>
      <c r="BO77" s="1483"/>
      <c r="BP77" s="1483"/>
      <c r="BQ77" s="1483"/>
      <c r="BR77" s="1483"/>
      <c r="BS77" s="1483"/>
      <c r="BT77" s="1483"/>
      <c r="BU77" s="1483"/>
      <c r="BV77" s="1483"/>
      <c r="BW77" s="1483"/>
      <c r="BX77" s="1483"/>
      <c r="BY77" s="1483"/>
      <c r="BZ77" s="1483"/>
      <c r="CA77" s="1483"/>
      <c r="CB77" s="1483"/>
      <c r="CC77" s="1483"/>
      <c r="CD77" s="1483"/>
      <c r="CE77" s="1483"/>
      <c r="CF77" s="1483"/>
      <c r="CG77" s="1483"/>
      <c r="CH77" s="1483"/>
      <c r="CI77" s="560"/>
      <c r="CJ77" s="560"/>
      <c r="CK77" s="560"/>
      <c r="CL77" s="560"/>
      <c r="CM77" s="560"/>
      <c r="CN77" s="560"/>
      <c r="CO77" s="560"/>
      <c r="CP77" s="560"/>
      <c r="CQ77" s="560"/>
      <c r="CU77" s="30" t="str">
        <f>IF(Basisdaten!$B$15=Basisdaten!$D$2,CV77,CW77)</f>
        <v>Betriebskosten II</v>
      </c>
      <c r="CV77" s="30" t="s">
        <v>583</v>
      </c>
      <c r="CW77" s="30" t="s">
        <v>582</v>
      </c>
      <c r="CX77" s="30">
        <f>IF(Basisdaten!$B$15=Basisdaten!$D$2,CY77,CZ77)</f>
        <v>0</v>
      </c>
      <c r="DK77" s="52"/>
    </row>
    <row r="78" spans="3:121" ht="14.25" customHeight="1">
      <c r="C78" s="591"/>
      <c r="D78" s="1139"/>
      <c r="E78" s="574"/>
      <c r="F78" s="1140"/>
      <c r="G78" s="310"/>
      <c r="H78" s="310"/>
      <c r="I78" s="310"/>
      <c r="J78" s="310"/>
      <c r="K78" s="310"/>
      <c r="L78" s="310"/>
      <c r="M78" s="310"/>
      <c r="N78" s="310"/>
      <c r="O78" s="310"/>
      <c r="P78" s="310"/>
      <c r="Q78" s="310"/>
      <c r="R78" s="310"/>
      <c r="S78" s="1141"/>
      <c r="T78" s="552"/>
      <c r="W78" s="592"/>
      <c r="X78" s="592"/>
      <c r="Y78" s="592"/>
      <c r="Z78" s="592"/>
      <c r="AA78" s="592"/>
      <c r="AB78" s="1539"/>
      <c r="AC78" s="1539"/>
      <c r="AD78" s="1539"/>
      <c r="AE78" s="1539"/>
      <c r="AF78" s="1539"/>
      <c r="AG78" s="1539"/>
      <c r="AH78" s="1539"/>
      <c r="AI78" s="1539"/>
      <c r="AJ78" s="592"/>
      <c r="AK78" s="613"/>
      <c r="AL78" s="613"/>
      <c r="AM78" s="613"/>
      <c r="AN78" s="1482"/>
      <c r="AO78" s="1482"/>
      <c r="AP78" s="1482"/>
      <c r="AQ78" s="1482"/>
      <c r="AR78" s="1482"/>
      <c r="AS78" s="1482"/>
      <c r="AT78" s="1482"/>
      <c r="AU78" s="1482"/>
      <c r="AV78" s="1482"/>
      <c r="AW78" s="1482"/>
      <c r="AX78" s="1482"/>
      <c r="AY78" s="1482"/>
      <c r="AZ78" s="1482"/>
      <c r="BA78" s="1483"/>
      <c r="BB78" s="1483"/>
      <c r="BC78" s="1483"/>
      <c r="BD78" s="1483"/>
      <c r="BE78" s="1483"/>
      <c r="BF78" s="1483"/>
      <c r="BG78" s="1483"/>
      <c r="BH78" s="1483"/>
      <c r="BI78" s="1483"/>
      <c r="BJ78" s="1483"/>
      <c r="BK78" s="1483"/>
      <c r="BL78" s="1483"/>
      <c r="BM78" s="1483"/>
      <c r="BN78" s="1483"/>
      <c r="BO78" s="1483"/>
      <c r="BP78" s="1483"/>
      <c r="BQ78" s="1483"/>
      <c r="BR78" s="1483"/>
      <c r="BS78" s="1483"/>
      <c r="BT78" s="1483"/>
      <c r="BU78" s="1483"/>
      <c r="BV78" s="1483"/>
      <c r="BW78" s="1483"/>
      <c r="BX78" s="1483"/>
      <c r="BY78" s="1483"/>
      <c r="BZ78" s="1483"/>
      <c r="CA78" s="1483"/>
      <c r="CB78" s="1483"/>
      <c r="CC78" s="1483"/>
      <c r="CD78" s="1483"/>
      <c r="CE78" s="1483"/>
      <c r="CF78" s="1483"/>
      <c r="CG78" s="1483"/>
      <c r="CH78" s="1483"/>
      <c r="CI78" s="560"/>
      <c r="CJ78" s="560"/>
      <c r="CK78" s="560"/>
      <c r="CL78" s="560"/>
      <c r="CM78" s="560"/>
      <c r="CN78" s="560"/>
      <c r="CO78" s="560"/>
      <c r="CP78" s="560"/>
      <c r="CQ78" s="560"/>
      <c r="CU78" s="30" t="str">
        <f>IF(Basisdaten!$B$15=Basisdaten!$D$2,CV78,CW78)</f>
        <v>MwSt gesamt</v>
      </c>
      <c r="CV78" s="30" t="s">
        <v>609</v>
      </c>
      <c r="CW78" s="30" t="s">
        <v>910</v>
      </c>
      <c r="CX78" s="30">
        <f>IF(Basisdaten!$B$15=Basisdaten!$D$2,CY78,CZ78)</f>
        <v>0</v>
      </c>
      <c r="DK78" s="52"/>
    </row>
    <row r="79" spans="3:121" s="36" customFormat="1" ht="24.6" customHeight="1">
      <c r="C79" s="587"/>
      <c r="D79" s="695"/>
      <c r="E79" s="163" t="str">
        <f ca="1">CU79</f>
        <v xml:space="preserve">3a-2 Betriebskosten für das Jahr 2027 (ohne MwSt) </v>
      </c>
      <c r="G79" s="37"/>
      <c r="H79" s="37"/>
      <c r="I79" s="37"/>
      <c r="J79" s="37"/>
      <c r="K79" s="37"/>
      <c r="L79" s="37"/>
      <c r="M79" s="37"/>
      <c r="N79" s="37"/>
      <c r="O79" s="37"/>
      <c r="P79" s="37"/>
      <c r="Q79" s="586"/>
      <c r="R79" s="37"/>
      <c r="T79" s="552"/>
      <c r="U79" s="2249" t="str">
        <f ca="1">CX80</f>
        <v>3a-2.1.1 Aufstellung geringwertige Wirtschaftsgüter (GWG) Verwaltung 2027</v>
      </c>
      <c r="V79" s="2249"/>
      <c r="W79" s="2249"/>
      <c r="X79" s="2249"/>
      <c r="Y79" s="2249"/>
      <c r="Z79" s="2249"/>
      <c r="AA79" s="2249"/>
      <c r="AB79" s="268"/>
      <c r="AC79" s="249"/>
      <c r="AD79" s="249"/>
      <c r="AE79" s="249"/>
      <c r="AF79" s="249"/>
      <c r="AG79" s="249"/>
      <c r="AH79" s="249"/>
      <c r="AI79" s="249"/>
      <c r="AJ79" s="432"/>
      <c r="AK79" s="372"/>
      <c r="AL79" s="336" t="str">
        <f>AL3</f>
        <v>Aufgaben und/oder Kommentar</v>
      </c>
      <c r="AM79" s="372"/>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S79" s="30"/>
      <c r="CT79" s="30"/>
      <c r="CU79" s="30" t="str">
        <f ca="1">IF(Basisdaten!$B$15=Basisdaten!$D$2,CV79,CW79)</f>
        <v xml:space="preserve">3a-2 Betriebskosten für das Jahr 2027 (ohne MwSt) </v>
      </c>
      <c r="CV79" s="38" t="str">
        <f ca="1">"3a-2 Betriebskosten für das Jahr " &amp;Basisdaten!C15+1&amp;IF('2 Umsatz|Sales'!CT23=0,Basisdaten!L15,Basisdaten!Q16)</f>
        <v xml:space="preserve">3a-2 Betriebskosten für das Jahr 2027 (ohne MwSt) </v>
      </c>
      <c r="CW79" s="38" t="str">
        <f>"3a-2 Operating Expense for Year " &amp;IF('2 Umsatz|Sales'!CT23=0,Basisdaten!L15,Basisdaten!Q16)</f>
        <v xml:space="preserve">3a-2 Operating Expense for Year  (ohne MwSt) </v>
      </c>
      <c r="CX79" s="30">
        <f>IF(Basisdaten!$B$15=Basisdaten!$D$2,CY79,CZ79)</f>
        <v>0</v>
      </c>
      <c r="DB79" s="30"/>
      <c r="DC79" s="30"/>
      <c r="DD79" s="30"/>
      <c r="DE79" s="30"/>
      <c r="DF79" s="30"/>
      <c r="DG79" s="30"/>
      <c r="DH79" s="30"/>
      <c r="DI79" s="30"/>
      <c r="DJ79" s="30"/>
      <c r="DK79" s="30"/>
      <c r="DL79" s="30"/>
      <c r="DM79" s="30"/>
      <c r="DN79" s="30"/>
      <c r="DO79" s="30"/>
      <c r="DP79" s="168"/>
      <c r="DQ79" s="45"/>
    </row>
    <row r="80" spans="3:121" s="34" customFormat="1" ht="14.4" customHeight="1">
      <c r="C80" s="552"/>
      <c r="D80" s="695"/>
      <c r="E80" s="535"/>
      <c r="G80" s="34">
        <v>1</v>
      </c>
      <c r="H80" s="34">
        <v>2</v>
      </c>
      <c r="I80" s="34">
        <v>3</v>
      </c>
      <c r="J80" s="34">
        <v>4</v>
      </c>
      <c r="K80" s="34">
        <v>5</v>
      </c>
      <c r="L80" s="34">
        <v>6</v>
      </c>
      <c r="M80" s="34">
        <v>7</v>
      </c>
      <c r="N80" s="34">
        <v>8</v>
      </c>
      <c r="O80" s="34">
        <v>9</v>
      </c>
      <c r="P80" s="34">
        <v>10</v>
      </c>
      <c r="Q80" s="34">
        <v>11</v>
      </c>
      <c r="R80" s="34">
        <v>12</v>
      </c>
      <c r="T80" s="552"/>
      <c r="U80" s="2250"/>
      <c r="V80" s="2250"/>
      <c r="W80" s="2250"/>
      <c r="X80" s="2250"/>
      <c r="Y80" s="2250"/>
      <c r="Z80" s="2250"/>
      <c r="AA80" s="2250"/>
      <c r="AB80" s="1257"/>
      <c r="AC80" s="26"/>
      <c r="AD80" s="26"/>
      <c r="AE80" s="1511"/>
      <c r="AF80" s="1529"/>
      <c r="AG80" s="1511"/>
      <c r="AH80" s="1511"/>
      <c r="AI80" s="1540"/>
      <c r="AJ80" s="49"/>
      <c r="AK80" s="1346"/>
      <c r="AL80" s="1609"/>
      <c r="AM80" s="1346"/>
      <c r="AN80" s="35"/>
      <c r="AO80" s="35"/>
      <c r="AP80" s="35"/>
      <c r="AQ80" s="35"/>
      <c r="AR80" s="35"/>
      <c r="AS80" s="35"/>
      <c r="AT80" s="35"/>
      <c r="AU80" s="35"/>
      <c r="AV80" s="35"/>
      <c r="AW80" s="35"/>
      <c r="AX80" s="35"/>
      <c r="AY80" s="35"/>
      <c r="AZ80" s="35"/>
      <c r="BA80" s="1479"/>
      <c r="BB80" s="1479"/>
      <c r="BC80" s="1479"/>
      <c r="BD80" s="1479"/>
      <c r="BE80" s="1479"/>
      <c r="BF80" s="1479"/>
      <c r="BG80" s="1479"/>
      <c r="BH80" s="1479"/>
      <c r="BI80" s="1479"/>
      <c r="BJ80" s="1479"/>
      <c r="BK80" s="1479"/>
      <c r="BL80" s="1479"/>
      <c r="BM80" s="1479"/>
      <c r="BN80" s="1479"/>
      <c r="BO80" s="1479"/>
      <c r="BP80" s="1479"/>
      <c r="BQ80" s="1479"/>
      <c r="BR80" s="1479"/>
      <c r="BS80" s="1479"/>
      <c r="BT80" s="1479"/>
      <c r="BU80" s="1479"/>
      <c r="BV80" s="1479"/>
      <c r="BW80" s="1479"/>
      <c r="BX80" s="1479"/>
      <c r="BY80" s="1479"/>
      <c r="BZ80" s="1479"/>
      <c r="CA80" s="1479"/>
      <c r="CB80" s="1479"/>
      <c r="CC80" s="1479"/>
      <c r="CD80" s="1479"/>
      <c r="CE80" s="1479"/>
      <c r="CF80" s="1479"/>
      <c r="CG80" s="1479"/>
      <c r="CH80" s="1479"/>
      <c r="CI80" s="31"/>
      <c r="CJ80" s="31"/>
      <c r="CK80" s="31"/>
      <c r="CL80" s="31"/>
      <c r="CM80" s="31"/>
      <c r="CN80" s="31"/>
      <c r="CO80" s="31"/>
      <c r="CP80" s="31"/>
      <c r="CQ80" s="31"/>
      <c r="CS80" s="56"/>
      <c r="CT80" s="56"/>
      <c r="CU80" s="30" t="str">
        <f>IF(Basisdaten!$B$15=Basisdaten!$D$2,CV80,CW80)</f>
        <v xml:space="preserve">   ┌   MwSt-Satz der jeweiligen Kostenart</v>
      </c>
      <c r="CV80" s="38" t="str">
        <f>IF($G$2=-1,"","   ┌   MwSt-Satz der jeweiligen Kostenart")</f>
        <v xml:space="preserve">   ┌   MwSt-Satz der jeweiligen Kostenart</v>
      </c>
      <c r="CW80" s="38" t="str">
        <f>IF($G$2=-1,"","   ┌   VAT for Cost Type")</f>
        <v xml:space="preserve">   ┌   VAT for Cost Type</v>
      </c>
      <c r="CX80" s="30" t="str">
        <f ca="1">IF(Basisdaten!$B$15=Basisdaten!$D$2,CY80,CZ80)</f>
        <v>3a-2.1.1 Aufstellung geringwertige Wirtschaftsgüter (GWG) Verwaltung 2027</v>
      </c>
      <c r="CY80" s="1321" t="str">
        <f ca="1">"3a-2.1.1 Aufstellung geringwertige Wirtschaftsgüter (GWG) Verwaltung "&amp;Basisdaten!$C$15+1</f>
        <v>3a-2.1.1 Aufstellung geringwertige Wirtschaftsgüter (GWG) Verwaltung 2027</v>
      </c>
      <c r="CZ80" s="1321" t="str">
        <f ca="1">"3a-2.1.1 List of low-value assets (LVA) for administration "&amp;Basisdaten!$C$15+1</f>
        <v>3a-2.1.1 List of low-value assets (LVA) for administration 2027</v>
      </c>
      <c r="DA80" s="213"/>
      <c r="DB80" s="213"/>
      <c r="DC80" s="213"/>
      <c r="DD80" s="213"/>
      <c r="DE80" s="213"/>
      <c r="DF80" s="213"/>
      <c r="DG80" s="213"/>
      <c r="DH80" s="213"/>
      <c r="DI80" s="213"/>
      <c r="DJ80" s="59"/>
    </row>
    <row r="81" spans="3:115" s="30" customFormat="1" ht="14.25" customHeight="1">
      <c r="D81" s="695"/>
      <c r="E81" s="336" t="s">
        <v>186</v>
      </c>
      <c r="F81" s="526" t="str">
        <f t="shared" ref="F81:R81" si="52">F3</f>
        <v>Kostenart</v>
      </c>
      <c r="G81" s="336" t="str">
        <f t="shared" si="52"/>
        <v>Jan.</v>
      </c>
      <c r="H81" s="336" t="str">
        <f t="shared" si="52"/>
        <v>Feb</v>
      </c>
      <c r="I81" s="336" t="str">
        <f t="shared" si="52"/>
        <v>Mrz</v>
      </c>
      <c r="J81" s="336" t="str">
        <f t="shared" si="52"/>
        <v>Apr</v>
      </c>
      <c r="K81" s="336" t="str">
        <f t="shared" si="52"/>
        <v>Mai</v>
      </c>
      <c r="L81" s="336" t="str">
        <f t="shared" si="52"/>
        <v>Jun</v>
      </c>
      <c r="M81" s="336" t="str">
        <f t="shared" si="52"/>
        <v>Jul</v>
      </c>
      <c r="N81" s="336" t="str">
        <f t="shared" si="52"/>
        <v>Aug</v>
      </c>
      <c r="O81" s="336" t="str">
        <f t="shared" si="52"/>
        <v>Sep</v>
      </c>
      <c r="P81" s="336" t="str">
        <f t="shared" si="52"/>
        <v>Okt</v>
      </c>
      <c r="Q81" s="336" t="str">
        <f t="shared" si="52"/>
        <v>Nov</v>
      </c>
      <c r="R81" s="336" t="str">
        <f t="shared" si="52"/>
        <v>Dez</v>
      </c>
      <c r="S81" s="336" t="str">
        <f ca="1">Basisdaten!O16</f>
        <v>Jahr 2027</v>
      </c>
      <c r="T81" s="552"/>
      <c r="U81" s="1768" t="str">
        <f>U2</f>
        <v>Artikelbezeichnung</v>
      </c>
      <c r="V81" s="1389"/>
      <c r="W81" s="336" t="str">
        <f t="shared" ref="W81:AD81" si="53">W2</f>
        <v>Betrag</v>
      </c>
      <c r="X81" s="336" t="str">
        <f t="shared" si="53"/>
        <v>Stk-Kost</v>
      </c>
      <c r="Y81" s="336" t="str">
        <f t="shared" si="53"/>
        <v>Anzahl</v>
      </c>
      <c r="Z81" s="336" t="str">
        <f t="shared" si="53"/>
        <v>Invest-Monat</v>
      </c>
      <c r="AA81" s="336" t="str">
        <f t="shared" si="53"/>
        <v>Direkt/Pool</v>
      </c>
      <c r="AB81" s="336" t="str">
        <f t="shared" si="53"/>
        <v>Direkt</v>
      </c>
      <c r="AC81" s="336" t="str">
        <f t="shared" si="53"/>
        <v>Pool</v>
      </c>
      <c r="AD81" s="336" t="str">
        <f t="shared" si="53"/>
        <v>Kommentar</v>
      </c>
      <c r="AJ81" s="49"/>
      <c r="AK81" s="1346"/>
      <c r="AL81" s="1609"/>
      <c r="AM81" s="50"/>
      <c r="AN81" s="50"/>
      <c r="AO81" s="50"/>
      <c r="AP81" s="50"/>
      <c r="AQ81" s="50"/>
      <c r="AR81" s="50"/>
      <c r="AS81" s="50"/>
      <c r="AT81" s="50"/>
      <c r="AU81" s="50"/>
      <c r="AV81" s="50"/>
      <c r="AW81" s="50"/>
      <c r="AX81" s="50"/>
      <c r="AY81" s="50"/>
      <c r="AZ81" s="50"/>
      <c r="BA81" s="1479"/>
      <c r="BB81" s="1479"/>
      <c r="BC81" s="1479"/>
      <c r="BD81" s="1479"/>
      <c r="BE81" s="1479"/>
      <c r="BF81" s="1479"/>
      <c r="BG81" s="1479"/>
      <c r="BH81" s="1479"/>
      <c r="BI81" s="1479"/>
      <c r="BJ81" s="1479"/>
      <c r="BK81" s="1479"/>
      <c r="BL81" s="1479"/>
      <c r="BM81" s="1479"/>
      <c r="BN81" s="1479"/>
      <c r="BO81" s="1479"/>
      <c r="BP81" s="1479"/>
      <c r="BQ81" s="1479"/>
      <c r="BR81" s="1479"/>
      <c r="BS81" s="1479"/>
      <c r="BT81" s="1479"/>
      <c r="BU81" s="1479"/>
      <c r="BV81" s="1479"/>
      <c r="BW81" s="1479"/>
      <c r="BX81" s="1479"/>
      <c r="BY81" s="1479"/>
      <c r="BZ81" s="1479"/>
      <c r="CA81" s="1530"/>
      <c r="CB81" s="1530" t="s">
        <v>997</v>
      </c>
      <c r="CC81" s="1530" t="s">
        <v>886</v>
      </c>
      <c r="CD81" s="481" t="s">
        <v>996</v>
      </c>
      <c r="CE81" s="1530" t="s">
        <v>995</v>
      </c>
      <c r="CF81" s="1479"/>
      <c r="CG81" s="1479"/>
      <c r="CH81" s="1479"/>
      <c r="CI81" s="31"/>
      <c r="CJ81" s="31"/>
      <c r="CK81" s="31"/>
      <c r="CL81" s="31"/>
      <c r="CM81" s="31"/>
      <c r="CN81" s="31"/>
      <c r="CO81" s="31"/>
      <c r="CP81" s="31"/>
      <c r="CQ81" s="31"/>
      <c r="CS81" s="56"/>
      <c r="CT81" s="56"/>
      <c r="CU81" s="30" t="str">
        <f>IF(Basisdaten!$B$15=Basisdaten!$D$2,CV81,CW81)</f>
        <v>Kostenart</v>
      </c>
      <c r="CV81" s="38" t="s">
        <v>0</v>
      </c>
      <c r="CW81" s="38" t="s">
        <v>183</v>
      </c>
      <c r="CX81" s="30">
        <f>IF(Basisdaten!$B$15=Basisdaten!$D$2,CY81,CZ81)</f>
        <v>0</v>
      </c>
      <c r="CY81" s="116"/>
      <c r="CZ81" s="116"/>
      <c r="DA81" s="116"/>
      <c r="DB81" s="116"/>
      <c r="DC81" s="116"/>
      <c r="DD81" s="116"/>
      <c r="DE81" s="116"/>
      <c r="DF81" s="116"/>
      <c r="DG81" s="116"/>
      <c r="DH81" s="116"/>
      <c r="DI81" s="116"/>
      <c r="DJ81" s="116"/>
      <c r="DK81" s="55"/>
    </row>
    <row r="82" spans="3:115" ht="14.25" customHeight="1">
      <c r="C82" s="1136" t="str">
        <f>C12</f>
        <v>MwSt</v>
      </c>
      <c r="D82" s="695"/>
      <c r="E82" s="597">
        <v>1</v>
      </c>
      <c r="F82" s="598" t="str">
        <f>F4</f>
        <v>Verwaltung (Büro)</v>
      </c>
      <c r="G82" s="599">
        <f>IFERROR(S146,"undo")</f>
        <v>0</v>
      </c>
      <c r="H82" s="2270" t="str">
        <f>IF(G82="undo",$CU$164,"")</f>
        <v/>
      </c>
      <c r="I82" s="2270"/>
      <c r="J82" s="2270"/>
      <c r="K82" s="2270"/>
      <c r="L82" s="2270"/>
      <c r="M82" s="2270"/>
      <c r="N82" s="2270"/>
      <c r="O82" s="2270"/>
      <c r="P82" s="2270"/>
      <c r="Q82" s="601" t="s">
        <v>608</v>
      </c>
      <c r="R82" s="600"/>
      <c r="S82" s="602"/>
      <c r="T82" s="552"/>
      <c r="U82" s="2247"/>
      <c r="V82" s="2248"/>
      <c r="W82" s="1393">
        <f>X82*Y82</f>
        <v>0</v>
      </c>
      <c r="X82" s="1244"/>
      <c r="Y82" s="1237"/>
      <c r="Z82" s="1237"/>
      <c r="AA82" s="1238"/>
      <c r="AB82" s="1239"/>
      <c r="AC82" s="1239"/>
      <c r="AD82" s="1392" t="str">
        <f t="shared" ref="AD82:AD86" si="54">IF(AND($AA82=$CC$1,$X82&gt;$CC$2),$CD$2,IF(AND($AA82=$CB$1,$X82&gt;$CB$2),$CD$1,IF(AND($X82&lt;$CA$2,$X82&lt;&gt;0,$Y82&gt;0),$CA$3,"")))</f>
        <v/>
      </c>
      <c r="AJ82" s="1344"/>
      <c r="AK82" s="1347"/>
      <c r="AL82" s="1608"/>
      <c r="BA82" s="1479"/>
      <c r="BB82" s="1479"/>
      <c r="BC82" s="1479"/>
      <c r="BD82" s="1479"/>
      <c r="BE82" s="1479"/>
      <c r="BF82" s="1479"/>
      <c r="BG82" s="1479"/>
      <c r="BH82" s="1479"/>
      <c r="BI82" s="1479"/>
      <c r="BJ82" s="1479"/>
      <c r="BK82" s="1479"/>
      <c r="BL82" s="1479"/>
      <c r="BM82" s="1479"/>
      <c r="BN82" s="1479"/>
      <c r="BO82" s="1479"/>
      <c r="BP82" s="1479"/>
      <c r="BQ82" s="1479"/>
      <c r="BR82" s="1479"/>
      <c r="BS82" s="1479"/>
      <c r="BT82" s="1479"/>
      <c r="BU82" s="1479"/>
      <c r="BV82" s="1479"/>
      <c r="BW82" s="1479"/>
      <c r="BX82" s="1479"/>
      <c r="BY82" s="1479"/>
      <c r="BZ82" s="1479"/>
      <c r="CA82" s="1534">
        <f t="shared" ref="CA82:CA86" si="55">IF(OR(AD82=$CD$1,AD82=$CD$2,AD82=$CA$3),1,0)</f>
        <v>0</v>
      </c>
      <c r="CB82" s="1535">
        <f t="shared" ref="CB82:CB86" si="56">IF(OR(AND($X82&lt;$CA$2,$X82&lt;&gt;0),AND($X82&gt;$CB$2,$AA82=$CB$1),AND($X82&gt;$CC$2,$AA82=$CC$1)),1,0)</f>
        <v>0</v>
      </c>
      <c r="CC82" s="1535">
        <f t="shared" ref="CC82:CC86" si="57">IF(AND($X82&gt;0,$Y82=0),1,0)</f>
        <v>0</v>
      </c>
      <c r="CD82" s="1534">
        <f t="shared" ref="CD82:CD86" si="58">IF(AND($X82&gt;0,$Z82=""),1,0)</f>
        <v>0</v>
      </c>
      <c r="CE82" s="1535">
        <f t="shared" ref="CE82:CE86" si="59">IF(AND($AA82="",$X82&gt;0),1,0)</f>
        <v>0</v>
      </c>
      <c r="CF82" s="2255" t="s">
        <v>1008</v>
      </c>
      <c r="CG82" s="1479"/>
      <c r="CH82" s="1479"/>
      <c r="CI82" s="31"/>
      <c r="CJ82" s="31"/>
      <c r="CK82" s="31"/>
      <c r="CL82" s="31"/>
      <c r="CM82" s="31"/>
      <c r="CN82" s="31"/>
      <c r="CO82" s="31"/>
      <c r="CP82" s="31"/>
      <c r="CQ82" s="31"/>
      <c r="CS82" s="56"/>
      <c r="CT82" s="56"/>
      <c r="CU82" s="30" t="str">
        <f>IF(Basisdaten!$B$15=Basisdaten!$D$2,CV82,CW82)</f>
        <v>Bürokosten</v>
      </c>
      <c r="CV82" s="38" t="s">
        <v>35</v>
      </c>
      <c r="CW82" s="38" t="s">
        <v>143</v>
      </c>
      <c r="CX82" s="30">
        <f>IF(Basisdaten!$B$15=Basisdaten!$D$2,CY82,CZ82)</f>
        <v>0</v>
      </c>
      <c r="DK82" s="52"/>
    </row>
    <row r="83" spans="3:115" ht="14.25" customHeight="1">
      <c r="C83" s="1629">
        <f t="shared" ref="C83:C100" si="60">C5</f>
        <v>0.19</v>
      </c>
      <c r="D83" s="1630"/>
      <c r="E83" s="1319">
        <f>IF('2 Umsatz|Sales'!$CT$23=0,0,C83)</f>
        <v>0.19</v>
      </c>
      <c r="F83" s="538" t="str">
        <f>F5</f>
        <v>Raummiete</v>
      </c>
      <c r="G83" s="420"/>
      <c r="H83" s="420"/>
      <c r="I83" s="420"/>
      <c r="J83" s="420"/>
      <c r="K83" s="420"/>
      <c r="L83" s="420"/>
      <c r="M83" s="420"/>
      <c r="N83" s="420"/>
      <c r="O83" s="420"/>
      <c r="P83" s="420"/>
      <c r="Q83" s="420"/>
      <c r="R83" s="420"/>
      <c r="S83" s="594">
        <f t="shared" ref="S83:S88" si="61">SUM(G83:R83)</f>
        <v>0</v>
      </c>
      <c r="T83" s="552"/>
      <c r="U83" s="2247"/>
      <c r="V83" s="2248"/>
      <c r="W83" s="1393">
        <f t="shared" ref="W83:W86" si="62">X83*Y83</f>
        <v>0</v>
      </c>
      <c r="X83" s="1237"/>
      <c r="Y83" s="1237"/>
      <c r="Z83" s="1237"/>
      <c r="AA83" s="1238"/>
      <c r="AB83" s="1239">
        <f>IF($AA83=$CC$1,0,IF(AND($AA83="Direkt",$X83&gt;Basisdaten!$B$50,$X83&lt;=Basisdaten!$C$50),$W83,IF(AND($X83&lt;=Basisdaten!$C$50,$X83&gt;Basisdaten!$B$50),$W83,0)))</f>
        <v>0</v>
      </c>
      <c r="AC83" s="1239">
        <f>IF(AA83=$CB$1,0,IF(AND($AA83="Pool",$X83&lt;=Basisdaten!$D$50,$X83&gt;Basisdaten!$B$50),$W83,0))</f>
        <v>0</v>
      </c>
      <c r="AD83" s="1392" t="str">
        <f t="shared" si="54"/>
        <v/>
      </c>
      <c r="AJ83" s="49"/>
      <c r="AK83" s="1346"/>
      <c r="AL83" s="1609"/>
      <c r="BA83" s="1479"/>
      <c r="BB83" s="1479"/>
      <c r="BC83" s="1479"/>
      <c r="BD83" s="1479"/>
      <c r="BE83" s="1479"/>
      <c r="BF83" s="1479"/>
      <c r="BG83" s="1479"/>
      <c r="BH83" s="1479"/>
      <c r="BI83" s="1479"/>
      <c r="BJ83" s="1479"/>
      <c r="BK83" s="1479"/>
      <c r="BL83" s="1479"/>
      <c r="BM83" s="1479"/>
      <c r="BN83" s="1479"/>
      <c r="BO83" s="1479"/>
      <c r="BP83" s="1479"/>
      <c r="BQ83" s="1479"/>
      <c r="BR83" s="1479"/>
      <c r="BS83" s="1479"/>
      <c r="BT83" s="1479"/>
      <c r="BU83" s="1479"/>
      <c r="BV83" s="1479"/>
      <c r="BW83" s="1479"/>
      <c r="BX83" s="1479"/>
      <c r="BY83" s="1479"/>
      <c r="BZ83" s="1479"/>
      <c r="CA83" s="1534">
        <f t="shared" si="55"/>
        <v>0</v>
      </c>
      <c r="CB83" s="1535">
        <f t="shared" si="56"/>
        <v>0</v>
      </c>
      <c r="CC83" s="1535">
        <f t="shared" si="57"/>
        <v>0</v>
      </c>
      <c r="CD83" s="1534">
        <f t="shared" si="58"/>
        <v>0</v>
      </c>
      <c r="CE83" s="1535">
        <f t="shared" si="59"/>
        <v>0</v>
      </c>
      <c r="CF83" s="2255"/>
      <c r="CG83" s="1479"/>
      <c r="CH83" s="1479"/>
      <c r="CI83" s="31"/>
      <c r="CJ83" s="31"/>
      <c r="CK83" s="31"/>
      <c r="CL83" s="31"/>
      <c r="CM83" s="31"/>
      <c r="CN83" s="31"/>
      <c r="CO83" s="31"/>
      <c r="CP83" s="31"/>
      <c r="CQ83" s="31"/>
      <c r="CS83" s="56"/>
      <c r="CT83" s="56"/>
      <c r="CU83" s="30" t="str">
        <f>IF(Basisdaten!$B$15=Basisdaten!$D$2,CV83,CW83)</f>
        <v>Raummiete</v>
      </c>
      <c r="CV83" s="38" t="s">
        <v>272</v>
      </c>
      <c r="CW83" s="38" t="s">
        <v>279</v>
      </c>
      <c r="CX83" s="30">
        <f>IF(Basisdaten!$B$15=Basisdaten!$D$2,CY83,CZ83)</f>
        <v>0</v>
      </c>
      <c r="DK83" s="52"/>
    </row>
    <row r="84" spans="3:115" ht="14.25" customHeight="1">
      <c r="C84" s="1629">
        <f t="shared" si="60"/>
        <v>0.19</v>
      </c>
      <c r="D84" s="1630"/>
      <c r="E84" s="1320">
        <f>IF('2 Umsatz|Sales'!$CT$23=0,0,C84)</f>
        <v>0.19</v>
      </c>
      <c r="F84" s="278" t="str">
        <f>F6</f>
        <v>Strom, Wasser, Heizung, sonst. Nebenkosten</v>
      </c>
      <c r="G84" s="417"/>
      <c r="H84" s="417"/>
      <c r="I84" s="417"/>
      <c r="J84" s="417"/>
      <c r="K84" s="417"/>
      <c r="L84" s="417"/>
      <c r="M84" s="417"/>
      <c r="N84" s="417"/>
      <c r="O84" s="417"/>
      <c r="P84" s="417"/>
      <c r="Q84" s="417"/>
      <c r="R84" s="417"/>
      <c r="S84" s="279">
        <f t="shared" si="61"/>
        <v>0</v>
      </c>
      <c r="T84" s="552"/>
      <c r="U84" s="2247"/>
      <c r="V84" s="2248"/>
      <c r="W84" s="1393">
        <f t="shared" si="62"/>
        <v>0</v>
      </c>
      <c r="X84" s="1237"/>
      <c r="Y84" s="1237"/>
      <c r="Z84" s="1237"/>
      <c r="AA84" s="1238"/>
      <c r="AB84" s="1239">
        <f>IF($AA84=$CC$1,0,IF(AND($AA84="Direkt",$X84&gt;Basisdaten!$B$50,$X84&lt;=Basisdaten!$C$50),$W84,IF(AND($X84&lt;=Basisdaten!$C$50,$X84&gt;Basisdaten!$B$50),$W84,0)))</f>
        <v>0</v>
      </c>
      <c r="AC84" s="1239">
        <f>IF(AA84=$CB$1,0,IF(AND($AA84="Pool",$X84&lt;=Basisdaten!$D$50,$X84&gt;Basisdaten!$B$50),$W84,0))</f>
        <v>0</v>
      </c>
      <c r="AD84" s="1392" t="str">
        <f t="shared" si="54"/>
        <v/>
      </c>
      <c r="AJ84" s="49"/>
      <c r="AK84" s="1346"/>
      <c r="AL84" s="1609"/>
      <c r="BA84" s="1479"/>
      <c r="BB84" s="1479"/>
      <c r="BC84" s="1479"/>
      <c r="BD84" s="1479"/>
      <c r="BE84" s="1479"/>
      <c r="BF84" s="1479"/>
      <c r="BG84" s="1479"/>
      <c r="BH84" s="1479"/>
      <c r="BI84" s="1479"/>
      <c r="BJ84" s="1479"/>
      <c r="BK84" s="1479"/>
      <c r="BL84" s="1479"/>
      <c r="BM84" s="1479"/>
      <c r="BN84" s="1479"/>
      <c r="BO84" s="1479"/>
      <c r="BP84" s="1479"/>
      <c r="BQ84" s="1479"/>
      <c r="BR84" s="1479"/>
      <c r="BS84" s="1479"/>
      <c r="BT84" s="1479"/>
      <c r="BU84" s="1479"/>
      <c r="BV84" s="1479"/>
      <c r="BW84" s="1479"/>
      <c r="BX84" s="1479"/>
      <c r="BY84" s="1479"/>
      <c r="BZ84" s="1479"/>
      <c r="CA84" s="1534">
        <f t="shared" si="55"/>
        <v>0</v>
      </c>
      <c r="CB84" s="1535">
        <f t="shared" si="56"/>
        <v>0</v>
      </c>
      <c r="CC84" s="1535">
        <f t="shared" si="57"/>
        <v>0</v>
      </c>
      <c r="CD84" s="1534">
        <f t="shared" si="58"/>
        <v>0</v>
      </c>
      <c r="CE84" s="1535">
        <f t="shared" si="59"/>
        <v>0</v>
      </c>
      <c r="CF84" s="2255"/>
      <c r="CG84" s="1479"/>
      <c r="CH84" s="1479"/>
      <c r="CI84" s="31"/>
      <c r="CJ84" s="31"/>
      <c r="CK84" s="31"/>
      <c r="CL84" s="31"/>
      <c r="CM84" s="31"/>
      <c r="CN84" s="31"/>
      <c r="CO84" s="31"/>
      <c r="CP84" s="31"/>
      <c r="CQ84" s="31"/>
      <c r="CS84" s="56"/>
      <c r="CT84" s="56"/>
      <c r="CU84" s="30" t="str">
        <f>IF(Basisdaten!$B$15=Basisdaten!$D$2,CV84,CW84)</f>
        <v>Strom, Wasser, Heizung, sonst. Nebenkosten</v>
      </c>
      <c r="CV84" s="38" t="s">
        <v>273</v>
      </c>
      <c r="CW84" s="38" t="s">
        <v>281</v>
      </c>
      <c r="CX84" s="30">
        <f>IF(Basisdaten!$B$15=Basisdaten!$D$2,CY84,CZ84)</f>
        <v>0</v>
      </c>
      <c r="DK84" s="52"/>
    </row>
    <row r="85" spans="3:115" ht="14.25" customHeight="1">
      <c r="C85" s="1629">
        <f t="shared" si="60"/>
        <v>0.19</v>
      </c>
      <c r="D85" s="1630"/>
      <c r="E85" s="1320">
        <f>IF('2 Umsatz|Sales'!$CT$23=0,0,C85)</f>
        <v>0.19</v>
      </c>
      <c r="F85" s="278" t="str">
        <f>F7</f>
        <v>Telefon, Fax, Internet, Porto</v>
      </c>
      <c r="G85" s="417"/>
      <c r="H85" s="417"/>
      <c r="I85" s="417"/>
      <c r="J85" s="417"/>
      <c r="K85" s="417"/>
      <c r="L85" s="417"/>
      <c r="M85" s="417"/>
      <c r="N85" s="417"/>
      <c r="O85" s="417"/>
      <c r="P85" s="417"/>
      <c r="Q85" s="417"/>
      <c r="R85" s="996"/>
      <c r="S85" s="279">
        <f>SUM(G85:R85)</f>
        <v>0</v>
      </c>
      <c r="T85" s="552"/>
      <c r="U85" s="2247"/>
      <c r="V85" s="2248"/>
      <c r="W85" s="1393">
        <f t="shared" si="62"/>
        <v>0</v>
      </c>
      <c r="X85" s="1237"/>
      <c r="Y85" s="1237"/>
      <c r="Z85" s="1237"/>
      <c r="AA85" s="1238"/>
      <c r="AB85" s="1239">
        <f>IF($AA85=$CC$1,0,IF(AND($AA85="Direkt",$X85&gt;Basisdaten!$B$50,$X85&lt;=Basisdaten!$C$50),$W85,IF(AND($X85&lt;=Basisdaten!$C$50,$X85&gt;Basisdaten!$B$50),$W85,0)))</f>
        <v>0</v>
      </c>
      <c r="AC85" s="1239">
        <f>IF(AA85=$CB$1,0,IF(AND($AA85="Pool",$X85&lt;=Basisdaten!$D$50,$X85&gt;Basisdaten!$B$50),$W85,0))</f>
        <v>0</v>
      </c>
      <c r="AD85" s="1392" t="str">
        <f t="shared" si="54"/>
        <v/>
      </c>
      <c r="AJ85" s="49"/>
      <c r="AK85" s="1346"/>
      <c r="AL85" s="1609"/>
      <c r="BA85" s="1479"/>
      <c r="BB85" s="1479"/>
      <c r="BC85" s="1479"/>
      <c r="BD85" s="1479"/>
      <c r="BE85" s="1479"/>
      <c r="BF85" s="1479"/>
      <c r="BG85" s="1479"/>
      <c r="BH85" s="1479"/>
      <c r="BI85" s="1479"/>
      <c r="BJ85" s="1479"/>
      <c r="BK85" s="1479"/>
      <c r="BL85" s="1479"/>
      <c r="BM85" s="1479"/>
      <c r="BN85" s="1479"/>
      <c r="BO85" s="1479"/>
      <c r="BP85" s="1479"/>
      <c r="BQ85" s="1479"/>
      <c r="BR85" s="1479"/>
      <c r="BS85" s="1479"/>
      <c r="BT85" s="1479"/>
      <c r="BU85" s="1479"/>
      <c r="BV85" s="1479"/>
      <c r="BW85" s="1479"/>
      <c r="BX85" s="1479"/>
      <c r="BY85" s="1479"/>
      <c r="BZ85" s="1479"/>
      <c r="CA85" s="1534">
        <f t="shared" si="55"/>
        <v>0</v>
      </c>
      <c r="CB85" s="1535">
        <f t="shared" si="56"/>
        <v>0</v>
      </c>
      <c r="CC85" s="1535">
        <f t="shared" si="57"/>
        <v>0</v>
      </c>
      <c r="CD85" s="1534">
        <f t="shared" si="58"/>
        <v>0</v>
      </c>
      <c r="CE85" s="1535">
        <f t="shared" si="59"/>
        <v>0</v>
      </c>
      <c r="CF85" s="2255"/>
      <c r="CG85" s="1479"/>
      <c r="CH85" s="1479"/>
      <c r="CI85" s="31"/>
      <c r="CJ85" s="31"/>
      <c r="CK85" s="31"/>
      <c r="CL85" s="31"/>
      <c r="CM85" s="31"/>
      <c r="CN85" s="31"/>
      <c r="CO85" s="31"/>
      <c r="CP85" s="31"/>
      <c r="CQ85" s="31"/>
      <c r="CS85" s="56"/>
      <c r="CT85" s="56"/>
      <c r="CU85" s="30" t="str">
        <f>IF(Basisdaten!$B$15=Basisdaten!$D$2,CV85,CW85)</f>
        <v>Telefon, Fax, Internet, Porto</v>
      </c>
      <c r="CV85" s="38" t="s">
        <v>184</v>
      </c>
      <c r="CW85" s="38" t="s">
        <v>168</v>
      </c>
      <c r="CX85" s="30">
        <f>IF(Basisdaten!$B$15=Basisdaten!$D$2,CY85,CZ85)</f>
        <v>0</v>
      </c>
      <c r="DK85" s="52"/>
    </row>
    <row r="86" spans="3:115" ht="14.25" customHeight="1">
      <c r="C86" s="1629">
        <f t="shared" si="60"/>
        <v>0.19</v>
      </c>
      <c r="D86" s="1630"/>
      <c r="E86" s="1320">
        <f>IF('2 Umsatz|Sales'!$CT$23=0,0,C86)</f>
        <v>0.19</v>
      </c>
      <c r="F86" s="278" t="str">
        <f>CU8&amp; "   "&amp;CU68&amp;" Tab 4a.2.1.1  ==&gt;"</f>
        <v>GWG (Büromöbel, Einrichtungen,...)   Planung Tab 4a.2.1.1  ==&gt;</v>
      </c>
      <c r="G86" s="280">
        <f t="shared" ref="G86:R86" si="63">W88</f>
        <v>0</v>
      </c>
      <c r="H86" s="280">
        <f t="shared" si="63"/>
        <v>0</v>
      </c>
      <c r="I86" s="280">
        <f t="shared" si="63"/>
        <v>0</v>
      </c>
      <c r="J86" s="280">
        <f t="shared" si="63"/>
        <v>0</v>
      </c>
      <c r="K86" s="280">
        <f t="shared" si="63"/>
        <v>0</v>
      </c>
      <c r="L86" s="280">
        <f t="shared" si="63"/>
        <v>0</v>
      </c>
      <c r="M86" s="280">
        <f t="shared" si="63"/>
        <v>0</v>
      </c>
      <c r="N86" s="280">
        <f t="shared" si="63"/>
        <v>0</v>
      </c>
      <c r="O86" s="280">
        <f t="shared" si="63"/>
        <v>0</v>
      </c>
      <c r="P86" s="280">
        <f t="shared" si="63"/>
        <v>0</v>
      </c>
      <c r="Q86" s="280">
        <f t="shared" si="63"/>
        <v>0</v>
      </c>
      <c r="R86" s="1388">
        <f t="shared" si="63"/>
        <v>0</v>
      </c>
      <c r="S86" s="279">
        <f t="shared" si="61"/>
        <v>0</v>
      </c>
      <c r="T86" s="552"/>
      <c r="U86" s="2247"/>
      <c r="V86" s="2248"/>
      <c r="W86" s="1393">
        <f t="shared" si="62"/>
        <v>0</v>
      </c>
      <c r="X86" s="1237"/>
      <c r="Y86" s="1237"/>
      <c r="Z86" s="1237"/>
      <c r="AA86" s="1238"/>
      <c r="AB86" s="1239">
        <f>IF($AA86=$CC$1,0,IF(AND($AA86="Direkt",$X86&gt;Basisdaten!$B$50,$X86&lt;=Basisdaten!$C$50),$W86,IF(AND($X86&lt;=Basisdaten!$C$50,$X86&gt;Basisdaten!$B$50),$W86,0)))</f>
        <v>0</v>
      </c>
      <c r="AC86" s="1239">
        <f>IF(AA86=$CB$1,0,IF(AND($AA86="Pool",$X86&lt;=Basisdaten!$D$50,$X86&gt;Basisdaten!$B$50),$W86,0))</f>
        <v>0</v>
      </c>
      <c r="AD86" s="1392" t="str">
        <f t="shared" si="54"/>
        <v/>
      </c>
      <c r="AJ86" s="1344"/>
      <c r="AK86" s="1347"/>
      <c r="AL86" s="1609"/>
      <c r="BA86" s="1479"/>
      <c r="BB86" s="1479"/>
      <c r="BC86" s="1479"/>
      <c r="BD86" s="1479"/>
      <c r="BE86" s="1479"/>
      <c r="BF86" s="1479"/>
      <c r="BG86" s="1479"/>
      <c r="BH86" s="1479"/>
      <c r="BI86" s="1479"/>
      <c r="BJ86" s="1479"/>
      <c r="BK86" s="1479"/>
      <c r="BL86" s="1479"/>
      <c r="BM86" s="1479"/>
      <c r="BN86" s="1479"/>
      <c r="BO86" s="1479"/>
      <c r="BP86" s="1479"/>
      <c r="BQ86" s="1479"/>
      <c r="BR86" s="1479"/>
      <c r="BS86" s="1479"/>
      <c r="BT86" s="1479"/>
      <c r="BU86" s="1479"/>
      <c r="BV86" s="1479"/>
      <c r="BW86" s="1479"/>
      <c r="BX86" s="1479"/>
      <c r="BY86" s="1479"/>
      <c r="BZ86" s="1479"/>
      <c r="CA86" s="1534">
        <f t="shared" si="55"/>
        <v>0</v>
      </c>
      <c r="CB86" s="1535">
        <f t="shared" si="56"/>
        <v>0</v>
      </c>
      <c r="CC86" s="1535">
        <f t="shared" si="57"/>
        <v>0</v>
      </c>
      <c r="CD86" s="1534">
        <f t="shared" si="58"/>
        <v>0</v>
      </c>
      <c r="CE86" s="1535">
        <f t="shared" si="59"/>
        <v>0</v>
      </c>
      <c r="CF86" s="2255"/>
      <c r="CG86" s="1479"/>
      <c r="CH86" s="1479"/>
      <c r="CI86" s="31"/>
      <c r="CJ86" s="31"/>
      <c r="CK86" s="31"/>
      <c r="CL86" s="31"/>
      <c r="CM86" s="31"/>
      <c r="CN86" s="31"/>
      <c r="CO86" s="31"/>
      <c r="CP86" s="31"/>
      <c r="CQ86" s="31"/>
      <c r="CS86" s="56"/>
      <c r="CT86" s="56"/>
      <c r="CU86" s="30" t="str">
        <f>IF(Basisdaten!$B$15=Basisdaten!$D$2,CV86,CW86)</f>
        <v>Geringw. Wirtschaftsgüter (Büromöbel, Einrichtungen,...)</v>
      </c>
      <c r="CV86" s="38" t="s">
        <v>276</v>
      </c>
      <c r="CW86" s="38" t="s">
        <v>959</v>
      </c>
      <c r="CX86" s="30">
        <f>IF(Basisdaten!$B$15=Basisdaten!$D$2,CY86,CZ86)</f>
        <v>0</v>
      </c>
      <c r="DK86" s="52"/>
    </row>
    <row r="87" spans="3:115" ht="14.25" customHeight="1">
      <c r="C87" s="1629">
        <f t="shared" si="60"/>
        <v>0.19</v>
      </c>
      <c r="D87" s="1630"/>
      <c r="E87" s="1320">
        <f>IF('2 Umsatz|Sales'!$CT$23=0,0,C87)</f>
        <v>0.19</v>
      </c>
      <c r="F87" s="278" t="str">
        <f>F9</f>
        <v>IT Lizenzen, OS, Office, Wartung, …</v>
      </c>
      <c r="G87" s="417"/>
      <c r="H87" s="417"/>
      <c r="I87" s="417"/>
      <c r="J87" s="417"/>
      <c r="K87" s="417"/>
      <c r="L87" s="417"/>
      <c r="M87" s="417"/>
      <c r="N87" s="417"/>
      <c r="O87" s="417"/>
      <c r="P87" s="417"/>
      <c r="Q87" s="417"/>
      <c r="R87" s="417"/>
      <c r="S87" s="279">
        <f t="shared" si="61"/>
        <v>0</v>
      </c>
      <c r="T87" s="552"/>
      <c r="U87" s="1766">
        <f ca="1">U8+1</f>
        <v>2027</v>
      </c>
      <c r="V87" s="1767"/>
      <c r="W87" s="1270" t="str">
        <f t="shared" ref="W87:AH87" si="64">W8</f>
        <v>Jan.</v>
      </c>
      <c r="X87" s="1270" t="str">
        <f t="shared" si="64"/>
        <v>Feb</v>
      </c>
      <c r="Y87" s="1270" t="str">
        <f t="shared" si="64"/>
        <v>Mrz</v>
      </c>
      <c r="Z87" s="1270" t="str">
        <f t="shared" si="64"/>
        <v>Apr</v>
      </c>
      <c r="AA87" s="1270" t="str">
        <f t="shared" si="64"/>
        <v>Mai</v>
      </c>
      <c r="AB87" s="1270" t="str">
        <f t="shared" si="64"/>
        <v>Jun</v>
      </c>
      <c r="AC87" s="1270" t="str">
        <f t="shared" si="64"/>
        <v>Jul</v>
      </c>
      <c r="AD87" s="1270" t="str">
        <f t="shared" si="64"/>
        <v>Aug</v>
      </c>
      <c r="AE87" s="1270" t="str">
        <f t="shared" si="64"/>
        <v>Sep</v>
      </c>
      <c r="AF87" s="1270" t="str">
        <f t="shared" si="64"/>
        <v>Okt</v>
      </c>
      <c r="AG87" s="1270" t="str">
        <f t="shared" si="64"/>
        <v>Nov</v>
      </c>
      <c r="AH87" s="1270" t="str">
        <f t="shared" si="64"/>
        <v>Dez</v>
      </c>
      <c r="AI87" s="1272">
        <f ca="1">AI8+1</f>
        <v>2027</v>
      </c>
      <c r="AJ87" s="1344"/>
      <c r="AK87" s="1346"/>
      <c r="AL87" s="1608"/>
      <c r="BA87" s="1479"/>
      <c r="BB87" s="1479"/>
      <c r="BC87" s="1479"/>
      <c r="BD87" s="1479"/>
      <c r="BE87" s="1479"/>
      <c r="BF87" s="1479"/>
      <c r="BG87" s="1479"/>
      <c r="BH87" s="1479"/>
      <c r="BI87" s="1479"/>
      <c r="BJ87" s="1479"/>
      <c r="BK87" s="1479"/>
      <c r="BL87" s="1479"/>
      <c r="BM87" s="1479"/>
      <c r="BN87" s="1479"/>
      <c r="BO87" s="1479"/>
      <c r="BP87" s="1479"/>
      <c r="BQ87" s="1479"/>
      <c r="BR87" s="1479"/>
      <c r="BS87" s="1479"/>
      <c r="BT87" s="1479"/>
      <c r="BU87" s="1479"/>
      <c r="BV87" s="1479"/>
      <c r="BW87" s="1479"/>
      <c r="BX87" s="1479"/>
      <c r="BY87" s="1479"/>
      <c r="BZ87" s="1479"/>
      <c r="CA87" s="1479"/>
      <c r="CB87" s="1479"/>
      <c r="CC87" s="1479"/>
      <c r="CD87" s="1479"/>
      <c r="CE87" s="1479"/>
      <c r="CF87" s="1479"/>
      <c r="CG87" s="1479"/>
      <c r="CH87" s="1479"/>
      <c r="CI87" s="31"/>
      <c r="CJ87" s="31"/>
      <c r="CK87" s="31"/>
      <c r="CL87" s="31"/>
      <c r="CM87" s="31"/>
      <c r="CN87" s="31"/>
      <c r="CO87" s="31"/>
      <c r="CP87" s="31"/>
      <c r="CQ87" s="31"/>
      <c r="CS87" s="56"/>
      <c r="CT87" s="56"/>
      <c r="CU87" s="30" t="str">
        <f>IF(Basisdaten!$B$15=Basisdaten!$D$2,CV87,CW87)</f>
        <v>IT (Lizenzen, Windows, Office, Wartung)</v>
      </c>
      <c r="CV87" s="38" t="s">
        <v>274</v>
      </c>
      <c r="CW87" s="38" t="s">
        <v>278</v>
      </c>
      <c r="CX87" s="30">
        <f>IF(Basisdaten!$B$15=Basisdaten!$D$2,CY87,CZ87)</f>
        <v>0</v>
      </c>
      <c r="DK87" s="52"/>
    </row>
    <row r="88" spans="3:115" ht="14.25" customHeight="1" thickBot="1">
      <c r="C88" s="1629">
        <f t="shared" si="60"/>
        <v>0.19</v>
      </c>
      <c r="D88" s="1630"/>
      <c r="E88" s="1320">
        <f>IF('2 Umsatz|Sales'!$CT$23=0,0,C88)</f>
        <v>0.19</v>
      </c>
      <c r="F88" s="539" t="str">
        <f>CU88</f>
        <v>Sonstiges</v>
      </c>
      <c r="G88" s="521"/>
      <c r="H88" s="521"/>
      <c r="I88" s="521"/>
      <c r="J88" s="521"/>
      <c r="K88" s="521"/>
      <c r="L88" s="521"/>
      <c r="M88" s="521"/>
      <c r="N88" s="521"/>
      <c r="O88" s="521"/>
      <c r="P88" s="521"/>
      <c r="Q88" s="521"/>
      <c r="R88" s="521"/>
      <c r="S88" s="530">
        <f t="shared" si="61"/>
        <v>0</v>
      </c>
      <c r="T88" s="552"/>
      <c r="U88" s="1390" t="str">
        <f>U9</f>
        <v>GWG Direkt</v>
      </c>
      <c r="V88" s="1391"/>
      <c r="W88" s="1265">
        <f>IF(AND($Z$82=$G$80,$AB$82&gt;0),$AB$82,0)+IF(AND($Z$83=$G$80,$AB$83&gt;0),$AB$83,0)+IF(AND($Z$84=$G$80,$AB$85&gt;0),$AB$84,0)+IF(AND($Z$85=$G$80,$AB$84&gt;0),$AB$85,0)+IF(AND($Z$86=$G$80,$AB$86&gt;0),$AB$86,0)</f>
        <v>0</v>
      </c>
      <c r="X88" s="1265">
        <f>IF(AND($Z$82=$H$80,$AB$82&gt;0),$AB$82,0)+IF(AND($Z$83=$H$80,$AB$83&gt;0),$AB$83,0)+IF(AND($Z$84=$H$80,$AB$85&gt;0),$AB$84,0)+IF(AND($Z$85=$H$80,$AB$84&gt;0),$AB$85,0)+IF(AND($Z$86=$H$80,$AB$86&gt;0),$AB$86,0)</f>
        <v>0</v>
      </c>
      <c r="Y88" s="1265">
        <f>IF(AND($Z$82=I$80,$AB$82&gt;0),$AB$82,0)+IF(AND($Z$83=I$80,$AB$83&gt;0),$AB$83,0)+IF(AND($Z$84=I$80,$AB$85&gt;0),$AB$84,0)+IF(AND($Z$85=I$80,$AB$84&gt;0),$AB$85,0)+IF(AND($Z$86=I$80,$AB$86&gt;0),$AB$86,0)</f>
        <v>0</v>
      </c>
      <c r="Z88" s="1265">
        <f>IF(AND($Z$82=$J$80,$AB$82&gt;0),$AB$82,0)+IF(AND($Z$83=$J$80,$AB$83&gt;0),$AB$83,0)+IF(AND($Z$84=$J$80,$AB$85&gt;0),$AB$84,0)+IF(AND($Z$85=$J$80,$AB$84&gt;0),$AB$85,0)+IF(AND($Z$86=$J$80,$AB$86&gt;0),$AB$86,0)</f>
        <v>0</v>
      </c>
      <c r="AA88" s="1265">
        <f>IF(AND($Z$82=$K$80,$AB$82&gt;0),$AB$82,0)+IF(AND($Z$83=$K$80,$AB$83&gt;0),$AB$83,0)+IF(AND($Z$84=$K$80,$AB$85&gt;0),$AB$84,0)+IF(AND($Z$85=$K$80,$AB$84&gt;0),$AB$85,0)+IF(AND($Z$86=$K$80,$AB$86&gt;0),$AB$86,0)</f>
        <v>0</v>
      </c>
      <c r="AB88" s="1265">
        <f>IF(AND($Z$82=$L$80,$AB$82&gt;0),$AB$82,0)+IF(AND($Z$83=$L$80,$AB$83&gt;0),$AB$83,0)+IF(AND($Z$84=$L$80,$AB$85&gt;0),$AB$84,0)+IF(AND($Z$85=$L$80,$AB$84&gt;0),$AB$85,0)+IF(AND($Z$86=$L$80,$AB$86&gt;0),$AB$86,0)</f>
        <v>0</v>
      </c>
      <c r="AC88" s="1265">
        <f>IF(AND($Z$82=$M$80,$AB$82&gt;0),$AB$82,0)+IF(AND($Z$83=$M$80,$AB$83&gt;0),$AB$83,0)+IF(AND($Z$84=$M$80,$AB$85&gt;0),$AB$84,0)+IF(AND($Z$85=$M$80,$AB$84&gt;0),$AB$85,0)+IF(AND($Z$86=$M$80,$AB$86&gt;0),$AB$86,0)</f>
        <v>0</v>
      </c>
      <c r="AD88" s="1265">
        <f>IF(AND($Z$82=$N$80,$AB$82&gt;0),$AB$82,0)+IF(AND($Z$83=$N$80,$AB$83&gt;0),$AB$83,0)+IF(AND($Z$84=$N$80,$AB$85&gt;0),$AB$84,0)+IF(AND($Z$85=$N$80,$AB$84&gt;0),$AB$85,0)+IF(AND($Z$86=$N$80,$AB$86&gt;0),$AB$86,0)</f>
        <v>0</v>
      </c>
      <c r="AE88" s="1265">
        <f>IF(AND($Z$82=$O$80,$AB$82&gt;0),$AB$82,0)+IF(AND($Z$83=$O$80,$AB$83&gt;0),$AB$83,0)+IF(AND($Z$84=$O$80,$AB$85&gt;0),$AB$84,0)+IF(AND($Z$85=$O$80,$AB$84&gt;0),$AB$85,0)+IF(AND($Z$86=$O$80,$AB$86&gt;0),$AB$86,0)</f>
        <v>0</v>
      </c>
      <c r="AF88" s="1265">
        <f>IF(AND($Z$82=$P$80,$AB$82&gt;0),$AB$82,0)+IF(AND($Z$83=$P$80,$AB$83&gt;0),$AB$83,0)+IF(AND($Z$84=$P$80,$AB$85&gt;0),$AB$84,0)+IF(AND($Z$85=$P$80,$AB$84&gt;0),$AB$85,0)+IF(AND($Z$86=$P$80,$AB$86&gt;0),$AB$86,0)</f>
        <v>0</v>
      </c>
      <c r="AG88" s="1265">
        <f>IF(AND($Z$82=$Q$80,$AB$82&gt;0),$AB$82,0)+IF(AND($Z$83=$Q$80,$AB$83&gt;0),$AB$83,0)+IF(AND($Z$84=$Q$80,$AB$85&gt;0),$AB$84,0)+IF(AND($Z$85=$Q$80,$AB$84&gt;0),$AB$85,0)+IF(AND($Z$86=$Q$80,$AB$86&gt;0),$AB$86,0)</f>
        <v>0</v>
      </c>
      <c r="AH88" s="1265">
        <f>IF(AND($Z$82=$R$80,$AB$82&gt;0),$AB$82,0)+IF(AND($Z$83=$R$80,$AB$83&gt;0),$AB$83,0)+IF(AND($Z$84=$R$80,$AB$85&gt;0),$AB$84,0)+IF(AND($Z$85=$R$80,$AB$84&gt;0),$AB$85,0)+IF(AND($Z$86=$R$80,$AB$86&gt;0),$AB$86,0)</f>
        <v>0</v>
      </c>
      <c r="AI88" s="1267">
        <f>SUM(W88:AH88)</f>
        <v>0</v>
      </c>
      <c r="AJ88" s="1344"/>
      <c r="AK88" s="1346"/>
      <c r="AL88" s="1609"/>
      <c r="BA88" s="1479"/>
      <c r="BB88" s="1479"/>
      <c r="BC88" s="1479"/>
      <c r="BD88" s="1479"/>
      <c r="BE88" s="1479"/>
      <c r="BF88" s="1479"/>
      <c r="BG88" s="1479"/>
      <c r="BH88" s="1479"/>
      <c r="BI88" s="1479"/>
      <c r="BJ88" s="1479"/>
      <c r="BK88" s="1479"/>
      <c r="BL88" s="1479"/>
      <c r="BM88" s="1479"/>
      <c r="BN88" s="1479"/>
      <c r="BO88" s="1479"/>
      <c r="BP88" s="1479"/>
      <c r="BQ88" s="1479"/>
      <c r="BR88" s="1479"/>
      <c r="BS88" s="1479"/>
      <c r="BT88" s="1479"/>
      <c r="BU88" s="1479"/>
      <c r="BV88" s="1479"/>
      <c r="BW88" s="1479"/>
      <c r="BX88" s="1479"/>
      <c r="BY88" s="1479"/>
      <c r="BZ88" s="1479"/>
      <c r="CA88" s="1479"/>
      <c r="CB88" s="1479"/>
      <c r="CC88" s="1479"/>
      <c r="CD88" s="1479"/>
      <c r="CE88" s="1479"/>
      <c r="CG88" s="1479"/>
      <c r="CH88" s="1479"/>
      <c r="CI88" s="31"/>
      <c r="CJ88" s="31"/>
      <c r="CK88" s="31"/>
      <c r="CL88" s="31"/>
      <c r="CM88" s="31"/>
      <c r="CN88" s="31"/>
      <c r="CO88" s="31"/>
      <c r="CP88" s="31"/>
      <c r="CQ88" s="31"/>
      <c r="CS88" s="56"/>
      <c r="CT88" s="56"/>
      <c r="CU88" s="30" t="str">
        <f>IF(Basisdaten!$B$15=Basisdaten!$D$2,CV88,CW88)</f>
        <v>Sonstiges</v>
      </c>
      <c r="CV88" s="523" t="s">
        <v>275</v>
      </c>
      <c r="CW88" s="523" t="s">
        <v>277</v>
      </c>
      <c r="CX88" s="30">
        <f>IF(Basisdaten!$B$15=Basisdaten!$D$2,CY88,CZ88)</f>
        <v>0</v>
      </c>
      <c r="DK88" s="52"/>
    </row>
    <row r="89" spans="3:115" ht="14.25" customHeight="1" thickTop="1">
      <c r="C89" s="1631">
        <f t="shared" si="60"/>
        <v>0</v>
      </c>
      <c r="D89" s="1630"/>
      <c r="E89" s="531"/>
      <c r="F89" s="222" t="str">
        <f>F11</f>
        <v>Summe Verwaltung (Büro)</v>
      </c>
      <c r="G89" s="255">
        <f>SUM(G83:G85)+G87+G88</f>
        <v>0</v>
      </c>
      <c r="H89" s="255">
        <f t="shared" ref="H89:S89" si="65">SUM(H83:H85)+H87+H88</f>
        <v>0</v>
      </c>
      <c r="I89" s="255">
        <f t="shared" si="65"/>
        <v>0</v>
      </c>
      <c r="J89" s="255">
        <f t="shared" si="65"/>
        <v>0</v>
      </c>
      <c r="K89" s="255">
        <f t="shared" si="65"/>
        <v>0</v>
      </c>
      <c r="L89" s="255">
        <f t="shared" si="65"/>
        <v>0</v>
      </c>
      <c r="M89" s="255">
        <f t="shared" si="65"/>
        <v>0</v>
      </c>
      <c r="N89" s="255">
        <f t="shared" si="65"/>
        <v>0</v>
      </c>
      <c r="O89" s="255">
        <f t="shared" si="65"/>
        <v>0</v>
      </c>
      <c r="P89" s="255">
        <f t="shared" si="65"/>
        <v>0</v>
      </c>
      <c r="Q89" s="255">
        <f t="shared" si="65"/>
        <v>0</v>
      </c>
      <c r="R89" s="255">
        <f t="shared" si="65"/>
        <v>0</v>
      </c>
      <c r="S89" s="255">
        <f t="shared" si="65"/>
        <v>0</v>
      </c>
      <c r="T89" s="552"/>
      <c r="U89" s="1390" t="str">
        <f>U10</f>
        <v>GWG Pool</v>
      </c>
      <c r="V89" s="1391"/>
      <c r="W89" s="1265">
        <f>IF(AND($Z$82=$G$80,$AC$82&gt;0),$AC$82,0)+IF(AND($Z$83=$G$80,$AC$83&gt;0),$AC$83,0)+IF(AND($Z$84=$G$80,$AC$84&gt;0),$AC$84,0)+IF(AND($Z$85=$G$80,$AC$85&gt;0),$AC$85,0)+IF(AND($Z$86=$G$80,$AC$86&gt;0),$AC$86,0)</f>
        <v>0</v>
      </c>
      <c r="X89" s="1265">
        <f>IF(AND($Z$82=$H$80,$AC$82&gt;0),$AC$82,0)+IF(AND($Z$83=$H$80,$AC$83&gt;0),$AC$83,0)+IF(AND($Z$84=$H$80,$AC$84&gt;0),$AC$84,0)+IF(AND($Z$85=$H$80,$AC$85&gt;0),$AC$85,0)+IF(AND($Z$86=$H$80,$AC$86&gt;0),$AC$86,0)</f>
        <v>0</v>
      </c>
      <c r="Y89" s="1265">
        <f>IF(AND($Z$82=I$80,$AC$82&gt;0),$AC$82,0)+IF(AND($Z$83=I$80,$AC$83&gt;0),$AC$83,0)+IF(AND($Z$84=I$80,$AC$84&gt;0),$AC$84,0)+IF(AND($Z$85=I$80,$AC$85&gt;0),$AC$85,0)+IF(AND($Z$86=I$80,$AC$86&gt;0),$AC$86,0)</f>
        <v>0</v>
      </c>
      <c r="Z89" s="1265">
        <f>IF(AND($Z$82=$J$80,$AC$82&gt;0),$AC$82,0)+IF(AND($Z$83=$J$80,$AC$83&gt;0),$AC$83,0)+IF(AND($Z$84=$J$80,$AC$84&gt;0),$AC$84,0)+IF(AND($Z$85=$J$80,$AC$85&gt;0),$AC$85,0)+IF(AND($Z$86=$J$80,$AC$86&gt;0),$AC$86,0)</f>
        <v>0</v>
      </c>
      <c r="AA89" s="1265">
        <f>IF(AND($Z$82=$K$80,$AC$82&gt;0),$AC$82,0)+IF(AND($Z$83=$K$80,$AC$83&gt;0),$AC$83,0)+IF(AND($Z$84=$K$80,$AC$84&gt;0),$AC$84,0)+IF(AND($Z$85=$K$80,$AC$85&gt;0),$AC$85,0)+IF(AND($Z$86=$K$80,$AC$86&gt;0),$AC$86,0)</f>
        <v>0</v>
      </c>
      <c r="AB89" s="1265">
        <f>IF(AND($Z$82=$L$80,$AC$82&gt;0),$AC$82,0)+IF(AND($Z$83=$L$80,$AC$83&gt;0),$AC$83,0)+IF(AND($Z$84=$L$80,$AC$84&gt;0),$AC$84,0)+IF(AND($Z$85=$L$80,$AC$85&gt;0),$AC$85,0)+IF(AND($Z$86=$L$80,$AC$86&gt;0),$AC$86,0)</f>
        <v>0</v>
      </c>
      <c r="AC89" s="1265">
        <f>IF(AND($Z$82=$M$80,$AC$82&gt;0),$AC$82,0)+IF(AND($Z$83=$M$80,$AC$83&gt;0),$AC$83,0)+IF(AND($Z$84=$M$80,$AC$84&gt;0),$AC$84,0)+IF(AND($Z$85=$M$80,$AC$85&gt;0),$AC$85,0)+IF(AND($Z$86=$M$80,$AC$86&gt;0),$AC$86,0)</f>
        <v>0</v>
      </c>
      <c r="AD89" s="1265">
        <f>IF(AND($Z$82=$N$80,$AC$82&gt;0),$AC$82,0)+IF(AND($Z$83=$N$80,$AC$83&gt;0),$AC$83,0)+IF(AND($Z$84=$N$80,$AC$84&gt;0),$AC$84,0)+IF(AND($Z$85=$N$80,$AC$85&gt;0),$AC$85,0)+IF(AND($Z$86=$N$80,$AC$86&gt;0),$AC$86,0)</f>
        <v>0</v>
      </c>
      <c r="AE89" s="1265">
        <f>IF(AND($Z$82=$O$80,$AC$82&gt;0),$AC$82,0)+IF(AND($Z$83=$O$80,$AC$83&gt;0),$AC$83,0)+IF(AND($Z$84=$O$80,$AC$84&gt;0),$AC$84,0)+IF(AND($Z$85=$O$80,$AC$85&gt;0),$AC$85,0)+IF(AND($Z$86=$O$80,$AC$86&gt;0),$AC$86,0)</f>
        <v>0</v>
      </c>
      <c r="AF89" s="1265">
        <f>IF(AND($Z$82=$P$80,$AC$82&gt;0),$AC$82,0)+IF(AND($Z$83=$P$80,$AC$83&gt;0),$AC$83,0)+IF(AND($Z$84=$P$80,$AC$84&gt;0),$AC$84,0)+IF(AND($Z$85=$P$80,$AC$85&gt;0),$AC$85,0)+IF(AND($Z$86=$P$80,$AC$86&gt;0),$AC$86,0)</f>
        <v>0</v>
      </c>
      <c r="AG89" s="1265">
        <f>IF(AND($Z$82=$Q$80,$AC$82&gt;0),$AC$82,0)+IF(AND($Z$83=$Q$80,$AC$83&gt;0),$AC$83,0)+IF(AND($Z$84=$Q$80,$AC$84&gt;0),$AC$84,0)+IF(AND($Z$85=$Q$80,$AC$85&gt;0),$AC$85,0)+IF(AND($Z$86=$Q$80,$AC$86&gt;0),$AC$86,0)</f>
        <v>0</v>
      </c>
      <c r="AH89" s="1265">
        <f>IF(AND($Z$82=$R$80,$AC$82&gt;0),$AC$82,0)+IF(AND($Z$83=$R$80,$AC$83&gt;0),$AC$83,0)+IF(AND($Z$84=$R$80,$AC$84&gt;0),$AC$84,0)+IF(AND($Z$85=$R$80,$AC$85&gt;0),$AC$85,0)+IF(AND($Z$86=$R$80,$AC$86&gt;0),$AC$86,0)</f>
        <v>0</v>
      </c>
      <c r="AI89" s="1267">
        <f>SUM(W89:AH89)</f>
        <v>0</v>
      </c>
      <c r="AJ89" s="1344"/>
      <c r="AK89" s="1346"/>
      <c r="AL89" s="1609"/>
      <c r="BA89" s="1479"/>
      <c r="BB89" s="1479"/>
      <c r="BC89" s="1479"/>
      <c r="BD89" s="1479"/>
      <c r="BE89" s="1479"/>
      <c r="BF89" s="1479"/>
      <c r="BG89" s="1479"/>
      <c r="BH89" s="1479"/>
      <c r="BI89" s="1479"/>
      <c r="BJ89" s="1479"/>
      <c r="BK89" s="1479"/>
      <c r="BL89" s="1479"/>
      <c r="BM89" s="1479"/>
      <c r="BN89" s="1479"/>
      <c r="BO89" s="1479"/>
      <c r="BP89" s="1479"/>
      <c r="BQ89" s="1479"/>
      <c r="BR89" s="1479"/>
      <c r="BS89" s="1479"/>
      <c r="BT89" s="1479"/>
      <c r="BU89" s="1479"/>
      <c r="BV89" s="1479"/>
      <c r="BW89" s="1479"/>
      <c r="BX89" s="1479"/>
      <c r="BY89" s="1479"/>
      <c r="BZ89" s="1479"/>
      <c r="CA89" s="1479"/>
      <c r="CB89" s="1479"/>
      <c r="CC89" s="1479"/>
      <c r="CD89" s="1479"/>
      <c r="CE89" s="1479"/>
      <c r="CF89" s="1538"/>
      <c r="CG89" s="1479"/>
      <c r="CH89" s="1479"/>
      <c r="CI89" s="31"/>
      <c r="CJ89" s="31"/>
      <c r="CK89" s="31"/>
      <c r="CL89" s="31"/>
      <c r="CM89" s="31"/>
      <c r="CN89" s="31"/>
      <c r="CO89" s="31"/>
      <c r="CP89" s="31"/>
      <c r="CQ89" s="31"/>
      <c r="CS89" s="56"/>
      <c r="CT89" s="56"/>
      <c r="CU89" s="30" t="str">
        <f>IF(Basisdaten!$B$15=Basisdaten!$D$2,CV89,CW89)</f>
        <v>Summe Bürokosten</v>
      </c>
      <c r="CV89" s="38" t="str">
        <f>"Summe " &amp;CV82</f>
        <v>Summe Bürokosten</v>
      </c>
      <c r="CW89" s="38" t="s">
        <v>162</v>
      </c>
      <c r="CX89" s="30">
        <f>IF(Basisdaten!$B$15=Basisdaten!$D$2,CY89,CZ89)</f>
        <v>0</v>
      </c>
      <c r="DK89" s="52"/>
    </row>
    <row r="90" spans="3:115" ht="14.25" customHeight="1">
      <c r="C90" s="1633" t="str">
        <f t="shared" si="60"/>
        <v>MwSt</v>
      </c>
      <c r="D90" s="1630"/>
      <c r="E90" s="597">
        <f>E12</f>
        <v>2</v>
      </c>
      <c r="F90" s="598" t="str">
        <f>F12</f>
        <v>Kosten bei Geschäftsart Auswahl/Choose &amp; Auswahl/Choose</v>
      </c>
      <c r="G90" s="599">
        <f>IFERROR(S147,"undo")</f>
        <v>0</v>
      </c>
      <c r="H90" s="2270" t="str">
        <f>IF(G90="undo",$CU$164,"")</f>
        <v/>
      </c>
      <c r="I90" s="2270"/>
      <c r="J90" s="2270"/>
      <c r="K90" s="2270"/>
      <c r="L90" s="2270"/>
      <c r="M90" s="2270"/>
      <c r="N90" s="2270"/>
      <c r="O90" s="2270"/>
      <c r="P90" s="2270"/>
      <c r="Q90" s="601" t="s">
        <v>608</v>
      </c>
      <c r="R90" s="600"/>
      <c r="S90" s="602"/>
      <c r="T90" s="552"/>
      <c r="U90" s="2259" t="str">
        <f ca="1">CX91</f>
        <v>3a-2.1.2 Aufstellung geringwertige Wirtschaftsgüter (GWG) der gewäglten Geschäftsart 2027</v>
      </c>
      <c r="V90" s="2259"/>
      <c r="W90" s="2259"/>
      <c r="X90" s="2259"/>
      <c r="Y90" s="2259"/>
      <c r="Z90" s="2259"/>
      <c r="AA90" s="2259"/>
      <c r="AB90" s="2259"/>
      <c r="AC90" s="2259"/>
      <c r="AJ90" s="1336"/>
      <c r="AK90" s="1347"/>
      <c r="AL90" s="1609"/>
      <c r="BA90" s="1479"/>
      <c r="BB90" s="1479"/>
      <c r="BC90" s="1479"/>
      <c r="BD90" s="1479"/>
      <c r="BE90" s="1479"/>
      <c r="BF90" s="1479"/>
      <c r="BG90" s="1479"/>
      <c r="BH90" s="1479"/>
      <c r="BI90" s="1479"/>
      <c r="BJ90" s="1479"/>
      <c r="BK90" s="1479"/>
      <c r="BL90" s="1479"/>
      <c r="BM90" s="1479"/>
      <c r="BN90" s="1479"/>
      <c r="BO90" s="1479"/>
      <c r="BP90" s="1479"/>
      <c r="BQ90" s="1479"/>
      <c r="BR90" s="1479"/>
      <c r="BS90" s="1479"/>
      <c r="BT90" s="1479"/>
      <c r="BU90" s="1479"/>
      <c r="BV90" s="1479"/>
      <c r="BW90" s="1479"/>
      <c r="BX90" s="1479"/>
      <c r="BY90" s="1479"/>
      <c r="BZ90" s="1479"/>
      <c r="CA90" s="1479"/>
      <c r="CB90" s="1479"/>
      <c r="CC90" s="1479"/>
      <c r="CD90" s="1479"/>
      <c r="CE90" s="1479"/>
      <c r="CF90" s="1538"/>
      <c r="CG90" s="1479"/>
      <c r="CH90" s="1479"/>
      <c r="CI90" s="31"/>
      <c r="CJ90" s="31"/>
      <c r="CK90" s="31"/>
      <c r="CL90" s="31"/>
      <c r="CM90" s="31"/>
      <c r="CN90" s="31"/>
      <c r="CO90" s="31"/>
      <c r="CP90" s="31"/>
      <c r="CQ90" s="31"/>
      <c r="CS90" s="56"/>
      <c r="CT90" s="56"/>
      <c r="CU90" s="30" t="str">
        <f>IF(Basisdaten!$B$15=Basisdaten!$D$2,CV90,CW90)</f>
        <v>Produktionskosten</v>
      </c>
      <c r="CV90" s="38" t="s">
        <v>37</v>
      </c>
      <c r="CW90" s="38" t="s">
        <v>157</v>
      </c>
      <c r="CX90" s="30">
        <f>IF(Basisdaten!$B$15=Basisdaten!$D$2,CY90,CZ90)</f>
        <v>0</v>
      </c>
      <c r="DK90" s="52"/>
    </row>
    <row r="91" spans="3:115" ht="14.25" customHeight="1">
      <c r="C91" s="1629">
        <f t="shared" si="60"/>
        <v>0.19</v>
      </c>
      <c r="D91" s="1630"/>
      <c r="E91" s="1319">
        <f>IF('2 Umsatz|Sales'!$CT$23=0,0,C91)</f>
        <v>0.19</v>
      </c>
      <c r="F91" s="538" t="str">
        <f>F13</f>
        <v xml:space="preserve">Einkauf </v>
      </c>
      <c r="G91" s="420"/>
      <c r="H91" s="420"/>
      <c r="I91" s="420"/>
      <c r="J91" s="420"/>
      <c r="K91" s="420"/>
      <c r="L91" s="420"/>
      <c r="M91" s="420"/>
      <c r="N91" s="420"/>
      <c r="O91" s="420"/>
      <c r="P91" s="420"/>
      <c r="Q91" s="420"/>
      <c r="R91" s="420"/>
      <c r="S91" s="594">
        <f>SUM(G91:R91)</f>
        <v>0</v>
      </c>
      <c r="T91" s="552"/>
      <c r="U91" s="2260"/>
      <c r="V91" s="2260"/>
      <c r="W91" s="2260"/>
      <c r="X91" s="2260"/>
      <c r="Y91" s="2260"/>
      <c r="Z91" s="2260"/>
      <c r="AA91" s="2260"/>
      <c r="AB91" s="2260"/>
      <c r="AC91" s="2260"/>
      <c r="AD91" s="1266"/>
      <c r="AJ91" s="49"/>
      <c r="AK91" s="1346"/>
      <c r="AL91" s="1608"/>
      <c r="BA91" s="1479"/>
      <c r="BB91" s="1479"/>
      <c r="BC91" s="1479"/>
      <c r="BD91" s="1479"/>
      <c r="BE91" s="1479"/>
      <c r="BF91" s="1479"/>
      <c r="BG91" s="1479"/>
      <c r="BH91" s="1479"/>
      <c r="BI91" s="1479"/>
      <c r="BJ91" s="1479"/>
      <c r="BK91" s="1479"/>
      <c r="BL91" s="1479"/>
      <c r="BM91" s="1479"/>
      <c r="BN91" s="1479"/>
      <c r="BO91" s="1479"/>
      <c r="BP91" s="1479"/>
      <c r="BQ91" s="1479"/>
      <c r="BR91" s="1479"/>
      <c r="BS91" s="1479"/>
      <c r="BT91" s="1479"/>
      <c r="BU91" s="1479"/>
      <c r="BV91" s="1479"/>
      <c r="BW91" s="1479"/>
      <c r="BX91" s="1479"/>
      <c r="BY91" s="1479"/>
      <c r="BZ91" s="1479"/>
      <c r="CA91" s="1531"/>
      <c r="CB91" s="1531"/>
      <c r="CC91" s="1531"/>
      <c r="CD91" s="1531"/>
      <c r="CE91" s="1540"/>
      <c r="CF91" s="1538"/>
      <c r="CG91" s="1479"/>
      <c r="CH91" s="1479"/>
      <c r="CI91" s="31"/>
      <c r="CJ91" s="31"/>
      <c r="CK91" s="31"/>
      <c r="CL91" s="31"/>
      <c r="CM91" s="31"/>
      <c r="CN91" s="31"/>
      <c r="CO91" s="31"/>
      <c r="CP91" s="31"/>
      <c r="CQ91" s="31"/>
      <c r="CU91" s="30" t="str">
        <f>IF(Basisdaten!$B$15=Basisdaten!$D$2,CV91,CW91)</f>
        <v>Raummiete</v>
      </c>
      <c r="CV91" s="38" t="s">
        <v>272</v>
      </c>
      <c r="CW91" s="38" t="s">
        <v>279</v>
      </c>
      <c r="CX91" s="30" t="str">
        <f ca="1">IF(Basisdaten!$B$15=Basisdaten!$D$2,CY91,CZ91)</f>
        <v>3a-2.1.2 Aufstellung geringwertige Wirtschaftsgüter (GWG) der gewäglten Geschäftsart 2027</v>
      </c>
      <c r="CY91" s="1321" t="str">
        <f ca="1">"3a-2.1.2 Aufstellung geringwertige Wirtschaftsgüter (GWG) der gewäglten Geschäftsart "&amp;Basisdaten!$C$15+1</f>
        <v>3a-2.1.2 Aufstellung geringwertige Wirtschaftsgüter (GWG) der gewäglten Geschäftsart 2027</v>
      </c>
      <c r="CZ91" s="1321" t="str">
        <f ca="1">"3a-2.1.2 List of low-value assets (LVA) for selected business type "&amp;Basisdaten!$C$15+1</f>
        <v>3a-2.1.2 List of low-value assets (LVA) for selected business type 2027</v>
      </c>
      <c r="DK91" s="52"/>
    </row>
    <row r="92" spans="3:115" ht="14.25" customHeight="1">
      <c r="C92" s="1629">
        <f t="shared" si="60"/>
        <v>0.19</v>
      </c>
      <c r="D92" s="1630"/>
      <c r="E92" s="1320">
        <f>IF('2 Umsatz|Sales'!$CT$23=0,0,C92)</f>
        <v>0.19</v>
      </c>
      <c r="F92" s="278" t="str">
        <f>F14</f>
        <v>Notwendig nach Tab 2 für Auswahl/Choose</v>
      </c>
      <c r="G92" s="280">
        <f>'2 Umsatz|Sales'!H49+'2 Umsatz|Sales'!H60</f>
        <v>0</v>
      </c>
      <c r="H92" s="280">
        <f>'2 Umsatz|Sales'!I49+'2 Umsatz|Sales'!I60</f>
        <v>0</v>
      </c>
      <c r="I92" s="280">
        <f>'2 Umsatz|Sales'!J49+'2 Umsatz|Sales'!J60</f>
        <v>0</v>
      </c>
      <c r="J92" s="280">
        <f>'2 Umsatz|Sales'!K49+'2 Umsatz|Sales'!K60</f>
        <v>0</v>
      </c>
      <c r="K92" s="280">
        <f>'2 Umsatz|Sales'!L49+'2 Umsatz|Sales'!L60</f>
        <v>0</v>
      </c>
      <c r="L92" s="280">
        <f>'2 Umsatz|Sales'!M49+'2 Umsatz|Sales'!M60</f>
        <v>0</v>
      </c>
      <c r="M92" s="280">
        <f>'2 Umsatz|Sales'!N49+'2 Umsatz|Sales'!N60</f>
        <v>0</v>
      </c>
      <c r="N92" s="280">
        <f>'2 Umsatz|Sales'!O49+'2 Umsatz|Sales'!O60</f>
        <v>0</v>
      </c>
      <c r="O92" s="280">
        <f>'2 Umsatz|Sales'!P49+'2 Umsatz|Sales'!P60</f>
        <v>0</v>
      </c>
      <c r="P92" s="280">
        <f>'2 Umsatz|Sales'!Q49+'2 Umsatz|Sales'!Q60</f>
        <v>0</v>
      </c>
      <c r="Q92" s="280">
        <f>'2 Umsatz|Sales'!R49+'2 Umsatz|Sales'!R60</f>
        <v>0</v>
      </c>
      <c r="R92" s="280">
        <f>'2 Umsatz|Sales'!S49+'2 Umsatz|Sales'!S60</f>
        <v>0</v>
      </c>
      <c r="S92" s="279">
        <f>SUM(G92:R92)</f>
        <v>0</v>
      </c>
      <c r="T92" s="554"/>
      <c r="U92" s="1768" t="str">
        <f>U81</f>
        <v>Artikelbezeichnung</v>
      </c>
      <c r="V92" s="1389"/>
      <c r="W92" s="336" t="str">
        <f t="shared" ref="W92:AD92" si="66">W81</f>
        <v>Betrag</v>
      </c>
      <c r="X92" s="336" t="str">
        <f t="shared" si="66"/>
        <v>Stk-Kost</v>
      </c>
      <c r="Y92" s="336" t="str">
        <f t="shared" si="66"/>
        <v>Anzahl</v>
      </c>
      <c r="Z92" s="336" t="str">
        <f t="shared" si="66"/>
        <v>Invest-Monat</v>
      </c>
      <c r="AA92" s="336" t="str">
        <f t="shared" si="66"/>
        <v>Direkt/Pool</v>
      </c>
      <c r="AB92" s="336" t="str">
        <f t="shared" si="66"/>
        <v>Direkt</v>
      </c>
      <c r="AC92" s="336" t="str">
        <f t="shared" si="66"/>
        <v>Pool</v>
      </c>
      <c r="AD92" s="336" t="str">
        <f t="shared" si="66"/>
        <v>Kommentar</v>
      </c>
      <c r="AJ92" s="32"/>
      <c r="AK92" s="549"/>
      <c r="AL92" s="1609"/>
      <c r="BA92" s="1479"/>
      <c r="BB92" s="1479"/>
      <c r="BC92" s="1479"/>
      <c r="BD92" s="1479"/>
      <c r="BE92" s="1479"/>
      <c r="BF92" s="1479"/>
      <c r="BG92" s="1479"/>
      <c r="BH92" s="1479"/>
      <c r="BI92" s="1479"/>
      <c r="BJ92" s="1479"/>
      <c r="BK92" s="1479"/>
      <c r="BL92" s="1479"/>
      <c r="BM92" s="1479"/>
      <c r="BN92" s="1479"/>
      <c r="BO92" s="1479"/>
      <c r="BP92" s="1479"/>
      <c r="BQ92" s="1479"/>
      <c r="BR92" s="1479"/>
      <c r="BS92" s="1479"/>
      <c r="BT92" s="1479"/>
      <c r="BU92" s="1479"/>
      <c r="BV92" s="1479"/>
      <c r="BW92" s="1479"/>
      <c r="BX92" s="1479"/>
      <c r="BY92" s="1479"/>
      <c r="BZ92" s="1479"/>
      <c r="CA92" s="1541">
        <f t="shared" ref="CA92:CA97" si="67">IF(OR(AD92=$CD$1,AD92=$CD$2,AD92=$CA$3),1,0)</f>
        <v>0</v>
      </c>
      <c r="CB92" s="1530" t="s">
        <v>997</v>
      </c>
      <c r="CC92" s="1530" t="s">
        <v>886</v>
      </c>
      <c r="CD92" s="481" t="s">
        <v>996</v>
      </c>
      <c r="CE92" s="1530" t="s">
        <v>995</v>
      </c>
      <c r="CF92" s="1538"/>
      <c r="CG92" s="1479"/>
      <c r="CH92" s="1479"/>
      <c r="CI92" s="31"/>
      <c r="CJ92" s="31"/>
      <c r="CK92" s="31"/>
      <c r="CL92" s="31"/>
      <c r="CM92" s="31"/>
      <c r="CN92" s="31"/>
      <c r="CO92" s="31"/>
      <c r="CP92" s="31"/>
      <c r="CQ92" s="31"/>
      <c r="CU92" s="30" t="str">
        <f>IF(Basisdaten!$B$15=Basisdaten!$D$2,CV92,CW92)</f>
        <v>Strom, Wasser, Heizung, sonst. Nebenkosten</v>
      </c>
      <c r="CV92" s="38" t="s">
        <v>273</v>
      </c>
      <c r="CW92" s="38" t="s">
        <v>281</v>
      </c>
      <c r="DK92" s="52"/>
    </row>
    <row r="93" spans="3:115" ht="14.25" customHeight="1">
      <c r="C93" s="1634">
        <f t="shared" si="60"/>
        <v>0.19</v>
      </c>
      <c r="D93" s="1630"/>
      <c r="E93" s="1320">
        <f>IF('2 Umsatz|Sales'!$CT$23=0,0,C93)</f>
        <v>0.19</v>
      </c>
      <c r="F93" s="278" t="str">
        <f>F15</f>
        <v xml:space="preserve">Vorräte </v>
      </c>
      <c r="G93" s="280">
        <f>S15+G91-G92</f>
        <v>0</v>
      </c>
      <c r="H93" s="280">
        <f t="shared" ref="H93:R93" si="68">G93+H91-H92</f>
        <v>0</v>
      </c>
      <c r="I93" s="280">
        <f t="shared" si="68"/>
        <v>0</v>
      </c>
      <c r="J93" s="280">
        <f t="shared" si="68"/>
        <v>0</v>
      </c>
      <c r="K93" s="280">
        <f t="shared" si="68"/>
        <v>0</v>
      </c>
      <c r="L93" s="280">
        <f t="shared" si="68"/>
        <v>0</v>
      </c>
      <c r="M93" s="280">
        <f t="shared" si="68"/>
        <v>0</v>
      </c>
      <c r="N93" s="280">
        <f t="shared" si="68"/>
        <v>0</v>
      </c>
      <c r="O93" s="280">
        <f t="shared" si="68"/>
        <v>0</v>
      </c>
      <c r="P93" s="280">
        <f t="shared" si="68"/>
        <v>0</v>
      </c>
      <c r="Q93" s="280">
        <f t="shared" si="68"/>
        <v>0</v>
      </c>
      <c r="R93" s="280">
        <f t="shared" si="68"/>
        <v>0</v>
      </c>
      <c r="S93" s="279">
        <f>R93</f>
        <v>0</v>
      </c>
      <c r="T93" s="554"/>
      <c r="U93" s="2247"/>
      <c r="V93" s="2248"/>
      <c r="W93" s="1393">
        <f>X93*Y93</f>
        <v>0</v>
      </c>
      <c r="X93" s="1237"/>
      <c r="Y93" s="1237"/>
      <c r="Z93" s="1237"/>
      <c r="AA93" s="1238"/>
      <c r="AB93" s="1239">
        <f>IF($AA93=$CC$1,0,IF(AND($AA93="Direkt",$X93&gt;Basisdaten!$B$50,$X93&lt;=Basisdaten!$C$50),$W93,IF(AND($X93&lt;=Basisdaten!$C$50,$X93&gt;Basisdaten!$B$50),$W93,0)))</f>
        <v>0</v>
      </c>
      <c r="AC93" s="1239">
        <f>IF(AA93=$CB$1,0,IF(AND($AA93="Pool",$X93&lt;=Basisdaten!$D$50,$X93&gt;Basisdaten!$B$50),$W93,0))</f>
        <v>0</v>
      </c>
      <c r="AD93" s="1392" t="str">
        <f t="shared" ref="AD93:AD97" si="69">IF(AND($AA93=$CC$1,$X93&gt;$CC$2),$CD$2,IF(AND($AA93=$CB$1,$X93&gt;$CB$2),$CD$1,IF(AND($X93&lt;$CA$2,$X93&lt;&gt;0,$Y93&gt;0),$CA$3,"")))</f>
        <v/>
      </c>
      <c r="AJ93" s="1215"/>
      <c r="AK93" s="1142"/>
      <c r="AL93" s="1609"/>
      <c r="BA93" s="1479"/>
      <c r="BB93" s="1479"/>
      <c r="BC93" s="1479"/>
      <c r="BD93" s="1479"/>
      <c r="BE93" s="1479"/>
      <c r="BF93" s="1479"/>
      <c r="BG93" s="1479"/>
      <c r="BH93" s="1479"/>
      <c r="BI93" s="1479"/>
      <c r="BJ93" s="1479"/>
      <c r="BK93" s="1479"/>
      <c r="BL93" s="1479"/>
      <c r="BM93" s="1479"/>
      <c r="BN93" s="1479"/>
      <c r="BO93" s="1479"/>
      <c r="BP93" s="1479"/>
      <c r="BQ93" s="1479"/>
      <c r="BR93" s="1479"/>
      <c r="BS93" s="1479"/>
      <c r="BT93" s="1479"/>
      <c r="BU93" s="1479"/>
      <c r="BV93" s="1479"/>
      <c r="BW93" s="1479"/>
      <c r="BX93" s="1479"/>
      <c r="BY93" s="1479"/>
      <c r="BZ93" s="1479"/>
      <c r="CA93" s="1534">
        <f t="shared" si="67"/>
        <v>0</v>
      </c>
      <c r="CB93" s="1535">
        <f t="shared" ref="CB93:CB97" si="70">IF(OR(AND($X93&lt;$CA$2,$X93&lt;&gt;0),AND($X93&gt;$CB$2,$AA93=$CB$1),AND($X93&gt;$CC$2,$AA93=$CC$1)),1,0)</f>
        <v>0</v>
      </c>
      <c r="CC93" s="1535">
        <f t="shared" ref="CC93:CC97" si="71">IF(AND($X93&gt;0,$Y93=0),1,0)</f>
        <v>0</v>
      </c>
      <c r="CD93" s="1534">
        <f t="shared" ref="CD93:CD97" si="72">IF(AND($X93&gt;0,$Z93=""),1,0)</f>
        <v>0</v>
      </c>
      <c r="CE93" s="1535">
        <f t="shared" ref="CE93:CE97" si="73">IF(AND($AA93="",$X93&gt;0),1,0)</f>
        <v>0</v>
      </c>
      <c r="CF93" s="2255" t="s">
        <v>1008</v>
      </c>
      <c r="CG93" s="1479"/>
      <c r="CH93" s="1479"/>
      <c r="CI93" s="31"/>
      <c r="CJ93" s="31"/>
      <c r="CK93" s="31"/>
      <c r="CL93" s="31"/>
      <c r="CM93" s="31"/>
      <c r="CN93" s="31"/>
      <c r="CO93" s="31"/>
      <c r="CP93" s="31"/>
      <c r="CQ93" s="31"/>
      <c r="CS93" s="43"/>
      <c r="CT93" s="43"/>
      <c r="CU93" s="30" t="str">
        <f>IF(Basisdaten!$B$15=Basisdaten!$D$2,CV93,CW93)</f>
        <v>Materialaufwand zur Produktion (19%)</v>
      </c>
      <c r="CV93" s="38" t="str">
        <f>"Materialaufwand zur Produktion ("&amp;MwSt_19*100 &amp;"%)"</f>
        <v>Materialaufwand zur Produktion (19%)</v>
      </c>
      <c r="CW93" s="38" t="str">
        <f>"Cost for materials for production  ("&amp;MwSt_19*100 &amp;"%)"</f>
        <v>Cost for materials for production  (19%)</v>
      </c>
      <c r="DK93" s="52"/>
    </row>
    <row r="94" spans="3:115" ht="14.25" customHeight="1">
      <c r="C94" s="1634">
        <f t="shared" si="60"/>
        <v>0.19</v>
      </c>
      <c r="D94" s="1630"/>
      <c r="E94" s="1320">
        <f>IF('2 Umsatz|Sales'!$CT$23=0,0,C94)</f>
        <v>0.19</v>
      </c>
      <c r="F94" s="278" t="str">
        <f>CN30&amp;"   "&amp; CU68&amp;" Tab 4a.2.1.2 ==&gt;"</f>
        <v>GWG    Planung Tab 4a.2.1.2 ==&gt;</v>
      </c>
      <c r="G94" s="280">
        <f t="shared" ref="G94:R94" si="74">W99</f>
        <v>0</v>
      </c>
      <c r="H94" s="280">
        <f t="shared" si="74"/>
        <v>0</v>
      </c>
      <c r="I94" s="280">
        <f t="shared" si="74"/>
        <v>0</v>
      </c>
      <c r="J94" s="280">
        <f t="shared" si="74"/>
        <v>0</v>
      </c>
      <c r="K94" s="280">
        <f t="shared" si="74"/>
        <v>0</v>
      </c>
      <c r="L94" s="280">
        <f t="shared" si="74"/>
        <v>0</v>
      </c>
      <c r="M94" s="280">
        <f t="shared" si="74"/>
        <v>0</v>
      </c>
      <c r="N94" s="280">
        <f t="shared" si="74"/>
        <v>0</v>
      </c>
      <c r="O94" s="280">
        <f t="shared" si="74"/>
        <v>0</v>
      </c>
      <c r="P94" s="280">
        <f t="shared" si="74"/>
        <v>0</v>
      </c>
      <c r="Q94" s="1368">
        <f t="shared" si="74"/>
        <v>0</v>
      </c>
      <c r="R94" s="1368">
        <f t="shared" si="74"/>
        <v>0</v>
      </c>
      <c r="S94" s="279">
        <f t="shared" ref="S94:S99" si="75">SUM(G94:R94)</f>
        <v>0</v>
      </c>
      <c r="T94" s="554"/>
      <c r="U94" s="2247"/>
      <c r="V94" s="2248"/>
      <c r="W94" s="1393">
        <f>X94*Y94</f>
        <v>0</v>
      </c>
      <c r="X94" s="1237"/>
      <c r="Y94" s="1237"/>
      <c r="Z94" s="1237"/>
      <c r="AA94" s="1238"/>
      <c r="AB94" s="1239">
        <f>IF($AA94=$CC$1,0,IF(AND($AA94="Direkt",$X94&gt;Basisdaten!$B$50,$X94&lt;=Basisdaten!$C$50),$W94,IF(AND($X94&lt;=Basisdaten!$C$50,$X94&gt;Basisdaten!$B$50),$W94,0)))</f>
        <v>0</v>
      </c>
      <c r="AC94" s="1239">
        <f>IF(AA94=$CB$1,0,IF(AND($AA94="Pool",$X94&lt;=Basisdaten!$D$50,$X94&gt;Basisdaten!$B$50),$W94,0))</f>
        <v>0</v>
      </c>
      <c r="AD94" s="1392" t="str">
        <f t="shared" si="69"/>
        <v/>
      </c>
      <c r="AJ94" s="1215"/>
      <c r="AK94" s="1142"/>
      <c r="AL94" s="1609"/>
      <c r="BA94" s="1479"/>
      <c r="BB94" s="1479"/>
      <c r="BC94" s="1479"/>
      <c r="BD94" s="1479"/>
      <c r="BE94" s="1479"/>
      <c r="BF94" s="1479"/>
      <c r="BG94" s="1479"/>
      <c r="BH94" s="1479"/>
      <c r="BI94" s="1479"/>
      <c r="BJ94" s="1479"/>
      <c r="BK94" s="1479"/>
      <c r="BL94" s="1479"/>
      <c r="BM94" s="1479"/>
      <c r="BN94" s="1479"/>
      <c r="BO94" s="1479"/>
      <c r="BP94" s="1479"/>
      <c r="BQ94" s="1479"/>
      <c r="BR94" s="1479"/>
      <c r="BS94" s="1479"/>
      <c r="BT94" s="1479"/>
      <c r="BU94" s="1479"/>
      <c r="BV94" s="1479"/>
      <c r="BW94" s="1479"/>
      <c r="BX94" s="1479"/>
      <c r="BY94" s="1479"/>
      <c r="BZ94" s="1479"/>
      <c r="CA94" s="1534">
        <f t="shared" si="67"/>
        <v>0</v>
      </c>
      <c r="CB94" s="1535">
        <f t="shared" si="70"/>
        <v>0</v>
      </c>
      <c r="CC94" s="1535">
        <f t="shared" si="71"/>
        <v>0</v>
      </c>
      <c r="CD94" s="1534">
        <f t="shared" si="72"/>
        <v>0</v>
      </c>
      <c r="CE94" s="1535">
        <f t="shared" si="73"/>
        <v>0</v>
      </c>
      <c r="CF94" s="2255"/>
      <c r="CG94" s="1479"/>
      <c r="CH94" s="1479"/>
      <c r="CI94" s="31"/>
      <c r="CJ94" s="31"/>
      <c r="CK94" s="31"/>
      <c r="CL94" s="31"/>
      <c r="CM94" s="31"/>
      <c r="CN94" s="31"/>
      <c r="CO94" s="31"/>
      <c r="CP94" s="31"/>
      <c r="CQ94" s="31"/>
      <c r="CS94" s="233"/>
      <c r="CT94" s="233"/>
      <c r="CU94" s="30" t="str">
        <f>IF(Basisdaten!$B$15=Basisdaten!$D$2,CV94,CW94)</f>
        <v>geplante Kosten (hier nur nachrichtlich; sind in Zeile 101 enthalten) :</v>
      </c>
      <c r="CV94" s="38" t="s">
        <v>918</v>
      </c>
      <c r="CW94" s="38" t="s">
        <v>919</v>
      </c>
      <c r="DK94" s="52"/>
    </row>
    <row r="95" spans="3:115" ht="14.25" customHeight="1">
      <c r="C95" s="1629">
        <f t="shared" si="60"/>
        <v>0.19</v>
      </c>
      <c r="D95" s="1630"/>
      <c r="E95" s="1320">
        <f>IF('2 Umsatz|Sales'!$CT$23=0,0,C95)</f>
        <v>0.19</v>
      </c>
      <c r="F95" s="278" t="str">
        <f>F17</f>
        <v/>
      </c>
      <c r="G95" s="417"/>
      <c r="H95" s="417"/>
      <c r="I95" s="417"/>
      <c r="J95" s="417"/>
      <c r="K95" s="417"/>
      <c r="L95" s="417"/>
      <c r="M95" s="417"/>
      <c r="N95" s="417"/>
      <c r="O95" s="417"/>
      <c r="P95" s="417"/>
      <c r="Q95" s="417"/>
      <c r="R95" s="417"/>
      <c r="S95" s="279">
        <f t="shared" si="75"/>
        <v>0</v>
      </c>
      <c r="T95" s="554"/>
      <c r="U95" s="2247"/>
      <c r="V95" s="2248"/>
      <c r="W95" s="1393">
        <f>X95*Y95</f>
        <v>0</v>
      </c>
      <c r="X95" s="1237"/>
      <c r="Y95" s="1237"/>
      <c r="Z95" s="1237"/>
      <c r="AA95" s="1238"/>
      <c r="AB95" s="1239">
        <f>IF($AA95=$CC$1,0,IF(AND($AA95="Direkt",$X95&gt;Basisdaten!$B$50,$X95&lt;=Basisdaten!$C$50),$W95,IF(AND($X95&lt;=Basisdaten!$C$50,$X95&gt;Basisdaten!$B$50),$W95,0)))</f>
        <v>0</v>
      </c>
      <c r="AC95" s="1239">
        <f>IF(AA95=$CB$1,0,IF(AND($AA95="Pool",$X95&lt;=Basisdaten!$D$50,$X95&gt;Basisdaten!$B$50),$W95,0))</f>
        <v>0</v>
      </c>
      <c r="AD95" s="1392" t="str">
        <f t="shared" si="69"/>
        <v/>
      </c>
      <c r="AJ95" s="32"/>
      <c r="AK95" s="549"/>
      <c r="AL95" s="1609"/>
      <c r="BA95" s="1479"/>
      <c r="BB95" s="1479"/>
      <c r="BC95" s="1479"/>
      <c r="BD95" s="1479"/>
      <c r="BE95" s="1479"/>
      <c r="BF95" s="1479"/>
      <c r="BG95" s="1479"/>
      <c r="BH95" s="1479"/>
      <c r="BI95" s="1479"/>
      <c r="BJ95" s="1479"/>
      <c r="BK95" s="1479"/>
      <c r="BL95" s="1479"/>
      <c r="BM95" s="1479"/>
      <c r="BN95" s="1479"/>
      <c r="BO95" s="1479"/>
      <c r="BP95" s="1479"/>
      <c r="BQ95" s="1479"/>
      <c r="BR95" s="1479"/>
      <c r="BS95" s="1479"/>
      <c r="BT95" s="1479"/>
      <c r="BU95" s="1479"/>
      <c r="BV95" s="1479"/>
      <c r="BW95" s="1479"/>
      <c r="BX95" s="1479"/>
      <c r="BY95" s="1479"/>
      <c r="BZ95" s="1479"/>
      <c r="CA95" s="1534">
        <f t="shared" si="67"/>
        <v>0</v>
      </c>
      <c r="CB95" s="1535">
        <f t="shared" si="70"/>
        <v>0</v>
      </c>
      <c r="CC95" s="1535">
        <f t="shared" si="71"/>
        <v>0</v>
      </c>
      <c r="CD95" s="1534">
        <f t="shared" si="72"/>
        <v>0</v>
      </c>
      <c r="CE95" s="1535">
        <f t="shared" si="73"/>
        <v>0</v>
      </c>
      <c r="CF95" s="2255"/>
      <c r="CG95" s="1479"/>
      <c r="CH95" s="1479"/>
      <c r="CI95" s="31"/>
      <c r="CJ95" s="31"/>
      <c r="CK95" s="31"/>
      <c r="CL95" s="31"/>
      <c r="CM95" s="31"/>
      <c r="CN95" s="31"/>
      <c r="CO95" s="31"/>
      <c r="CP95" s="31"/>
      <c r="CQ95" s="31"/>
      <c r="CS95" s="233"/>
      <c r="CT95" s="233"/>
      <c r="CU95" s="30" t="str">
        <f>IF(Basisdaten!$B$15=Basisdaten!$D$2,CV95,CW95)</f>
        <v>Produktionsbedarf, geringwertige Wirtschaftsgüter</v>
      </c>
      <c r="CV95" s="38" t="s">
        <v>103</v>
      </c>
      <c r="CW95" s="38" t="s">
        <v>156</v>
      </c>
      <c r="DK95" s="52"/>
    </row>
    <row r="96" spans="3:115" ht="14.25" customHeight="1">
      <c r="C96" s="1629">
        <f t="shared" si="60"/>
        <v>0.19</v>
      </c>
      <c r="D96" s="1630"/>
      <c r="E96" s="1320">
        <f>IF('2 Umsatz|Sales'!$CT$23=0,0,C96)</f>
        <v>0.19</v>
      </c>
      <c r="F96" s="278" t="str">
        <f>F18</f>
        <v/>
      </c>
      <c r="G96" s="417"/>
      <c r="H96" s="417"/>
      <c r="I96" s="417"/>
      <c r="J96" s="417"/>
      <c r="K96" s="417"/>
      <c r="L96" s="417"/>
      <c r="M96" s="417"/>
      <c r="N96" s="417"/>
      <c r="O96" s="417"/>
      <c r="P96" s="417"/>
      <c r="Q96" s="417"/>
      <c r="R96" s="417"/>
      <c r="S96" s="279">
        <f t="shared" si="75"/>
        <v>0</v>
      </c>
      <c r="T96" s="554"/>
      <c r="U96" s="2247"/>
      <c r="V96" s="2248"/>
      <c r="W96" s="1393">
        <f>X96*Y96</f>
        <v>0</v>
      </c>
      <c r="X96" s="1237"/>
      <c r="Y96" s="1237"/>
      <c r="Z96" s="1237"/>
      <c r="AA96" s="1238"/>
      <c r="AB96" s="1239">
        <f>IF($AA96=$CC$1,0,IF(AND($AA96="Direkt",$X96&gt;Basisdaten!$B$50,$X96&lt;=Basisdaten!$C$50),$W96,IF(AND($X96&lt;=Basisdaten!$C$50,$X96&gt;Basisdaten!$B$50),$W96,0)))</f>
        <v>0</v>
      </c>
      <c r="AC96" s="1239">
        <f>IF(AA96=$CB$1,0,IF(AND($AA96="Pool",$X96&lt;=Basisdaten!$D$50,$X96&gt;Basisdaten!$B$50),$W96,0))</f>
        <v>0</v>
      </c>
      <c r="AD96" s="1392" t="str">
        <f t="shared" si="69"/>
        <v/>
      </c>
      <c r="AJ96" s="1215"/>
      <c r="AK96" s="1142"/>
      <c r="AL96" s="1608"/>
      <c r="BA96" s="1479"/>
      <c r="BB96" s="1479"/>
      <c r="BC96" s="1479"/>
      <c r="BD96" s="1479"/>
      <c r="BE96" s="1479"/>
      <c r="BF96" s="1479"/>
      <c r="BG96" s="1479"/>
      <c r="BH96" s="1479"/>
      <c r="BI96" s="1479"/>
      <c r="BJ96" s="1479"/>
      <c r="BK96" s="1479"/>
      <c r="BL96" s="1479"/>
      <c r="BM96" s="1479"/>
      <c r="BN96" s="1479"/>
      <c r="BO96" s="1479"/>
      <c r="BP96" s="1479"/>
      <c r="BQ96" s="1479"/>
      <c r="BR96" s="1479"/>
      <c r="BS96" s="1479"/>
      <c r="BT96" s="1479"/>
      <c r="BU96" s="1479"/>
      <c r="BV96" s="1479"/>
      <c r="BW96" s="1479"/>
      <c r="BX96" s="1479"/>
      <c r="BY96" s="1479"/>
      <c r="BZ96" s="1479"/>
      <c r="CA96" s="1534">
        <f t="shared" si="67"/>
        <v>0</v>
      </c>
      <c r="CB96" s="1535">
        <f t="shared" si="70"/>
        <v>0</v>
      </c>
      <c r="CC96" s="1535">
        <f t="shared" si="71"/>
        <v>0</v>
      </c>
      <c r="CD96" s="1534">
        <f t="shared" si="72"/>
        <v>0</v>
      </c>
      <c r="CE96" s="1535">
        <f t="shared" si="73"/>
        <v>0</v>
      </c>
      <c r="CF96" s="2255"/>
      <c r="CG96" s="1479"/>
      <c r="CH96" s="1479"/>
      <c r="CI96" s="31"/>
      <c r="CJ96" s="31"/>
      <c r="CK96" s="31"/>
      <c r="CL96" s="31"/>
      <c r="CM96" s="31"/>
      <c r="CN96" s="31"/>
      <c r="CO96" s="31"/>
      <c r="CP96" s="31"/>
      <c r="CQ96" s="31"/>
      <c r="CS96" s="233"/>
      <c r="CT96" s="233"/>
      <c r="CU96" s="30" t="str">
        <f>IF(Basisdaten!$B$15=Basisdaten!$D$2,CV96,CW96)</f>
        <v>Leasingraten für Produktionsanlagen, -maschinen</v>
      </c>
      <c r="CV96" s="38" t="s">
        <v>101</v>
      </c>
      <c r="CW96" s="38" t="s">
        <v>269</v>
      </c>
      <c r="DK96" s="52"/>
    </row>
    <row r="97" spans="3:115" ht="14.25" customHeight="1">
      <c r="C97" s="1629">
        <f t="shared" si="60"/>
        <v>0.19</v>
      </c>
      <c r="D97" s="1630"/>
      <c r="E97" s="1320">
        <f>IF('2 Umsatz|Sales'!$CT$23=0,0,C97)</f>
        <v>0.19</v>
      </c>
      <c r="F97" s="278" t="str">
        <f>F19</f>
        <v/>
      </c>
      <c r="G97" s="417"/>
      <c r="H97" s="996"/>
      <c r="I97" s="996"/>
      <c r="J97" s="996"/>
      <c r="K97" s="996"/>
      <c r="L97" s="996"/>
      <c r="M97" s="996"/>
      <c r="N97" s="996"/>
      <c r="O97" s="996"/>
      <c r="P97" s="996"/>
      <c r="Q97" s="996"/>
      <c r="R97" s="996"/>
      <c r="S97" s="279">
        <f t="shared" si="75"/>
        <v>0</v>
      </c>
      <c r="T97" s="554"/>
      <c r="U97" s="2247"/>
      <c r="V97" s="2248"/>
      <c r="W97" s="1393">
        <f>X97*Y97</f>
        <v>0</v>
      </c>
      <c r="X97" s="1237"/>
      <c r="Y97" s="1237"/>
      <c r="Z97" s="1237"/>
      <c r="AA97" s="1238"/>
      <c r="AB97" s="1239">
        <f>IF($AA97=$CC$1,0,IF(AND($AA97="Direkt",$X97&gt;Basisdaten!$B$50,$X97&lt;=Basisdaten!$C$50),$W97,IF(AND($X97&lt;=Basisdaten!$C$50,$X97&gt;Basisdaten!$B$50),$W97,0)))</f>
        <v>0</v>
      </c>
      <c r="AC97" s="1239">
        <f>IF(AA97=$CB$1,0,IF(AND($AA97="Pool",$X97&lt;=Basisdaten!$D$50,$X97&gt;Basisdaten!$B$50),$W97,0))</f>
        <v>0</v>
      </c>
      <c r="AD97" s="1392" t="str">
        <f t="shared" si="69"/>
        <v/>
      </c>
      <c r="AJ97" s="1215"/>
      <c r="AK97" s="1142"/>
      <c r="AL97" s="1609"/>
      <c r="BA97" s="1479"/>
      <c r="BB97" s="1479"/>
      <c r="BC97" s="1479"/>
      <c r="BD97" s="1479"/>
      <c r="BE97" s="1479"/>
      <c r="BF97" s="1479"/>
      <c r="BG97" s="1479"/>
      <c r="BH97" s="1479"/>
      <c r="BI97" s="1479"/>
      <c r="BJ97" s="1479"/>
      <c r="BK97" s="1479"/>
      <c r="BL97" s="1479"/>
      <c r="BM97" s="1479"/>
      <c r="BN97" s="1479"/>
      <c r="BO97" s="1479"/>
      <c r="BP97" s="1479"/>
      <c r="BQ97" s="1479"/>
      <c r="BR97" s="1479"/>
      <c r="BS97" s="1479"/>
      <c r="BT97" s="1479"/>
      <c r="BU97" s="1479"/>
      <c r="BV97" s="1479"/>
      <c r="BW97" s="1479"/>
      <c r="BX97" s="1479"/>
      <c r="BY97" s="1479"/>
      <c r="BZ97" s="1479"/>
      <c r="CA97" s="1534">
        <f t="shared" si="67"/>
        <v>0</v>
      </c>
      <c r="CB97" s="1535">
        <f t="shared" si="70"/>
        <v>0</v>
      </c>
      <c r="CC97" s="1535">
        <f t="shared" si="71"/>
        <v>0</v>
      </c>
      <c r="CD97" s="1534">
        <f t="shared" si="72"/>
        <v>0</v>
      </c>
      <c r="CE97" s="1535">
        <f t="shared" si="73"/>
        <v>0</v>
      </c>
      <c r="CF97" s="2255"/>
      <c r="CG97" s="1479"/>
      <c r="CH97" s="1479"/>
      <c r="CI97" s="31"/>
      <c r="CJ97" s="31"/>
      <c r="CK97" s="31"/>
      <c r="CL97" s="31"/>
      <c r="CM97" s="31"/>
      <c r="CN97" s="31"/>
      <c r="CO97" s="31"/>
      <c r="CP97" s="31"/>
      <c r="CQ97" s="31"/>
      <c r="CS97" s="233"/>
      <c r="CT97" s="233"/>
      <c r="CU97" s="30" t="str">
        <f>IF(Basisdaten!$B$15=Basisdaten!$D$2,CV97,CW97)</f>
        <v>Instandhaltung und Reparaturen</v>
      </c>
      <c r="CV97" s="38" t="s">
        <v>280</v>
      </c>
      <c r="CW97" s="38" t="s">
        <v>282</v>
      </c>
      <c r="DK97" s="52"/>
    </row>
    <row r="98" spans="3:115" ht="14.25" customHeight="1">
      <c r="C98" s="1629">
        <f t="shared" si="60"/>
        <v>0.19</v>
      </c>
      <c r="D98" s="1630"/>
      <c r="E98" s="1320">
        <f>IF('2 Umsatz|Sales'!$CT$23=0,0,C98)</f>
        <v>0.19</v>
      </c>
      <c r="F98" s="278" t="str">
        <f>F20</f>
        <v/>
      </c>
      <c r="G98" s="417"/>
      <c r="H98" s="996"/>
      <c r="I98" s="996"/>
      <c r="J98" s="996"/>
      <c r="K98" s="996"/>
      <c r="L98" s="996"/>
      <c r="M98" s="996"/>
      <c r="N98" s="996"/>
      <c r="O98" s="996"/>
      <c r="P98" s="996"/>
      <c r="Q98" s="996"/>
      <c r="R98" s="996"/>
      <c r="S98" s="279">
        <f t="shared" si="75"/>
        <v>0</v>
      </c>
      <c r="T98" s="554"/>
      <c r="U98" s="1766">
        <f ca="1">U87</f>
        <v>2027</v>
      </c>
      <c r="V98" s="1767"/>
      <c r="W98" s="1270" t="str">
        <f>W8</f>
        <v>Jan.</v>
      </c>
      <c r="X98" s="1270" t="str">
        <f t="shared" ref="X98:AI98" si="76">X87</f>
        <v>Feb</v>
      </c>
      <c r="Y98" s="1270" t="str">
        <f t="shared" si="76"/>
        <v>Mrz</v>
      </c>
      <c r="Z98" s="1270" t="str">
        <f t="shared" si="76"/>
        <v>Apr</v>
      </c>
      <c r="AA98" s="1270" t="str">
        <f t="shared" si="76"/>
        <v>Mai</v>
      </c>
      <c r="AB98" s="1270" t="str">
        <f t="shared" si="76"/>
        <v>Jun</v>
      </c>
      <c r="AC98" s="1270" t="str">
        <f t="shared" si="76"/>
        <v>Jul</v>
      </c>
      <c r="AD98" s="1270" t="str">
        <f t="shared" si="76"/>
        <v>Aug</v>
      </c>
      <c r="AE98" s="1270" t="str">
        <f t="shared" si="76"/>
        <v>Sep</v>
      </c>
      <c r="AF98" s="1270" t="str">
        <f t="shared" si="76"/>
        <v>Okt</v>
      </c>
      <c r="AG98" s="1270" t="str">
        <f t="shared" si="76"/>
        <v>Nov</v>
      </c>
      <c r="AH98" s="1270" t="str">
        <f t="shared" si="76"/>
        <v>Dez</v>
      </c>
      <c r="AI98" s="1270">
        <f t="shared" ca="1" si="76"/>
        <v>2027</v>
      </c>
      <c r="AJ98" s="1215"/>
      <c r="AK98" s="1142"/>
      <c r="AL98" s="1609"/>
      <c r="BA98" s="1479"/>
      <c r="BB98" s="1479"/>
      <c r="BC98" s="1479"/>
      <c r="BD98" s="1479"/>
      <c r="BE98" s="1479"/>
      <c r="BF98" s="1479"/>
      <c r="BG98" s="1479"/>
      <c r="BH98" s="1479"/>
      <c r="BI98" s="1479"/>
      <c r="BJ98" s="1479"/>
      <c r="BK98" s="1479"/>
      <c r="BL98" s="1479"/>
      <c r="BM98" s="1479"/>
      <c r="BN98" s="1479"/>
      <c r="BO98" s="1479"/>
      <c r="BP98" s="1479"/>
      <c r="BQ98" s="1479"/>
      <c r="BR98" s="1479"/>
      <c r="BS98" s="1479"/>
      <c r="BT98" s="1479"/>
      <c r="BU98" s="1479"/>
      <c r="BV98" s="1479"/>
      <c r="BW98" s="1479"/>
      <c r="BX98" s="1479"/>
      <c r="BY98" s="1479"/>
      <c r="BZ98" s="1479"/>
      <c r="CA98" s="1479"/>
      <c r="CB98" s="1479"/>
      <c r="CC98" s="1479"/>
      <c r="CD98" s="1479"/>
      <c r="CE98" s="1479"/>
      <c r="CF98" s="1479"/>
      <c r="CG98" s="1479"/>
      <c r="CH98" s="1479"/>
      <c r="CI98" s="31"/>
      <c r="CJ98" s="31"/>
      <c r="CK98" s="31"/>
      <c r="CL98" s="31"/>
      <c r="CM98" s="31"/>
      <c r="CN98" s="31"/>
      <c r="CO98" s="31"/>
      <c r="CP98" s="31"/>
      <c r="CQ98" s="31"/>
      <c r="CS98" s="233"/>
      <c r="CT98" s="233"/>
      <c r="CU98" s="30">
        <f>IF(Basisdaten!$B$15=Basisdaten!$D$2,CV98,CW98)</f>
        <v>0</v>
      </c>
      <c r="CV98" s="38"/>
      <c r="CW98" s="38"/>
      <c r="DK98" s="52"/>
    </row>
    <row r="99" spans="3:115" ht="14.25" customHeight="1" thickBot="1">
      <c r="C99" s="1629">
        <f t="shared" si="60"/>
        <v>0.19</v>
      </c>
      <c r="D99" s="1630"/>
      <c r="E99" s="1320">
        <f>IF('2 Umsatz|Sales'!$CT$23=0,0,C99)</f>
        <v>0.19</v>
      </c>
      <c r="F99" s="539" t="str">
        <f>CU99</f>
        <v>Sonstiges</v>
      </c>
      <c r="G99" s="521"/>
      <c r="H99" s="521"/>
      <c r="I99" s="521"/>
      <c r="J99" s="521"/>
      <c r="K99" s="521"/>
      <c r="L99" s="521"/>
      <c r="M99" s="521"/>
      <c r="N99" s="521"/>
      <c r="O99" s="521"/>
      <c r="P99" s="521"/>
      <c r="Q99" s="521"/>
      <c r="R99" s="521"/>
      <c r="S99" s="537">
        <f t="shared" si="75"/>
        <v>0</v>
      </c>
      <c r="T99" s="554"/>
      <c r="U99" s="1390" t="str">
        <f>"GWG "&amp;AB92</f>
        <v>GWG Direkt</v>
      </c>
      <c r="V99" s="1391"/>
      <c r="W99" s="1265">
        <f t="shared" ref="W99:AI99" si="77">IF(AND($Z$93=G80,$AB$93&gt;0),$AB$93,0)+IF(AND($Z$94=G80,$AB$94&gt;0),$AB$94,0)+IF(AND($Z$95=G80,$AB$95&gt;0),$AB$95,0)+IF(AND($Z$96=G80,$AB$96&gt;0),$AB$96,0)+IF(AND($Z$97=G80,$AB$97&gt;0),$AB$97,0)</f>
        <v>0</v>
      </c>
      <c r="X99" s="1265">
        <f t="shared" si="77"/>
        <v>0</v>
      </c>
      <c r="Y99" s="1265">
        <f t="shared" si="77"/>
        <v>0</v>
      </c>
      <c r="Z99" s="1265">
        <f t="shared" si="77"/>
        <v>0</v>
      </c>
      <c r="AA99" s="1265">
        <f t="shared" si="77"/>
        <v>0</v>
      </c>
      <c r="AB99" s="1265">
        <f t="shared" si="77"/>
        <v>0</v>
      </c>
      <c r="AC99" s="1265">
        <f t="shared" si="77"/>
        <v>0</v>
      </c>
      <c r="AD99" s="1265">
        <f t="shared" si="77"/>
        <v>0</v>
      </c>
      <c r="AE99" s="1265">
        <f t="shared" si="77"/>
        <v>0</v>
      </c>
      <c r="AF99" s="1265">
        <f t="shared" si="77"/>
        <v>0</v>
      </c>
      <c r="AG99" s="1265">
        <f t="shared" si="77"/>
        <v>0</v>
      </c>
      <c r="AH99" s="1265">
        <f t="shared" si="77"/>
        <v>0</v>
      </c>
      <c r="AI99" s="1265">
        <f t="shared" si="77"/>
        <v>0</v>
      </c>
      <c r="AK99" s="549"/>
      <c r="AL99" s="1609"/>
      <c r="BA99" s="1479"/>
      <c r="BB99" s="1479"/>
      <c r="BC99" s="1479"/>
      <c r="BD99" s="1479"/>
      <c r="BE99" s="1479"/>
      <c r="BF99" s="1479"/>
      <c r="BG99" s="1479"/>
      <c r="BH99" s="1479"/>
      <c r="BI99" s="1479"/>
      <c r="BJ99" s="1479"/>
      <c r="BK99" s="1479"/>
      <c r="BL99" s="1479"/>
      <c r="BM99" s="1479"/>
      <c r="BN99" s="1479"/>
      <c r="BO99" s="1479"/>
      <c r="BP99" s="1479"/>
      <c r="BQ99" s="1479"/>
      <c r="BR99" s="1479"/>
      <c r="BS99" s="1479"/>
      <c r="BT99" s="1479"/>
      <c r="BU99" s="1479"/>
      <c r="BV99" s="1479"/>
      <c r="BW99" s="1479"/>
      <c r="BX99" s="1479"/>
      <c r="BY99" s="1479"/>
      <c r="BZ99" s="1479"/>
      <c r="CA99" s="1479"/>
      <c r="CB99" s="1479"/>
      <c r="CC99" s="1479"/>
      <c r="CD99" s="1479"/>
      <c r="CE99" s="1479"/>
      <c r="CF99" s="1479"/>
      <c r="CG99" s="1479"/>
      <c r="CH99" s="1479"/>
      <c r="CI99" s="31"/>
      <c r="CJ99" s="31"/>
      <c r="CK99" s="31"/>
      <c r="CL99" s="31"/>
      <c r="CM99" s="31"/>
      <c r="CN99" s="31"/>
      <c r="CO99" s="31"/>
      <c r="CP99" s="31"/>
      <c r="CQ99" s="31"/>
      <c r="CS99" s="233"/>
      <c r="CT99" s="233"/>
      <c r="CU99" s="30" t="str">
        <f>IF(Basisdaten!$B$15=Basisdaten!$D$2,CV99,CW99)</f>
        <v>Sonstiges</v>
      </c>
      <c r="CV99" s="523" t="s">
        <v>275</v>
      </c>
      <c r="CW99" s="523" t="s">
        <v>277</v>
      </c>
      <c r="DK99" s="52"/>
    </row>
    <row r="100" spans="3:115" ht="14.25" customHeight="1" thickTop="1">
      <c r="C100" s="1631">
        <f t="shared" si="60"/>
        <v>0</v>
      </c>
      <c r="D100" s="1630"/>
      <c r="E100" s="531"/>
      <c r="F100" s="46" t="str">
        <f>F22</f>
        <v>Summe Kosten Geschäftsart</v>
      </c>
      <c r="G100" s="534">
        <f>SUM(G95:G99)+G91</f>
        <v>0</v>
      </c>
      <c r="H100" s="534">
        <f>SUM(H94:H99)+H91</f>
        <v>0</v>
      </c>
      <c r="I100" s="534">
        <f t="shared" ref="I100:R100" si="78">SUM(I94:I99)+I91</f>
        <v>0</v>
      </c>
      <c r="J100" s="534">
        <f t="shared" si="78"/>
        <v>0</v>
      </c>
      <c r="K100" s="534">
        <f t="shared" si="78"/>
        <v>0</v>
      </c>
      <c r="L100" s="534">
        <f t="shared" si="78"/>
        <v>0</v>
      </c>
      <c r="M100" s="534">
        <f t="shared" si="78"/>
        <v>0</v>
      </c>
      <c r="N100" s="534">
        <f t="shared" si="78"/>
        <v>0</v>
      </c>
      <c r="O100" s="534">
        <f t="shared" si="78"/>
        <v>0</v>
      </c>
      <c r="P100" s="534">
        <f t="shared" si="78"/>
        <v>0</v>
      </c>
      <c r="Q100" s="534">
        <f t="shared" si="78"/>
        <v>0</v>
      </c>
      <c r="R100" s="534">
        <f t="shared" si="78"/>
        <v>0</v>
      </c>
      <c r="S100" s="534">
        <f>SUM(S94:S99)+S91</f>
        <v>0</v>
      </c>
      <c r="T100" s="554"/>
      <c r="U100" s="1853" t="str">
        <f>"GWG "&amp;AC92</f>
        <v>GWG Pool</v>
      </c>
      <c r="V100" s="1853"/>
      <c r="W100" s="1265">
        <f t="shared" ref="W100:AI100" si="79">IF(AND($Z$93=G80,$AC$93&gt;0),$AC$93,0)+IF(AND($Z$94=G80,$AC$94&gt;0),$AC$94,0)+IF(AND($Z$95=G80,$AC$95&gt;0),$AC$95,0)+IF(AND($Z$96=G80,$AC$96&gt;0),$AC$96,0)+IF(AND($Z$97=G80,$AC$97&gt;0),$AC$97,0)</f>
        <v>0</v>
      </c>
      <c r="X100" s="1265">
        <f t="shared" si="79"/>
        <v>0</v>
      </c>
      <c r="Y100" s="1265">
        <f t="shared" si="79"/>
        <v>0</v>
      </c>
      <c r="Z100" s="1265">
        <f t="shared" si="79"/>
        <v>0</v>
      </c>
      <c r="AA100" s="1265">
        <f t="shared" si="79"/>
        <v>0</v>
      </c>
      <c r="AB100" s="1265">
        <f t="shared" si="79"/>
        <v>0</v>
      </c>
      <c r="AC100" s="1265">
        <f t="shared" si="79"/>
        <v>0</v>
      </c>
      <c r="AD100" s="1265">
        <f t="shared" si="79"/>
        <v>0</v>
      </c>
      <c r="AE100" s="1265">
        <f t="shared" si="79"/>
        <v>0</v>
      </c>
      <c r="AF100" s="1265">
        <f t="shared" si="79"/>
        <v>0</v>
      </c>
      <c r="AG100" s="1265">
        <f t="shared" si="79"/>
        <v>0</v>
      </c>
      <c r="AH100" s="1265">
        <f t="shared" si="79"/>
        <v>0</v>
      </c>
      <c r="AI100" s="1265">
        <f t="shared" si="79"/>
        <v>0</v>
      </c>
      <c r="AK100" s="1142"/>
      <c r="AL100" s="1609"/>
      <c r="BA100" s="1479"/>
      <c r="BB100" s="1479"/>
      <c r="BC100" s="1479"/>
      <c r="BD100" s="1479"/>
      <c r="BE100" s="1479"/>
      <c r="BF100" s="1479"/>
      <c r="BG100" s="1479"/>
      <c r="BH100" s="1479"/>
      <c r="BI100" s="1479"/>
      <c r="BJ100" s="1479"/>
      <c r="BK100" s="1479"/>
      <c r="BL100" s="1479"/>
      <c r="BM100" s="1479"/>
      <c r="BN100" s="1479"/>
      <c r="BO100" s="1479"/>
      <c r="BP100" s="1479"/>
      <c r="BQ100" s="1479"/>
      <c r="BR100" s="1479"/>
      <c r="BS100" s="1479"/>
      <c r="BT100" s="1479"/>
      <c r="BU100" s="1479"/>
      <c r="BV100" s="1479"/>
      <c r="BW100" s="1479"/>
      <c r="BX100" s="1479"/>
      <c r="BY100" s="1479"/>
      <c r="BZ100" s="1479"/>
      <c r="CA100" s="1479"/>
      <c r="CB100" s="1479"/>
      <c r="CC100" s="1479"/>
      <c r="CD100" s="1479"/>
      <c r="CE100" s="1479"/>
      <c r="CF100" s="1479"/>
      <c r="CG100" s="1479"/>
      <c r="CH100" s="1479"/>
      <c r="CI100" s="31"/>
      <c r="CJ100" s="31"/>
      <c r="CK100" s="31"/>
      <c r="CL100" s="31"/>
      <c r="CM100" s="31"/>
      <c r="CN100" s="31"/>
      <c r="CO100" s="31"/>
      <c r="CP100" s="31"/>
      <c r="CQ100" s="31"/>
      <c r="CS100" s="233"/>
      <c r="CT100" s="233"/>
      <c r="CU100" s="30" t="str">
        <f>IF(Basisdaten!$B$15=Basisdaten!$D$2,CV100,CW100)</f>
        <v>Summe Produktionskosten</v>
      </c>
      <c r="CV100" s="38" t="str">
        <f>"Summe "&amp;CV90</f>
        <v>Summe Produktionskosten</v>
      </c>
      <c r="CW100" s="38" t="s">
        <v>164</v>
      </c>
      <c r="DK100" s="52"/>
    </row>
    <row r="101" spans="3:115" ht="14.25" customHeight="1">
      <c r="C101" s="1635"/>
      <c r="D101" s="1630"/>
      <c r="E101" s="597">
        <f>E23</f>
        <v>3</v>
      </c>
      <c r="F101" s="598" t="str">
        <f>CU101</f>
        <v>Personalkosten (nur Angestellte)  geplant in Tab 4a-2.2   ===&gt;</v>
      </c>
      <c r="G101" s="599">
        <f>IFERROR(S148,"undo")</f>
        <v>0</v>
      </c>
      <c r="H101" s="2270" t="str">
        <f>IF(G101="undo",$CU$164,"")</f>
        <v/>
      </c>
      <c r="I101" s="2270"/>
      <c r="J101" s="2270"/>
      <c r="K101" s="2270"/>
      <c r="L101" s="2270"/>
      <c r="M101" s="2270"/>
      <c r="N101" s="2270"/>
      <c r="O101" s="2270"/>
      <c r="P101" s="2270"/>
      <c r="Q101" s="601" t="s">
        <v>608</v>
      </c>
      <c r="R101" s="600"/>
      <c r="S101" s="602"/>
      <c r="T101" s="556"/>
      <c r="U101" s="2258" t="str">
        <f ca="1">CU184&amp;Basisdaten!$C$15+1</f>
        <v>4a-2 Nebenrechung Personalkosten für das Jahr 2027</v>
      </c>
      <c r="V101" s="2258"/>
      <c r="W101" s="2258"/>
      <c r="X101" s="2258"/>
      <c r="Y101" s="2258"/>
      <c r="Z101" s="2258"/>
      <c r="AA101" s="2258"/>
      <c r="AJ101" s="1345"/>
      <c r="AK101" s="326"/>
      <c r="AL101" s="1609"/>
      <c r="AM101" s="326"/>
      <c r="BA101" s="1479"/>
      <c r="BB101" s="1479"/>
      <c r="BC101" s="1479"/>
      <c r="BD101" s="1479"/>
      <c r="BE101" s="1479"/>
      <c r="BF101" s="1479"/>
      <c r="BG101" s="1479"/>
      <c r="BH101" s="1479"/>
      <c r="BI101" s="1479"/>
      <c r="BJ101" s="1479"/>
      <c r="BK101" s="1479"/>
      <c r="BL101" s="1479"/>
      <c r="BM101" s="1479"/>
      <c r="BN101" s="1479"/>
      <c r="BO101" s="1479"/>
      <c r="BP101" s="1479"/>
      <c r="BQ101" s="1479"/>
      <c r="BR101" s="1479"/>
      <c r="BS101" s="1479"/>
      <c r="BT101" s="1479"/>
      <c r="BU101" s="1479"/>
      <c r="BV101" s="1479"/>
      <c r="BW101" s="1479"/>
      <c r="BX101" s="1479"/>
      <c r="BY101" s="1479"/>
      <c r="BZ101" s="1479"/>
      <c r="CA101" s="1479"/>
      <c r="CB101" s="1479"/>
      <c r="CC101" s="1479"/>
      <c r="CD101" s="1479"/>
      <c r="CE101" s="1479"/>
      <c r="CF101" s="1479"/>
      <c r="CG101" s="1479"/>
      <c r="CH101" s="1479"/>
      <c r="CI101" s="31"/>
      <c r="CJ101" s="31"/>
      <c r="CK101" s="31"/>
      <c r="CL101" s="31"/>
      <c r="CM101" s="31"/>
      <c r="CN101" s="31"/>
      <c r="CO101" s="31"/>
      <c r="CP101" s="31"/>
      <c r="CQ101" s="31"/>
      <c r="CS101" s="233"/>
      <c r="CT101" s="233"/>
      <c r="CU101" s="30" t="str">
        <f>IF(Basisdaten!$B$15=Basisdaten!$D$2,CV101,CW101)</f>
        <v>Personalkosten (nur Angestellte)  geplant in Tab 4a-2.2   ===&gt;</v>
      </c>
      <c r="CV101" s="38" t="s">
        <v>903</v>
      </c>
      <c r="CW101" s="38" t="s">
        <v>904</v>
      </c>
      <c r="DK101" s="52"/>
    </row>
    <row r="102" spans="3:115" ht="14.25" customHeight="1">
      <c r="C102" s="1632">
        <f t="shared" ref="C102:C130" si="80">C24</f>
        <v>0</v>
      </c>
      <c r="D102" s="1630"/>
      <c r="E102" s="1256">
        <v>0</v>
      </c>
      <c r="F102" s="278" t="str">
        <f t="shared" ref="F102:F108" si="81">F24</f>
        <v>Löhne, Gehälter (s. Nebenrechnung)</v>
      </c>
      <c r="G102" s="595">
        <f>X114-G103</f>
        <v>0</v>
      </c>
      <c r="H102" s="595">
        <f t="shared" ref="H102:R102" si="82">Y114-H103</f>
        <v>0</v>
      </c>
      <c r="I102" s="595">
        <f t="shared" si="82"/>
        <v>0</v>
      </c>
      <c r="J102" s="595">
        <f t="shared" si="82"/>
        <v>0</v>
      </c>
      <c r="K102" s="595">
        <f t="shared" si="82"/>
        <v>0</v>
      </c>
      <c r="L102" s="595">
        <f t="shared" si="82"/>
        <v>0</v>
      </c>
      <c r="M102" s="595">
        <f t="shared" si="82"/>
        <v>0</v>
      </c>
      <c r="N102" s="595">
        <f t="shared" si="82"/>
        <v>0</v>
      </c>
      <c r="O102" s="595">
        <f t="shared" si="82"/>
        <v>0</v>
      </c>
      <c r="P102" s="595">
        <f t="shared" si="82"/>
        <v>0</v>
      </c>
      <c r="Q102" s="595">
        <f t="shared" si="82"/>
        <v>0</v>
      </c>
      <c r="R102" s="595">
        <f t="shared" si="82"/>
        <v>0</v>
      </c>
      <c r="S102" s="594">
        <f>SUM(G102:R102)</f>
        <v>0</v>
      </c>
      <c r="T102" s="556"/>
      <c r="U102" s="2250"/>
      <c r="V102" s="2250"/>
      <c r="W102" s="2250"/>
      <c r="X102" s="2250"/>
      <c r="Y102" s="2250"/>
      <c r="Z102" s="2250"/>
      <c r="AA102" s="2250"/>
      <c r="AB102" s="48"/>
      <c r="AC102" s="150"/>
      <c r="AD102" s="30"/>
      <c r="AE102" s="30"/>
      <c r="AF102" s="30"/>
      <c r="AG102" s="30"/>
      <c r="AH102" s="30"/>
      <c r="AI102" s="30"/>
      <c r="AJ102" s="1862" t="str">
        <f>"↓"&amp;$CU$177&amp;"↓"</f>
        <v>↓Sozialabgaben↓</v>
      </c>
      <c r="AK102" s="326"/>
      <c r="AL102" s="1609"/>
      <c r="AM102" s="326"/>
      <c r="BA102" s="1479"/>
      <c r="BB102" s="1479"/>
      <c r="BC102" s="1479"/>
      <c r="BD102" s="1479"/>
      <c r="BE102" s="1479"/>
      <c r="BF102" s="1479"/>
      <c r="BG102" s="1479"/>
      <c r="BH102" s="1479"/>
      <c r="BI102" s="1479"/>
      <c r="BJ102" s="1479"/>
      <c r="BK102" s="1479"/>
      <c r="BL102" s="1479"/>
      <c r="BM102" s="1479"/>
      <c r="BN102" s="1479"/>
      <c r="BO102" s="1479"/>
      <c r="BP102" s="1479"/>
      <c r="BQ102" s="1479"/>
      <c r="BR102" s="1479"/>
      <c r="BS102" s="1479"/>
      <c r="BT102" s="1479"/>
      <c r="BU102" s="1479"/>
      <c r="BV102" s="1479"/>
      <c r="BW102" s="1479"/>
      <c r="BX102" s="1479"/>
      <c r="BY102" s="1479"/>
      <c r="BZ102" s="1479"/>
      <c r="CA102" s="1479"/>
      <c r="CB102" s="1479"/>
      <c r="CC102" s="1479"/>
      <c r="CD102" s="1479"/>
      <c r="CE102" s="1479"/>
      <c r="CF102" s="1479"/>
      <c r="CG102" s="1479"/>
      <c r="CH102" s="1479"/>
      <c r="CI102" s="31"/>
      <c r="CJ102" s="31"/>
      <c r="CK102" s="31"/>
      <c r="CL102" s="31"/>
      <c r="CM102" s="31"/>
      <c r="CN102" s="31"/>
      <c r="CO102" s="31"/>
      <c r="CP102" s="31"/>
      <c r="CQ102" s="31"/>
      <c r="CS102" s="233"/>
      <c r="CT102" s="233"/>
      <c r="CU102" s="30" t="str">
        <f>IF(Basisdaten!$B$15=Basisdaten!$D$2,CV102,CW102)</f>
        <v>Löhne, Gehälter mit Nebenkosten (s. Nebenrechnung)</v>
      </c>
      <c r="CV102" s="38" t="s">
        <v>93</v>
      </c>
      <c r="CW102" s="38" t="s">
        <v>152</v>
      </c>
      <c r="DK102" s="52"/>
    </row>
    <row r="103" spans="3:115" s="30" customFormat="1" ht="16.05" customHeight="1" thickBot="1">
      <c r="C103" s="1629">
        <f t="shared" si="80"/>
        <v>0</v>
      </c>
      <c r="D103" s="1643"/>
      <c r="E103" s="1320">
        <f>IF('2 Umsatz|Sales'!$CT$23=0,0,C103)</f>
        <v>0</v>
      </c>
      <c r="F103" s="1738" t="str">
        <f t="shared" si="81"/>
        <v>Sozialabgaben</v>
      </c>
      <c r="G103" s="1745">
        <f t="shared" ref="G103:R103" si="83">X115</f>
        <v>0</v>
      </c>
      <c r="H103" s="1745">
        <f t="shared" si="83"/>
        <v>0</v>
      </c>
      <c r="I103" s="1745">
        <f t="shared" si="83"/>
        <v>0</v>
      </c>
      <c r="J103" s="1745">
        <f t="shared" si="83"/>
        <v>0</v>
      </c>
      <c r="K103" s="1745">
        <f t="shared" si="83"/>
        <v>0</v>
      </c>
      <c r="L103" s="1745">
        <f t="shared" si="83"/>
        <v>0</v>
      </c>
      <c r="M103" s="1745">
        <f t="shared" si="83"/>
        <v>0</v>
      </c>
      <c r="N103" s="1745">
        <f t="shared" si="83"/>
        <v>0</v>
      </c>
      <c r="O103" s="1745">
        <f t="shared" si="83"/>
        <v>0</v>
      </c>
      <c r="P103" s="1745">
        <f t="shared" si="83"/>
        <v>0</v>
      </c>
      <c r="Q103" s="1745">
        <f t="shared" si="83"/>
        <v>0</v>
      </c>
      <c r="R103" s="1745">
        <f t="shared" si="83"/>
        <v>0</v>
      </c>
      <c r="S103" s="1741">
        <f>SUM(G103:R103)</f>
        <v>0</v>
      </c>
      <c r="T103" s="556"/>
      <c r="U103" s="2253" t="str">
        <f>U24</f>
        <v>Gehalt/Lohn</v>
      </c>
      <c r="V103" s="2254"/>
      <c r="W103" s="720"/>
      <c r="X103" s="542" t="str">
        <f t="shared" ref="X103:AI103" si="84">X24</f>
        <v>Jan.</v>
      </c>
      <c r="Y103" s="542" t="str">
        <f t="shared" si="84"/>
        <v>Feb</v>
      </c>
      <c r="Z103" s="542" t="str">
        <f t="shared" si="84"/>
        <v>Mrz</v>
      </c>
      <c r="AA103" s="542" t="str">
        <f t="shared" si="84"/>
        <v>Apr</v>
      </c>
      <c r="AB103" s="542" t="str">
        <f t="shared" si="84"/>
        <v>Mai</v>
      </c>
      <c r="AC103" s="542" t="str">
        <f t="shared" si="84"/>
        <v>Jun</v>
      </c>
      <c r="AD103" s="542" t="str">
        <f t="shared" si="84"/>
        <v>Jul</v>
      </c>
      <c r="AE103" s="542" t="str">
        <f t="shared" si="84"/>
        <v>Aug</v>
      </c>
      <c r="AF103" s="542" t="str">
        <f t="shared" si="84"/>
        <v>Sep</v>
      </c>
      <c r="AG103" s="542" t="str">
        <f t="shared" si="84"/>
        <v>Okt</v>
      </c>
      <c r="AH103" s="542" t="str">
        <f t="shared" si="84"/>
        <v>Nov</v>
      </c>
      <c r="AI103" s="542" t="str">
        <f t="shared" si="84"/>
        <v>Dez</v>
      </c>
      <c r="AJ103" s="1801">
        <f>Basisdaten!$E$35</f>
        <v>0.192</v>
      </c>
      <c r="AK103" s="326"/>
      <c r="AL103" s="1746"/>
      <c r="AM103" s="326"/>
      <c r="AN103" s="50"/>
      <c r="AO103" s="50"/>
      <c r="AP103" s="50"/>
      <c r="AQ103" s="50"/>
      <c r="AR103" s="50"/>
      <c r="AS103" s="50"/>
      <c r="AT103" s="50"/>
      <c r="AU103" s="50"/>
      <c r="AV103" s="50"/>
      <c r="AW103" s="50"/>
      <c r="AX103" s="50"/>
      <c r="AY103" s="50"/>
      <c r="AZ103" s="50"/>
      <c r="BA103" s="176"/>
      <c r="BB103" s="176"/>
      <c r="BC103" s="176"/>
      <c r="BD103" s="176"/>
      <c r="BE103" s="176"/>
      <c r="BF103" s="176"/>
      <c r="BG103" s="176"/>
      <c r="BH103" s="176"/>
      <c r="BI103" s="176"/>
      <c r="BJ103" s="176"/>
      <c r="BK103" s="176"/>
      <c r="BL103" s="176"/>
      <c r="BM103" s="176"/>
      <c r="BN103" s="176"/>
      <c r="BO103" s="176"/>
      <c r="BP103" s="176"/>
      <c r="BQ103" s="176"/>
      <c r="BR103" s="176"/>
      <c r="BS103" s="176"/>
      <c r="BT103" s="176"/>
      <c r="BU103" s="176"/>
      <c r="BV103" s="176"/>
      <c r="BW103" s="176"/>
      <c r="BX103" s="176"/>
      <c r="BY103" s="176"/>
      <c r="BZ103" s="176"/>
      <c r="CA103" s="176"/>
      <c r="CB103" s="176"/>
      <c r="CC103" s="176"/>
      <c r="CD103" s="176"/>
      <c r="CE103" s="176"/>
      <c r="CF103" s="176"/>
      <c r="CG103" s="176"/>
      <c r="CH103" s="176"/>
      <c r="CI103" s="36"/>
      <c r="CJ103" s="36"/>
      <c r="CK103" s="36"/>
      <c r="CL103" s="36"/>
      <c r="CM103" s="36"/>
      <c r="CN103" s="36"/>
      <c r="CO103" s="36"/>
      <c r="CP103" s="36"/>
      <c r="CQ103" s="36"/>
      <c r="CS103" s="585"/>
      <c r="CT103" s="585"/>
      <c r="CU103" s="30" t="str">
        <f>IF(Basisdaten!$B$15=Basisdaten!$D$2,CV103,CW103)</f>
        <v>Sonstiges</v>
      </c>
      <c r="CV103" s="523" t="s">
        <v>275</v>
      </c>
      <c r="CW103" s="523" t="s">
        <v>277</v>
      </c>
      <c r="CX103" s="116"/>
      <c r="CY103" s="116"/>
      <c r="CZ103" s="116"/>
      <c r="DA103" s="116"/>
      <c r="DB103" s="116"/>
      <c r="DC103" s="116"/>
      <c r="DD103" s="116"/>
      <c r="DE103" s="116"/>
      <c r="DF103" s="116"/>
      <c r="DG103" s="116"/>
      <c r="DH103" s="116"/>
      <c r="DI103" s="116"/>
      <c r="DJ103" s="116"/>
      <c r="DK103" s="55"/>
    </row>
    <row r="104" spans="3:115" ht="14.25" customHeight="1" thickTop="1">
      <c r="C104" s="1631">
        <f t="shared" si="80"/>
        <v>0</v>
      </c>
      <c r="D104" s="1630"/>
      <c r="E104" s="531">
        <f>E26</f>
        <v>0</v>
      </c>
      <c r="F104" s="46" t="str">
        <f t="shared" si="81"/>
        <v>Summe Personalkosten</v>
      </c>
      <c r="G104" s="534">
        <f>SUM(G102:G103)</f>
        <v>0</v>
      </c>
      <c r="H104" s="534">
        <f t="shared" ref="H104:Q104" si="85">SUM(H102:H103)</f>
        <v>0</v>
      </c>
      <c r="I104" s="534">
        <f t="shared" si="85"/>
        <v>0</v>
      </c>
      <c r="J104" s="534">
        <f>SUM(J102:J103)</f>
        <v>0</v>
      </c>
      <c r="K104" s="534">
        <f t="shared" si="85"/>
        <v>0</v>
      </c>
      <c r="L104" s="534">
        <f t="shared" si="85"/>
        <v>0</v>
      </c>
      <c r="M104" s="534">
        <f t="shared" si="85"/>
        <v>0</v>
      </c>
      <c r="N104" s="534">
        <f t="shared" si="85"/>
        <v>0</v>
      </c>
      <c r="O104" s="534">
        <f t="shared" si="85"/>
        <v>0</v>
      </c>
      <c r="P104" s="534">
        <f t="shared" si="85"/>
        <v>0</v>
      </c>
      <c r="Q104" s="534">
        <f t="shared" si="85"/>
        <v>0</v>
      </c>
      <c r="R104" s="534">
        <f>SUM(R102:R103)</f>
        <v>0</v>
      </c>
      <c r="S104" s="528">
        <f>SUM(G104:R104)</f>
        <v>0</v>
      </c>
      <c r="T104" s="556"/>
      <c r="U104" s="1795" t="str">
        <f>U25</f>
        <v>netto</v>
      </c>
      <c r="V104" s="1765"/>
      <c r="W104" s="543" t="str">
        <f>W25</f>
        <v>Mitarbeiter</v>
      </c>
      <c r="X104" s="617"/>
      <c r="Y104" s="617"/>
      <c r="Z104" s="617"/>
      <c r="AA104" s="617"/>
      <c r="AB104" s="617"/>
      <c r="AC104" s="617"/>
      <c r="AD104" s="617"/>
      <c r="AE104" s="617"/>
      <c r="AF104" s="617"/>
      <c r="AG104" s="617"/>
      <c r="AH104" s="617"/>
      <c r="AI104" s="617"/>
      <c r="AJ104" s="1860" t="str">
        <f>AJ183</f>
        <v>↓m. Lohn-St↓</v>
      </c>
      <c r="AK104" s="326"/>
      <c r="AL104" s="1609"/>
      <c r="AM104" s="326"/>
      <c r="BA104" s="1479"/>
      <c r="BB104" s="1479"/>
      <c r="BC104" s="1479"/>
      <c r="BD104" s="1479"/>
      <c r="BE104" s="1479"/>
      <c r="BF104" s="1479"/>
      <c r="BG104" s="1479"/>
      <c r="BH104" s="1479"/>
      <c r="BI104" s="1479"/>
      <c r="BJ104" s="1479"/>
      <c r="BK104" s="1479"/>
      <c r="BL104" s="1479"/>
      <c r="BM104" s="1479"/>
      <c r="BN104" s="1479"/>
      <c r="BO104" s="1479"/>
      <c r="BP104" s="1479"/>
      <c r="BQ104" s="1479"/>
      <c r="BR104" s="1479"/>
      <c r="BS104" s="1479"/>
      <c r="BT104" s="1479"/>
      <c r="BU104" s="1479"/>
      <c r="BV104" s="1479"/>
      <c r="BW104" s="1479"/>
      <c r="BX104" s="1479"/>
      <c r="BY104" s="1479"/>
      <c r="BZ104" s="1479"/>
      <c r="CA104" s="1479"/>
      <c r="CB104" s="1479"/>
      <c r="CC104" s="1479"/>
      <c r="CD104" s="1479"/>
      <c r="CE104" s="1479"/>
      <c r="CF104" s="1479"/>
      <c r="CG104" s="1479"/>
      <c r="CH104" s="1479"/>
      <c r="CI104" s="31"/>
      <c r="CJ104" s="31"/>
      <c r="CK104" s="31"/>
      <c r="CL104" s="31"/>
      <c r="CM104" s="31"/>
      <c r="CN104" s="31"/>
      <c r="CO104" s="31"/>
      <c r="CP104" s="31"/>
      <c r="CQ104" s="31"/>
      <c r="CS104" s="233"/>
      <c r="CT104" s="233"/>
      <c r="CU104" s="30" t="str">
        <f>IF(Basisdaten!$B$15=Basisdaten!$D$2,CV104,CW104)</f>
        <v>Summe Personalkosten</v>
      </c>
      <c r="CV104" s="38" t="s">
        <v>123</v>
      </c>
      <c r="CW104" s="38" t="s">
        <v>163</v>
      </c>
      <c r="DK104" s="52"/>
    </row>
    <row r="105" spans="3:115" ht="14.25" customHeight="1">
      <c r="C105" s="1633" t="str">
        <f t="shared" si="80"/>
        <v>MwSt</v>
      </c>
      <c r="D105" s="1630"/>
      <c r="E105" s="597">
        <f>E27</f>
        <v>4</v>
      </c>
      <c r="F105" s="598" t="str">
        <f t="shared" si="81"/>
        <v>Reisekosten</v>
      </c>
      <c r="G105" s="599">
        <f>IFERROR(S149,"undo")</f>
        <v>0</v>
      </c>
      <c r="H105" s="2270" t="str">
        <f>IF(G105="undo",$CU$164,"")</f>
        <v/>
      </c>
      <c r="I105" s="2270"/>
      <c r="J105" s="2270"/>
      <c r="K105" s="2270"/>
      <c r="L105" s="2270"/>
      <c r="M105" s="2270"/>
      <c r="N105" s="2270"/>
      <c r="O105" s="2270"/>
      <c r="P105" s="2270"/>
      <c r="Q105" s="601" t="s">
        <v>608</v>
      </c>
      <c r="R105" s="600"/>
      <c r="S105" s="602"/>
      <c r="T105" s="555"/>
      <c r="U105" s="1795" t="s">
        <v>940</v>
      </c>
      <c r="V105" s="1397">
        <f>$V$104*(1+$AJ$103)</f>
        <v>0</v>
      </c>
      <c r="W105" s="543" t="str">
        <f t="shared" ref="W105:W113" si="86">W26</f>
        <v>Gehalt 1</v>
      </c>
      <c r="X105" s="1397">
        <f>X104*$V$105</f>
        <v>0</v>
      </c>
      <c r="Y105" s="1397">
        <f t="shared" ref="Y105:AI105" si="87">Y104*$V$105</f>
        <v>0</v>
      </c>
      <c r="Z105" s="1397">
        <f t="shared" si="87"/>
        <v>0</v>
      </c>
      <c r="AA105" s="1397">
        <f t="shared" si="87"/>
        <v>0</v>
      </c>
      <c r="AB105" s="1397">
        <f t="shared" si="87"/>
        <v>0</v>
      </c>
      <c r="AC105" s="1397">
        <f t="shared" si="87"/>
        <v>0</v>
      </c>
      <c r="AD105" s="1397">
        <f t="shared" si="87"/>
        <v>0</v>
      </c>
      <c r="AE105" s="1397">
        <f t="shared" si="87"/>
        <v>0</v>
      </c>
      <c r="AF105" s="1397">
        <f t="shared" si="87"/>
        <v>0</v>
      </c>
      <c r="AG105" s="1397">
        <f t="shared" si="87"/>
        <v>0</v>
      </c>
      <c r="AH105" s="1397">
        <f t="shared" si="87"/>
        <v>0</v>
      </c>
      <c r="AI105" s="1397">
        <f t="shared" si="87"/>
        <v>0</v>
      </c>
      <c r="AJ105" s="1861">
        <f>IF(V105*12&lt;=Basisdaten!$D$21,0,IF(V105*12&lt;=Basisdaten!$F$21,V105*(Basisdaten!$E$23*(V105*12-Basisdaten!$E$21)+Basisdaten!$E$22),IF(V105*12&lt;=Basisdaten!$H$21,V105*(Basisdaten!$G$23*(V105*12-Basisdaten!$G$21)+Basisdaten!$G$22),IF(V105*12&lt;=Basisdaten!$J$21,V105*(Basisdaten!$I$23*(V105*12-Basisdaten!$I$21)+Basisdaten!$I$22),IF(V105*12&gt;Basisdaten!$K$21,V105*Basisdaten!$K$22,"hoppla")))))</f>
        <v>0</v>
      </c>
      <c r="AK105" s="326"/>
      <c r="AL105" s="1609"/>
      <c r="BA105" s="1479"/>
      <c r="BB105" s="1479"/>
      <c r="BC105" s="1479"/>
      <c r="BD105" s="1479"/>
      <c r="BE105" s="1479"/>
      <c r="BF105" s="1479"/>
      <c r="BG105" s="1479"/>
      <c r="BH105" s="1479"/>
      <c r="BI105" s="1479"/>
      <c r="BJ105" s="1479"/>
      <c r="BK105" s="1479"/>
      <c r="BL105" s="1479"/>
      <c r="BM105" s="1479"/>
      <c r="BN105" s="1479"/>
      <c r="BO105" s="1479"/>
      <c r="BP105" s="1479"/>
      <c r="BQ105" s="1479"/>
      <c r="BR105" s="1479"/>
      <c r="BS105" s="1479"/>
      <c r="BT105" s="1479"/>
      <c r="BU105" s="1479"/>
      <c r="BV105" s="1479"/>
      <c r="BW105" s="1479"/>
      <c r="BX105" s="1479"/>
      <c r="BY105" s="1479"/>
      <c r="BZ105" s="1479"/>
      <c r="CA105" s="1479"/>
      <c r="CB105" s="1479"/>
      <c r="CC105" s="1479"/>
      <c r="CD105" s="1479"/>
      <c r="CE105" s="1479"/>
      <c r="CF105" s="1479"/>
      <c r="CG105" s="1479"/>
      <c r="CH105" s="1479"/>
      <c r="CI105" s="31"/>
      <c r="CJ105" s="31"/>
      <c r="CK105" s="31"/>
      <c r="CL105" s="31"/>
      <c r="CM105" s="31"/>
      <c r="CN105" s="31"/>
      <c r="CO105" s="31"/>
      <c r="CP105" s="31"/>
      <c r="CQ105" s="31"/>
      <c r="CS105" s="233"/>
      <c r="CT105" s="233"/>
      <c r="CU105" s="30" t="str">
        <f>IF(Basisdaten!$B$15=Basisdaten!$D$2,CV105,CW105)</f>
        <v>Reisekosten</v>
      </c>
      <c r="CV105" s="38" t="s">
        <v>94</v>
      </c>
      <c r="CW105" s="38" t="s">
        <v>144</v>
      </c>
      <c r="DK105" s="52"/>
    </row>
    <row r="106" spans="3:115" ht="14.25" customHeight="1">
      <c r="C106" s="1629">
        <f t="shared" si="80"/>
        <v>0.19</v>
      </c>
      <c r="D106" s="1630"/>
      <c r="E106" s="1319">
        <f>IF('2 Umsatz|Sales'!$CT$23=0,0,C106)</f>
        <v>0.19</v>
      </c>
      <c r="F106" s="278" t="str">
        <f t="shared" si="81"/>
        <v>Fahrtkosten</v>
      </c>
      <c r="G106" s="420"/>
      <c r="H106" s="417"/>
      <c r="I106" s="417"/>
      <c r="J106" s="417"/>
      <c r="K106" s="417"/>
      <c r="L106" s="417"/>
      <c r="M106" s="417"/>
      <c r="N106" s="417"/>
      <c r="O106" s="417"/>
      <c r="P106" s="417"/>
      <c r="Q106" s="417"/>
      <c r="R106" s="417"/>
      <c r="S106" s="279">
        <f t="shared" ref="S106:S110" si="88">SUM(G106:R106)</f>
        <v>0</v>
      </c>
      <c r="T106" s="557"/>
      <c r="U106" s="1795" t="str">
        <f t="shared" ref="U106:U111" si="89">U104</f>
        <v>netto</v>
      </c>
      <c r="V106" s="1765"/>
      <c r="W106" s="543" t="str">
        <f t="shared" si="86"/>
        <v>Mitarbeiter</v>
      </c>
      <c r="X106" s="617"/>
      <c r="Y106" s="617"/>
      <c r="Z106" s="617"/>
      <c r="AA106" s="617"/>
      <c r="AB106" s="617"/>
      <c r="AC106" s="617"/>
      <c r="AD106" s="617"/>
      <c r="AE106" s="617"/>
      <c r="AF106" s="617"/>
      <c r="AG106" s="617"/>
      <c r="AH106" s="617"/>
      <c r="AI106" s="617"/>
      <c r="AJ106" s="1860" t="str">
        <f>AJ104</f>
        <v>↓m. Lohn-St↓</v>
      </c>
      <c r="AK106" s="326"/>
      <c r="AL106" s="1609"/>
      <c r="BA106" s="1479"/>
      <c r="BB106" s="1479"/>
      <c r="BC106" s="1479"/>
      <c r="BD106" s="1479"/>
      <c r="BE106" s="1479"/>
      <c r="BF106" s="1479"/>
      <c r="BG106" s="1479"/>
      <c r="BH106" s="1479"/>
      <c r="BI106" s="1479"/>
      <c r="BJ106" s="1479"/>
      <c r="BK106" s="1479"/>
      <c r="BL106" s="1479"/>
      <c r="BM106" s="1479"/>
      <c r="BN106" s="1479"/>
      <c r="BO106" s="1479"/>
      <c r="BP106" s="1479"/>
      <c r="BQ106" s="1479"/>
      <c r="BR106" s="1479"/>
      <c r="BS106" s="1479"/>
      <c r="BT106" s="1479"/>
      <c r="BU106" s="1479"/>
      <c r="BV106" s="1479"/>
      <c r="BW106" s="1479"/>
      <c r="BX106" s="1479"/>
      <c r="BY106" s="1479"/>
      <c r="BZ106" s="1479"/>
      <c r="CA106" s="1479"/>
      <c r="CB106" s="1479"/>
      <c r="CC106" s="1479"/>
      <c r="CD106" s="1479"/>
      <c r="CE106" s="1479"/>
      <c r="CF106" s="1479"/>
      <c r="CG106" s="1479"/>
      <c r="CH106" s="1479"/>
      <c r="CI106" s="31"/>
      <c r="CJ106" s="31"/>
      <c r="CK106" s="31"/>
      <c r="CL106" s="31"/>
      <c r="CM106" s="31"/>
      <c r="CN106" s="31"/>
      <c r="CO106" s="31"/>
      <c r="CP106" s="31"/>
      <c r="CQ106" s="31"/>
      <c r="CU106" s="30" t="str">
        <f>IF(Basisdaten!$B$15=Basisdaten!$D$2,CV106,CW106)</f>
        <v>Fahrtkosten</v>
      </c>
      <c r="CV106" s="38" t="s">
        <v>97</v>
      </c>
      <c r="CW106" s="38" t="s">
        <v>144</v>
      </c>
      <c r="DK106" s="52"/>
    </row>
    <row r="107" spans="3:115" ht="14.25" customHeight="1">
      <c r="C107" s="1629">
        <f t="shared" si="80"/>
        <v>0.19</v>
      </c>
      <c r="D107" s="1630"/>
      <c r="E107" s="1320">
        <f>IF('2 Umsatz|Sales'!$CT$23=0,0,C107)</f>
        <v>0.19</v>
      </c>
      <c r="F107" s="278" t="str">
        <f t="shared" si="81"/>
        <v>Reisekostenpauschalen</v>
      </c>
      <c r="G107" s="417"/>
      <c r="H107" s="417"/>
      <c r="I107" s="417"/>
      <c r="J107" s="417"/>
      <c r="K107" s="417"/>
      <c r="L107" s="417"/>
      <c r="M107" s="417"/>
      <c r="N107" s="417"/>
      <c r="O107" s="417"/>
      <c r="P107" s="417"/>
      <c r="Q107" s="417"/>
      <c r="R107" s="417"/>
      <c r="S107" s="279">
        <f t="shared" si="88"/>
        <v>0</v>
      </c>
      <c r="T107" s="557"/>
      <c r="U107" s="1795" t="str">
        <f t="shared" si="89"/>
        <v>brutto</v>
      </c>
      <c r="V107" s="1397">
        <f>V106*(1+$AJ$103)</f>
        <v>0</v>
      </c>
      <c r="W107" s="543" t="str">
        <f t="shared" si="86"/>
        <v>Gehalt 2</v>
      </c>
      <c r="X107" s="1397">
        <f>X106*$V$107</f>
        <v>0</v>
      </c>
      <c r="Y107" s="1397">
        <f t="shared" ref="Y107:AI107" si="90">Y106*$V$107</f>
        <v>0</v>
      </c>
      <c r="Z107" s="1397">
        <f t="shared" si="90"/>
        <v>0</v>
      </c>
      <c r="AA107" s="1397">
        <f t="shared" si="90"/>
        <v>0</v>
      </c>
      <c r="AB107" s="1397">
        <f t="shared" si="90"/>
        <v>0</v>
      </c>
      <c r="AC107" s="1397">
        <f t="shared" si="90"/>
        <v>0</v>
      </c>
      <c r="AD107" s="1397">
        <f t="shared" si="90"/>
        <v>0</v>
      </c>
      <c r="AE107" s="1397">
        <f t="shared" si="90"/>
        <v>0</v>
      </c>
      <c r="AF107" s="1397">
        <f t="shared" si="90"/>
        <v>0</v>
      </c>
      <c r="AG107" s="1397">
        <f t="shared" si="90"/>
        <v>0</v>
      </c>
      <c r="AH107" s="1397">
        <f t="shared" si="90"/>
        <v>0</v>
      </c>
      <c r="AI107" s="1397">
        <f t="shared" si="90"/>
        <v>0</v>
      </c>
      <c r="AJ107" s="1861">
        <f>IF(V107*12&lt;=Basisdaten!$D$21,0,IF(V107*12&lt;=Basisdaten!$F$21,V107*(Basisdaten!$E$23*(V107*12-Basisdaten!$E$21)+Basisdaten!$E$22),IF(V107*12&lt;=Basisdaten!$H$21,V107*(Basisdaten!$G$23*(V107*12-Basisdaten!$G$21)+Basisdaten!$G$22),IF(V107*12&lt;=Basisdaten!$J$21,V107*(Basisdaten!$I$23*(V107*12-Basisdaten!$I$21)+Basisdaten!$I$22),IF(V107*12&gt;Basisdaten!$K$21,V107*Basisdaten!$K$22,"hoppla")))))</f>
        <v>0</v>
      </c>
      <c r="AK107" s="326"/>
      <c r="AL107" s="1609"/>
      <c r="BA107" s="1479"/>
      <c r="BB107" s="1479"/>
      <c r="BC107" s="1479"/>
      <c r="BD107" s="1479"/>
      <c r="BE107" s="1479"/>
      <c r="BF107" s="1479"/>
      <c r="BG107" s="1479"/>
      <c r="BH107" s="1479"/>
      <c r="BI107" s="1479"/>
      <c r="BJ107" s="1479"/>
      <c r="BK107" s="1479"/>
      <c r="BL107" s="1479"/>
      <c r="BM107" s="1479"/>
      <c r="BN107" s="1479"/>
      <c r="BO107" s="1479"/>
      <c r="BP107" s="1479"/>
      <c r="BQ107" s="1479"/>
      <c r="BR107" s="1479"/>
      <c r="BS107" s="1479"/>
      <c r="BT107" s="1479"/>
      <c r="BU107" s="1479"/>
      <c r="BV107" s="1479"/>
      <c r="BW107" s="1479"/>
      <c r="BX107" s="1479"/>
      <c r="BY107" s="1479"/>
      <c r="BZ107" s="1479"/>
      <c r="CA107" s="1479"/>
      <c r="CB107" s="1479"/>
      <c r="CC107" s="1479"/>
      <c r="CD107" s="1479"/>
      <c r="CE107" s="1479"/>
      <c r="CF107" s="1479"/>
      <c r="CG107" s="1479"/>
      <c r="CH107" s="1479"/>
      <c r="CI107" s="31"/>
      <c r="CJ107" s="31"/>
      <c r="CK107" s="31"/>
      <c r="CL107" s="31"/>
      <c r="CM107" s="31"/>
      <c r="CN107" s="31"/>
      <c r="CO107" s="31"/>
      <c r="CP107" s="31"/>
      <c r="CQ107" s="31"/>
      <c r="CU107" s="30" t="str">
        <f>IF(Basisdaten!$B$15=Basisdaten!$D$2,CV107,CW107)</f>
        <v>Reisekostenpauschalen</v>
      </c>
      <c r="CV107" s="38" t="s">
        <v>91</v>
      </c>
      <c r="CW107" s="38" t="s">
        <v>159</v>
      </c>
      <c r="DK107" s="52"/>
    </row>
    <row r="108" spans="3:115" ht="14.25" customHeight="1">
      <c r="C108" s="1629">
        <f t="shared" si="80"/>
        <v>0.19</v>
      </c>
      <c r="D108" s="1630"/>
      <c r="E108" s="1320">
        <f>IF('2 Umsatz|Sales'!$CT$23=0,0,C108)</f>
        <v>0.19</v>
      </c>
      <c r="F108" s="278" t="str">
        <f t="shared" si="81"/>
        <v>Übernachtungen</v>
      </c>
      <c r="G108" s="417"/>
      <c r="H108" s="417"/>
      <c r="I108" s="417"/>
      <c r="J108" s="417"/>
      <c r="K108" s="417"/>
      <c r="L108" s="417"/>
      <c r="M108" s="417"/>
      <c r="N108" s="417"/>
      <c r="O108" s="417"/>
      <c r="P108" s="417"/>
      <c r="Q108" s="417"/>
      <c r="R108" s="417"/>
      <c r="S108" s="279">
        <f>SUM(G108:R108)</f>
        <v>0</v>
      </c>
      <c r="T108" s="557"/>
      <c r="U108" s="1795" t="str">
        <f t="shared" si="89"/>
        <v>netto</v>
      </c>
      <c r="V108" s="1338"/>
      <c r="W108" s="29" t="str">
        <f t="shared" si="86"/>
        <v>Mitarbeiter</v>
      </c>
      <c r="X108" s="617"/>
      <c r="Y108" s="617"/>
      <c r="Z108" s="617"/>
      <c r="AA108" s="617"/>
      <c r="AB108" s="617"/>
      <c r="AC108" s="617"/>
      <c r="AD108" s="617"/>
      <c r="AE108" s="617"/>
      <c r="AF108" s="617"/>
      <c r="AG108" s="617"/>
      <c r="AH108" s="617"/>
      <c r="AI108" s="617"/>
      <c r="AJ108" s="1860" t="str">
        <f>AJ106</f>
        <v>↓m. Lohn-St↓</v>
      </c>
      <c r="AK108" s="326"/>
      <c r="AL108" s="1609"/>
      <c r="BA108" s="1479"/>
      <c r="BB108" s="1479"/>
      <c r="BC108" s="1479"/>
      <c r="BD108" s="1479"/>
      <c r="BE108" s="1479"/>
      <c r="BF108" s="1479"/>
      <c r="BG108" s="1479"/>
      <c r="BH108" s="1479"/>
      <c r="BI108" s="1479"/>
      <c r="BJ108" s="1479"/>
      <c r="BK108" s="1479"/>
      <c r="BL108" s="1479"/>
      <c r="BM108" s="1479"/>
      <c r="BN108" s="1479"/>
      <c r="BO108" s="1479"/>
      <c r="BP108" s="1479"/>
      <c r="BQ108" s="1479"/>
      <c r="BR108" s="1479"/>
      <c r="BS108" s="1479"/>
      <c r="BT108" s="1479"/>
      <c r="BU108" s="1479"/>
      <c r="BV108" s="1479"/>
      <c r="BW108" s="1479"/>
      <c r="BX108" s="1479"/>
      <c r="BY108" s="1479"/>
      <c r="BZ108" s="1479"/>
      <c r="CA108" s="1479"/>
      <c r="CB108" s="1479"/>
      <c r="CC108" s="1479"/>
      <c r="CD108" s="1479"/>
      <c r="CE108" s="1479"/>
      <c r="CF108" s="1479"/>
      <c r="CG108" s="1479"/>
      <c r="CH108" s="1479"/>
      <c r="CI108" s="31"/>
      <c r="CJ108" s="31"/>
      <c r="CK108" s="31"/>
      <c r="CL108" s="31"/>
      <c r="CM108" s="31"/>
      <c r="CN108" s="31"/>
      <c r="CO108" s="31"/>
      <c r="CP108" s="31"/>
      <c r="CQ108" s="31"/>
      <c r="CS108" s="43"/>
      <c r="CT108" s="43"/>
      <c r="CU108" s="30" t="str">
        <f>IF(Basisdaten!$B$15=Basisdaten!$D$2,CV108,CW108)</f>
        <v>Übernachtungen</v>
      </c>
      <c r="CV108" s="38" t="s">
        <v>95</v>
      </c>
      <c r="CW108" s="38" t="s">
        <v>169</v>
      </c>
      <c r="DK108" s="52"/>
    </row>
    <row r="109" spans="3:115" ht="14.25" customHeight="1" thickBot="1">
      <c r="C109" s="1629">
        <f t="shared" si="80"/>
        <v>0.19</v>
      </c>
      <c r="D109" s="1630"/>
      <c r="E109" s="1320">
        <f>IF('2 Umsatz|Sales'!$CT$23=0,0,C109)</f>
        <v>0.19</v>
      </c>
      <c r="F109" s="539" t="str">
        <f>CU109</f>
        <v>Sonstiges</v>
      </c>
      <c r="G109" s="521"/>
      <c r="H109" s="521"/>
      <c r="I109" s="521"/>
      <c r="J109" s="521"/>
      <c r="K109" s="521"/>
      <c r="L109" s="521"/>
      <c r="M109" s="521"/>
      <c r="N109" s="521"/>
      <c r="O109" s="521"/>
      <c r="P109" s="521"/>
      <c r="Q109" s="521"/>
      <c r="R109" s="521"/>
      <c r="S109" s="530">
        <f t="shared" si="88"/>
        <v>0</v>
      </c>
      <c r="T109" s="557"/>
      <c r="U109" s="1796" t="str">
        <f t="shared" si="89"/>
        <v>brutto</v>
      </c>
      <c r="V109" s="1337">
        <f>V108*(1+$AJ$103)</f>
        <v>0</v>
      </c>
      <c r="W109" s="543" t="str">
        <f t="shared" si="86"/>
        <v>Gehalt 3</v>
      </c>
      <c r="X109" s="1809">
        <f>X108*$V$109</f>
        <v>0</v>
      </c>
      <c r="Y109" s="1809">
        <f t="shared" ref="Y109:AI109" si="91">Y108*$V$109</f>
        <v>0</v>
      </c>
      <c r="Z109" s="1809">
        <f t="shared" si="91"/>
        <v>0</v>
      </c>
      <c r="AA109" s="1809">
        <f t="shared" si="91"/>
        <v>0</v>
      </c>
      <c r="AB109" s="1809">
        <f t="shared" si="91"/>
        <v>0</v>
      </c>
      <c r="AC109" s="1809">
        <f t="shared" si="91"/>
        <v>0</v>
      </c>
      <c r="AD109" s="1809">
        <f t="shared" si="91"/>
        <v>0</v>
      </c>
      <c r="AE109" s="1809">
        <f t="shared" si="91"/>
        <v>0</v>
      </c>
      <c r="AF109" s="1809">
        <f t="shared" si="91"/>
        <v>0</v>
      </c>
      <c r="AG109" s="1809">
        <f t="shared" si="91"/>
        <v>0</v>
      </c>
      <c r="AH109" s="1809">
        <f t="shared" si="91"/>
        <v>0</v>
      </c>
      <c r="AI109" s="1809">
        <f t="shared" si="91"/>
        <v>0</v>
      </c>
      <c r="AJ109" s="1861">
        <f>IF(V109*12&lt;=Basisdaten!$D$21,0,IF(V109*12&lt;=Basisdaten!$F$21,V109*(Basisdaten!$E$23*(V109*12-Basisdaten!$E$21)+Basisdaten!$E$22),IF(V109*12&lt;=Basisdaten!$H$21,V109*(Basisdaten!$G$23*(V109*12-Basisdaten!$G$21)+Basisdaten!$G$22),IF(V109*12&lt;=Basisdaten!$J$21,V109*(Basisdaten!$I$23*(V109*12-Basisdaten!$I$21)+Basisdaten!$I$22),IF(V109*12&gt;Basisdaten!$K$21,V109*Basisdaten!$K$22,"hoppla")))))</f>
        <v>0</v>
      </c>
      <c r="AK109" s="326"/>
      <c r="AL109" s="1608"/>
      <c r="BA109" s="1479"/>
      <c r="BB109" s="1479"/>
      <c r="BC109" s="1479"/>
      <c r="BD109" s="1479"/>
      <c r="BE109" s="1479"/>
      <c r="BF109" s="1479"/>
      <c r="BG109" s="1479"/>
      <c r="BH109" s="1479"/>
      <c r="BI109" s="1479"/>
      <c r="BJ109" s="1479"/>
      <c r="BK109" s="1479"/>
      <c r="BL109" s="1479"/>
      <c r="BM109" s="1479"/>
      <c r="BN109" s="1479"/>
      <c r="BO109" s="1479"/>
      <c r="BP109" s="1479"/>
      <c r="BQ109" s="1479"/>
      <c r="BR109" s="1479"/>
      <c r="BS109" s="1479"/>
      <c r="BT109" s="1479"/>
      <c r="BU109" s="1479"/>
      <c r="BV109" s="1479"/>
      <c r="BW109" s="1479"/>
      <c r="BX109" s="1479"/>
      <c r="BY109" s="1479"/>
      <c r="BZ109" s="1479"/>
      <c r="CA109" s="1479"/>
      <c r="CB109" s="1479"/>
      <c r="CC109" s="1479"/>
      <c r="CD109" s="1479"/>
      <c r="CE109" s="1479"/>
      <c r="CF109" s="1479"/>
      <c r="CG109" s="1479"/>
      <c r="CH109" s="1479"/>
      <c r="CI109" s="31"/>
      <c r="CJ109" s="31"/>
      <c r="CK109" s="31"/>
      <c r="CL109" s="31"/>
      <c r="CM109" s="31"/>
      <c r="CN109" s="31"/>
      <c r="CO109" s="31"/>
      <c r="CP109" s="31"/>
      <c r="CQ109" s="31"/>
      <c r="CS109" s="233"/>
      <c r="CT109" s="233"/>
      <c r="CU109" s="30" t="str">
        <f>IF(Basisdaten!$B$15=Basisdaten!$D$2,CV109,CW109)</f>
        <v>Sonstiges</v>
      </c>
      <c r="CV109" s="523" t="s">
        <v>275</v>
      </c>
      <c r="CW109" s="523" t="s">
        <v>277</v>
      </c>
      <c r="DK109" s="52"/>
    </row>
    <row r="110" spans="3:115" ht="14.25" customHeight="1" thickTop="1">
      <c r="C110" s="1631">
        <f t="shared" si="80"/>
        <v>0</v>
      </c>
      <c r="D110" s="1630"/>
      <c r="E110" s="1135">
        <f>IF('2 Umsatz|Sales'!$CT$23=0,0,C110)</f>
        <v>0</v>
      </c>
      <c r="F110" s="46" t="str">
        <f>F32</f>
        <v>Summe Reisekosten</v>
      </c>
      <c r="G110" s="534">
        <f>SUM(G106:G109)</f>
        <v>0</v>
      </c>
      <c r="H110" s="534">
        <f t="shared" ref="H110:Q110" si="92">SUM(H106:H109)</f>
        <v>0</v>
      </c>
      <c r="I110" s="534">
        <f t="shared" si="92"/>
        <v>0</v>
      </c>
      <c r="J110" s="534">
        <f>SUM(J106:J109)</f>
        <v>0</v>
      </c>
      <c r="K110" s="534">
        <f t="shared" si="92"/>
        <v>0</v>
      </c>
      <c r="L110" s="534">
        <f t="shared" si="92"/>
        <v>0</v>
      </c>
      <c r="M110" s="534">
        <f t="shared" si="92"/>
        <v>0</v>
      </c>
      <c r="N110" s="534">
        <f t="shared" si="92"/>
        <v>0</v>
      </c>
      <c r="O110" s="534">
        <f t="shared" si="92"/>
        <v>0</v>
      </c>
      <c r="P110" s="534">
        <f t="shared" si="92"/>
        <v>0</v>
      </c>
      <c r="Q110" s="534">
        <f t="shared" si="92"/>
        <v>0</v>
      </c>
      <c r="R110" s="534">
        <f>SUM(R106:R109)</f>
        <v>0</v>
      </c>
      <c r="S110" s="528">
        <f t="shared" si="88"/>
        <v>0</v>
      </c>
      <c r="T110" s="554"/>
      <c r="U110" s="1810" t="str">
        <f t="shared" si="89"/>
        <v>netto</v>
      </c>
      <c r="V110" s="1811"/>
      <c r="W110" s="1812" t="str">
        <f>$CU$189</f>
        <v>GF</v>
      </c>
      <c r="X110" s="1813"/>
      <c r="Y110" s="1813"/>
      <c r="Z110" s="1813"/>
      <c r="AA110" s="1813"/>
      <c r="AB110" s="1813"/>
      <c r="AC110" s="1813"/>
      <c r="AD110" s="1813"/>
      <c r="AE110" s="1813"/>
      <c r="AF110" s="1813"/>
      <c r="AG110" s="1813"/>
      <c r="AH110" s="1813"/>
      <c r="AI110" s="1813"/>
      <c r="AJ110" s="2040" t="str">
        <f>AJ108</f>
        <v>↓m. Lohn-St↓</v>
      </c>
      <c r="AK110" s="326"/>
      <c r="AL110" s="1609"/>
      <c r="BA110" s="1479"/>
      <c r="BB110" s="1479"/>
      <c r="BC110" s="1479"/>
      <c r="BD110" s="1479"/>
      <c r="BE110" s="1479"/>
      <c r="BF110" s="1479"/>
      <c r="BG110" s="1479"/>
      <c r="BH110" s="1479"/>
      <c r="BI110" s="1479"/>
      <c r="BJ110" s="1479"/>
      <c r="BK110" s="1479"/>
      <c r="BL110" s="1479"/>
      <c r="BM110" s="1479"/>
      <c r="BN110" s="1479"/>
      <c r="BO110" s="1479"/>
      <c r="BP110" s="1479"/>
      <c r="BQ110" s="1479"/>
      <c r="BR110" s="1479"/>
      <c r="BS110" s="1479"/>
      <c r="BT110" s="1479"/>
      <c r="BU110" s="1479"/>
      <c r="BV110" s="1479"/>
      <c r="BW110" s="1479"/>
      <c r="BX110" s="1479"/>
      <c r="BY110" s="1479"/>
      <c r="BZ110" s="1479"/>
      <c r="CA110" s="1479"/>
      <c r="CB110" s="1479"/>
      <c r="CC110" s="1479"/>
      <c r="CD110" s="1479"/>
      <c r="CE110" s="1479"/>
      <c r="CF110" s="1479"/>
      <c r="CG110" s="1479"/>
      <c r="CH110" s="1479"/>
      <c r="CI110" s="31"/>
      <c r="CJ110" s="31"/>
      <c r="CK110" s="31"/>
      <c r="CL110" s="31"/>
      <c r="CM110" s="31"/>
      <c r="CN110" s="31"/>
      <c r="CO110" s="31"/>
      <c r="CP110" s="31"/>
      <c r="CQ110" s="31"/>
      <c r="CS110" s="233"/>
      <c r="CT110" s="233"/>
      <c r="CU110" s="30" t="str">
        <f>IF(Basisdaten!$B$15=Basisdaten!$D$2,CV110,CW110)</f>
        <v>Summe Reisekosten</v>
      </c>
      <c r="CV110" s="38" t="str">
        <f>"Summe " &amp;CV105</f>
        <v>Summe Reisekosten</v>
      </c>
      <c r="CW110" s="38" t="s">
        <v>165</v>
      </c>
      <c r="DK110" s="52"/>
    </row>
    <row r="111" spans="3:115" ht="14.25" customHeight="1" thickBot="1">
      <c r="C111" s="1633" t="str">
        <f t="shared" si="80"/>
        <v>MwSt</v>
      </c>
      <c r="D111" s="1630"/>
      <c r="E111" s="597">
        <f>E33</f>
        <v>5</v>
      </c>
      <c r="F111" s="598" t="str">
        <f>F33</f>
        <v>Versicherungen und Beiträge (betrieblich!)</v>
      </c>
      <c r="G111" s="599">
        <f>IFERROR(S150,"undo")</f>
        <v>0</v>
      </c>
      <c r="H111" s="2270" t="str">
        <f>IF(G111="undo",$CU$164,"")</f>
        <v/>
      </c>
      <c r="I111" s="2270"/>
      <c r="J111" s="2270"/>
      <c r="K111" s="2270"/>
      <c r="L111" s="2270"/>
      <c r="M111" s="2270"/>
      <c r="N111" s="2270"/>
      <c r="O111" s="2270"/>
      <c r="P111" s="2270"/>
      <c r="Q111" s="601" t="s">
        <v>608</v>
      </c>
      <c r="R111" s="600"/>
      <c r="S111" s="602"/>
      <c r="T111" s="552"/>
      <c r="U111" s="1814" t="str">
        <f t="shared" si="89"/>
        <v>brutto</v>
      </c>
      <c r="V111" s="1815">
        <f>V110*(1+$AJ$103)</f>
        <v>0</v>
      </c>
      <c r="W111" s="1816" t="str">
        <f>$CU$170&amp;" "&amp;$CU$189</f>
        <v>Gehalt GF</v>
      </c>
      <c r="X111" s="1817">
        <f t="shared" ref="X111:AI111" si="93">($V$111+$AJ$103)*X110</f>
        <v>0</v>
      </c>
      <c r="Y111" s="1817">
        <f t="shared" si="93"/>
        <v>0</v>
      </c>
      <c r="Z111" s="1817">
        <f t="shared" si="93"/>
        <v>0</v>
      </c>
      <c r="AA111" s="1817">
        <f t="shared" si="93"/>
        <v>0</v>
      </c>
      <c r="AB111" s="1817">
        <f t="shared" si="93"/>
        <v>0</v>
      </c>
      <c r="AC111" s="1817">
        <f t="shared" si="93"/>
        <v>0</v>
      </c>
      <c r="AD111" s="1817">
        <f t="shared" si="93"/>
        <v>0</v>
      </c>
      <c r="AE111" s="1817">
        <f t="shared" si="93"/>
        <v>0</v>
      </c>
      <c r="AF111" s="1817">
        <f t="shared" si="93"/>
        <v>0</v>
      </c>
      <c r="AG111" s="1817">
        <f t="shared" si="93"/>
        <v>0</v>
      </c>
      <c r="AH111" s="1817">
        <f t="shared" si="93"/>
        <v>0</v>
      </c>
      <c r="AI111" s="1818">
        <f t="shared" si="93"/>
        <v>0</v>
      </c>
      <c r="AJ111" s="1861">
        <f>IF(V111*12&lt;=Basisdaten!$D$21,0,IF(V111*12&lt;=Basisdaten!$F$21,V111*(Basisdaten!$E$23*(V111*12-Basisdaten!$E$21)+Basisdaten!$E$22),IF(V111*12&lt;=Basisdaten!$H$21,V111*(Basisdaten!$G$23*(V111*12-Basisdaten!$G$21)+Basisdaten!$G$22),IF(V111*12&lt;=Basisdaten!$J$21,V111*(Basisdaten!$I$23*(V111*12-Basisdaten!$I$21)+Basisdaten!$I$22),IF(V111*12&gt;Basisdaten!$K$21,V111*Basisdaten!$K$22,"hoppla")))))</f>
        <v>0</v>
      </c>
      <c r="AK111" s="326"/>
      <c r="AL111" s="1609"/>
      <c r="BA111" s="1479"/>
      <c r="BB111" s="1479"/>
      <c r="BC111" s="1479"/>
      <c r="BD111" s="1479"/>
      <c r="BE111" s="1479"/>
      <c r="BF111" s="1479"/>
      <c r="BG111" s="1479"/>
      <c r="BH111" s="1479"/>
      <c r="BI111" s="1479"/>
      <c r="BJ111" s="1479"/>
      <c r="BK111" s="1479"/>
      <c r="BL111" s="1479"/>
      <c r="BM111" s="1479"/>
      <c r="BN111" s="1479"/>
      <c r="BO111" s="1479"/>
      <c r="BP111" s="1479"/>
      <c r="BQ111" s="1479"/>
      <c r="BR111" s="1479"/>
      <c r="BS111" s="1479"/>
      <c r="BT111" s="1479"/>
      <c r="BU111" s="1479"/>
      <c r="BV111" s="1479"/>
      <c r="BW111" s="1479"/>
      <c r="BX111" s="1479"/>
      <c r="BY111" s="1479"/>
      <c r="BZ111" s="1479"/>
      <c r="CA111" s="1479"/>
      <c r="CB111" s="1479"/>
      <c r="CC111" s="1479"/>
      <c r="CD111" s="1479"/>
      <c r="CE111" s="1479"/>
      <c r="CF111" s="1479"/>
      <c r="CG111" s="1479"/>
      <c r="CH111" s="1479"/>
      <c r="CI111" s="31"/>
      <c r="CJ111" s="31"/>
      <c r="CK111" s="31"/>
      <c r="CL111" s="31"/>
      <c r="CM111" s="31"/>
      <c r="CN111" s="31"/>
      <c r="CO111" s="31"/>
      <c r="CP111" s="31"/>
      <c r="CQ111" s="31"/>
      <c r="CS111" s="233"/>
      <c r="CT111" s="233"/>
      <c r="CU111" s="30" t="str">
        <f>IF(Basisdaten!$B$15=Basisdaten!$D$2,CV111,CW111)</f>
        <v>Versicherungen und Beiträge (betrieblich!)</v>
      </c>
      <c r="CV111" s="38" t="s">
        <v>303</v>
      </c>
      <c r="CW111" s="38" t="s">
        <v>304</v>
      </c>
      <c r="DK111" s="52"/>
    </row>
    <row r="112" spans="3:115" ht="14.25" customHeight="1">
      <c r="C112" s="1629">
        <f t="shared" si="80"/>
        <v>0.19</v>
      </c>
      <c r="D112" s="1630"/>
      <c r="E112" s="1319">
        <f>IF('2 Umsatz|Sales'!$CT$23=0,0,C112)</f>
        <v>0.19</v>
      </c>
      <c r="F112" s="538" t="str">
        <f>F34</f>
        <v>Haftpflicht</v>
      </c>
      <c r="G112" s="420"/>
      <c r="H112" s="420"/>
      <c r="I112" s="420"/>
      <c r="J112" s="420"/>
      <c r="K112" s="420"/>
      <c r="L112" s="420"/>
      <c r="M112" s="420"/>
      <c r="N112" s="420"/>
      <c r="O112" s="420"/>
      <c r="P112" s="420"/>
      <c r="Q112" s="420"/>
      <c r="R112" s="420"/>
      <c r="S112" s="594">
        <f t="shared" ref="S112:S116" si="94">SUM(G112:R112)</f>
        <v>0</v>
      </c>
      <c r="T112" s="557"/>
      <c r="U112" s="2261" t="str">
        <f>$CU$190&amp;" = "
&amp;$CU$191</f>
        <v>netto = brutto</v>
      </c>
      <c r="V112" s="2273"/>
      <c r="W112" s="1856" t="str">
        <f t="shared" si="86"/>
        <v>MinijoblerIn</v>
      </c>
      <c r="X112" s="617"/>
      <c r="Y112" s="617"/>
      <c r="Z112" s="617"/>
      <c r="AA112" s="617"/>
      <c r="AB112" s="617"/>
      <c r="AC112" s="617"/>
      <c r="AD112" s="617"/>
      <c r="AE112" s="617"/>
      <c r="AF112" s="617"/>
      <c r="AG112" s="617"/>
      <c r="AH112" s="617"/>
      <c r="AI112" s="617"/>
      <c r="AJ112" s="1860" t="str">
        <f>AJ191</f>
        <v>↓Obergrenze↓</v>
      </c>
      <c r="AK112" s="326"/>
      <c r="AL112" s="1609"/>
      <c r="BA112" s="1479"/>
      <c r="BB112" s="1479"/>
      <c r="BC112" s="1479"/>
      <c r="BD112" s="1479"/>
      <c r="BE112" s="1479"/>
      <c r="BF112" s="1479"/>
      <c r="BG112" s="1479"/>
      <c r="BH112" s="1479"/>
      <c r="BI112" s="1479"/>
      <c r="BJ112" s="1479"/>
      <c r="BK112" s="1479"/>
      <c r="BL112" s="1479"/>
      <c r="BM112" s="1479"/>
      <c r="BN112" s="1479"/>
      <c r="BO112" s="1479"/>
      <c r="BP112" s="1479"/>
      <c r="BQ112" s="1479"/>
      <c r="BR112" s="1479"/>
      <c r="BS112" s="1479"/>
      <c r="BT112" s="1479"/>
      <c r="BU112" s="1479"/>
      <c r="BV112" s="1479"/>
      <c r="BW112" s="1479"/>
      <c r="BX112" s="1479"/>
      <c r="BY112" s="1479"/>
      <c r="BZ112" s="1479"/>
      <c r="CA112" s="1479"/>
      <c r="CB112" s="1479"/>
      <c r="CC112" s="1479"/>
      <c r="CD112" s="1479"/>
      <c r="CE112" s="1479"/>
      <c r="CF112" s="1479"/>
      <c r="CG112" s="1479"/>
      <c r="CH112" s="1479"/>
      <c r="CI112" s="31"/>
      <c r="CJ112" s="31"/>
      <c r="CK112" s="31"/>
      <c r="CL112" s="31"/>
      <c r="CM112" s="31"/>
      <c r="CN112" s="31"/>
      <c r="CO112" s="31"/>
      <c r="CP112" s="31"/>
      <c r="CQ112" s="31"/>
      <c r="CS112" s="233"/>
      <c r="CT112" s="233"/>
      <c r="CU112" s="30" t="str">
        <f>IF(Basisdaten!$B$15=Basisdaten!$D$2,CV112,CW112)</f>
        <v>Haftpflicht</v>
      </c>
      <c r="CV112" s="38" t="s">
        <v>38</v>
      </c>
      <c r="CW112" s="38" t="s">
        <v>147</v>
      </c>
      <c r="DK112" s="52"/>
    </row>
    <row r="113" spans="3:115" ht="14.25" customHeight="1" thickBot="1">
      <c r="C113" s="1629">
        <f t="shared" si="80"/>
        <v>0.19</v>
      </c>
      <c r="D113" s="1630"/>
      <c r="E113" s="1320">
        <f>IF('2 Umsatz|Sales'!$CT$23=0,0,C113)</f>
        <v>0.19</v>
      </c>
      <c r="F113" s="278" t="str">
        <f>F35</f>
        <v>Rechtschutzversicherung</v>
      </c>
      <c r="G113" s="417"/>
      <c r="H113" s="417"/>
      <c r="I113" s="417"/>
      <c r="J113" s="417"/>
      <c r="K113" s="417"/>
      <c r="L113" s="417"/>
      <c r="M113" s="417"/>
      <c r="N113" s="417"/>
      <c r="O113" s="417"/>
      <c r="P113" s="417"/>
      <c r="Q113" s="417"/>
      <c r="R113" s="417"/>
      <c r="S113" s="279">
        <f t="shared" si="94"/>
        <v>0</v>
      </c>
      <c r="T113" s="557"/>
      <c r="U113" s="2262"/>
      <c r="V113" s="2257"/>
      <c r="W113" s="1855" t="str">
        <f t="shared" si="86"/>
        <v>Lohn</v>
      </c>
      <c r="X113" s="1341">
        <f t="shared" ref="X113:AI113" si="95">X112*$V$112</f>
        <v>0</v>
      </c>
      <c r="Y113" s="1341">
        <f t="shared" si="95"/>
        <v>0</v>
      </c>
      <c r="Z113" s="1341">
        <f t="shared" si="95"/>
        <v>0</v>
      </c>
      <c r="AA113" s="1341">
        <f t="shared" si="95"/>
        <v>0</v>
      </c>
      <c r="AB113" s="1341">
        <f t="shared" si="95"/>
        <v>0</v>
      </c>
      <c r="AC113" s="1341">
        <f t="shared" si="95"/>
        <v>0</v>
      </c>
      <c r="AD113" s="1341">
        <f t="shared" si="95"/>
        <v>0</v>
      </c>
      <c r="AE113" s="1341">
        <f t="shared" si="95"/>
        <v>0</v>
      </c>
      <c r="AF113" s="1341">
        <f t="shared" si="95"/>
        <v>0</v>
      </c>
      <c r="AG113" s="1341">
        <f t="shared" si="95"/>
        <v>0</v>
      </c>
      <c r="AH113" s="1341">
        <f t="shared" si="95"/>
        <v>0</v>
      </c>
      <c r="AI113" s="1350">
        <f t="shared" si="95"/>
        <v>0</v>
      </c>
      <c r="AJ113" s="1373">
        <f>Basisdaten!$L$39</f>
        <v>603</v>
      </c>
      <c r="AK113" s="326"/>
      <c r="AL113" s="1609"/>
      <c r="BA113" s="1479"/>
      <c r="BB113" s="1479"/>
      <c r="BC113" s="1479"/>
      <c r="BD113" s="1479"/>
      <c r="BE113" s="1479"/>
      <c r="BF113" s="1479"/>
      <c r="BG113" s="1479"/>
      <c r="BH113" s="1479"/>
      <c r="BI113" s="1479"/>
      <c r="BJ113" s="1479"/>
      <c r="BK113" s="1479"/>
      <c r="BL113" s="1479"/>
      <c r="BM113" s="1479"/>
      <c r="BN113" s="1479"/>
      <c r="BO113" s="1479"/>
      <c r="BP113" s="1479"/>
      <c r="BQ113" s="1479"/>
      <c r="BR113" s="1479"/>
      <c r="BS113" s="1479"/>
      <c r="BT113" s="1479"/>
      <c r="BU113" s="1479"/>
      <c r="BV113" s="1479"/>
      <c r="BW113" s="1479"/>
      <c r="BX113" s="1479"/>
      <c r="BY113" s="1479"/>
      <c r="BZ113" s="1479"/>
      <c r="CA113" s="1479"/>
      <c r="CB113" s="1479"/>
      <c r="CC113" s="1479"/>
      <c r="CD113" s="1479"/>
      <c r="CE113" s="1479"/>
      <c r="CF113" s="1479"/>
      <c r="CG113" s="1479"/>
      <c r="CH113" s="1479"/>
      <c r="CI113" s="31"/>
      <c r="CJ113" s="31"/>
      <c r="CK113" s="31"/>
      <c r="CL113" s="31"/>
      <c r="CM113" s="31"/>
      <c r="CN113" s="31"/>
      <c r="CO113" s="31"/>
      <c r="CP113" s="31"/>
      <c r="CQ113" s="31"/>
      <c r="CS113" s="233"/>
      <c r="CT113" s="233"/>
      <c r="CU113" s="30" t="str">
        <f>IF(Basisdaten!$B$15=Basisdaten!$D$2,CV113,CW113)</f>
        <v>Rechtschutzversicherung</v>
      </c>
      <c r="CV113" s="38" t="s">
        <v>39</v>
      </c>
      <c r="CW113" s="38" t="s">
        <v>158</v>
      </c>
      <c r="DK113" s="52"/>
    </row>
    <row r="114" spans="3:115" ht="14.25" customHeight="1" thickTop="1" thickBot="1">
      <c r="C114" s="1629">
        <f t="shared" si="80"/>
        <v>0.19</v>
      </c>
      <c r="D114" s="1630"/>
      <c r="E114" s="1320">
        <f>IF('2 Umsatz|Sales'!$CT$23=0,0,C114)</f>
        <v>0.19</v>
      </c>
      <c r="F114" s="278" t="str">
        <f>F36</f>
        <v>Beiträge (IHK, Berufsverbände, ...)</v>
      </c>
      <c r="G114" s="417"/>
      <c r="H114" s="417"/>
      <c r="I114" s="417"/>
      <c r="J114" s="417"/>
      <c r="K114" s="417"/>
      <c r="L114" s="417"/>
      <c r="M114" s="417"/>
      <c r="N114" s="417"/>
      <c r="O114" s="417"/>
      <c r="P114" s="417"/>
      <c r="Q114" s="417"/>
      <c r="R114" s="417"/>
      <c r="S114" s="279">
        <f t="shared" si="94"/>
        <v>0</v>
      </c>
      <c r="T114" s="557"/>
      <c r="U114" s="2263" t="str">
        <f>U35</f>
        <v>Gehaltssumme</v>
      </c>
      <c r="V114" s="2264"/>
      <c r="W114" s="2265"/>
      <c r="X114" s="1351">
        <f>X105+X107+X109+X111+X113</f>
        <v>0</v>
      </c>
      <c r="Y114" s="1351">
        <f t="shared" ref="Y114:AI114" si="96">Y105+Y107+Y109+Y111+Y113</f>
        <v>0</v>
      </c>
      <c r="Z114" s="1351">
        <f t="shared" si="96"/>
        <v>0</v>
      </c>
      <c r="AA114" s="1351">
        <f t="shared" si="96"/>
        <v>0</v>
      </c>
      <c r="AB114" s="1351">
        <f t="shared" si="96"/>
        <v>0</v>
      </c>
      <c r="AC114" s="1351">
        <f t="shared" si="96"/>
        <v>0</v>
      </c>
      <c r="AD114" s="1351">
        <f t="shared" si="96"/>
        <v>0</v>
      </c>
      <c r="AE114" s="1351">
        <f t="shared" si="96"/>
        <v>0</v>
      </c>
      <c r="AF114" s="1351">
        <f t="shared" si="96"/>
        <v>0</v>
      </c>
      <c r="AG114" s="1351">
        <f t="shared" si="96"/>
        <v>0</v>
      </c>
      <c r="AH114" s="1351">
        <f t="shared" si="96"/>
        <v>0</v>
      </c>
      <c r="AI114" s="1351">
        <f t="shared" si="96"/>
        <v>0</v>
      </c>
      <c r="AJ114" s="1351">
        <f>SUM(X114:AI114)</f>
        <v>0</v>
      </c>
      <c r="AK114" s="326"/>
      <c r="AL114" s="1609"/>
      <c r="AM114" s="326"/>
      <c r="BA114" s="1479"/>
      <c r="BB114" s="1479"/>
      <c r="BC114" s="1479"/>
      <c r="BD114" s="1479"/>
      <c r="BE114" s="1479"/>
      <c r="BF114" s="1479"/>
      <c r="BG114" s="1479"/>
      <c r="BH114" s="1479"/>
      <c r="BI114" s="1479"/>
      <c r="BJ114" s="1479"/>
      <c r="BK114" s="1479"/>
      <c r="BL114" s="1479"/>
      <c r="BM114" s="1479"/>
      <c r="BN114" s="1479"/>
      <c r="BO114" s="1479"/>
      <c r="BP114" s="1479"/>
      <c r="BQ114" s="1479"/>
      <c r="BR114" s="1479"/>
      <c r="BS114" s="1479"/>
      <c r="BT114" s="1479"/>
      <c r="BU114" s="1479"/>
      <c r="BV114" s="1479"/>
      <c r="BW114" s="1479"/>
      <c r="BX114" s="1479"/>
      <c r="BY114" s="1479"/>
      <c r="BZ114" s="1479"/>
      <c r="CA114" s="1479"/>
      <c r="CB114" s="1479"/>
      <c r="CC114" s="1479"/>
      <c r="CD114" s="1479"/>
      <c r="CE114" s="1479"/>
      <c r="CF114" s="1479"/>
      <c r="CG114" s="1479"/>
      <c r="CH114" s="1479"/>
      <c r="CI114" s="31"/>
      <c r="CJ114" s="31"/>
      <c r="CK114" s="31"/>
      <c r="CL114" s="31"/>
      <c r="CM114" s="31"/>
      <c r="CN114" s="31"/>
      <c r="CO114" s="31"/>
      <c r="CP114" s="31"/>
      <c r="CQ114" s="31"/>
      <c r="CS114" s="233"/>
      <c r="CT114" s="233"/>
      <c r="CU114" s="30" t="str">
        <f>IF(Basisdaten!$B$15=Basisdaten!$D$2,CV114,CW114)</f>
        <v>Beiträge (IHK, Berufsverbände, ...)</v>
      </c>
      <c r="CV114" s="38" t="s">
        <v>283</v>
      </c>
      <c r="CW114" s="38" t="s">
        <v>284</v>
      </c>
      <c r="DK114" s="52"/>
    </row>
    <row r="115" spans="3:115" ht="14.25" customHeight="1" thickTop="1" thickBot="1">
      <c r="C115" s="1629">
        <f t="shared" si="80"/>
        <v>0.19</v>
      </c>
      <c r="D115" s="1630"/>
      <c r="E115" s="1320">
        <f>IF('2 Umsatz|Sales'!$CT$23=0,0,C115)</f>
        <v>0.19</v>
      </c>
      <c r="F115" s="539" t="str">
        <f>CU115</f>
        <v>Sonstiges</v>
      </c>
      <c r="G115" s="521"/>
      <c r="H115" s="521"/>
      <c r="I115" s="521"/>
      <c r="J115" s="521"/>
      <c r="K115" s="521"/>
      <c r="L115" s="521"/>
      <c r="M115" s="521"/>
      <c r="N115" s="521"/>
      <c r="O115" s="521"/>
      <c r="P115" s="521"/>
      <c r="Q115" s="521"/>
      <c r="R115" s="521"/>
      <c r="S115" s="530">
        <f t="shared" si="94"/>
        <v>0</v>
      </c>
      <c r="T115" s="557"/>
      <c r="U115" s="2266" t="str">
        <f>U36</f>
        <v>Sozialabgaben*</v>
      </c>
      <c r="V115" s="2267"/>
      <c r="W115" s="2268"/>
      <c r="X115" s="1374">
        <f>(X105+X107+X109+X111)*$AJ$24+X113*X112*Basisdaten!$F$35</f>
        <v>0</v>
      </c>
      <c r="Y115" s="1374">
        <f>(Y105+Y107+Y109+Y111)*$AJ$24+Y113*Y112*Basisdaten!$F$35</f>
        <v>0</v>
      </c>
      <c r="Z115" s="1374">
        <f>(Z105+Z107+Z109+Z111)*$AJ$24+Z113*Z112*Basisdaten!$F$35</f>
        <v>0</v>
      </c>
      <c r="AA115" s="1374">
        <f>(AA105+AA107+AA109+AA111)*$AJ$24+AA113*AA112*Basisdaten!$F$35</f>
        <v>0</v>
      </c>
      <c r="AB115" s="1374">
        <f>(AB105+AB107+AB109+AB111)*$AJ$24+AB113*AB112*Basisdaten!$F$35</f>
        <v>0</v>
      </c>
      <c r="AC115" s="1374">
        <f>(AC105+AC107+AC109+AC111)*$AJ$24+AC113*AC112*Basisdaten!$F$35</f>
        <v>0</v>
      </c>
      <c r="AD115" s="1374">
        <f>(AD105+AD107+AD109+AD111)*$AJ$24+AD113*AD112*Basisdaten!$F$35</f>
        <v>0</v>
      </c>
      <c r="AE115" s="1374">
        <f>(AE105+AE107+AE109+AE111)*$AJ$24+AE113*AE112*Basisdaten!$F$35</f>
        <v>0</v>
      </c>
      <c r="AF115" s="1374">
        <f>(AF105+AF107+AF109+AF111)*$AJ$24+AF113*AF112*Basisdaten!$F$35</f>
        <v>0</v>
      </c>
      <c r="AG115" s="1374">
        <f>(AG105+AG107+AG109+AG111)*$AJ$24+AG113*AG112*Basisdaten!$F$35</f>
        <v>0</v>
      </c>
      <c r="AH115" s="1374">
        <f>(AH105+AH107+AH109+AH111)*$AJ$24+AH113*AH112*Basisdaten!$F$35</f>
        <v>0</v>
      </c>
      <c r="AI115" s="1374">
        <f>(AI105+AI107+AI109+AI111)*$AJ$24+AI113*AI112*Basisdaten!$F$35</f>
        <v>0</v>
      </c>
      <c r="AJ115" s="1374">
        <f>SUM(X115:AI115)</f>
        <v>0</v>
      </c>
      <c r="AK115" s="613"/>
      <c r="AL115" s="1609"/>
      <c r="AM115" s="613"/>
      <c r="BA115" s="1479"/>
      <c r="BB115" s="1479"/>
      <c r="BC115" s="1479"/>
      <c r="BD115" s="1479"/>
      <c r="BE115" s="1479"/>
      <c r="BF115" s="1479"/>
      <c r="BG115" s="1479"/>
      <c r="BH115" s="1479"/>
      <c r="BI115" s="1479"/>
      <c r="BJ115" s="1479"/>
      <c r="BK115" s="1479"/>
      <c r="BL115" s="1479"/>
      <c r="BM115" s="1479"/>
      <c r="BN115" s="1479"/>
      <c r="BO115" s="1479"/>
      <c r="BP115" s="1479"/>
      <c r="BQ115" s="1479"/>
      <c r="BR115" s="1479"/>
      <c r="BS115" s="1479"/>
      <c r="BT115" s="1479"/>
      <c r="BU115" s="1479"/>
      <c r="BV115" s="1479"/>
      <c r="BW115" s="1479"/>
      <c r="BX115" s="1479"/>
      <c r="BY115" s="1479"/>
      <c r="BZ115" s="1479"/>
      <c r="CA115" s="1479"/>
      <c r="CB115" s="1479"/>
      <c r="CC115" s="1479"/>
      <c r="CD115" s="1479"/>
      <c r="CE115" s="1479"/>
      <c r="CF115" s="1479"/>
      <c r="CG115" s="1479"/>
      <c r="CH115" s="1479"/>
      <c r="CI115" s="31"/>
      <c r="CJ115" s="31"/>
      <c r="CK115" s="31"/>
      <c r="CL115" s="31"/>
      <c r="CM115" s="31"/>
      <c r="CN115" s="31"/>
      <c r="CO115" s="31"/>
      <c r="CP115" s="31"/>
      <c r="CQ115" s="31"/>
      <c r="CS115" s="233"/>
      <c r="CT115" s="233"/>
      <c r="CU115" s="30" t="str">
        <f>IF(Basisdaten!$B$15=Basisdaten!$D$2,CV115,CW115)</f>
        <v>Sonstiges</v>
      </c>
      <c r="CV115" s="523" t="s">
        <v>275</v>
      </c>
      <c r="CW115" s="523" t="s">
        <v>277</v>
      </c>
      <c r="DK115" s="52"/>
    </row>
    <row r="116" spans="3:115" ht="14.25" customHeight="1" thickTop="1">
      <c r="C116" s="1631">
        <f t="shared" si="80"/>
        <v>0</v>
      </c>
      <c r="D116" s="1630"/>
      <c r="E116" s="531"/>
      <c r="F116" s="46" t="str">
        <f t="shared" ref="F116:F121" si="97">F38</f>
        <v>Summe Versicherungen und Beiträge (betrieblich!)</v>
      </c>
      <c r="G116" s="534">
        <f>SUM(G112:G115)</f>
        <v>0</v>
      </c>
      <c r="H116" s="534">
        <f t="shared" ref="H116:R116" si="98">SUM(H112:H115)</f>
        <v>0</v>
      </c>
      <c r="I116" s="534">
        <f t="shared" si="98"/>
        <v>0</v>
      </c>
      <c r="J116" s="534">
        <f>SUM(J112:J115)</f>
        <v>0</v>
      </c>
      <c r="K116" s="534">
        <f t="shared" si="98"/>
        <v>0</v>
      </c>
      <c r="L116" s="534">
        <f t="shared" si="98"/>
        <v>0</v>
      </c>
      <c r="M116" s="534">
        <f t="shared" si="98"/>
        <v>0</v>
      </c>
      <c r="N116" s="534">
        <f t="shared" si="98"/>
        <v>0</v>
      </c>
      <c r="O116" s="534">
        <f t="shared" si="98"/>
        <v>0</v>
      </c>
      <c r="P116" s="534">
        <f t="shared" si="98"/>
        <v>0</v>
      </c>
      <c r="Q116" s="534">
        <f t="shared" si="98"/>
        <v>0</v>
      </c>
      <c r="R116" s="534">
        <f t="shared" si="98"/>
        <v>0</v>
      </c>
      <c r="S116" s="528">
        <f t="shared" si="94"/>
        <v>0</v>
      </c>
      <c r="T116" s="554"/>
      <c r="AK116" s="613"/>
      <c r="AL116" s="1609"/>
      <c r="AM116" s="613"/>
      <c r="BA116" s="1479"/>
      <c r="BB116" s="1479"/>
      <c r="BC116" s="1479"/>
      <c r="BD116" s="1479"/>
      <c r="BE116" s="1479"/>
      <c r="BF116" s="1479"/>
      <c r="BG116" s="1479"/>
      <c r="BH116" s="1479"/>
      <c r="BI116" s="1479"/>
      <c r="BJ116" s="1479"/>
      <c r="BK116" s="1479"/>
      <c r="BL116" s="1479"/>
      <c r="BM116" s="1479"/>
      <c r="BN116" s="1479"/>
      <c r="BO116" s="1479"/>
      <c r="BP116" s="1479"/>
      <c r="BQ116" s="1479"/>
      <c r="BR116" s="1479"/>
      <c r="BS116" s="1479"/>
      <c r="BT116" s="1479"/>
      <c r="BU116" s="1479"/>
      <c r="BV116" s="1479"/>
      <c r="BW116" s="1479"/>
      <c r="BX116" s="1479"/>
      <c r="BY116" s="1479"/>
      <c r="BZ116" s="1479"/>
      <c r="CA116" s="1479"/>
      <c r="CB116" s="1479"/>
      <c r="CC116" s="1479"/>
      <c r="CD116" s="1479"/>
      <c r="CE116" s="1479"/>
      <c r="CF116" s="1479"/>
      <c r="CG116" s="1479"/>
      <c r="CH116" s="1479"/>
      <c r="CI116" s="31"/>
      <c r="CJ116" s="31"/>
      <c r="CK116" s="31"/>
      <c r="CL116" s="31"/>
      <c r="CM116" s="31"/>
      <c r="CN116" s="31"/>
      <c r="CO116" s="31"/>
      <c r="CP116" s="31"/>
      <c r="CQ116" s="31"/>
      <c r="CS116" s="233"/>
      <c r="CT116" s="233"/>
      <c r="CU116" s="30" t="str">
        <f>IF(Basisdaten!$B$15=Basisdaten!$D$2,CV116,CW116)</f>
        <v>Summe Versicherungen und Beiträge (betrieblich!)</v>
      </c>
      <c r="CV116" s="38" t="str">
        <f>"Summe "&amp;CV111</f>
        <v>Summe Versicherungen und Beiträge (betrieblich!)</v>
      </c>
      <c r="CW116" s="38" t="s">
        <v>167</v>
      </c>
      <c r="DK116" s="52"/>
    </row>
    <row r="117" spans="3:115" ht="14.25" customHeight="1">
      <c r="C117" s="1633" t="str">
        <f t="shared" si="80"/>
        <v>MwSt</v>
      </c>
      <c r="D117" s="1630"/>
      <c r="E117" s="597">
        <f>E39</f>
        <v>6</v>
      </c>
      <c r="F117" s="598" t="str">
        <f t="shared" si="97"/>
        <v>KFZ Kosten / Betriebliche Nutzung</v>
      </c>
      <c r="G117" s="599">
        <f>IFERROR(S151,"undo")</f>
        <v>0</v>
      </c>
      <c r="H117" s="2270" t="str">
        <f>IF(G117="undo",$CU$164,"")</f>
        <v/>
      </c>
      <c r="I117" s="2270"/>
      <c r="J117" s="2270"/>
      <c r="K117" s="2270"/>
      <c r="L117" s="2270"/>
      <c r="M117" s="2270"/>
      <c r="N117" s="2270"/>
      <c r="O117" s="2270"/>
      <c r="P117" s="2270"/>
      <c r="Q117" s="601" t="s">
        <v>608</v>
      </c>
      <c r="R117" s="600"/>
      <c r="S117" s="602"/>
      <c r="T117" s="552"/>
      <c r="AK117" s="613"/>
      <c r="AL117" s="1609"/>
      <c r="AM117" s="613"/>
      <c r="BA117" s="1479"/>
      <c r="BB117" s="1479"/>
      <c r="BC117" s="1479"/>
      <c r="BD117" s="1479"/>
      <c r="BE117" s="1479"/>
      <c r="BF117" s="1479"/>
      <c r="BG117" s="1479"/>
      <c r="BH117" s="1479"/>
      <c r="BI117" s="1479"/>
      <c r="BJ117" s="1479"/>
      <c r="BK117" s="1479"/>
      <c r="BL117" s="1479"/>
      <c r="BM117" s="1479"/>
      <c r="BN117" s="1479"/>
      <c r="BO117" s="1479"/>
      <c r="BP117" s="1479"/>
      <c r="BQ117" s="1479"/>
      <c r="BR117" s="1479"/>
      <c r="BS117" s="1479"/>
      <c r="BT117" s="1479"/>
      <c r="BU117" s="1479"/>
      <c r="BV117" s="1479"/>
      <c r="BW117" s="1479"/>
      <c r="BX117" s="1479"/>
      <c r="BY117" s="1479"/>
      <c r="BZ117" s="1479"/>
      <c r="CA117" s="1479"/>
      <c r="CB117" s="1479"/>
      <c r="CC117" s="1479"/>
      <c r="CD117" s="1479"/>
      <c r="CE117" s="1479"/>
      <c r="CF117" s="1479"/>
      <c r="CG117" s="1479"/>
      <c r="CH117" s="1479"/>
      <c r="CI117" s="31"/>
      <c r="CJ117" s="31"/>
      <c r="CK117" s="31"/>
      <c r="CL117" s="31"/>
      <c r="CM117" s="31"/>
      <c r="CN117" s="31"/>
      <c r="CO117" s="31"/>
      <c r="CP117" s="31"/>
      <c r="CQ117" s="31"/>
      <c r="CS117" s="233"/>
      <c r="CT117" s="233"/>
      <c r="CU117" s="30" t="str">
        <f>IF(Basisdaten!$B$15=Basisdaten!$D$2,CV117,CW117)</f>
        <v>KFZ Kosten / Betriebliche Nutzung</v>
      </c>
      <c r="CV117" s="38" t="s">
        <v>105</v>
      </c>
      <c r="CW117" s="38" t="s">
        <v>148</v>
      </c>
      <c r="DK117" s="52"/>
    </row>
    <row r="118" spans="3:115" ht="14.25" customHeight="1">
      <c r="C118" s="1629">
        <f t="shared" si="80"/>
        <v>0.19</v>
      </c>
      <c r="D118" s="1630"/>
      <c r="E118" s="1319">
        <f>IF('2 Umsatz|Sales'!$CT$23=0,0,C118)</f>
        <v>0.19</v>
      </c>
      <c r="F118" s="538" t="str">
        <f t="shared" si="97"/>
        <v>Leasingraten Kfz</v>
      </c>
      <c r="G118" s="420"/>
      <c r="H118" s="420"/>
      <c r="I118" s="420"/>
      <c r="J118" s="420"/>
      <c r="K118" s="420"/>
      <c r="L118" s="420"/>
      <c r="M118" s="420"/>
      <c r="N118" s="420"/>
      <c r="O118" s="420"/>
      <c r="P118" s="420"/>
      <c r="Q118" s="420"/>
      <c r="R118" s="420"/>
      <c r="S118" s="594">
        <f t="shared" ref="S118:S123" si="99">SUM(G118:R118)</f>
        <v>0</v>
      </c>
      <c r="T118" s="556"/>
      <c r="AK118" s="613"/>
      <c r="AL118" s="1609"/>
      <c r="AM118" s="613"/>
      <c r="BA118" s="1479"/>
      <c r="BB118" s="1479"/>
      <c r="BC118" s="1479"/>
      <c r="BD118" s="1479"/>
      <c r="BE118" s="1479"/>
      <c r="BF118" s="1479"/>
      <c r="BG118" s="1479"/>
      <c r="BH118" s="1479"/>
      <c r="BI118" s="1479"/>
      <c r="BJ118" s="1479"/>
      <c r="BK118" s="1479"/>
      <c r="BL118" s="1479"/>
      <c r="BM118" s="1479"/>
      <c r="BN118" s="1479"/>
      <c r="BO118" s="1479"/>
      <c r="BP118" s="1479"/>
      <c r="BQ118" s="1479"/>
      <c r="BR118" s="1479"/>
      <c r="BS118" s="1479"/>
      <c r="BT118" s="1479"/>
      <c r="BU118" s="1479"/>
      <c r="BV118" s="1479"/>
      <c r="BW118" s="1479"/>
      <c r="BX118" s="1479"/>
      <c r="BY118" s="1479"/>
      <c r="BZ118" s="1479"/>
      <c r="CA118" s="1479"/>
      <c r="CB118" s="1479"/>
      <c r="CC118" s="1479"/>
      <c r="CD118" s="1479"/>
      <c r="CE118" s="1479"/>
      <c r="CF118" s="1479"/>
      <c r="CG118" s="1479"/>
      <c r="CH118" s="1479"/>
      <c r="CI118" s="31"/>
      <c r="CJ118" s="31"/>
      <c r="CK118" s="31"/>
      <c r="CL118" s="31"/>
      <c r="CM118" s="31"/>
      <c r="CN118" s="31"/>
      <c r="CO118" s="31"/>
      <c r="CP118" s="31"/>
      <c r="CQ118" s="31"/>
      <c r="CU118" s="30" t="str">
        <f>IF(Basisdaten!$B$15=Basisdaten!$D$2,CV118,CW118)</f>
        <v>Leasingraten Kfz</v>
      </c>
      <c r="CV118" s="38" t="s">
        <v>104</v>
      </c>
      <c r="CW118" s="38" t="s">
        <v>151</v>
      </c>
      <c r="DK118" s="52"/>
    </row>
    <row r="119" spans="3:115" ht="14.25" customHeight="1">
      <c r="C119" s="1629">
        <f t="shared" si="80"/>
        <v>0.19</v>
      </c>
      <c r="D119" s="1630"/>
      <c r="E119" s="1320">
        <f>IF('2 Umsatz|Sales'!$CT$23=0,0,C119)</f>
        <v>0.19</v>
      </c>
      <c r="F119" s="278" t="str">
        <f t="shared" si="97"/>
        <v>Versicherungen/Kfz-Steuer</v>
      </c>
      <c r="G119" s="417"/>
      <c r="H119" s="417"/>
      <c r="I119" s="417"/>
      <c r="J119" s="417"/>
      <c r="K119" s="417"/>
      <c r="L119" s="417"/>
      <c r="M119" s="417"/>
      <c r="N119" s="417"/>
      <c r="O119" s="417"/>
      <c r="P119" s="417"/>
      <c r="Q119" s="417"/>
      <c r="R119" s="417"/>
      <c r="S119" s="279">
        <f t="shared" si="99"/>
        <v>0</v>
      </c>
      <c r="T119" s="556"/>
      <c r="AK119" s="613"/>
      <c r="AL119" s="1609"/>
      <c r="AM119" s="613"/>
      <c r="BA119" s="1479"/>
      <c r="BB119" s="1479"/>
      <c r="BC119" s="1479"/>
      <c r="BD119" s="1479"/>
      <c r="BE119" s="1479"/>
      <c r="BF119" s="1479"/>
      <c r="BG119" s="1479"/>
      <c r="BH119" s="1479"/>
      <c r="BI119" s="1479"/>
      <c r="BJ119" s="1479"/>
      <c r="BK119" s="1479"/>
      <c r="BL119" s="1479"/>
      <c r="BM119" s="1479"/>
      <c r="BN119" s="1479"/>
      <c r="BO119" s="1479"/>
      <c r="BP119" s="1479"/>
      <c r="BQ119" s="1479"/>
      <c r="BR119" s="1479"/>
      <c r="BS119" s="1479"/>
      <c r="BT119" s="1479"/>
      <c r="BU119" s="1479"/>
      <c r="BV119" s="1479"/>
      <c r="BW119" s="1479"/>
      <c r="BX119" s="1479"/>
      <c r="BY119" s="1479"/>
      <c r="BZ119" s="1479"/>
      <c r="CA119" s="1479"/>
      <c r="CB119" s="1479"/>
      <c r="CC119" s="1479"/>
      <c r="CD119" s="1479"/>
      <c r="CE119" s="1479"/>
      <c r="CF119" s="1479"/>
      <c r="CG119" s="1479"/>
      <c r="CH119" s="1479"/>
      <c r="CI119" s="31"/>
      <c r="CJ119" s="31"/>
      <c r="CK119" s="31"/>
      <c r="CL119" s="31"/>
      <c r="CM119" s="31"/>
      <c r="CN119" s="31"/>
      <c r="CO119" s="31"/>
      <c r="CP119" s="31"/>
      <c r="CQ119" s="31"/>
      <c r="CU119" s="30" t="str">
        <f>IF(Basisdaten!$B$15=Basisdaten!$D$2,CV119,CW119)</f>
        <v>Versicherungen/Kfz-Steuer</v>
      </c>
      <c r="CV119" s="38" t="s">
        <v>285</v>
      </c>
      <c r="CW119" s="38" t="s">
        <v>287</v>
      </c>
      <c r="DK119" s="52"/>
    </row>
    <row r="120" spans="3:115" ht="14.25" customHeight="1">
      <c r="C120" s="1629">
        <f t="shared" si="80"/>
        <v>0.19</v>
      </c>
      <c r="D120" s="1630"/>
      <c r="E120" s="1320">
        <f>IF('2 Umsatz|Sales'!$CT$23=0,0,C120)</f>
        <v>0.19</v>
      </c>
      <c r="F120" s="278" t="str">
        <f t="shared" si="97"/>
        <v>Fahrzeugkosten (Tanken und Reparatur)</v>
      </c>
      <c r="G120" s="417"/>
      <c r="H120" s="417"/>
      <c r="I120" s="417"/>
      <c r="J120" s="417"/>
      <c r="K120" s="417"/>
      <c r="L120" s="417"/>
      <c r="M120" s="417"/>
      <c r="N120" s="417"/>
      <c r="O120" s="417"/>
      <c r="P120" s="417"/>
      <c r="Q120" s="417"/>
      <c r="R120" s="417"/>
      <c r="S120" s="279">
        <f t="shared" si="99"/>
        <v>0</v>
      </c>
      <c r="T120" s="556"/>
      <c r="AK120" s="613"/>
      <c r="AL120" s="1609"/>
      <c r="AM120" s="613"/>
      <c r="BA120" s="1479"/>
      <c r="BB120" s="1479"/>
      <c r="BC120" s="1479"/>
      <c r="BD120" s="1479"/>
      <c r="BE120" s="1479"/>
      <c r="BF120" s="1479"/>
      <c r="BG120" s="1479"/>
      <c r="BH120" s="1479"/>
      <c r="BI120" s="1479"/>
      <c r="BJ120" s="1479"/>
      <c r="BK120" s="1479"/>
      <c r="BL120" s="1479"/>
      <c r="BM120" s="1479"/>
      <c r="BN120" s="1479"/>
      <c r="BO120" s="1479"/>
      <c r="BP120" s="1479"/>
      <c r="BQ120" s="1479"/>
      <c r="BR120" s="1479"/>
      <c r="BS120" s="1479"/>
      <c r="BT120" s="1479"/>
      <c r="BU120" s="1479"/>
      <c r="BV120" s="1479"/>
      <c r="BW120" s="1479"/>
      <c r="BX120" s="1479"/>
      <c r="BY120" s="1479"/>
      <c r="BZ120" s="1479"/>
      <c r="CA120" s="1479"/>
      <c r="CB120" s="1479"/>
      <c r="CC120" s="1479"/>
      <c r="CD120" s="1479"/>
      <c r="CE120" s="1479"/>
      <c r="CF120" s="1479"/>
      <c r="CG120" s="1479"/>
      <c r="CH120" s="1479"/>
      <c r="CI120" s="31"/>
      <c r="CJ120" s="31"/>
      <c r="CK120" s="31"/>
      <c r="CL120" s="31"/>
      <c r="CM120" s="31"/>
      <c r="CN120" s="31"/>
      <c r="CO120" s="31"/>
      <c r="CP120" s="31"/>
      <c r="CQ120" s="31"/>
      <c r="CU120" s="30" t="str">
        <f>IF(Basisdaten!$B$15=Basisdaten!$D$2,CV120,CW120)</f>
        <v>Fahrzeugkosten (Tanken und Reparatur)</v>
      </c>
      <c r="CV120" s="38" t="s">
        <v>286</v>
      </c>
      <c r="CW120" s="38" t="s">
        <v>288</v>
      </c>
      <c r="DK120" s="52"/>
    </row>
    <row r="121" spans="3:115" ht="14.25" customHeight="1">
      <c r="C121" s="1629">
        <f t="shared" si="80"/>
        <v>0.19</v>
      </c>
      <c r="D121" s="1630"/>
      <c r="E121" s="1320">
        <f>IF('2 Umsatz|Sales'!$CT$23=0,0,C121)</f>
        <v>0.19</v>
      </c>
      <c r="F121" s="278" t="str">
        <f t="shared" si="97"/>
        <v>Abrechenbare Kilometerkosten</v>
      </c>
      <c r="G121" s="417"/>
      <c r="H121" s="417"/>
      <c r="I121" s="417"/>
      <c r="J121" s="417"/>
      <c r="K121" s="417"/>
      <c r="L121" s="417"/>
      <c r="M121" s="417"/>
      <c r="N121" s="417"/>
      <c r="O121" s="417"/>
      <c r="P121" s="417"/>
      <c r="Q121" s="417"/>
      <c r="R121" s="417"/>
      <c r="S121" s="279">
        <f t="shared" si="99"/>
        <v>0</v>
      </c>
      <c r="T121" s="556"/>
      <c r="AK121" s="613"/>
      <c r="AL121" s="1609"/>
      <c r="AM121" s="613"/>
      <c r="BA121" s="1479"/>
      <c r="BB121" s="1479"/>
      <c r="BC121" s="1479"/>
      <c r="BD121" s="1479"/>
      <c r="BE121" s="1479"/>
      <c r="BF121" s="1479"/>
      <c r="BG121" s="1479"/>
      <c r="BH121" s="1479"/>
      <c r="BI121" s="1479"/>
      <c r="BJ121" s="1479"/>
      <c r="BK121" s="1479"/>
      <c r="BL121" s="1479"/>
      <c r="BM121" s="1479"/>
      <c r="BN121" s="1479"/>
      <c r="BO121" s="1479"/>
      <c r="BP121" s="1479"/>
      <c r="BQ121" s="1479"/>
      <c r="BR121" s="1479"/>
      <c r="BS121" s="1479"/>
      <c r="BT121" s="1479"/>
      <c r="BU121" s="1479"/>
      <c r="BV121" s="1479"/>
      <c r="BW121" s="1479"/>
      <c r="BX121" s="1479"/>
      <c r="BY121" s="1479"/>
      <c r="BZ121" s="1479"/>
      <c r="CA121" s="1479"/>
      <c r="CB121" s="1479"/>
      <c r="CC121" s="1479"/>
      <c r="CD121" s="1479"/>
      <c r="CE121" s="1479"/>
      <c r="CF121" s="1479"/>
      <c r="CG121" s="1479"/>
      <c r="CH121" s="1479"/>
      <c r="CI121" s="31"/>
      <c r="CJ121" s="31"/>
      <c r="CK121" s="31"/>
      <c r="CL121" s="31"/>
      <c r="CM121" s="31"/>
      <c r="CN121" s="31"/>
      <c r="CO121" s="31"/>
      <c r="CP121" s="31"/>
      <c r="CQ121" s="31"/>
      <c r="CU121" s="30" t="str">
        <f>IF(Basisdaten!$B$15=Basisdaten!$D$2,CV121,CW121)</f>
        <v>Abrechenbare Kilometerkosten</v>
      </c>
      <c r="CV121" s="38" t="s">
        <v>102</v>
      </c>
      <c r="CW121" s="38" t="s">
        <v>177</v>
      </c>
      <c r="DK121" s="52"/>
    </row>
    <row r="122" spans="3:115" ht="14.25" customHeight="1" thickBot="1">
      <c r="C122" s="1629">
        <f t="shared" si="80"/>
        <v>0.19</v>
      </c>
      <c r="D122" s="1630"/>
      <c r="E122" s="1320">
        <f>IF('2 Umsatz|Sales'!$CT$23=0,0,C122)</f>
        <v>0.19</v>
      </c>
      <c r="F122" s="539" t="str">
        <f>CU122</f>
        <v>Sonstiges</v>
      </c>
      <c r="G122" s="521"/>
      <c r="H122" s="521"/>
      <c r="I122" s="521"/>
      <c r="J122" s="521"/>
      <c r="K122" s="521"/>
      <c r="L122" s="521"/>
      <c r="M122" s="521"/>
      <c r="N122" s="521"/>
      <c r="O122" s="521"/>
      <c r="P122" s="521"/>
      <c r="Q122" s="521"/>
      <c r="R122" s="521"/>
      <c r="S122" s="530">
        <f t="shared" si="99"/>
        <v>0</v>
      </c>
      <c r="T122" s="556"/>
      <c r="AK122" s="613"/>
      <c r="AL122" s="1609"/>
      <c r="AM122" s="613"/>
      <c r="BA122" s="1479"/>
      <c r="BB122" s="1479"/>
      <c r="BC122" s="1479"/>
      <c r="BD122" s="1479"/>
      <c r="BE122" s="1479"/>
      <c r="BF122" s="1479"/>
      <c r="BG122" s="1479"/>
      <c r="BH122" s="1479"/>
      <c r="BI122" s="1479"/>
      <c r="BJ122" s="1479"/>
      <c r="BK122" s="1479"/>
      <c r="BL122" s="1479"/>
      <c r="BM122" s="1479"/>
      <c r="BN122" s="1479"/>
      <c r="BO122" s="1479"/>
      <c r="BP122" s="1479"/>
      <c r="BQ122" s="1479"/>
      <c r="BR122" s="1479"/>
      <c r="BS122" s="1479"/>
      <c r="BT122" s="1479"/>
      <c r="BU122" s="1479"/>
      <c r="BV122" s="1479"/>
      <c r="BW122" s="1479"/>
      <c r="BX122" s="1479"/>
      <c r="BY122" s="1479"/>
      <c r="BZ122" s="1479"/>
      <c r="CA122" s="1479"/>
      <c r="CB122" s="1479"/>
      <c r="CC122" s="1479"/>
      <c r="CD122" s="1479"/>
      <c r="CE122" s="1479"/>
      <c r="CF122" s="1479"/>
      <c r="CG122" s="1479"/>
      <c r="CH122" s="1479"/>
      <c r="CI122" s="31"/>
      <c r="CJ122" s="31"/>
      <c r="CK122" s="31"/>
      <c r="CL122" s="31"/>
      <c r="CM122" s="31"/>
      <c r="CN122" s="31"/>
      <c r="CO122" s="31"/>
      <c r="CP122" s="31"/>
      <c r="CQ122" s="31"/>
      <c r="CU122" s="30" t="str">
        <f>IF(Basisdaten!$B$15=Basisdaten!$D$2,CV122,CW122)</f>
        <v>Sonstiges</v>
      </c>
      <c r="CV122" s="523" t="s">
        <v>275</v>
      </c>
      <c r="CW122" s="523" t="s">
        <v>277</v>
      </c>
      <c r="DK122" s="52"/>
    </row>
    <row r="123" spans="3:115" ht="14.25" customHeight="1" thickTop="1">
      <c r="C123" s="1631">
        <f t="shared" si="80"/>
        <v>0</v>
      </c>
      <c r="D123" s="1630"/>
      <c r="E123" s="531">
        <f>IF('2 Umsatz|Sales'!$CT$23=0,0,C123)</f>
        <v>0</v>
      </c>
      <c r="F123" s="46" t="str">
        <f t="shared" ref="F123:F129" si="100">F45</f>
        <v>Summe KFZ Kosten / Betriebliche Nutzung</v>
      </c>
      <c r="G123" s="534">
        <f t="shared" ref="G123:R123" si="101">SUM(G118:G122)</f>
        <v>0</v>
      </c>
      <c r="H123" s="534">
        <f t="shared" si="101"/>
        <v>0</v>
      </c>
      <c r="I123" s="534">
        <f t="shared" si="101"/>
        <v>0</v>
      </c>
      <c r="J123" s="534">
        <f>SUM(J118:J122)</f>
        <v>0</v>
      </c>
      <c r="K123" s="534">
        <f t="shared" si="101"/>
        <v>0</v>
      </c>
      <c r="L123" s="534">
        <f t="shared" si="101"/>
        <v>0</v>
      </c>
      <c r="M123" s="534">
        <f t="shared" si="101"/>
        <v>0</v>
      </c>
      <c r="N123" s="534">
        <f t="shared" si="101"/>
        <v>0</v>
      </c>
      <c r="O123" s="534">
        <f t="shared" si="101"/>
        <v>0</v>
      </c>
      <c r="P123" s="534">
        <f t="shared" si="101"/>
        <v>0</v>
      </c>
      <c r="Q123" s="534">
        <f t="shared" si="101"/>
        <v>0</v>
      </c>
      <c r="R123" s="534">
        <f t="shared" si="101"/>
        <v>0</v>
      </c>
      <c r="S123" s="528">
        <f t="shared" si="99"/>
        <v>0</v>
      </c>
      <c r="T123" s="552"/>
      <c r="U123" s="34"/>
      <c r="V123" s="34"/>
      <c r="W123" s="34"/>
      <c r="X123" s="34"/>
      <c r="Y123" s="34"/>
      <c r="Z123" s="34"/>
      <c r="AA123" s="34"/>
      <c r="AB123" s="34"/>
      <c r="AC123" s="34"/>
      <c r="AD123" s="34"/>
      <c r="AE123" s="34"/>
      <c r="AF123" s="34"/>
      <c r="AG123" s="34"/>
      <c r="AH123" s="34"/>
      <c r="AK123" s="613"/>
      <c r="AL123" s="1609"/>
      <c r="BA123" s="1479"/>
      <c r="BB123" s="1479"/>
      <c r="BC123" s="1479"/>
      <c r="BD123" s="1479"/>
      <c r="BE123" s="1479"/>
      <c r="BF123" s="1479"/>
      <c r="BG123" s="1479"/>
      <c r="BH123" s="1479"/>
      <c r="BI123" s="1479"/>
      <c r="BJ123" s="1479"/>
      <c r="BK123" s="1479"/>
      <c r="BL123" s="1479"/>
      <c r="BM123" s="1479"/>
      <c r="BN123" s="1479"/>
      <c r="BO123" s="1479"/>
      <c r="BP123" s="1479"/>
      <c r="BQ123" s="1479"/>
      <c r="BR123" s="1479"/>
      <c r="BS123" s="1479"/>
      <c r="BT123" s="1479"/>
      <c r="BU123" s="1479"/>
      <c r="BV123" s="1479"/>
      <c r="BW123" s="1479"/>
      <c r="BX123" s="1479"/>
      <c r="BY123" s="1479"/>
      <c r="BZ123" s="1479"/>
      <c r="CA123" s="1479"/>
      <c r="CB123" s="1479"/>
      <c r="CC123" s="1479"/>
      <c r="CD123" s="1479"/>
      <c r="CE123" s="1479"/>
      <c r="CF123" s="1479"/>
      <c r="CG123" s="1479"/>
      <c r="CH123" s="1479"/>
      <c r="CI123" s="31"/>
      <c r="CJ123" s="31"/>
      <c r="CK123" s="31"/>
      <c r="CL123" s="31"/>
      <c r="CM123" s="31"/>
      <c r="CN123" s="31"/>
      <c r="CO123" s="31"/>
      <c r="CP123" s="31"/>
      <c r="CQ123" s="31"/>
      <c r="CS123" s="43"/>
      <c r="CT123" s="43"/>
      <c r="CU123" s="30" t="str">
        <f>IF(Basisdaten!$B$15=Basisdaten!$D$2,CV123,CW123)</f>
        <v>Summe KFZ Kosten / Betriebliche Nutzung</v>
      </c>
      <c r="CV123" s="38" t="str">
        <f>"Summe "&amp;CV117</f>
        <v>Summe KFZ Kosten / Betriebliche Nutzung</v>
      </c>
      <c r="CW123" s="38" t="s">
        <v>178</v>
      </c>
      <c r="DK123" s="52"/>
    </row>
    <row r="124" spans="3:115" ht="14.25" customHeight="1">
      <c r="C124" s="1633" t="str">
        <f t="shared" si="80"/>
        <v>MwSt</v>
      </c>
      <c r="D124" s="1630"/>
      <c r="E124" s="597">
        <f>E46</f>
        <v>7</v>
      </c>
      <c r="F124" s="598" t="str">
        <f t="shared" si="100"/>
        <v>Marketing  u. Werbung</v>
      </c>
      <c r="G124" s="599">
        <f>IFERROR(S152,"undo")</f>
        <v>0</v>
      </c>
      <c r="H124" s="2270" t="str">
        <f>IF(G124="undo",$CU$164,"")</f>
        <v/>
      </c>
      <c r="I124" s="2270"/>
      <c r="J124" s="2270"/>
      <c r="K124" s="2270"/>
      <c r="L124" s="2270"/>
      <c r="M124" s="2270"/>
      <c r="N124" s="2270"/>
      <c r="O124" s="2270"/>
      <c r="P124" s="2270"/>
      <c r="Q124" s="601" t="s">
        <v>608</v>
      </c>
      <c r="R124" s="600"/>
      <c r="S124" s="602"/>
      <c r="T124" s="552"/>
      <c r="U124" s="34"/>
      <c r="V124" s="34"/>
      <c r="W124" s="34"/>
      <c r="X124" s="34"/>
      <c r="Y124" s="34"/>
      <c r="Z124" s="34"/>
      <c r="AA124" s="34"/>
      <c r="AB124" s="34"/>
      <c r="AC124" s="34"/>
      <c r="AD124" s="34"/>
      <c r="AE124" s="34"/>
      <c r="AF124" s="34"/>
      <c r="AG124" s="34"/>
      <c r="AH124" s="34"/>
      <c r="AK124" s="613"/>
      <c r="AL124" s="1609"/>
      <c r="BA124" s="1479"/>
      <c r="BB124" s="1479"/>
      <c r="BC124" s="1479"/>
      <c r="BD124" s="1479"/>
      <c r="BE124" s="1479"/>
      <c r="BF124" s="1479"/>
      <c r="BG124" s="1479"/>
      <c r="BH124" s="1479"/>
      <c r="BI124" s="1479"/>
      <c r="BJ124" s="1479"/>
      <c r="BK124" s="1479"/>
      <c r="BL124" s="1479"/>
      <c r="BM124" s="1479"/>
      <c r="BN124" s="1479"/>
      <c r="BO124" s="1479"/>
      <c r="BP124" s="1479"/>
      <c r="BQ124" s="1479"/>
      <c r="BR124" s="1479"/>
      <c r="BS124" s="1479"/>
      <c r="BT124" s="1479"/>
      <c r="BU124" s="1479"/>
      <c r="BV124" s="1479"/>
      <c r="BW124" s="1479"/>
      <c r="BX124" s="1479"/>
      <c r="BY124" s="1479"/>
      <c r="BZ124" s="1479"/>
      <c r="CA124" s="1479"/>
      <c r="CB124" s="1479"/>
      <c r="CC124" s="1479"/>
      <c r="CD124" s="1479"/>
      <c r="CE124" s="1479"/>
      <c r="CF124" s="1479"/>
      <c r="CG124" s="1479"/>
      <c r="CH124" s="1479"/>
      <c r="CI124" s="31"/>
      <c r="CJ124" s="31"/>
      <c r="CK124" s="31"/>
      <c r="CL124" s="31"/>
      <c r="CM124" s="31"/>
      <c r="CN124" s="31"/>
      <c r="CO124" s="31"/>
      <c r="CP124" s="31"/>
      <c r="CQ124" s="31"/>
      <c r="CS124" s="233"/>
      <c r="CT124" s="233"/>
      <c r="CU124" s="30" t="str">
        <f>IF(Basisdaten!$B$15=Basisdaten!$D$2,CV124,CW124)</f>
        <v>Marketing  u. Werbung</v>
      </c>
      <c r="CV124" s="38" t="s">
        <v>98</v>
      </c>
      <c r="CW124" s="38" t="s">
        <v>153</v>
      </c>
      <c r="DK124" s="52"/>
    </row>
    <row r="125" spans="3:115" ht="14.25" customHeight="1">
      <c r="C125" s="1629">
        <f t="shared" si="80"/>
        <v>0.19</v>
      </c>
      <c r="D125" s="1630"/>
      <c r="E125" s="1319">
        <f>IF('2 Umsatz|Sales'!$CT$23=0,0,C125)</f>
        <v>0.19</v>
      </c>
      <c r="F125" s="538" t="str">
        <f t="shared" si="100"/>
        <v>Marktforschung</v>
      </c>
      <c r="G125" s="420"/>
      <c r="H125" s="420"/>
      <c r="I125" s="420"/>
      <c r="J125" s="420"/>
      <c r="K125" s="420"/>
      <c r="L125" s="420"/>
      <c r="M125" s="420"/>
      <c r="N125" s="420"/>
      <c r="O125" s="420"/>
      <c r="P125" s="420"/>
      <c r="Q125" s="420"/>
      <c r="R125" s="420"/>
      <c r="S125" s="594">
        <f t="shared" ref="S125:S130" si="102">SUM(G125:R125)</f>
        <v>0</v>
      </c>
      <c r="T125" s="554"/>
      <c r="U125" s="2244"/>
      <c r="V125" s="1332"/>
      <c r="W125" s="2244"/>
      <c r="X125" s="2244"/>
      <c r="Y125" s="2244"/>
      <c r="Z125" s="2244"/>
      <c r="AA125" s="2244"/>
      <c r="AB125" s="2244"/>
      <c r="AC125" s="2244"/>
      <c r="AD125" s="2244"/>
      <c r="AE125" s="2244"/>
      <c r="AF125" s="2244"/>
      <c r="AG125" s="2244"/>
      <c r="AH125" s="2244"/>
      <c r="AK125" s="613"/>
      <c r="AL125" s="1608"/>
      <c r="BA125" s="1479"/>
      <c r="BB125" s="1479"/>
      <c r="BC125" s="1479"/>
      <c r="BD125" s="1479"/>
      <c r="BE125" s="1479"/>
      <c r="BF125" s="1479"/>
      <c r="BG125" s="1479"/>
      <c r="BH125" s="1479"/>
      <c r="BI125" s="1479"/>
      <c r="BJ125" s="1479"/>
      <c r="BK125" s="1479"/>
      <c r="BL125" s="1479"/>
      <c r="BM125" s="1479"/>
      <c r="BN125" s="1479"/>
      <c r="BO125" s="1479"/>
      <c r="BP125" s="1479"/>
      <c r="BQ125" s="1479"/>
      <c r="BR125" s="1479"/>
      <c r="BS125" s="1479"/>
      <c r="BT125" s="1479"/>
      <c r="BU125" s="1479"/>
      <c r="BV125" s="1479"/>
      <c r="BW125" s="1479"/>
      <c r="BX125" s="1479"/>
      <c r="BY125" s="1479"/>
      <c r="BZ125" s="1479"/>
      <c r="CA125" s="1479"/>
      <c r="CB125" s="1479"/>
      <c r="CC125" s="1479"/>
      <c r="CD125" s="1479"/>
      <c r="CE125" s="1479"/>
      <c r="CF125" s="1479"/>
      <c r="CG125" s="1479"/>
      <c r="CH125" s="1479"/>
      <c r="CI125" s="31"/>
      <c r="CJ125" s="31"/>
      <c r="CK125" s="31"/>
      <c r="CL125" s="31"/>
      <c r="CM125" s="31"/>
      <c r="CN125" s="31"/>
      <c r="CO125" s="31"/>
      <c r="CP125" s="31"/>
      <c r="CQ125" s="31"/>
      <c r="CS125" s="233"/>
      <c r="CT125" s="233"/>
      <c r="CU125" s="30" t="str">
        <f>IF(Basisdaten!$B$15=Basisdaten!$D$2,CV125,CW125)</f>
        <v>Marktforschung</v>
      </c>
      <c r="CV125" s="38" t="s">
        <v>33</v>
      </c>
      <c r="CW125" s="38" t="s">
        <v>154</v>
      </c>
      <c r="DK125" s="52"/>
    </row>
    <row r="126" spans="3:115">
      <c r="C126" s="1629">
        <f t="shared" si="80"/>
        <v>0.19</v>
      </c>
      <c r="D126" s="1630"/>
      <c r="E126" s="1320">
        <f>IF('2 Umsatz|Sales'!$CT$23=0,0,C126)</f>
        <v>0.19</v>
      </c>
      <c r="F126" s="278" t="str">
        <f t="shared" si="100"/>
        <v>Briefpapier, Visitenkarte, Stempel</v>
      </c>
      <c r="G126" s="417"/>
      <c r="H126" s="417"/>
      <c r="I126" s="417"/>
      <c r="J126" s="417"/>
      <c r="K126" s="417"/>
      <c r="L126" s="417"/>
      <c r="M126" s="417"/>
      <c r="N126" s="417"/>
      <c r="O126" s="417"/>
      <c r="P126" s="417"/>
      <c r="Q126" s="417"/>
      <c r="R126" s="417"/>
      <c r="S126" s="279">
        <f t="shared" si="102"/>
        <v>0</v>
      </c>
      <c r="T126" s="554"/>
      <c r="U126" s="2244"/>
      <c r="V126" s="1332"/>
      <c r="W126" s="2244"/>
      <c r="X126" s="2244"/>
      <c r="Y126" s="2244"/>
      <c r="Z126" s="2244"/>
      <c r="AA126" s="2244"/>
      <c r="AB126" s="2244"/>
      <c r="AC126" s="2244"/>
      <c r="AD126" s="2244"/>
      <c r="AE126" s="2244"/>
      <c r="AF126" s="2244"/>
      <c r="AG126" s="2244"/>
      <c r="AH126" s="2244"/>
      <c r="AK126" s="613"/>
      <c r="AL126" s="1608"/>
      <c r="BA126" s="1479"/>
      <c r="BB126" s="1479"/>
      <c r="BC126" s="1479"/>
      <c r="BD126" s="1479"/>
      <c r="BE126" s="1479"/>
      <c r="BF126" s="1479"/>
      <c r="BG126" s="1479"/>
      <c r="BH126" s="1479"/>
      <c r="BI126" s="1479"/>
      <c r="BJ126" s="1479"/>
      <c r="BK126" s="1479"/>
      <c r="BL126" s="1479"/>
      <c r="BM126" s="1479"/>
      <c r="BN126" s="1479"/>
      <c r="BO126" s="1479"/>
      <c r="BP126" s="1479"/>
      <c r="BQ126" s="1479"/>
      <c r="BR126" s="1479"/>
      <c r="BS126" s="1479"/>
      <c r="BT126" s="1479"/>
      <c r="BU126" s="1479"/>
      <c r="BV126" s="1479"/>
      <c r="BW126" s="1479"/>
      <c r="BX126" s="1479"/>
      <c r="BY126" s="1479"/>
      <c r="BZ126" s="1479"/>
      <c r="CA126" s="1479"/>
      <c r="CB126" s="1479"/>
      <c r="CC126" s="1479"/>
      <c r="CD126" s="1479"/>
      <c r="CE126" s="1479"/>
      <c r="CF126" s="1479"/>
      <c r="CG126" s="1479"/>
      <c r="CH126" s="1479"/>
      <c r="CI126" s="31"/>
      <c r="CJ126" s="31"/>
      <c r="CK126" s="31"/>
      <c r="CL126" s="31"/>
      <c r="CM126" s="31"/>
      <c r="CN126" s="31"/>
      <c r="CO126" s="31"/>
      <c r="CP126" s="31"/>
      <c r="CQ126" s="31"/>
      <c r="CS126" s="233"/>
      <c r="CT126" s="233"/>
      <c r="CU126" s="30" t="str">
        <f>IF(Basisdaten!$B$15=Basisdaten!$D$2,CV126,CW126)</f>
        <v>Briefpapier, Visitenkarte, Stempel</v>
      </c>
      <c r="CV126" s="38" t="s">
        <v>36</v>
      </c>
      <c r="CW126" s="38" t="s">
        <v>142</v>
      </c>
      <c r="DK126" s="52"/>
    </row>
    <row r="127" spans="3:115" ht="14.25" customHeight="1">
      <c r="C127" s="1629">
        <f t="shared" si="80"/>
        <v>0.19</v>
      </c>
      <c r="D127" s="1630"/>
      <c r="E127" s="1320">
        <f>IF('2 Umsatz|Sales'!$CT$23=0,0,C127)</f>
        <v>0.19</v>
      </c>
      <c r="F127" s="278" t="str">
        <f t="shared" si="100"/>
        <v>Webseite, lfd. Webseitenpflege</v>
      </c>
      <c r="G127" s="417"/>
      <c r="H127" s="417"/>
      <c r="I127" s="417"/>
      <c r="J127" s="417"/>
      <c r="K127" s="417"/>
      <c r="L127" s="417"/>
      <c r="M127" s="417"/>
      <c r="N127" s="417"/>
      <c r="O127" s="417"/>
      <c r="P127" s="417"/>
      <c r="Q127" s="417"/>
      <c r="R127" s="417"/>
      <c r="S127" s="279">
        <f t="shared" si="102"/>
        <v>0</v>
      </c>
      <c r="T127" s="554"/>
      <c r="U127" s="2244"/>
      <c r="V127" s="1332"/>
      <c r="W127" s="2244"/>
      <c r="X127" s="2244"/>
      <c r="Y127" s="2244"/>
      <c r="Z127" s="2244"/>
      <c r="AA127" s="2244"/>
      <c r="AB127" s="2244"/>
      <c r="AC127" s="2244"/>
      <c r="AD127" s="2244"/>
      <c r="AE127" s="2244"/>
      <c r="AF127" s="2244"/>
      <c r="AG127" s="2244"/>
      <c r="AH127" s="2244"/>
      <c r="AK127" s="613"/>
      <c r="AL127" s="1609"/>
      <c r="BA127" s="1479"/>
      <c r="BB127" s="1479"/>
      <c r="BC127" s="1479"/>
      <c r="BD127" s="1479"/>
      <c r="BE127" s="1479"/>
      <c r="BF127" s="1479"/>
      <c r="BG127" s="1479"/>
      <c r="BH127" s="1479"/>
      <c r="BI127" s="1479"/>
      <c r="BJ127" s="1479"/>
      <c r="BK127" s="1479"/>
      <c r="BL127" s="1479"/>
      <c r="BM127" s="1479"/>
      <c r="BN127" s="1479"/>
      <c r="BO127" s="1479"/>
      <c r="BP127" s="1479"/>
      <c r="BQ127" s="1479"/>
      <c r="BR127" s="1479"/>
      <c r="BS127" s="1479"/>
      <c r="BT127" s="1479"/>
      <c r="BU127" s="1479"/>
      <c r="BV127" s="1479"/>
      <c r="BW127" s="1479"/>
      <c r="BX127" s="1479"/>
      <c r="BY127" s="1479"/>
      <c r="BZ127" s="1479"/>
      <c r="CA127" s="1479"/>
      <c r="CB127" s="1479"/>
      <c r="CC127" s="1479"/>
      <c r="CD127" s="1479"/>
      <c r="CE127" s="1479"/>
      <c r="CF127" s="1479"/>
      <c r="CG127" s="1479"/>
      <c r="CH127" s="1479"/>
      <c r="CI127" s="31"/>
      <c r="CJ127" s="31"/>
      <c r="CK127" s="31"/>
      <c r="CL127" s="31"/>
      <c r="CM127" s="31"/>
      <c r="CN127" s="31"/>
      <c r="CO127" s="31"/>
      <c r="CP127" s="31"/>
      <c r="CQ127" s="31"/>
      <c r="CS127" s="233"/>
      <c r="CT127" s="233"/>
      <c r="CU127" s="30" t="str">
        <f>IF(Basisdaten!$B$15=Basisdaten!$D$2,CV127,CW127)</f>
        <v>Webseite, lfd. Webseitenpflege</v>
      </c>
      <c r="CV127" s="38" t="s">
        <v>132</v>
      </c>
      <c r="CW127" s="38" t="s">
        <v>175</v>
      </c>
      <c r="DK127" s="52"/>
    </row>
    <row r="128" spans="3:115" ht="14.25" customHeight="1">
      <c r="C128" s="1629">
        <f t="shared" si="80"/>
        <v>0.19</v>
      </c>
      <c r="D128" s="1630"/>
      <c r="E128" s="1320">
        <f>IF('2 Umsatz|Sales'!$CT$23=0,0,C128)</f>
        <v>0.19</v>
      </c>
      <c r="F128" s="278" t="str">
        <f t="shared" si="100"/>
        <v>Flyer, Prospekte, Broschüren, Anzeigen</v>
      </c>
      <c r="G128" s="417"/>
      <c r="H128" s="417"/>
      <c r="I128" s="417"/>
      <c r="J128" s="417"/>
      <c r="K128" s="417"/>
      <c r="L128" s="417"/>
      <c r="M128" s="417"/>
      <c r="N128" s="417"/>
      <c r="O128" s="417"/>
      <c r="P128" s="417"/>
      <c r="Q128" s="417"/>
      <c r="R128" s="417"/>
      <c r="S128" s="279">
        <f t="shared" si="102"/>
        <v>0</v>
      </c>
      <c r="T128" s="554"/>
      <c r="U128" s="2244"/>
      <c r="V128" s="1332"/>
      <c r="W128" s="2244"/>
      <c r="X128" s="2244"/>
      <c r="Y128" s="2244"/>
      <c r="Z128" s="2244"/>
      <c r="AA128" s="2244"/>
      <c r="AB128" s="2244"/>
      <c r="AC128" s="2244"/>
      <c r="AD128" s="2244"/>
      <c r="AE128" s="2244"/>
      <c r="AF128" s="2244"/>
      <c r="AG128" s="2244"/>
      <c r="AH128" s="2244"/>
      <c r="AK128" s="613"/>
      <c r="AL128" s="1609"/>
      <c r="BA128" s="1479"/>
      <c r="BB128" s="1479"/>
      <c r="BC128" s="1479"/>
      <c r="BD128" s="1479"/>
      <c r="BE128" s="1479"/>
      <c r="BF128" s="1479"/>
      <c r="BG128" s="1479"/>
      <c r="BH128" s="1479"/>
      <c r="BI128" s="1479"/>
      <c r="BJ128" s="1479"/>
      <c r="BK128" s="1479"/>
      <c r="BL128" s="1479"/>
      <c r="BM128" s="1479"/>
      <c r="BN128" s="1479"/>
      <c r="BO128" s="1479"/>
      <c r="BP128" s="1479"/>
      <c r="BQ128" s="1479"/>
      <c r="BR128" s="1479"/>
      <c r="BS128" s="1479"/>
      <c r="BT128" s="1479"/>
      <c r="BU128" s="1479"/>
      <c r="BV128" s="1479"/>
      <c r="BW128" s="1479"/>
      <c r="BX128" s="1479"/>
      <c r="BY128" s="1479"/>
      <c r="BZ128" s="1479"/>
      <c r="CA128" s="1479"/>
      <c r="CB128" s="1479"/>
      <c r="CC128" s="1479"/>
      <c r="CD128" s="1479"/>
      <c r="CE128" s="1479"/>
      <c r="CF128" s="1479"/>
      <c r="CG128" s="1479"/>
      <c r="CH128" s="1479"/>
      <c r="CI128" s="31"/>
      <c r="CJ128" s="31"/>
      <c r="CK128" s="31"/>
      <c r="CL128" s="31"/>
      <c r="CM128" s="31"/>
      <c r="CN128" s="31"/>
      <c r="CO128" s="31"/>
      <c r="CP128" s="31"/>
      <c r="CQ128" s="31"/>
      <c r="CS128" s="233"/>
      <c r="CT128" s="233"/>
      <c r="CU128" s="30" t="str">
        <f>IF(Basisdaten!$B$15=Basisdaten!$D$2,CV128,CW128)</f>
        <v>Flyer, Prospekte, Broschüren, Anzeigen</v>
      </c>
      <c r="CV128" s="38" t="s">
        <v>99</v>
      </c>
      <c r="CW128" s="38" t="s">
        <v>180</v>
      </c>
      <c r="DK128" s="52"/>
    </row>
    <row r="129" spans="3:115" ht="14.25" customHeight="1">
      <c r="C129" s="1629">
        <f t="shared" si="80"/>
        <v>0.19</v>
      </c>
      <c r="D129" s="1630"/>
      <c r="E129" s="1320">
        <f>IF('2 Umsatz|Sales'!$CT$23=0,0,C129)</f>
        <v>0.19</v>
      </c>
      <c r="F129" s="278" t="str">
        <f t="shared" si="100"/>
        <v>Bewirtungskosten</v>
      </c>
      <c r="G129" s="417"/>
      <c r="H129" s="417"/>
      <c r="I129" s="417"/>
      <c r="J129" s="417"/>
      <c r="K129" s="417"/>
      <c r="L129" s="417"/>
      <c r="M129" s="417"/>
      <c r="N129" s="417"/>
      <c r="O129" s="417"/>
      <c r="P129" s="417"/>
      <c r="Q129" s="417"/>
      <c r="R129" s="417"/>
      <c r="S129" s="279">
        <f t="shared" si="102"/>
        <v>0</v>
      </c>
      <c r="T129" s="554"/>
      <c r="U129" s="2244"/>
      <c r="V129" s="1332"/>
      <c r="W129" s="2244"/>
      <c r="X129" s="2244"/>
      <c r="Y129" s="2244"/>
      <c r="Z129" s="2244"/>
      <c r="AA129" s="2244"/>
      <c r="AB129" s="2244"/>
      <c r="AC129" s="2244"/>
      <c r="AD129" s="2244"/>
      <c r="AE129" s="2244"/>
      <c r="AF129" s="2244"/>
      <c r="AG129" s="2244"/>
      <c r="AH129" s="2244"/>
      <c r="AK129" s="613"/>
      <c r="AL129" s="1609"/>
      <c r="BA129" s="1479"/>
      <c r="BB129" s="1479"/>
      <c r="BC129" s="1479"/>
      <c r="BD129" s="1479"/>
      <c r="BE129" s="1479"/>
      <c r="BF129" s="1479"/>
      <c r="BG129" s="1479"/>
      <c r="BH129" s="1479"/>
      <c r="BI129" s="1479"/>
      <c r="BJ129" s="1479"/>
      <c r="BK129" s="1479"/>
      <c r="BL129" s="1479"/>
      <c r="BM129" s="1479"/>
      <c r="BN129" s="1479"/>
      <c r="BO129" s="1479"/>
      <c r="BP129" s="1479"/>
      <c r="BQ129" s="1479"/>
      <c r="BR129" s="1479"/>
      <c r="BS129" s="1479"/>
      <c r="BT129" s="1479"/>
      <c r="BU129" s="1479"/>
      <c r="BV129" s="1479"/>
      <c r="BW129" s="1479"/>
      <c r="BX129" s="1479"/>
      <c r="BY129" s="1479"/>
      <c r="BZ129" s="1479"/>
      <c r="CA129" s="1479"/>
      <c r="CB129" s="1479"/>
      <c r="CC129" s="1479"/>
      <c r="CD129" s="1479"/>
      <c r="CE129" s="1479"/>
      <c r="CF129" s="1479"/>
      <c r="CG129" s="1479"/>
      <c r="CH129" s="1479"/>
      <c r="CI129" s="31"/>
      <c r="CJ129" s="31"/>
      <c r="CK129" s="31"/>
      <c r="CL129" s="31"/>
      <c r="CM129" s="31"/>
      <c r="CN129" s="31"/>
      <c r="CO129" s="31"/>
      <c r="CP129" s="31"/>
      <c r="CQ129" s="31"/>
      <c r="CS129" s="233"/>
      <c r="CT129" s="233"/>
      <c r="CU129" s="30" t="str">
        <f>IF(Basisdaten!$B$15=Basisdaten!$D$2,CV129,CW129)</f>
        <v>Bewirtungskosten</v>
      </c>
      <c r="CV129" s="38" t="s">
        <v>289</v>
      </c>
      <c r="CW129" s="38" t="s">
        <v>290</v>
      </c>
      <c r="DK129" s="52"/>
    </row>
    <row r="130" spans="3:115" ht="14.25" customHeight="1" thickBot="1">
      <c r="C130" s="1629">
        <f t="shared" si="80"/>
        <v>0.19</v>
      </c>
      <c r="D130" s="1630"/>
      <c r="E130" s="1320">
        <f>IF('2 Umsatz|Sales'!$CT$23=0,0,C130)</f>
        <v>0.19</v>
      </c>
      <c r="F130" s="539" t="str">
        <f>CU130</f>
        <v>Sonstiges, Messen, ...</v>
      </c>
      <c r="G130" s="521"/>
      <c r="H130" s="521"/>
      <c r="I130" s="521"/>
      <c r="J130" s="521"/>
      <c r="K130" s="521"/>
      <c r="L130" s="521"/>
      <c r="M130" s="521"/>
      <c r="N130" s="521"/>
      <c r="O130" s="521"/>
      <c r="P130" s="521"/>
      <c r="Q130" s="521"/>
      <c r="R130" s="521"/>
      <c r="S130" s="530">
        <f t="shared" si="102"/>
        <v>0</v>
      </c>
      <c r="T130" s="554"/>
      <c r="U130" s="2244"/>
      <c r="V130" s="1332"/>
      <c r="W130" s="2244"/>
      <c r="X130" s="2244"/>
      <c r="Y130" s="2244"/>
      <c r="Z130" s="2244"/>
      <c r="AA130" s="2244"/>
      <c r="AB130" s="2244"/>
      <c r="AC130" s="2244"/>
      <c r="AD130" s="2244"/>
      <c r="AE130" s="2244"/>
      <c r="AF130" s="2244"/>
      <c r="AG130" s="2244"/>
      <c r="AH130" s="2244"/>
      <c r="AK130" s="613"/>
      <c r="AL130" s="1609"/>
      <c r="BA130" s="1479"/>
      <c r="BB130" s="1479"/>
      <c r="BC130" s="1479"/>
      <c r="BD130" s="1479"/>
      <c r="BE130" s="1479"/>
      <c r="BF130" s="1479"/>
      <c r="BG130" s="1479"/>
      <c r="BH130" s="1479"/>
      <c r="BI130" s="1479"/>
      <c r="BJ130" s="1479"/>
      <c r="BK130" s="1479"/>
      <c r="BL130" s="1479"/>
      <c r="BM130" s="1479"/>
      <c r="BN130" s="1479"/>
      <c r="BO130" s="1479"/>
      <c r="BP130" s="1479"/>
      <c r="BQ130" s="1479"/>
      <c r="BR130" s="1479"/>
      <c r="BS130" s="1479"/>
      <c r="BT130" s="1479"/>
      <c r="BU130" s="1479"/>
      <c r="BV130" s="1479"/>
      <c r="BW130" s="1479"/>
      <c r="BX130" s="1479"/>
      <c r="BY130" s="1479"/>
      <c r="BZ130" s="1479"/>
      <c r="CA130" s="1479"/>
      <c r="CB130" s="1479"/>
      <c r="CC130" s="1479"/>
      <c r="CD130" s="1479"/>
      <c r="CE130" s="1479"/>
      <c r="CF130" s="1479"/>
      <c r="CG130" s="1479"/>
      <c r="CH130" s="1479"/>
      <c r="CI130" s="31"/>
      <c r="CJ130" s="31"/>
      <c r="CK130" s="31"/>
      <c r="CL130" s="31"/>
      <c r="CM130" s="31"/>
      <c r="CN130" s="31"/>
      <c r="CO130" s="31"/>
      <c r="CP130" s="31"/>
      <c r="CQ130" s="31"/>
      <c r="CS130" s="233"/>
      <c r="CT130" s="233"/>
      <c r="CU130" s="30" t="str">
        <f>IF(Basisdaten!$B$15=Basisdaten!$D$2,CV130,CW130)</f>
        <v>Sonstiges, Messen, ...</v>
      </c>
      <c r="CV130" s="523" t="s">
        <v>100</v>
      </c>
      <c r="CW130" s="523" t="s">
        <v>182</v>
      </c>
      <c r="DK130" s="52"/>
    </row>
    <row r="131" spans="3:115" ht="14.25" customHeight="1" thickTop="1">
      <c r="C131" s="1636"/>
      <c r="D131" s="1630"/>
      <c r="E131" s="531"/>
      <c r="F131" s="46" t="str">
        <f>F53</f>
        <v>Summe Marketing  u. Werbung</v>
      </c>
      <c r="G131" s="534">
        <f>SUM(G125:G130)</f>
        <v>0</v>
      </c>
      <c r="H131" s="534">
        <f t="shared" ref="H131:R131" si="103">SUM(H125:H130)</f>
        <v>0</v>
      </c>
      <c r="I131" s="534">
        <f t="shared" si="103"/>
        <v>0</v>
      </c>
      <c r="J131" s="534">
        <f>SUM(J125:J130)</f>
        <v>0</v>
      </c>
      <c r="K131" s="534">
        <f t="shared" si="103"/>
        <v>0</v>
      </c>
      <c r="L131" s="534">
        <f t="shared" si="103"/>
        <v>0</v>
      </c>
      <c r="M131" s="534">
        <f t="shared" si="103"/>
        <v>0</v>
      </c>
      <c r="N131" s="534">
        <f t="shared" si="103"/>
        <v>0</v>
      </c>
      <c r="O131" s="534">
        <f t="shared" si="103"/>
        <v>0</v>
      </c>
      <c r="P131" s="534">
        <f t="shared" si="103"/>
        <v>0</v>
      </c>
      <c r="Q131" s="534">
        <f t="shared" si="103"/>
        <v>0</v>
      </c>
      <c r="R131" s="534">
        <f t="shared" si="103"/>
        <v>0</v>
      </c>
      <c r="S131" s="528">
        <f>SUM(G131:R131)</f>
        <v>0</v>
      </c>
      <c r="T131" s="552"/>
      <c r="U131" s="51"/>
      <c r="V131" s="51"/>
      <c r="W131" s="51"/>
      <c r="X131" s="51"/>
      <c r="Y131" s="51"/>
      <c r="Z131" s="51"/>
      <c r="AA131" s="51"/>
      <c r="AB131" s="51"/>
      <c r="AC131" s="51"/>
      <c r="AD131" s="51"/>
      <c r="AE131" s="51"/>
      <c r="AF131" s="51"/>
      <c r="AG131" s="51"/>
      <c r="AH131" s="51"/>
      <c r="AK131" s="613"/>
      <c r="AL131" s="1609"/>
      <c r="BA131" s="1479"/>
      <c r="BB131" s="1479"/>
      <c r="BC131" s="1479"/>
      <c r="BD131" s="1479"/>
      <c r="BE131" s="1479"/>
      <c r="BF131" s="1479"/>
      <c r="BG131" s="1479"/>
      <c r="BH131" s="1479"/>
      <c r="BI131" s="1479"/>
      <c r="BJ131" s="1479"/>
      <c r="BK131" s="1479"/>
      <c r="BL131" s="1479"/>
      <c r="BM131" s="1479"/>
      <c r="BN131" s="1479"/>
      <c r="BO131" s="1479"/>
      <c r="BP131" s="1479"/>
      <c r="BQ131" s="1479"/>
      <c r="BR131" s="1479"/>
      <c r="BS131" s="1479"/>
      <c r="BT131" s="1479"/>
      <c r="BU131" s="1479"/>
      <c r="BV131" s="1479"/>
      <c r="BW131" s="1479"/>
      <c r="BX131" s="1479"/>
      <c r="BY131" s="1479"/>
      <c r="BZ131" s="1479"/>
      <c r="CA131" s="1479"/>
      <c r="CB131" s="1479"/>
      <c r="CC131" s="1479"/>
      <c r="CD131" s="1479"/>
      <c r="CE131" s="1479"/>
      <c r="CF131" s="1479"/>
      <c r="CG131" s="1479"/>
      <c r="CH131" s="1479"/>
      <c r="CI131" s="31"/>
      <c r="CJ131" s="31"/>
      <c r="CK131" s="31"/>
      <c r="CL131" s="31"/>
      <c r="CM131" s="31"/>
      <c r="CN131" s="31"/>
      <c r="CO131" s="31"/>
      <c r="CP131" s="31"/>
      <c r="CQ131" s="31"/>
      <c r="CS131" s="233"/>
      <c r="CT131" s="233"/>
      <c r="CU131" s="30" t="str">
        <f>IF(Basisdaten!$B$15=Basisdaten!$D$2,CV131,CW131)</f>
        <v>Summe Marketing  u. Werbung</v>
      </c>
      <c r="CV131" s="38" t="str">
        <f>"Summe "&amp;CV124</f>
        <v>Summe Marketing  u. Werbung</v>
      </c>
      <c r="CW131" s="38" t="s">
        <v>179</v>
      </c>
      <c r="DK131" s="52"/>
    </row>
    <row r="132" spans="3:115" ht="14.25" customHeight="1">
      <c r="C132" s="1633" t="str">
        <f>C54</f>
        <v>MwSt</v>
      </c>
      <c r="D132" s="1630"/>
      <c r="E132" s="597">
        <v>8</v>
      </c>
      <c r="F132" s="598" t="str">
        <f>CU132</f>
        <v>Rechts- und Beratungskosten</v>
      </c>
      <c r="G132" s="599">
        <f>IFERROR(S153,"undo")</f>
        <v>0</v>
      </c>
      <c r="H132" s="2270" t="str">
        <f>IF(G132="undo",$CU$164,"")</f>
        <v/>
      </c>
      <c r="I132" s="2270"/>
      <c r="J132" s="2270"/>
      <c r="K132" s="2270"/>
      <c r="L132" s="2270"/>
      <c r="M132" s="2270"/>
      <c r="N132" s="2270"/>
      <c r="O132" s="2270"/>
      <c r="P132" s="2270"/>
      <c r="Q132" s="601" t="s">
        <v>608</v>
      </c>
      <c r="R132" s="600"/>
      <c r="S132" s="602"/>
      <c r="T132" s="554"/>
      <c r="U132" s="51"/>
      <c r="V132" s="51"/>
      <c r="W132" s="51"/>
      <c r="X132" s="51"/>
      <c r="Y132" s="51"/>
      <c r="Z132" s="51"/>
      <c r="AA132" s="51"/>
      <c r="AB132" s="51"/>
      <c r="AC132" s="51"/>
      <c r="AD132" s="51"/>
      <c r="AE132" s="51"/>
      <c r="AF132" s="51"/>
      <c r="AG132" s="51"/>
      <c r="AH132" s="51"/>
      <c r="AK132" s="613"/>
      <c r="AL132" s="1609"/>
      <c r="BA132" s="1479"/>
      <c r="BB132" s="1479"/>
      <c r="BC132" s="1479"/>
      <c r="BD132" s="1479"/>
      <c r="BE132" s="1479"/>
      <c r="BF132" s="1479"/>
      <c r="BG132" s="1479"/>
      <c r="BH132" s="1479"/>
      <c r="BI132" s="1479"/>
      <c r="BJ132" s="1479"/>
      <c r="BK132" s="1479"/>
      <c r="BL132" s="1479"/>
      <c r="BM132" s="1479"/>
      <c r="BN132" s="1479"/>
      <c r="BO132" s="1479"/>
      <c r="BP132" s="1479"/>
      <c r="BQ132" s="1479"/>
      <c r="BR132" s="1479"/>
      <c r="BS132" s="1479"/>
      <c r="BT132" s="1479"/>
      <c r="BU132" s="1479"/>
      <c r="BV132" s="1479"/>
      <c r="BW132" s="1479"/>
      <c r="BX132" s="1479"/>
      <c r="BY132" s="1479"/>
      <c r="BZ132" s="1479"/>
      <c r="CA132" s="1479"/>
      <c r="CB132" s="1479"/>
      <c r="CC132" s="1479"/>
      <c r="CD132" s="1479"/>
      <c r="CE132" s="1479"/>
      <c r="CF132" s="1479"/>
      <c r="CG132" s="1479"/>
      <c r="CH132" s="1479"/>
      <c r="CI132" s="31"/>
      <c r="CJ132" s="31"/>
      <c r="CK132" s="31"/>
      <c r="CL132" s="31"/>
      <c r="CM132" s="31"/>
      <c r="CN132" s="31"/>
      <c r="CO132" s="31"/>
      <c r="CP132" s="31"/>
      <c r="CQ132" s="31"/>
      <c r="CS132" s="233"/>
      <c r="CT132" s="233"/>
      <c r="CU132" s="30" t="str">
        <f>IF(Basisdaten!$B$15=Basisdaten!$D$2,CV132,CW132)</f>
        <v>Rechts- und Beratungskosten</v>
      </c>
      <c r="CV132" s="38" t="s">
        <v>291</v>
      </c>
      <c r="CW132" s="38" t="s">
        <v>297</v>
      </c>
      <c r="DK132" s="52"/>
    </row>
    <row r="133" spans="3:115" ht="14.25" customHeight="1">
      <c r="C133" s="1629">
        <f>C55</f>
        <v>0.19</v>
      </c>
      <c r="D133" s="1630"/>
      <c r="E133" s="1319">
        <f>IF('2 Umsatz|Sales'!$CT$23=0,0,C133)</f>
        <v>0.19</v>
      </c>
      <c r="F133" s="538" t="str">
        <f>F55</f>
        <v>Buchhaltung</v>
      </c>
      <c r="G133" s="417"/>
      <c r="H133" s="420"/>
      <c r="I133" s="420"/>
      <c r="J133" s="420"/>
      <c r="K133" s="420"/>
      <c r="L133" s="420"/>
      <c r="M133" s="420"/>
      <c r="N133" s="420"/>
      <c r="O133" s="420"/>
      <c r="P133" s="420"/>
      <c r="Q133" s="420"/>
      <c r="R133" s="420"/>
      <c r="S133" s="594">
        <f>SUM(G133:R133)</f>
        <v>0</v>
      </c>
      <c r="T133" s="554"/>
      <c r="U133" s="51"/>
      <c r="V133" s="51"/>
      <c r="W133" s="51"/>
      <c r="X133" s="51"/>
      <c r="Y133" s="51"/>
      <c r="Z133" s="51"/>
      <c r="AA133" s="51"/>
      <c r="AB133" s="51"/>
      <c r="AC133" s="51"/>
      <c r="AD133" s="51"/>
      <c r="AE133" s="51"/>
      <c r="AF133" s="51"/>
      <c r="AG133" s="51"/>
      <c r="AH133" s="51"/>
      <c r="AK133" s="613"/>
      <c r="AL133" s="1609"/>
      <c r="BA133" s="1479"/>
      <c r="BB133" s="1479"/>
      <c r="BC133" s="1479"/>
      <c r="BD133" s="1479"/>
      <c r="BE133" s="1479"/>
      <c r="BF133" s="1479"/>
      <c r="BG133" s="1479"/>
      <c r="BH133" s="1479"/>
      <c r="BI133" s="1479"/>
      <c r="BJ133" s="1479"/>
      <c r="BK133" s="1479"/>
      <c r="BL133" s="1479"/>
      <c r="BM133" s="1479"/>
      <c r="BN133" s="1479"/>
      <c r="BO133" s="1479"/>
      <c r="BP133" s="1479"/>
      <c r="BQ133" s="1479"/>
      <c r="BR133" s="1479"/>
      <c r="BS133" s="1479"/>
      <c r="BT133" s="1479"/>
      <c r="BU133" s="1479"/>
      <c r="BV133" s="1479"/>
      <c r="BW133" s="1479"/>
      <c r="BX133" s="1479"/>
      <c r="BY133" s="1479"/>
      <c r="BZ133" s="1479"/>
      <c r="CA133" s="1479"/>
      <c r="CB133" s="1479"/>
      <c r="CC133" s="1479"/>
      <c r="CD133" s="1479"/>
      <c r="CE133" s="1479"/>
      <c r="CF133" s="1479"/>
      <c r="CG133" s="1479"/>
      <c r="CH133" s="1479"/>
      <c r="CI133" s="31"/>
      <c r="CJ133" s="31"/>
      <c r="CK133" s="31"/>
      <c r="CL133" s="31"/>
      <c r="CM133" s="31"/>
      <c r="CN133" s="31"/>
      <c r="CO133" s="31"/>
      <c r="CP133" s="31"/>
      <c r="CQ133" s="31"/>
      <c r="CS133" s="233"/>
      <c r="CT133" s="233"/>
      <c r="CU133" s="30" t="str">
        <f>IF(Basisdaten!$B$15=Basisdaten!$D$2,CV133,CW133)</f>
        <v>Buchhaltung</v>
      </c>
      <c r="CV133" s="38" t="s">
        <v>292</v>
      </c>
      <c r="CW133" s="38" t="s">
        <v>295</v>
      </c>
      <c r="DK133" s="52"/>
    </row>
    <row r="134" spans="3:115" ht="14.25" customHeight="1">
      <c r="C134" s="1629">
        <f>C56</f>
        <v>0.19</v>
      </c>
      <c r="D134" s="1630"/>
      <c r="E134" s="1320">
        <f>IF('2 Umsatz|Sales'!$CT$23=0,0,C134)</f>
        <v>0.19</v>
      </c>
      <c r="F134" s="278" t="str">
        <f>F56</f>
        <v>Steuerberatung, Abschluss, Prüfung</v>
      </c>
      <c r="G134" s="417"/>
      <c r="H134" s="417"/>
      <c r="I134" s="417"/>
      <c r="J134" s="417"/>
      <c r="K134" s="417"/>
      <c r="L134" s="417"/>
      <c r="M134" s="417"/>
      <c r="N134" s="417"/>
      <c r="O134" s="417"/>
      <c r="P134" s="417"/>
      <c r="Q134" s="417"/>
      <c r="R134" s="417"/>
      <c r="S134" s="279">
        <f>SUM(G134:R134)</f>
        <v>0</v>
      </c>
      <c r="T134" s="554"/>
      <c r="U134" s="51"/>
      <c r="V134" s="51"/>
      <c r="W134" s="51"/>
      <c r="X134" s="51"/>
      <c r="Y134" s="51"/>
      <c r="Z134" s="51"/>
      <c r="AA134" s="51"/>
      <c r="AB134" s="51"/>
      <c r="AC134" s="51"/>
      <c r="AD134" s="51"/>
      <c r="AE134" s="51"/>
      <c r="AF134" s="51"/>
      <c r="AG134" s="51"/>
      <c r="AH134" s="51"/>
      <c r="AK134" s="613"/>
      <c r="AL134" s="1609"/>
      <c r="BA134" s="1479"/>
      <c r="BB134" s="1479"/>
      <c r="BC134" s="1479"/>
      <c r="BD134" s="1479"/>
      <c r="BE134" s="1479"/>
      <c r="BF134" s="1479"/>
      <c r="BG134" s="1479"/>
      <c r="BH134" s="1479"/>
      <c r="BI134" s="1479"/>
      <c r="BJ134" s="1479"/>
      <c r="BK134" s="1479"/>
      <c r="BL134" s="1479"/>
      <c r="BM134" s="1479"/>
      <c r="BN134" s="1479"/>
      <c r="BO134" s="1479"/>
      <c r="BP134" s="1479"/>
      <c r="BQ134" s="1479"/>
      <c r="BR134" s="1479"/>
      <c r="BS134" s="1479"/>
      <c r="BT134" s="1479"/>
      <c r="BU134" s="1479"/>
      <c r="BV134" s="1479"/>
      <c r="BW134" s="1479"/>
      <c r="BX134" s="1479"/>
      <c r="BY134" s="1479"/>
      <c r="BZ134" s="1479"/>
      <c r="CA134" s="1479"/>
      <c r="CB134" s="1479"/>
      <c r="CC134" s="1479"/>
      <c r="CD134" s="1479"/>
      <c r="CE134" s="1479"/>
      <c r="CF134" s="1479"/>
      <c r="CG134" s="1479"/>
      <c r="CH134" s="1479"/>
      <c r="CI134" s="31"/>
      <c r="CJ134" s="31"/>
      <c r="CK134" s="31"/>
      <c r="CL134" s="31"/>
      <c r="CM134" s="31"/>
      <c r="CN134" s="31"/>
      <c r="CO134" s="31"/>
      <c r="CP134" s="31"/>
      <c r="CQ134" s="31"/>
      <c r="CS134" s="233"/>
      <c r="CT134" s="233"/>
      <c r="CU134" s="30" t="str">
        <f>IF(Basisdaten!$B$15=Basisdaten!$D$2,CV134,CW134)</f>
        <v>Steuerberatung, Abschluss, Prüfung</v>
      </c>
      <c r="CV134" s="38" t="s">
        <v>293</v>
      </c>
      <c r="CW134" s="38" t="s">
        <v>296</v>
      </c>
      <c r="DK134" s="52"/>
    </row>
    <row r="135" spans="3:115" ht="14.25" customHeight="1" thickBot="1">
      <c r="C135" s="1629">
        <f>C57</f>
        <v>0.19</v>
      </c>
      <c r="D135" s="1630"/>
      <c r="E135" s="1320">
        <f>IF('2 Umsatz|Sales'!$CT$23=0,0,C135)</f>
        <v>0.19</v>
      </c>
      <c r="F135" s="539" t="str">
        <f>CU135</f>
        <v>Sonstiges</v>
      </c>
      <c r="G135" s="521"/>
      <c r="H135" s="521"/>
      <c r="I135" s="521"/>
      <c r="J135" s="521"/>
      <c r="K135" s="521"/>
      <c r="L135" s="521"/>
      <c r="M135" s="521"/>
      <c r="N135" s="521"/>
      <c r="O135" s="521"/>
      <c r="P135" s="521"/>
      <c r="Q135" s="521"/>
      <c r="R135" s="521"/>
      <c r="S135" s="530">
        <f>SUM(G135:R135)</f>
        <v>0</v>
      </c>
      <c r="T135" s="554"/>
      <c r="U135" s="51"/>
      <c r="V135" s="51"/>
      <c r="W135" s="51"/>
      <c r="X135" s="51"/>
      <c r="Y135" s="51"/>
      <c r="Z135" s="51"/>
      <c r="AA135" s="51"/>
      <c r="AB135" s="51"/>
      <c r="AC135" s="51"/>
      <c r="AD135" s="51"/>
      <c r="AE135" s="51"/>
      <c r="AF135" s="51"/>
      <c r="AG135" s="51"/>
      <c r="AH135" s="51"/>
      <c r="AK135" s="613"/>
      <c r="AL135" s="1609"/>
      <c r="BA135" s="1479"/>
      <c r="BB135" s="1479"/>
      <c r="BC135" s="1479"/>
      <c r="BD135" s="1479"/>
      <c r="BE135" s="1479"/>
      <c r="BF135" s="1479"/>
      <c r="BG135" s="1479"/>
      <c r="BH135" s="1479"/>
      <c r="BI135" s="1479"/>
      <c r="BJ135" s="1479"/>
      <c r="BK135" s="1479"/>
      <c r="BL135" s="1479"/>
      <c r="BM135" s="1479"/>
      <c r="BN135" s="1479"/>
      <c r="BO135" s="1479"/>
      <c r="BP135" s="1479"/>
      <c r="BQ135" s="1479"/>
      <c r="BR135" s="1479"/>
      <c r="BS135" s="1479"/>
      <c r="BT135" s="1479"/>
      <c r="BU135" s="1479"/>
      <c r="BV135" s="1479"/>
      <c r="BW135" s="1479"/>
      <c r="BX135" s="1479"/>
      <c r="BY135" s="1479"/>
      <c r="BZ135" s="1479"/>
      <c r="CA135" s="1479"/>
      <c r="CB135" s="1479"/>
      <c r="CC135" s="1479"/>
      <c r="CD135" s="1479"/>
      <c r="CE135" s="1479"/>
      <c r="CF135" s="1479"/>
      <c r="CG135" s="1479"/>
      <c r="CH135" s="1479"/>
      <c r="CI135" s="31"/>
      <c r="CJ135" s="31"/>
      <c r="CK135" s="31"/>
      <c r="CL135" s="31"/>
      <c r="CM135" s="31"/>
      <c r="CN135" s="31"/>
      <c r="CO135" s="31"/>
      <c r="CP135" s="31"/>
      <c r="CQ135" s="31"/>
      <c r="CS135" s="233"/>
      <c r="CT135" s="233"/>
      <c r="CU135" s="30" t="str">
        <f>IF(Basisdaten!$B$15=Basisdaten!$D$2,CV135,CW135)</f>
        <v>Sonstiges</v>
      </c>
      <c r="CV135" s="523" t="s">
        <v>275</v>
      </c>
      <c r="CW135" s="523" t="s">
        <v>277</v>
      </c>
      <c r="DK135" s="52"/>
    </row>
    <row r="136" spans="3:115" ht="14.25" customHeight="1" thickTop="1">
      <c r="C136" s="1636"/>
      <c r="D136" s="1630"/>
      <c r="E136" s="531"/>
      <c r="F136" s="46" t="str">
        <f>F58</f>
        <v>Summe Rechts- und Beratungskosten</v>
      </c>
      <c r="G136" s="534">
        <f>SUM(G133:G135)</f>
        <v>0</v>
      </c>
      <c r="H136" s="534">
        <f t="shared" ref="H136:R136" si="104">SUM(H133:H135)</f>
        <v>0</v>
      </c>
      <c r="I136" s="534">
        <f>SUM(I133:I135)</f>
        <v>0</v>
      </c>
      <c r="J136" s="534">
        <f>SUM(J133:J135)</f>
        <v>0</v>
      </c>
      <c r="K136" s="534">
        <f t="shared" si="104"/>
        <v>0</v>
      </c>
      <c r="L136" s="534">
        <f t="shared" si="104"/>
        <v>0</v>
      </c>
      <c r="M136" s="534">
        <f t="shared" si="104"/>
        <v>0</v>
      </c>
      <c r="N136" s="534">
        <f t="shared" si="104"/>
        <v>0</v>
      </c>
      <c r="O136" s="534">
        <f t="shared" si="104"/>
        <v>0</v>
      </c>
      <c r="P136" s="534">
        <f>SUM(P133:P135)</f>
        <v>0</v>
      </c>
      <c r="Q136" s="534">
        <f t="shared" si="104"/>
        <v>0</v>
      </c>
      <c r="R136" s="534">
        <f t="shared" si="104"/>
        <v>0</v>
      </c>
      <c r="S136" s="528">
        <f>SUM(G136:R136)</f>
        <v>0</v>
      </c>
      <c r="T136" s="554"/>
      <c r="U136" s="51"/>
      <c r="V136" s="51"/>
      <c r="W136" s="51"/>
      <c r="X136" s="51"/>
      <c r="Y136" s="51"/>
      <c r="Z136" s="51"/>
      <c r="AA136" s="51"/>
      <c r="AB136" s="51"/>
      <c r="AC136" s="51"/>
      <c r="AD136" s="51"/>
      <c r="AE136" s="51"/>
      <c r="AF136" s="51"/>
      <c r="AG136" s="51"/>
      <c r="AH136" s="51"/>
      <c r="AK136" s="613"/>
      <c r="AL136" s="1609"/>
      <c r="BA136" s="1479"/>
      <c r="BB136" s="1479"/>
      <c r="BC136" s="1479"/>
      <c r="BD136" s="1479"/>
      <c r="BE136" s="1479"/>
      <c r="BF136" s="1479"/>
      <c r="BG136" s="1479"/>
      <c r="BH136" s="1479"/>
      <c r="BI136" s="1479"/>
      <c r="BJ136" s="1479"/>
      <c r="BK136" s="1479"/>
      <c r="BL136" s="1479"/>
      <c r="BM136" s="1479"/>
      <c r="BN136" s="1479"/>
      <c r="BO136" s="1479"/>
      <c r="BP136" s="1479"/>
      <c r="BQ136" s="1479"/>
      <c r="BR136" s="1479"/>
      <c r="BS136" s="1479"/>
      <c r="BT136" s="1479"/>
      <c r="BU136" s="1479"/>
      <c r="BV136" s="1479"/>
      <c r="BW136" s="1479"/>
      <c r="BX136" s="1479"/>
      <c r="BY136" s="1479"/>
      <c r="BZ136" s="1479"/>
      <c r="CA136" s="1479"/>
      <c r="CB136" s="1479"/>
      <c r="CC136" s="1479"/>
      <c r="CD136" s="1479"/>
      <c r="CE136" s="1479"/>
      <c r="CF136" s="1479"/>
      <c r="CG136" s="1479"/>
      <c r="CH136" s="1479"/>
      <c r="CI136" s="31"/>
      <c r="CJ136" s="31"/>
      <c r="CK136" s="31"/>
      <c r="CL136" s="31"/>
      <c r="CM136" s="31"/>
      <c r="CN136" s="31"/>
      <c r="CO136" s="31"/>
      <c r="CP136" s="31"/>
      <c r="CQ136" s="31"/>
      <c r="CS136" s="233"/>
      <c r="CT136" s="233"/>
      <c r="CU136" s="30" t="str">
        <f>IF(Basisdaten!$B$15=Basisdaten!$D$2,CV136,CW136)</f>
        <v>Summe Rechts- und Beratungskosten</v>
      </c>
      <c r="CV136" s="38" t="s">
        <v>294</v>
      </c>
      <c r="CW136" s="38" t="s">
        <v>298</v>
      </c>
      <c r="DK136" s="52"/>
    </row>
    <row r="137" spans="3:115" ht="14.25" customHeight="1">
      <c r="C137" s="1632" t="str">
        <f>C60</f>
        <v>MwSt</v>
      </c>
      <c r="D137" s="1630"/>
      <c r="E137" s="597">
        <v>9</v>
      </c>
      <c r="F137" s="598" t="str">
        <f>F59</f>
        <v>Verschiedenes</v>
      </c>
      <c r="G137" s="599">
        <f>IFERROR(S154,"undo")</f>
        <v>0</v>
      </c>
      <c r="H137" s="2270" t="str">
        <f>IF(G137="undo",$CU$164,"")</f>
        <v/>
      </c>
      <c r="I137" s="2270"/>
      <c r="J137" s="2270"/>
      <c r="K137" s="2270"/>
      <c r="L137" s="2270"/>
      <c r="M137" s="2270"/>
      <c r="N137" s="2270"/>
      <c r="O137" s="2270"/>
      <c r="P137" s="2270"/>
      <c r="Q137" s="601" t="s">
        <v>608</v>
      </c>
      <c r="R137" s="600"/>
      <c r="S137" s="602"/>
      <c r="T137" s="552"/>
      <c r="U137" s="51"/>
      <c r="V137" s="51"/>
      <c r="W137" s="51"/>
      <c r="X137" s="51"/>
      <c r="Y137" s="51"/>
      <c r="Z137" s="51"/>
      <c r="AA137" s="51"/>
      <c r="AB137" s="51"/>
      <c r="AC137" s="51"/>
      <c r="AD137" s="51"/>
      <c r="AE137" s="51"/>
      <c r="AF137" s="51"/>
      <c r="AG137" s="51"/>
      <c r="AH137" s="51"/>
      <c r="AK137" s="613"/>
      <c r="AL137" s="1609"/>
      <c r="BA137" s="1479"/>
      <c r="BB137" s="1479"/>
      <c r="BC137" s="1479"/>
      <c r="BD137" s="1479"/>
      <c r="BE137" s="1479"/>
      <c r="BF137" s="1479"/>
      <c r="BG137" s="1479"/>
      <c r="BH137" s="1479"/>
      <c r="BI137" s="1479"/>
      <c r="BJ137" s="1479"/>
      <c r="BK137" s="1479"/>
      <c r="BL137" s="1479"/>
      <c r="BM137" s="1479"/>
      <c r="BN137" s="1479"/>
      <c r="BO137" s="1479"/>
      <c r="BP137" s="1479"/>
      <c r="BQ137" s="1479"/>
      <c r="BR137" s="1479"/>
      <c r="BS137" s="1479"/>
      <c r="BT137" s="1479"/>
      <c r="BU137" s="1479"/>
      <c r="BV137" s="1479"/>
      <c r="BW137" s="1479"/>
      <c r="BX137" s="1479"/>
      <c r="BY137" s="1479"/>
      <c r="BZ137" s="1479"/>
      <c r="CA137" s="1479"/>
      <c r="CB137" s="1479"/>
      <c r="CC137" s="1479"/>
      <c r="CD137" s="1479"/>
      <c r="CE137" s="1479"/>
      <c r="CF137" s="1479"/>
      <c r="CG137" s="1479"/>
      <c r="CH137" s="1479"/>
      <c r="CI137" s="31"/>
      <c r="CJ137" s="31"/>
      <c r="CK137" s="31"/>
      <c r="CL137" s="31"/>
      <c r="CM137" s="31"/>
      <c r="CN137" s="31"/>
      <c r="CO137" s="31"/>
      <c r="CP137" s="31"/>
      <c r="CQ137" s="31"/>
      <c r="CU137" s="30" t="str">
        <f>IF(Basisdaten!$B$15=Basisdaten!$D$2,CV137,CW137)</f>
        <v>Verschiedenes</v>
      </c>
      <c r="CV137" s="38" t="s">
        <v>25</v>
      </c>
      <c r="CW137" s="38" t="s">
        <v>172</v>
      </c>
      <c r="DK137" s="52"/>
    </row>
    <row r="138" spans="3:115" ht="14.25" customHeight="1">
      <c r="C138" s="1633">
        <v>0</v>
      </c>
      <c r="D138" s="1630"/>
      <c r="E138" s="1254">
        <f>IF('2 Umsatz|Sales'!$CT$23=0,0,C138)</f>
        <v>0</v>
      </c>
      <c r="F138" s="538" t="str">
        <f>F60</f>
        <v>Finanzaufwand / Zinsen     aus TAB "7 Finanzierung|Financing"</v>
      </c>
      <c r="G138" s="594">
        <f>'8 Kapital|Capital'!E72</f>
        <v>0</v>
      </c>
      <c r="H138" s="594">
        <f>'8 Kapital|Capital'!F72</f>
        <v>0</v>
      </c>
      <c r="I138" s="594">
        <f>'8 Kapital|Capital'!G72</f>
        <v>0</v>
      </c>
      <c r="J138" s="594">
        <f>'8 Kapital|Capital'!H72</f>
        <v>0</v>
      </c>
      <c r="K138" s="594">
        <f>'8 Kapital|Capital'!I72</f>
        <v>0</v>
      </c>
      <c r="L138" s="594">
        <f>'8 Kapital|Capital'!J72</f>
        <v>0</v>
      </c>
      <c r="M138" s="594">
        <f>'8 Kapital|Capital'!K72</f>
        <v>0</v>
      </c>
      <c r="N138" s="594">
        <f>'8 Kapital|Capital'!L72</f>
        <v>0</v>
      </c>
      <c r="O138" s="594">
        <f>'8 Kapital|Capital'!M72</f>
        <v>0</v>
      </c>
      <c r="P138" s="594">
        <f>'8 Kapital|Capital'!N72</f>
        <v>0</v>
      </c>
      <c r="Q138" s="594">
        <f>'8 Kapital|Capital'!O72</f>
        <v>0</v>
      </c>
      <c r="R138" s="594">
        <f>'8 Kapital|Capital'!P72</f>
        <v>0</v>
      </c>
      <c r="S138" s="596">
        <f t="shared" ref="S138:S142" si="105">SUM(G138:R138)</f>
        <v>0</v>
      </c>
      <c r="T138" s="554"/>
      <c r="U138" s="51"/>
      <c r="V138" s="51"/>
      <c r="W138" s="51"/>
      <c r="X138" s="51"/>
      <c r="Y138" s="51"/>
      <c r="Z138" s="51"/>
      <c r="AA138" s="51"/>
      <c r="AB138" s="51"/>
      <c r="AC138" s="51"/>
      <c r="AD138" s="51"/>
      <c r="AE138" s="51"/>
      <c r="AF138" s="51"/>
      <c r="AG138" s="51"/>
      <c r="AH138" s="51"/>
      <c r="AK138" s="613"/>
      <c r="AL138" s="1609"/>
      <c r="BA138" s="1479"/>
      <c r="BB138" s="1479"/>
      <c r="BC138" s="1479"/>
      <c r="BD138" s="1479"/>
      <c r="BE138" s="1479"/>
      <c r="BF138" s="1479"/>
      <c r="BG138" s="1479"/>
      <c r="BH138" s="1479"/>
      <c r="BI138" s="1479"/>
      <c r="BJ138" s="1479"/>
      <c r="BK138" s="1479"/>
      <c r="BL138" s="1479"/>
      <c r="BM138" s="1479"/>
      <c r="BN138" s="1479"/>
      <c r="BO138" s="1479"/>
      <c r="BP138" s="1479"/>
      <c r="BQ138" s="1479"/>
      <c r="BR138" s="1479"/>
      <c r="BS138" s="1479"/>
      <c r="BT138" s="1479"/>
      <c r="BU138" s="1479"/>
      <c r="BV138" s="1479"/>
      <c r="BW138" s="1479"/>
      <c r="BX138" s="1479"/>
      <c r="BY138" s="1479"/>
      <c r="BZ138" s="1479"/>
      <c r="CA138" s="1479"/>
      <c r="CB138" s="1479"/>
      <c r="CC138" s="1479"/>
      <c r="CD138" s="1479"/>
      <c r="CE138" s="1479"/>
      <c r="CF138" s="1479"/>
      <c r="CG138" s="1479"/>
      <c r="CH138" s="1479"/>
      <c r="CI138" s="31"/>
      <c r="CJ138" s="31"/>
      <c r="CK138" s="31"/>
      <c r="CL138" s="31"/>
      <c r="CM138" s="31"/>
      <c r="CN138" s="31"/>
      <c r="CO138" s="31"/>
      <c r="CP138" s="31"/>
      <c r="CQ138" s="31"/>
      <c r="CU138" s="30" t="str">
        <f>IF(Basisdaten!$B$15=Basisdaten!$D$2,CV138,CW138)</f>
        <v>Finanzaufwand / Zinsen *)</v>
      </c>
      <c r="CV138" s="38" t="s">
        <v>299</v>
      </c>
      <c r="CW138" s="38" t="s">
        <v>145</v>
      </c>
      <c r="DK138" s="52"/>
    </row>
    <row r="139" spans="3:115" ht="14.25" customHeight="1">
      <c r="C139" s="1629">
        <f>C61</f>
        <v>0.19</v>
      </c>
      <c r="D139" s="1630"/>
      <c r="E139" s="1320">
        <f>IF('2 Umsatz|Sales'!$CT$23=0,0,C139)</f>
        <v>0.19</v>
      </c>
      <c r="F139" s="278" t="str">
        <f>F61</f>
        <v>Fachliteratur, Bücher</v>
      </c>
      <c r="G139" s="417"/>
      <c r="H139" s="417"/>
      <c r="I139" s="417"/>
      <c r="J139" s="417"/>
      <c r="K139" s="417"/>
      <c r="L139" s="417"/>
      <c r="M139" s="417"/>
      <c r="N139" s="417"/>
      <c r="O139" s="417"/>
      <c r="P139" s="417"/>
      <c r="Q139" s="417"/>
      <c r="R139" s="417"/>
      <c r="S139" s="279">
        <f t="shared" si="105"/>
        <v>0</v>
      </c>
      <c r="T139" s="554"/>
      <c r="U139" s="51"/>
      <c r="V139" s="51"/>
      <c r="W139" s="51"/>
      <c r="X139" s="51"/>
      <c r="Y139" s="51"/>
      <c r="Z139" s="51"/>
      <c r="AA139" s="51"/>
      <c r="AB139" s="51"/>
      <c r="AC139" s="51"/>
      <c r="AD139" s="51"/>
      <c r="AE139" s="51"/>
      <c r="AF139" s="51"/>
      <c r="AG139" s="51"/>
      <c r="AH139" s="51"/>
      <c r="AI139" s="28"/>
      <c r="AJ139" s="28"/>
      <c r="AK139" s="613"/>
      <c r="AL139" s="1609"/>
      <c r="BA139" s="1479"/>
      <c r="BB139" s="1479"/>
      <c r="BC139" s="1479"/>
      <c r="BD139" s="1479"/>
      <c r="BE139" s="1479"/>
      <c r="BF139" s="1479"/>
      <c r="BG139" s="1479"/>
      <c r="BH139" s="1479"/>
      <c r="BI139" s="1479"/>
      <c r="BJ139" s="1479"/>
      <c r="BK139" s="1479"/>
      <c r="BL139" s="1479"/>
      <c r="BM139" s="1479"/>
      <c r="BN139" s="1479"/>
      <c r="BO139" s="1479"/>
      <c r="BP139" s="1479"/>
      <c r="BQ139" s="1479"/>
      <c r="BR139" s="1479"/>
      <c r="BS139" s="1479"/>
      <c r="BT139" s="1479"/>
      <c r="BU139" s="1479"/>
      <c r="BV139" s="1479"/>
      <c r="BW139" s="1479"/>
      <c r="BX139" s="1479"/>
      <c r="BY139" s="1479"/>
      <c r="BZ139" s="1479"/>
      <c r="CA139" s="1479"/>
      <c r="CB139" s="1479"/>
      <c r="CC139" s="1479"/>
      <c r="CD139" s="1479"/>
      <c r="CE139" s="1479"/>
      <c r="CF139" s="1479"/>
      <c r="CG139" s="1479"/>
      <c r="CH139" s="1479"/>
      <c r="CI139" s="31"/>
      <c r="CJ139" s="31"/>
      <c r="CK139" s="31"/>
      <c r="CL139" s="31"/>
      <c r="CM139" s="31"/>
      <c r="CN139" s="31"/>
      <c r="CO139" s="31"/>
      <c r="CP139" s="31"/>
      <c r="CQ139" s="31"/>
      <c r="CS139" s="233"/>
      <c r="CT139" s="233"/>
      <c r="CU139" s="30" t="str">
        <f>IF(Basisdaten!$B$15=Basisdaten!$D$2,CV139,CW139)</f>
        <v>Fachliteratur, Bücher</v>
      </c>
      <c r="CV139" s="38" t="s">
        <v>96</v>
      </c>
      <c r="CW139" s="38" t="s">
        <v>181</v>
      </c>
      <c r="DK139" s="52"/>
    </row>
    <row r="140" spans="3:115" ht="14.25" customHeight="1">
      <c r="C140" s="1629">
        <f>C62</f>
        <v>0.19</v>
      </c>
      <c r="D140" s="1630"/>
      <c r="E140" s="1320">
        <f>IF('2 Umsatz|Sales'!$CT$23=0,0,C140)</f>
        <v>0.19</v>
      </c>
      <c r="F140" s="278" t="str">
        <f>F62</f>
        <v>Schulungen</v>
      </c>
      <c r="G140" s="417"/>
      <c r="H140" s="417"/>
      <c r="I140" s="417"/>
      <c r="J140" s="417"/>
      <c r="K140" s="417"/>
      <c r="L140" s="417"/>
      <c r="M140" s="417"/>
      <c r="N140" s="417"/>
      <c r="O140" s="417"/>
      <c r="P140" s="417"/>
      <c r="Q140" s="417"/>
      <c r="R140" s="417"/>
      <c r="S140" s="279">
        <f t="shared" si="105"/>
        <v>0</v>
      </c>
      <c r="T140" s="554"/>
      <c r="U140" s="51"/>
      <c r="V140" s="51"/>
      <c r="W140" s="51"/>
      <c r="X140" s="51"/>
      <c r="Y140" s="51"/>
      <c r="Z140" s="51"/>
      <c r="AA140" s="51"/>
      <c r="AB140" s="51"/>
      <c r="AC140" s="51"/>
      <c r="AD140" s="51"/>
      <c r="AE140" s="51"/>
      <c r="AF140" s="51"/>
      <c r="AG140" s="51"/>
      <c r="AH140" s="51"/>
      <c r="AI140" s="28"/>
      <c r="AJ140" s="28"/>
      <c r="AK140" s="613"/>
      <c r="AL140" s="1609"/>
      <c r="BA140" s="1479"/>
      <c r="BB140" s="1479"/>
      <c r="BC140" s="1479"/>
      <c r="BD140" s="1479"/>
      <c r="BE140" s="1479"/>
      <c r="BF140" s="1479"/>
      <c r="BG140" s="1479"/>
      <c r="BH140" s="1479"/>
      <c r="BI140" s="1479"/>
      <c r="BJ140" s="1479"/>
      <c r="BK140" s="1479"/>
      <c r="BL140" s="1479"/>
      <c r="BM140" s="1479"/>
      <c r="BN140" s="1479"/>
      <c r="BO140" s="1479"/>
      <c r="BP140" s="1479"/>
      <c r="BQ140" s="1479"/>
      <c r="BR140" s="1479"/>
      <c r="BS140" s="1479"/>
      <c r="BT140" s="1479"/>
      <c r="BU140" s="1479"/>
      <c r="BV140" s="1479"/>
      <c r="BW140" s="1479"/>
      <c r="BX140" s="1479"/>
      <c r="BY140" s="1479"/>
      <c r="BZ140" s="1479"/>
      <c r="CA140" s="1479"/>
      <c r="CB140" s="1479"/>
      <c r="CC140" s="1479"/>
      <c r="CD140" s="1479"/>
      <c r="CE140" s="1479"/>
      <c r="CF140" s="1479"/>
      <c r="CG140" s="1479"/>
      <c r="CH140" s="1479"/>
      <c r="CI140" s="31"/>
      <c r="CJ140" s="31"/>
      <c r="CK140" s="31"/>
      <c r="CL140" s="31"/>
      <c r="CM140" s="31"/>
      <c r="CN140" s="31"/>
      <c r="CO140" s="31"/>
      <c r="CP140" s="31"/>
      <c r="CQ140" s="31"/>
      <c r="CS140" s="233"/>
      <c r="CT140" s="233"/>
      <c r="CU140" s="30" t="str">
        <f>IF(Basisdaten!$B$15=Basisdaten!$D$2,CV140,CW140)</f>
        <v>Schulungen</v>
      </c>
      <c r="CV140" s="38" t="s">
        <v>300</v>
      </c>
      <c r="CW140" s="38" t="s">
        <v>301</v>
      </c>
      <c r="DK140" s="52"/>
    </row>
    <row r="141" spans="3:115" ht="14.25" customHeight="1" thickBot="1">
      <c r="C141" s="1629">
        <f>C63</f>
        <v>0.19</v>
      </c>
      <c r="D141" s="1630"/>
      <c r="E141" s="1320">
        <f>IF('2 Umsatz|Sales'!$CT$23=0,0,C141)</f>
        <v>0.19</v>
      </c>
      <c r="F141" s="539" t="str">
        <f>CU141</f>
        <v>Sonstiges</v>
      </c>
      <c r="G141" s="521"/>
      <c r="H141" s="521"/>
      <c r="I141" s="521"/>
      <c r="J141" s="521"/>
      <c r="K141" s="521"/>
      <c r="L141" s="521"/>
      <c r="M141" s="521"/>
      <c r="N141" s="521"/>
      <c r="O141" s="521"/>
      <c r="P141" s="521"/>
      <c r="Q141" s="521"/>
      <c r="R141" s="521"/>
      <c r="S141" s="530">
        <f t="shared" si="105"/>
        <v>0</v>
      </c>
      <c r="T141" s="554"/>
      <c r="U141" s="51"/>
      <c r="V141" s="51"/>
      <c r="W141" s="51"/>
      <c r="X141" s="51"/>
      <c r="Y141" s="51"/>
      <c r="Z141" s="51"/>
      <c r="AA141" s="51"/>
      <c r="AB141" s="51"/>
      <c r="AC141" s="51"/>
      <c r="AD141" s="51"/>
      <c r="AE141" s="51"/>
      <c r="AF141" s="51"/>
      <c r="AG141" s="51"/>
      <c r="AH141" s="51"/>
      <c r="AI141" s="28"/>
      <c r="AJ141" s="28"/>
      <c r="AK141" s="613"/>
      <c r="AL141" s="1609"/>
      <c r="BA141" s="1479"/>
      <c r="BB141" s="1479"/>
      <c r="BC141" s="1479"/>
      <c r="BD141" s="1479"/>
      <c r="BE141" s="1479"/>
      <c r="BF141" s="1479"/>
      <c r="BG141" s="1479"/>
      <c r="BH141" s="1479"/>
      <c r="BI141" s="1479"/>
      <c r="BJ141" s="1479"/>
      <c r="BK141" s="1479"/>
      <c r="BL141" s="1479"/>
      <c r="BM141" s="1479"/>
      <c r="BN141" s="1479"/>
      <c r="BO141" s="1479"/>
      <c r="BP141" s="1479"/>
      <c r="BQ141" s="1479"/>
      <c r="BR141" s="1479"/>
      <c r="BS141" s="1479"/>
      <c r="BT141" s="1479"/>
      <c r="BU141" s="1479"/>
      <c r="BV141" s="1479"/>
      <c r="BW141" s="1479"/>
      <c r="BX141" s="1479"/>
      <c r="BY141" s="1479"/>
      <c r="BZ141" s="1479"/>
      <c r="CA141" s="1479"/>
      <c r="CB141" s="1479"/>
      <c r="CC141" s="1479"/>
      <c r="CD141" s="1479"/>
      <c r="CE141" s="1479"/>
      <c r="CF141" s="1479"/>
      <c r="CG141" s="1479"/>
      <c r="CH141" s="1479"/>
      <c r="CI141" s="31"/>
      <c r="CJ141" s="31"/>
      <c r="CK141" s="31"/>
      <c r="CL141" s="31"/>
      <c r="CM141" s="31"/>
      <c r="CN141" s="31"/>
      <c r="CO141" s="31"/>
      <c r="CP141" s="31"/>
      <c r="CQ141" s="31"/>
      <c r="CS141" s="233"/>
      <c r="CT141" s="233"/>
      <c r="CU141" s="30" t="str">
        <f>IF(Basisdaten!$B$15=Basisdaten!$D$2,CV141,CW141)</f>
        <v>Sonstiges</v>
      </c>
      <c r="CV141" s="523" t="s">
        <v>275</v>
      </c>
      <c r="CW141" s="523" t="s">
        <v>277</v>
      </c>
      <c r="DK141" s="52"/>
    </row>
    <row r="142" spans="3:115" ht="13.8" customHeight="1" thickTop="1" thickBot="1">
      <c r="C142" s="1637"/>
      <c r="D142" s="1630"/>
      <c r="E142" s="531"/>
      <c r="F142" s="46" t="str">
        <f>F64</f>
        <v>Summe Verschiedenes</v>
      </c>
      <c r="G142" s="534">
        <f>SUM(G138:G141)</f>
        <v>0</v>
      </c>
      <c r="H142" s="534">
        <f t="shared" ref="H142:R142" si="106">SUM(H138:H141)</f>
        <v>0</v>
      </c>
      <c r="I142" s="534">
        <f>SUM(I138:I141)</f>
        <v>0</v>
      </c>
      <c r="J142" s="534">
        <f>SUM(J138:J141)</f>
        <v>0</v>
      </c>
      <c r="K142" s="534">
        <f t="shared" si="106"/>
        <v>0</v>
      </c>
      <c r="L142" s="534">
        <f t="shared" si="106"/>
        <v>0</v>
      </c>
      <c r="M142" s="534">
        <f t="shared" si="106"/>
        <v>0</v>
      </c>
      <c r="N142" s="534">
        <f t="shared" si="106"/>
        <v>0</v>
      </c>
      <c r="O142" s="534">
        <f t="shared" si="106"/>
        <v>0</v>
      </c>
      <c r="P142" s="534">
        <f t="shared" si="106"/>
        <v>0</v>
      </c>
      <c r="Q142" s="534">
        <f t="shared" si="106"/>
        <v>0</v>
      </c>
      <c r="R142" s="534">
        <f t="shared" si="106"/>
        <v>0</v>
      </c>
      <c r="S142" s="253">
        <f t="shared" si="105"/>
        <v>0</v>
      </c>
      <c r="T142" s="552"/>
      <c r="U142" s="25"/>
      <c r="V142" s="25"/>
      <c r="W142" s="28"/>
      <c r="X142" s="28"/>
      <c r="Y142" s="28"/>
      <c r="Z142" s="28"/>
      <c r="AA142" s="28"/>
      <c r="AB142" s="28"/>
      <c r="AC142" s="28"/>
      <c r="AD142" s="28"/>
      <c r="AE142" s="28"/>
      <c r="AF142" s="28"/>
      <c r="AG142" s="28"/>
      <c r="AH142" s="28"/>
      <c r="AI142" s="28"/>
      <c r="AJ142" s="28"/>
      <c r="AK142" s="613"/>
      <c r="AL142" s="41"/>
      <c r="BA142" s="1479"/>
      <c r="BB142" s="1479"/>
      <c r="BC142" s="1479"/>
      <c r="BD142" s="1479"/>
      <c r="BE142" s="1479"/>
      <c r="BF142" s="1479"/>
      <c r="BG142" s="1479"/>
      <c r="BH142" s="1479"/>
      <c r="BI142" s="1479"/>
      <c r="BJ142" s="1479"/>
      <c r="BK142" s="1479"/>
      <c r="BL142" s="1479"/>
      <c r="BM142" s="1479"/>
      <c r="BN142" s="1479"/>
      <c r="BO142" s="1479"/>
      <c r="BP142" s="1479"/>
      <c r="BQ142" s="1479"/>
      <c r="BR142" s="1479"/>
      <c r="BS142" s="1479"/>
      <c r="BT142" s="1479"/>
      <c r="BU142" s="1479"/>
      <c r="BV142" s="1479"/>
      <c r="BW142" s="1479"/>
      <c r="BX142" s="1479"/>
      <c r="BY142" s="1479"/>
      <c r="BZ142" s="1479"/>
      <c r="CA142" s="1479"/>
      <c r="CB142" s="1479"/>
      <c r="CC142" s="1479"/>
      <c r="CD142" s="1479"/>
      <c r="CE142" s="1479"/>
      <c r="CF142" s="1479"/>
      <c r="CG142" s="1479"/>
      <c r="CH142" s="1479"/>
      <c r="CI142" s="31"/>
      <c r="CJ142" s="31"/>
      <c r="CK142" s="31"/>
      <c r="CL142" s="31"/>
      <c r="CM142" s="31"/>
      <c r="CN142" s="31"/>
      <c r="CO142" s="31"/>
      <c r="CP142" s="31"/>
      <c r="CQ142" s="31"/>
      <c r="CS142" s="233"/>
      <c r="CT142" s="233"/>
      <c r="CU142" s="30" t="str">
        <f>IF(Basisdaten!$B$15=Basisdaten!$D$2,CV142,CW142)</f>
        <v>Summe Verschiedenes</v>
      </c>
      <c r="CV142" s="38" t="s">
        <v>302</v>
      </c>
      <c r="CW142" s="38" t="s">
        <v>166</v>
      </c>
      <c r="DK142" s="52"/>
    </row>
    <row r="143" spans="3:115" s="30" customFormat="1" ht="14.25" customHeight="1" thickTop="1">
      <c r="C143" s="589"/>
      <c r="D143" s="1630"/>
      <c r="E143" s="524"/>
      <c r="F143" s="609" t="str">
        <f>F65</f>
        <v>Summe Betriebskosten I</v>
      </c>
      <c r="G143" s="532">
        <f t="shared" ref="G143:S143" si="107">G142+G136+G131+G123+G116+G110+G104+G100+G89</f>
        <v>0</v>
      </c>
      <c r="H143" s="532">
        <f t="shared" si="107"/>
        <v>0</v>
      </c>
      <c r="I143" s="532">
        <f t="shared" si="107"/>
        <v>0</v>
      </c>
      <c r="J143" s="532">
        <f t="shared" si="107"/>
        <v>0</v>
      </c>
      <c r="K143" s="532">
        <f t="shared" si="107"/>
        <v>0</v>
      </c>
      <c r="L143" s="532">
        <f t="shared" si="107"/>
        <v>0</v>
      </c>
      <c r="M143" s="532">
        <f t="shared" si="107"/>
        <v>0</v>
      </c>
      <c r="N143" s="532">
        <f t="shared" si="107"/>
        <v>0</v>
      </c>
      <c r="O143" s="532">
        <f t="shared" si="107"/>
        <v>0</v>
      </c>
      <c r="P143" s="532">
        <f t="shared" si="107"/>
        <v>0</v>
      </c>
      <c r="Q143" s="532">
        <f t="shared" si="107"/>
        <v>0</v>
      </c>
      <c r="R143" s="532">
        <f t="shared" si="107"/>
        <v>0</v>
      </c>
      <c r="S143" s="532">
        <f t="shared" si="107"/>
        <v>0</v>
      </c>
      <c r="T143" s="553"/>
      <c r="U143" s="37"/>
      <c r="V143" s="37"/>
      <c r="W143" s="37"/>
      <c r="X143" s="37"/>
      <c r="Y143" s="37"/>
      <c r="Z143" s="37"/>
      <c r="AA143" s="37"/>
      <c r="AB143" s="37"/>
      <c r="AC143" s="37"/>
      <c r="AD143" s="37"/>
      <c r="AE143" s="37"/>
      <c r="AF143" s="37"/>
      <c r="AG143" s="37"/>
      <c r="AH143" s="37"/>
      <c r="AI143" s="237"/>
      <c r="AJ143" s="237"/>
      <c r="AK143" s="613"/>
      <c r="AL143" s="42"/>
      <c r="AM143" s="50"/>
      <c r="AN143" s="50"/>
      <c r="AO143" s="50"/>
      <c r="AP143" s="50"/>
      <c r="AQ143" s="50"/>
      <c r="AR143" s="50"/>
      <c r="AS143" s="50"/>
      <c r="AT143" s="50"/>
      <c r="AU143" s="50"/>
      <c r="AV143" s="50"/>
      <c r="AW143" s="50"/>
      <c r="AX143" s="50"/>
      <c r="AY143" s="50"/>
      <c r="AZ143" s="50"/>
      <c r="BA143" s="1479"/>
      <c r="BB143" s="1479"/>
      <c r="BC143" s="1479"/>
      <c r="BD143" s="1479"/>
      <c r="BE143" s="1479"/>
      <c r="BF143" s="1479"/>
      <c r="BG143" s="1479"/>
      <c r="BH143" s="1479"/>
      <c r="BI143" s="1479"/>
      <c r="BJ143" s="1479"/>
      <c r="BK143" s="1479"/>
      <c r="BL143" s="1479"/>
      <c r="BM143" s="1479"/>
      <c r="BN143" s="1479"/>
      <c r="BO143" s="1479"/>
      <c r="BP143" s="1479"/>
      <c r="BQ143" s="1479"/>
      <c r="BR143" s="1479"/>
      <c r="BS143" s="1479"/>
      <c r="BT143" s="1479"/>
      <c r="BU143" s="1479"/>
      <c r="BV143" s="1479"/>
      <c r="BW143" s="1479"/>
      <c r="BX143" s="1479"/>
      <c r="BY143" s="1479"/>
      <c r="BZ143" s="1479"/>
      <c r="CA143" s="1479"/>
      <c r="CB143" s="1479"/>
      <c r="CC143" s="1479"/>
      <c r="CD143" s="1479"/>
      <c r="CE143" s="1479"/>
      <c r="CF143" s="1479"/>
      <c r="CG143" s="1479"/>
      <c r="CH143" s="1479"/>
      <c r="CI143" s="31"/>
      <c r="CJ143" s="31"/>
      <c r="CK143" s="31"/>
      <c r="CL143" s="31"/>
      <c r="CM143" s="31"/>
      <c r="CN143" s="31"/>
      <c r="CO143" s="31"/>
      <c r="CP143" s="31"/>
      <c r="CQ143" s="31"/>
      <c r="CS143" s="233"/>
      <c r="CT143" s="233"/>
      <c r="CU143" s="30" t="str">
        <f>IF(Basisdaten!$B$15=Basisdaten!$D$2,CV143,CW143)</f>
        <v>Summe Betriebskosten I</v>
      </c>
      <c r="CV143" s="141" t="s">
        <v>34</v>
      </c>
      <c r="CW143" s="38" t="s">
        <v>161</v>
      </c>
      <c r="CX143" s="116"/>
      <c r="CY143" s="116"/>
      <c r="CZ143" s="116"/>
      <c r="DA143" s="116"/>
      <c r="DB143" s="116"/>
      <c r="DC143" s="116"/>
      <c r="DD143" s="116"/>
      <c r="DE143" s="116"/>
      <c r="DF143" s="116"/>
      <c r="DG143" s="116"/>
      <c r="DH143" s="116"/>
      <c r="DI143" s="116"/>
      <c r="DJ143" s="116"/>
      <c r="DK143" s="55"/>
    </row>
    <row r="144" spans="3:115" ht="14.25" customHeight="1" thickBot="1">
      <c r="C144" s="1635"/>
      <c r="D144" s="1630"/>
      <c r="E144" s="1255"/>
      <c r="F144" s="607" t="str">
        <f>F66</f>
        <v>Abschreibungen aus TAB "4 Invest"</v>
      </c>
      <c r="G144" s="608">
        <f>'4 Invest'!P298</f>
        <v>0</v>
      </c>
      <c r="H144" s="608">
        <f>'4 Invest'!Q298</f>
        <v>0</v>
      </c>
      <c r="I144" s="608">
        <f>'4 Invest'!R298</f>
        <v>0</v>
      </c>
      <c r="J144" s="608">
        <f>'4 Invest'!S298</f>
        <v>0</v>
      </c>
      <c r="K144" s="608">
        <f>'4 Invest'!T298</f>
        <v>0</v>
      </c>
      <c r="L144" s="608">
        <f>'4 Invest'!U298</f>
        <v>0</v>
      </c>
      <c r="M144" s="608">
        <f>'4 Invest'!V298</f>
        <v>0</v>
      </c>
      <c r="N144" s="608">
        <f>'4 Invest'!W298</f>
        <v>0</v>
      </c>
      <c r="O144" s="608">
        <f>'4 Invest'!X298</f>
        <v>0</v>
      </c>
      <c r="P144" s="608">
        <f>'4 Invest'!Y298</f>
        <v>0</v>
      </c>
      <c r="Q144" s="608">
        <f>'4 Invest'!Z298</f>
        <v>0</v>
      </c>
      <c r="R144" s="608">
        <f>'4 Invest'!AA298</f>
        <v>0</v>
      </c>
      <c r="S144" s="608">
        <f>SUM(G144:R144)</f>
        <v>0</v>
      </c>
      <c r="T144" s="552"/>
      <c r="U144" s="25"/>
      <c r="V144" s="25"/>
      <c r="W144" s="28"/>
      <c r="X144" s="28"/>
      <c r="Y144" s="28"/>
      <c r="Z144" s="28"/>
      <c r="AA144" s="28"/>
      <c r="AB144" s="28"/>
      <c r="AC144" s="28"/>
      <c r="AD144" s="28"/>
      <c r="AE144" s="28"/>
      <c r="AF144" s="28"/>
      <c r="AG144" s="28"/>
      <c r="AH144" s="28"/>
      <c r="AI144" s="28"/>
      <c r="AJ144" s="28"/>
      <c r="AK144" s="613"/>
      <c r="AL144" s="42"/>
      <c r="BA144" s="1479"/>
      <c r="BB144" s="1479"/>
      <c r="BC144" s="1479"/>
      <c r="BD144" s="1479"/>
      <c r="BE144" s="1479"/>
      <c r="BF144" s="1479"/>
      <c r="BG144" s="1479"/>
      <c r="BH144" s="1479"/>
      <c r="BI144" s="1479"/>
      <c r="BJ144" s="1479"/>
      <c r="BK144" s="1479"/>
      <c r="BL144" s="1479"/>
      <c r="BM144" s="1479"/>
      <c r="BN144" s="1479"/>
      <c r="BO144" s="1479"/>
      <c r="BP144" s="1479"/>
      <c r="BQ144" s="1479"/>
      <c r="BR144" s="1479"/>
      <c r="BS144" s="1479"/>
      <c r="BT144" s="1479"/>
      <c r="BU144" s="1479"/>
      <c r="BV144" s="1479"/>
      <c r="BW144" s="1479"/>
      <c r="BX144" s="1479"/>
      <c r="BY144" s="1479"/>
      <c r="BZ144" s="1479"/>
      <c r="CA144" s="1479"/>
      <c r="CB144" s="1479"/>
      <c r="CC144" s="1479"/>
      <c r="CD144" s="1479"/>
      <c r="CE144" s="1479"/>
      <c r="CF144" s="1479"/>
      <c r="CG144" s="1479"/>
      <c r="CH144" s="1479"/>
      <c r="CI144" s="31"/>
      <c r="CJ144" s="31"/>
      <c r="CK144" s="31"/>
      <c r="CL144" s="31"/>
      <c r="CM144" s="31"/>
      <c r="CN144" s="31"/>
      <c r="CO144" s="31"/>
      <c r="CP144" s="31"/>
      <c r="CQ144" s="31"/>
      <c r="CS144" s="233"/>
      <c r="CT144" s="233"/>
      <c r="CU144" s="30" t="str">
        <f>IF(Basisdaten!$B$15=Basisdaten!$D$2,CV144,CW144)</f>
        <v>Abschreibungen (aus "3 Anschaffungen|Investment")</v>
      </c>
      <c r="CV144" s="141" t="s">
        <v>391</v>
      </c>
      <c r="CW144" s="38" t="s">
        <v>390</v>
      </c>
      <c r="DK144" s="52"/>
    </row>
    <row r="145" spans="3:115" s="30" customFormat="1" ht="13.8" customHeight="1" thickTop="1">
      <c r="C145" s="589"/>
      <c r="D145" s="1630"/>
      <c r="E145" s="618"/>
      <c r="F145" s="525" t="str">
        <f>F67</f>
        <v>Summe Betriebskosten II</v>
      </c>
      <c r="G145" s="532">
        <f>G143+G144</f>
        <v>0</v>
      </c>
      <c r="H145" s="532">
        <f t="shared" ref="H145:R145" si="108">H143+H144</f>
        <v>0</v>
      </c>
      <c r="I145" s="532">
        <f t="shared" si="108"/>
        <v>0</v>
      </c>
      <c r="J145" s="532">
        <f t="shared" si="108"/>
        <v>0</v>
      </c>
      <c r="K145" s="532">
        <f t="shared" si="108"/>
        <v>0</v>
      </c>
      <c r="L145" s="532">
        <f t="shared" si="108"/>
        <v>0</v>
      </c>
      <c r="M145" s="532">
        <f t="shared" si="108"/>
        <v>0</v>
      </c>
      <c r="N145" s="532">
        <f t="shared" si="108"/>
        <v>0</v>
      </c>
      <c r="O145" s="532">
        <f t="shared" si="108"/>
        <v>0</v>
      </c>
      <c r="P145" s="532">
        <f t="shared" si="108"/>
        <v>0</v>
      </c>
      <c r="Q145" s="532">
        <f t="shared" si="108"/>
        <v>0</v>
      </c>
      <c r="R145" s="532">
        <f t="shared" si="108"/>
        <v>0</v>
      </c>
      <c r="S145" s="532">
        <f>S143+S144</f>
        <v>0</v>
      </c>
      <c r="T145" s="552"/>
      <c r="U145" s="37"/>
      <c r="V145" s="37"/>
      <c r="W145" s="37"/>
      <c r="X145" s="37"/>
      <c r="Y145" s="37"/>
      <c r="Z145" s="37"/>
      <c r="AA145" s="37"/>
      <c r="AB145" s="37"/>
      <c r="AC145" s="37"/>
      <c r="AD145" s="37"/>
      <c r="AE145" s="37"/>
      <c r="AF145" s="37"/>
      <c r="AG145" s="37"/>
      <c r="AH145" s="37"/>
      <c r="AI145" s="28"/>
      <c r="AJ145" s="28"/>
      <c r="AK145" s="613"/>
      <c r="AL145" s="42"/>
      <c r="AM145" s="50"/>
      <c r="AN145" s="50"/>
      <c r="AO145" s="50"/>
      <c r="AP145" s="50"/>
      <c r="AQ145" s="50"/>
      <c r="AR145" s="50"/>
      <c r="AS145" s="50"/>
      <c r="AT145" s="50"/>
      <c r="AU145" s="50"/>
      <c r="AV145" s="50"/>
      <c r="AW145" s="50"/>
      <c r="AX145" s="50"/>
      <c r="AY145" s="50"/>
      <c r="AZ145" s="50"/>
      <c r="BA145" s="1479"/>
      <c r="BB145" s="1479"/>
      <c r="BC145" s="1479"/>
      <c r="BD145" s="1479"/>
      <c r="BE145" s="1479"/>
      <c r="BF145" s="1479"/>
      <c r="BG145" s="1479"/>
      <c r="BH145" s="1479"/>
      <c r="BI145" s="1479"/>
      <c r="BJ145" s="1479"/>
      <c r="BK145" s="1479"/>
      <c r="BL145" s="1479"/>
      <c r="BM145" s="1479"/>
      <c r="BN145" s="1479"/>
      <c r="BO145" s="1479"/>
      <c r="BP145" s="1479"/>
      <c r="BQ145" s="1479"/>
      <c r="BR145" s="1479"/>
      <c r="BS145" s="1479"/>
      <c r="BT145" s="1479"/>
      <c r="BU145" s="1479"/>
      <c r="BV145" s="1479"/>
      <c r="BW145" s="1479"/>
      <c r="BX145" s="1479"/>
      <c r="BY145" s="1479"/>
      <c r="BZ145" s="1479"/>
      <c r="CA145" s="1479"/>
      <c r="CB145" s="1479"/>
      <c r="CC145" s="1479"/>
      <c r="CD145" s="1479"/>
      <c r="CE145" s="1479"/>
      <c r="CF145" s="1479"/>
      <c r="CG145" s="1479"/>
      <c r="CH145" s="1479"/>
      <c r="CI145" s="31"/>
      <c r="CJ145" s="31"/>
      <c r="CK145" s="31"/>
      <c r="CL145" s="31"/>
      <c r="CM145" s="31"/>
      <c r="CN145" s="31"/>
      <c r="CO145" s="31"/>
      <c r="CP145" s="31"/>
      <c r="CQ145" s="31"/>
      <c r="CS145" s="233"/>
      <c r="CT145" s="233"/>
      <c r="CU145" s="30" t="str">
        <f>IF(Basisdaten!$B$15=Basisdaten!$D$2,CV145,CW145)</f>
        <v>Summe Betriebskosten II</v>
      </c>
      <c r="CV145" s="38" t="str">
        <f>"Summe Betriebskosten II"</f>
        <v>Summe Betriebskosten II</v>
      </c>
      <c r="CW145" s="38" t="s">
        <v>270</v>
      </c>
      <c r="CX145" s="116"/>
      <c r="CY145" s="116"/>
      <c r="CZ145" s="116"/>
      <c r="DA145" s="116"/>
      <c r="DB145" s="116"/>
      <c r="DC145" s="116"/>
      <c r="DD145" s="116"/>
      <c r="DE145" s="116"/>
      <c r="DF145" s="116"/>
      <c r="DG145" s="116"/>
      <c r="DH145" s="116"/>
      <c r="DI145" s="116"/>
      <c r="DJ145" s="116"/>
      <c r="DK145" s="55"/>
    </row>
    <row r="146" spans="3:115" ht="14.25" hidden="1" customHeight="1">
      <c r="C146" s="1779">
        <f t="shared" ref="C146:C151" si="109">C68</f>
        <v>0</v>
      </c>
      <c r="D146" s="1780"/>
      <c r="E146" s="1776">
        <v>1</v>
      </c>
      <c r="F146" s="1783" t="str">
        <f t="shared" ref="F146:F154" si="110">$F$68</f>
        <v>MwSt</v>
      </c>
      <c r="G146" s="1784">
        <f t="shared" ref="G146:R146" si="111">G83*$E83+G84*$E84+G85*$E85+G87*$E87+G88*$E88</f>
        <v>0</v>
      </c>
      <c r="H146" s="1784">
        <f t="shared" si="111"/>
        <v>0</v>
      </c>
      <c r="I146" s="1784">
        <f t="shared" si="111"/>
        <v>0</v>
      </c>
      <c r="J146" s="1784">
        <f t="shared" si="111"/>
        <v>0</v>
      </c>
      <c r="K146" s="1784">
        <f t="shared" si="111"/>
        <v>0</v>
      </c>
      <c r="L146" s="1784">
        <f t="shared" si="111"/>
        <v>0</v>
      </c>
      <c r="M146" s="1784">
        <f t="shared" si="111"/>
        <v>0</v>
      </c>
      <c r="N146" s="1784">
        <f t="shared" si="111"/>
        <v>0</v>
      </c>
      <c r="O146" s="1784">
        <f t="shared" si="111"/>
        <v>0</v>
      </c>
      <c r="P146" s="1784">
        <f t="shared" si="111"/>
        <v>0</v>
      </c>
      <c r="Q146" s="1784">
        <f t="shared" si="111"/>
        <v>0</v>
      </c>
      <c r="R146" s="1784">
        <f t="shared" si="111"/>
        <v>0</v>
      </c>
      <c r="S146" s="1784">
        <f>SUM(G146:R146)</f>
        <v>0</v>
      </c>
      <c r="T146" s="552"/>
      <c r="U146" s="552"/>
      <c r="V146" s="552"/>
      <c r="W146" s="552"/>
      <c r="X146" s="552"/>
      <c r="Y146" s="552"/>
      <c r="Z146" s="552"/>
      <c r="AA146" s="552"/>
      <c r="AB146" s="552"/>
      <c r="AC146" s="552"/>
      <c r="AD146" s="552"/>
      <c r="AE146" s="552"/>
      <c r="AF146" s="552"/>
      <c r="AG146" s="552"/>
      <c r="AH146" s="552"/>
      <c r="AI146" s="552"/>
      <c r="AJ146" s="552"/>
      <c r="AK146" s="549"/>
      <c r="AL146" s="42"/>
      <c r="BA146" s="1479"/>
      <c r="BB146" s="1479"/>
      <c r="BC146" s="1479"/>
      <c r="BD146" s="1479"/>
      <c r="BE146" s="1479"/>
      <c r="BF146" s="1479"/>
      <c r="BG146" s="1479"/>
      <c r="BH146" s="1479"/>
      <c r="BI146" s="1479"/>
      <c r="BJ146" s="1479"/>
      <c r="BK146" s="1479"/>
      <c r="BL146" s="1479"/>
      <c r="BM146" s="1479"/>
      <c r="BN146" s="1479"/>
      <c r="BO146" s="1479"/>
      <c r="BP146" s="1479"/>
      <c r="BQ146" s="1479"/>
      <c r="BR146" s="1479"/>
      <c r="BS146" s="1479"/>
      <c r="BT146" s="1479"/>
      <c r="BU146" s="1479"/>
      <c r="BV146" s="1479"/>
      <c r="BW146" s="1479"/>
      <c r="BX146" s="1479"/>
      <c r="BY146" s="1479"/>
      <c r="BZ146" s="1479"/>
      <c r="CA146" s="1479"/>
      <c r="CB146" s="1479"/>
      <c r="CC146" s="1479"/>
      <c r="CD146" s="1479"/>
      <c r="CE146" s="1479"/>
      <c r="CF146" s="1538"/>
      <c r="CG146" s="1479"/>
      <c r="CH146" s="1479"/>
      <c r="CI146" s="31"/>
      <c r="CJ146" s="31"/>
      <c r="CK146" s="31"/>
      <c r="CL146" s="31"/>
      <c r="CM146" s="31"/>
      <c r="CN146" s="31"/>
      <c r="CO146" s="31"/>
      <c r="CP146" s="31"/>
      <c r="CQ146" s="31"/>
      <c r="CS146" s="56"/>
      <c r="CT146" s="56"/>
      <c r="CU146" s="30"/>
      <c r="CV146" s="523"/>
      <c r="CW146" s="523"/>
      <c r="CX146" s="30">
        <f>IF(Basisdaten!$B$15=Basisdaten!$D$2,CY146,CZ146)</f>
        <v>0</v>
      </c>
      <c r="DK146" s="52"/>
    </row>
    <row r="147" spans="3:115" s="30" customFormat="1" ht="14.25" hidden="1" customHeight="1">
      <c r="C147" s="1779">
        <f t="shared" si="109"/>
        <v>0</v>
      </c>
      <c r="D147" s="1780"/>
      <c r="E147" s="1776">
        <v>2</v>
      </c>
      <c r="F147" s="1783" t="str">
        <f t="shared" si="110"/>
        <v>MwSt</v>
      </c>
      <c r="G147" s="1774">
        <f t="shared" ref="G147:R147" si="112">G92*$E92+G95*$E95+G96*$E96+G97*$E97+G98*$E98+G99*$E99</f>
        <v>0</v>
      </c>
      <c r="H147" s="1774">
        <f t="shared" si="112"/>
        <v>0</v>
      </c>
      <c r="I147" s="1774">
        <f t="shared" si="112"/>
        <v>0</v>
      </c>
      <c r="J147" s="1774">
        <f t="shared" si="112"/>
        <v>0</v>
      </c>
      <c r="K147" s="1774">
        <f t="shared" si="112"/>
        <v>0</v>
      </c>
      <c r="L147" s="1774">
        <f t="shared" si="112"/>
        <v>0</v>
      </c>
      <c r="M147" s="1774">
        <f t="shared" si="112"/>
        <v>0</v>
      </c>
      <c r="N147" s="1774">
        <f t="shared" si="112"/>
        <v>0</v>
      </c>
      <c r="O147" s="1774">
        <f t="shared" si="112"/>
        <v>0</v>
      </c>
      <c r="P147" s="1774">
        <f t="shared" si="112"/>
        <v>0</v>
      </c>
      <c r="Q147" s="1774">
        <f t="shared" si="112"/>
        <v>0</v>
      </c>
      <c r="R147" s="1774">
        <f t="shared" si="112"/>
        <v>0</v>
      </c>
      <c r="S147" s="1774">
        <f t="shared" ref="S147:S154" si="113">SUM(G147:R147)</f>
        <v>0</v>
      </c>
      <c r="T147" s="554"/>
      <c r="U147" s="554"/>
      <c r="V147" s="554"/>
      <c r="W147" s="554"/>
      <c r="X147" s="554"/>
      <c r="Y147" s="554"/>
      <c r="Z147" s="554"/>
      <c r="AA147" s="554"/>
      <c r="AB147" s="554"/>
      <c r="AC147" s="554"/>
      <c r="AD147" s="554"/>
      <c r="AE147" s="554"/>
      <c r="AF147" s="554"/>
      <c r="AG147" s="554"/>
      <c r="AH147" s="554"/>
      <c r="AI147" s="554"/>
      <c r="AJ147" s="554"/>
      <c r="AK147" s="194"/>
      <c r="AL147" s="42"/>
      <c r="AM147" s="194"/>
      <c r="AN147" s="194"/>
      <c r="AO147" s="194"/>
      <c r="AP147" s="50"/>
      <c r="AQ147" s="50"/>
      <c r="AR147" s="50"/>
      <c r="AS147" s="50"/>
      <c r="AT147" s="50"/>
      <c r="AU147" s="50"/>
      <c r="AV147" s="50"/>
      <c r="AW147" s="50"/>
      <c r="AX147" s="50"/>
      <c r="AY147" s="50"/>
      <c r="AZ147" s="50"/>
      <c r="BA147" s="176"/>
      <c r="BB147" s="176"/>
      <c r="BC147" s="176"/>
      <c r="BD147" s="176"/>
      <c r="BE147" s="176"/>
      <c r="BF147" s="176"/>
      <c r="BG147" s="176"/>
      <c r="BH147" s="176"/>
      <c r="BI147" s="176"/>
      <c r="BJ147" s="176"/>
      <c r="BK147" s="176"/>
      <c r="BL147" s="176"/>
      <c r="BM147" s="176"/>
      <c r="BN147" s="176"/>
      <c r="BO147" s="176"/>
      <c r="BP147" s="176"/>
      <c r="BQ147" s="176"/>
      <c r="BR147" s="176"/>
      <c r="BS147" s="176"/>
      <c r="BT147" s="176"/>
      <c r="BU147" s="176"/>
      <c r="BV147" s="176"/>
      <c r="BW147" s="176"/>
      <c r="BX147" s="176"/>
      <c r="BY147" s="176"/>
      <c r="BZ147" s="176"/>
      <c r="CA147" s="176"/>
      <c r="CB147" s="176"/>
      <c r="CC147" s="176"/>
      <c r="CD147" s="176"/>
      <c r="CE147" s="176"/>
      <c r="CF147" s="176"/>
      <c r="CG147" s="176"/>
      <c r="CH147" s="176"/>
      <c r="CI147" s="36"/>
      <c r="CJ147" s="36"/>
      <c r="CK147" s="36"/>
      <c r="CL147" s="36"/>
      <c r="CM147" s="36"/>
      <c r="CN147" s="36"/>
      <c r="CO147" s="36"/>
      <c r="CP147" s="36"/>
      <c r="CQ147" s="36"/>
      <c r="CS147" s="585"/>
      <c r="CT147" s="585"/>
      <c r="CV147" s="523"/>
      <c r="CW147" s="523"/>
      <c r="CX147" s="116"/>
      <c r="CY147" s="116"/>
      <c r="CZ147" s="116"/>
      <c r="DA147" s="116"/>
      <c r="DB147" s="116"/>
      <c r="DC147" s="116"/>
      <c r="DD147" s="116"/>
      <c r="DE147" s="116"/>
      <c r="DF147" s="116"/>
      <c r="DG147" s="116"/>
      <c r="DH147" s="116"/>
      <c r="DI147" s="116"/>
      <c r="DJ147" s="116"/>
      <c r="DK147" s="55"/>
    </row>
    <row r="148" spans="3:115" ht="14.25" hidden="1" customHeight="1">
      <c r="C148" s="1779">
        <f t="shared" si="109"/>
        <v>0</v>
      </c>
      <c r="D148" s="1780"/>
      <c r="E148" s="1776">
        <v>3</v>
      </c>
      <c r="F148" s="1783" t="str">
        <f t="shared" si="110"/>
        <v>MwSt</v>
      </c>
      <c r="G148" s="761">
        <f t="shared" ref="G148:R148" si="114">X149+G103*$C$103</f>
        <v>0</v>
      </c>
      <c r="H148" s="761">
        <f t="shared" si="114"/>
        <v>0</v>
      </c>
      <c r="I148" s="761">
        <f t="shared" si="114"/>
        <v>0</v>
      </c>
      <c r="J148" s="761">
        <f t="shared" si="114"/>
        <v>0</v>
      </c>
      <c r="K148" s="761">
        <f t="shared" si="114"/>
        <v>0</v>
      </c>
      <c r="L148" s="761">
        <f t="shared" si="114"/>
        <v>0</v>
      </c>
      <c r="M148" s="761">
        <f t="shared" si="114"/>
        <v>0</v>
      </c>
      <c r="N148" s="761">
        <f t="shared" si="114"/>
        <v>0</v>
      </c>
      <c r="O148" s="761">
        <f t="shared" si="114"/>
        <v>0</v>
      </c>
      <c r="P148" s="761">
        <f t="shared" si="114"/>
        <v>0</v>
      </c>
      <c r="Q148" s="761">
        <f t="shared" si="114"/>
        <v>0</v>
      </c>
      <c r="R148" s="761">
        <f t="shared" si="114"/>
        <v>0</v>
      </c>
      <c r="S148" s="761">
        <f t="shared" si="113"/>
        <v>0</v>
      </c>
      <c r="T148" s="552"/>
      <c r="U148" s="552"/>
      <c r="V148" s="552"/>
      <c r="W148" s="552"/>
      <c r="X148" s="552"/>
      <c r="Y148" s="552"/>
      <c r="Z148" s="552"/>
      <c r="AA148" s="552"/>
      <c r="AB148" s="552"/>
      <c r="AC148" s="552"/>
      <c r="AD148" s="552"/>
      <c r="AE148" s="552"/>
      <c r="AF148" s="552"/>
      <c r="AG148" s="552"/>
      <c r="AH148" s="552"/>
      <c r="AI148" s="552"/>
      <c r="AJ148" s="552"/>
      <c r="AK148" s="326"/>
      <c r="AL148" s="42"/>
      <c r="BA148" s="1479"/>
      <c r="BB148" s="1479"/>
      <c r="BC148" s="1479"/>
      <c r="BD148" s="1479"/>
      <c r="BE148" s="1479"/>
      <c r="BF148" s="1479"/>
      <c r="BG148" s="1479"/>
      <c r="BH148" s="1479"/>
      <c r="BI148" s="1479"/>
      <c r="BJ148" s="1479"/>
      <c r="BK148" s="1479"/>
      <c r="BL148" s="1479"/>
      <c r="BM148" s="1479"/>
      <c r="BN148" s="1479"/>
      <c r="BO148" s="1479"/>
      <c r="BP148" s="1479"/>
      <c r="BQ148" s="1479"/>
      <c r="BR148" s="1479"/>
      <c r="BS148" s="1479"/>
      <c r="BT148" s="1479"/>
      <c r="BU148" s="1479"/>
      <c r="BV148" s="1479"/>
      <c r="BW148" s="1479"/>
      <c r="BX148" s="1479"/>
      <c r="BY148" s="1479"/>
      <c r="BZ148" s="1479"/>
      <c r="CA148" s="1479"/>
      <c r="CB148" s="1479"/>
      <c r="CC148" s="1479"/>
      <c r="CD148" s="1479"/>
      <c r="CE148" s="1479"/>
      <c r="CF148" s="1479"/>
      <c r="CG148" s="1479"/>
      <c r="CH148" s="1479"/>
      <c r="CI148" s="31"/>
      <c r="CJ148" s="31"/>
      <c r="CK148" s="31"/>
      <c r="CL148" s="31"/>
      <c r="CM148" s="31"/>
      <c r="CN148" s="31"/>
      <c r="CO148" s="31"/>
      <c r="CP148" s="31"/>
      <c r="CQ148" s="31"/>
      <c r="CS148" s="233"/>
      <c r="CT148" s="233"/>
      <c r="CU148" s="30"/>
      <c r="CV148" s="523"/>
      <c r="CW148" s="523"/>
      <c r="DK148" s="52"/>
    </row>
    <row r="149" spans="3:115" ht="14.25" hidden="1" customHeight="1">
      <c r="C149" s="1779">
        <f t="shared" si="109"/>
        <v>0</v>
      </c>
      <c r="D149" s="1780"/>
      <c r="E149" s="1776">
        <v>4</v>
      </c>
      <c r="F149" s="1783" t="str">
        <f t="shared" si="110"/>
        <v>MwSt</v>
      </c>
      <c r="G149" s="761">
        <f t="shared" ref="G149:R149" si="115">G106*$E106+G107*$E107+G108*$E108+G109*$E109</f>
        <v>0</v>
      </c>
      <c r="H149" s="761">
        <f t="shared" si="115"/>
        <v>0</v>
      </c>
      <c r="I149" s="761">
        <f t="shared" si="115"/>
        <v>0</v>
      </c>
      <c r="J149" s="761">
        <f t="shared" si="115"/>
        <v>0</v>
      </c>
      <c r="K149" s="761">
        <f t="shared" si="115"/>
        <v>0</v>
      </c>
      <c r="L149" s="761">
        <f t="shared" si="115"/>
        <v>0</v>
      </c>
      <c r="M149" s="761">
        <f t="shared" si="115"/>
        <v>0</v>
      </c>
      <c r="N149" s="761">
        <f t="shared" si="115"/>
        <v>0</v>
      </c>
      <c r="O149" s="761">
        <f t="shared" si="115"/>
        <v>0</v>
      </c>
      <c r="P149" s="761">
        <f t="shared" si="115"/>
        <v>0</v>
      </c>
      <c r="Q149" s="761">
        <f t="shared" si="115"/>
        <v>0</v>
      </c>
      <c r="R149" s="761">
        <f t="shared" si="115"/>
        <v>0</v>
      </c>
      <c r="S149" s="761">
        <f t="shared" si="113"/>
        <v>0</v>
      </c>
      <c r="T149" s="552"/>
      <c r="U149" s="1777" t="s">
        <v>943</v>
      </c>
      <c r="V149" s="1778"/>
      <c r="W149" s="1394"/>
      <c r="X149" s="1268">
        <f t="shared" ref="X149:AI149" si="116">X104*$AJ$105+X106*$AJ$107+X108*$AJ$109+X110*$AJ$111</f>
        <v>0</v>
      </c>
      <c r="Y149" s="1268">
        <f t="shared" si="116"/>
        <v>0</v>
      </c>
      <c r="Z149" s="1268">
        <f t="shared" si="116"/>
        <v>0</v>
      </c>
      <c r="AA149" s="1268">
        <f t="shared" si="116"/>
        <v>0</v>
      </c>
      <c r="AB149" s="1268">
        <f t="shared" si="116"/>
        <v>0</v>
      </c>
      <c r="AC149" s="1268">
        <f t="shared" si="116"/>
        <v>0</v>
      </c>
      <c r="AD149" s="1268">
        <f t="shared" si="116"/>
        <v>0</v>
      </c>
      <c r="AE149" s="1268">
        <f t="shared" si="116"/>
        <v>0</v>
      </c>
      <c r="AF149" s="1268">
        <f t="shared" si="116"/>
        <v>0</v>
      </c>
      <c r="AG149" s="1268">
        <f t="shared" si="116"/>
        <v>0</v>
      </c>
      <c r="AH149" s="1268">
        <f t="shared" si="116"/>
        <v>0</v>
      </c>
      <c r="AI149" s="1268">
        <f t="shared" si="116"/>
        <v>0</v>
      </c>
      <c r="AJ149" s="1785">
        <f>SUM(X149:AI149)</f>
        <v>0</v>
      </c>
      <c r="AK149" s="326"/>
      <c r="AL149" s="42"/>
      <c r="BA149" s="1479"/>
      <c r="BB149" s="1479"/>
      <c r="BC149" s="1479"/>
      <c r="BD149" s="1479"/>
      <c r="BE149" s="1479"/>
      <c r="BF149" s="1479"/>
      <c r="BG149" s="1479"/>
      <c r="BH149" s="1479"/>
      <c r="BI149" s="1479"/>
      <c r="BJ149" s="1479"/>
      <c r="BK149" s="1479"/>
      <c r="BL149" s="1479"/>
      <c r="BM149" s="1479"/>
      <c r="BN149" s="1479"/>
      <c r="BO149" s="1479"/>
      <c r="BP149" s="1479"/>
      <c r="BQ149" s="1479"/>
      <c r="BR149" s="1479"/>
      <c r="BS149" s="1479"/>
      <c r="BT149" s="1479"/>
      <c r="BU149" s="1479"/>
      <c r="BV149" s="1479"/>
      <c r="BW149" s="1479"/>
      <c r="BX149" s="1479"/>
      <c r="BY149" s="1479"/>
      <c r="BZ149" s="1479"/>
      <c r="CA149" s="1479"/>
      <c r="CB149" s="1479"/>
      <c r="CC149" s="1479"/>
      <c r="CD149" s="1479"/>
      <c r="CE149" s="1479"/>
      <c r="CF149" s="1479"/>
      <c r="CG149" s="1479"/>
      <c r="CH149" s="1479"/>
      <c r="CI149" s="31"/>
      <c r="CJ149" s="31"/>
      <c r="CK149" s="31"/>
      <c r="CL149" s="31"/>
      <c r="CM149" s="31"/>
      <c r="CN149" s="31"/>
      <c r="CO149" s="31"/>
      <c r="CP149" s="31"/>
      <c r="CQ149" s="31"/>
      <c r="CS149" s="233"/>
      <c r="CT149" s="233"/>
      <c r="CU149" s="30"/>
      <c r="CV149" s="523"/>
      <c r="CW149" s="523"/>
      <c r="DK149" s="52"/>
    </row>
    <row r="150" spans="3:115" ht="14.25" hidden="1" customHeight="1">
      <c r="C150" s="1779">
        <f t="shared" si="109"/>
        <v>0</v>
      </c>
      <c r="D150" s="1780"/>
      <c r="E150" s="1776">
        <v>5</v>
      </c>
      <c r="F150" s="1783" t="str">
        <f t="shared" si="110"/>
        <v>MwSt</v>
      </c>
      <c r="G150" s="761">
        <f t="shared" ref="G150:R150" si="117">G112*$E112+G113*$E113+G114*$E114+G115*$E115</f>
        <v>0</v>
      </c>
      <c r="H150" s="761">
        <f t="shared" si="117"/>
        <v>0</v>
      </c>
      <c r="I150" s="761">
        <f t="shared" si="117"/>
        <v>0</v>
      </c>
      <c r="J150" s="761">
        <f t="shared" si="117"/>
        <v>0</v>
      </c>
      <c r="K150" s="761">
        <f t="shared" si="117"/>
        <v>0</v>
      </c>
      <c r="L150" s="761">
        <f t="shared" si="117"/>
        <v>0</v>
      </c>
      <c r="M150" s="761">
        <f t="shared" si="117"/>
        <v>0</v>
      </c>
      <c r="N150" s="761">
        <f t="shared" si="117"/>
        <v>0</v>
      </c>
      <c r="O150" s="761">
        <f t="shared" si="117"/>
        <v>0</v>
      </c>
      <c r="P150" s="761">
        <f t="shared" si="117"/>
        <v>0</v>
      </c>
      <c r="Q150" s="761">
        <f t="shared" si="117"/>
        <v>0</v>
      </c>
      <c r="R150" s="761">
        <f t="shared" si="117"/>
        <v>0</v>
      </c>
      <c r="S150" s="761">
        <f t="shared" si="113"/>
        <v>0</v>
      </c>
      <c r="T150" s="552"/>
      <c r="U150" s="552"/>
      <c r="V150" s="552"/>
      <c r="W150" s="552"/>
      <c r="X150" s="552"/>
      <c r="Y150" s="552"/>
      <c r="Z150" s="552"/>
      <c r="AA150" s="552"/>
      <c r="AB150" s="552"/>
      <c r="AC150" s="552"/>
      <c r="AD150" s="552"/>
      <c r="AE150" s="552"/>
      <c r="AF150" s="552"/>
      <c r="AG150" s="552"/>
      <c r="AH150" s="552"/>
      <c r="AI150" s="552"/>
      <c r="AJ150" s="1343"/>
      <c r="AK150" s="613"/>
      <c r="AL150" s="42"/>
      <c r="AM150" s="613"/>
      <c r="BA150" s="1479"/>
      <c r="BB150" s="1479"/>
      <c r="BC150" s="1479"/>
      <c r="BD150" s="1479"/>
      <c r="BE150" s="1479"/>
      <c r="BF150" s="1479"/>
      <c r="BG150" s="1479"/>
      <c r="BH150" s="1479"/>
      <c r="BI150" s="1479"/>
      <c r="BJ150" s="1479"/>
      <c r="BK150" s="1479"/>
      <c r="BL150" s="1479"/>
      <c r="BM150" s="1479"/>
      <c r="BN150" s="1479"/>
      <c r="BO150" s="1479"/>
      <c r="BP150" s="1479"/>
      <c r="BQ150" s="1479"/>
      <c r="BR150" s="1479"/>
      <c r="BS150" s="1479"/>
      <c r="BT150" s="1479"/>
      <c r="BU150" s="1479"/>
      <c r="BV150" s="1479"/>
      <c r="BW150" s="1479"/>
      <c r="BX150" s="1479"/>
      <c r="BY150" s="1479"/>
      <c r="BZ150" s="1479"/>
      <c r="CA150" s="1479"/>
      <c r="CB150" s="1479"/>
      <c r="CC150" s="1479"/>
      <c r="CD150" s="1479"/>
      <c r="CE150" s="1479"/>
      <c r="CF150" s="1479"/>
      <c r="CG150" s="1479"/>
      <c r="CH150" s="1479"/>
      <c r="CI150" s="31"/>
      <c r="CJ150" s="31"/>
      <c r="CK150" s="31"/>
      <c r="CL150" s="31"/>
      <c r="CM150" s="31"/>
      <c r="CN150" s="31"/>
      <c r="CO150" s="31"/>
      <c r="CP150" s="31"/>
      <c r="CQ150" s="31"/>
      <c r="CS150" s="233"/>
      <c r="CT150" s="233"/>
      <c r="CU150" s="30"/>
      <c r="CV150" s="523"/>
      <c r="CW150" s="523"/>
      <c r="DK150" s="52"/>
    </row>
    <row r="151" spans="3:115" ht="14.25" hidden="1" customHeight="1">
      <c r="C151" s="1779">
        <f t="shared" si="109"/>
        <v>0</v>
      </c>
      <c r="D151" s="1780"/>
      <c r="E151" s="1776">
        <v>6</v>
      </c>
      <c r="F151" s="1783" t="str">
        <f t="shared" si="110"/>
        <v>MwSt</v>
      </c>
      <c r="G151" s="761">
        <f t="shared" ref="G151:R151" si="118">G118*$E118+G119*$E119+G120*$E120+G121*$E121+G122*$E122</f>
        <v>0</v>
      </c>
      <c r="H151" s="761">
        <f t="shared" si="118"/>
        <v>0</v>
      </c>
      <c r="I151" s="761">
        <f t="shared" si="118"/>
        <v>0</v>
      </c>
      <c r="J151" s="761">
        <f t="shared" si="118"/>
        <v>0</v>
      </c>
      <c r="K151" s="761">
        <f t="shared" si="118"/>
        <v>0</v>
      </c>
      <c r="L151" s="761">
        <f t="shared" si="118"/>
        <v>0</v>
      </c>
      <c r="M151" s="761">
        <f t="shared" si="118"/>
        <v>0</v>
      </c>
      <c r="N151" s="761">
        <f t="shared" si="118"/>
        <v>0</v>
      </c>
      <c r="O151" s="761">
        <f t="shared" si="118"/>
        <v>0</v>
      </c>
      <c r="P151" s="761">
        <f t="shared" si="118"/>
        <v>0</v>
      </c>
      <c r="Q151" s="761">
        <f t="shared" si="118"/>
        <v>0</v>
      </c>
      <c r="R151" s="761">
        <f t="shared" si="118"/>
        <v>0</v>
      </c>
      <c r="S151" s="761">
        <f t="shared" si="113"/>
        <v>0</v>
      </c>
      <c r="T151" s="552"/>
      <c r="U151" s="26"/>
      <c r="V151" s="26"/>
      <c r="X151" s="28"/>
      <c r="Y151" s="549"/>
      <c r="Z151" s="549"/>
      <c r="AA151" s="28"/>
      <c r="AB151" s="28"/>
      <c r="AC151" s="28"/>
      <c r="AD151" s="28"/>
      <c r="AE151" s="28"/>
      <c r="AF151" s="28"/>
      <c r="AG151" s="28"/>
      <c r="AH151" s="28"/>
      <c r="AI151" s="28"/>
      <c r="AJ151" s="28"/>
      <c r="AK151" s="613"/>
      <c r="AL151" s="42"/>
      <c r="BA151" s="1479"/>
      <c r="BB151" s="1479"/>
      <c r="BC151" s="1479"/>
      <c r="BD151" s="1479"/>
      <c r="BE151" s="1479"/>
      <c r="BF151" s="1479"/>
      <c r="BG151" s="1479"/>
      <c r="BH151" s="1479"/>
      <c r="BI151" s="1479"/>
      <c r="BJ151" s="1479"/>
      <c r="BK151" s="1479"/>
      <c r="BL151" s="1479"/>
      <c r="BM151" s="1479"/>
      <c r="BN151" s="1479"/>
      <c r="BO151" s="1479"/>
      <c r="BP151" s="1479"/>
      <c r="BQ151" s="1479"/>
      <c r="BR151" s="1479"/>
      <c r="BS151" s="1479"/>
      <c r="BT151" s="1479"/>
      <c r="BU151" s="1479"/>
      <c r="BV151" s="1479"/>
      <c r="BW151" s="1479"/>
      <c r="BX151" s="1479"/>
      <c r="BY151" s="1479"/>
      <c r="BZ151" s="1479"/>
      <c r="CA151" s="1479"/>
      <c r="CB151" s="1479"/>
      <c r="CC151" s="1479"/>
      <c r="CD151" s="1479"/>
      <c r="CE151" s="1479"/>
      <c r="CF151" s="1479"/>
      <c r="CG151" s="1479"/>
      <c r="CH151" s="1479"/>
      <c r="CI151" s="31"/>
      <c r="CJ151" s="31"/>
      <c r="CK151" s="31"/>
      <c r="CL151" s="31"/>
      <c r="CM151" s="31"/>
      <c r="CN151" s="31"/>
      <c r="CO151" s="31"/>
      <c r="CP151" s="31"/>
      <c r="CQ151" s="31"/>
      <c r="CS151" s="233"/>
      <c r="CT151" s="233"/>
      <c r="CU151" s="30"/>
      <c r="CV151" s="523"/>
      <c r="CW151" s="523"/>
      <c r="DK151" s="52"/>
    </row>
    <row r="152" spans="3:115" ht="14.25" hidden="1" customHeight="1">
      <c r="C152" s="1781"/>
      <c r="D152" s="1780"/>
      <c r="E152" s="1776">
        <v>7</v>
      </c>
      <c r="F152" s="1783" t="str">
        <f t="shared" si="110"/>
        <v>MwSt</v>
      </c>
      <c r="G152" s="761">
        <f t="shared" ref="G152:R152" si="119">G126*$E126+G127*$E127+G128*$E128+G129*$E129+G130*$E130</f>
        <v>0</v>
      </c>
      <c r="H152" s="761">
        <f t="shared" si="119"/>
        <v>0</v>
      </c>
      <c r="I152" s="761">
        <f t="shared" si="119"/>
        <v>0</v>
      </c>
      <c r="J152" s="761">
        <f t="shared" si="119"/>
        <v>0</v>
      </c>
      <c r="K152" s="761">
        <f t="shared" si="119"/>
        <v>0</v>
      </c>
      <c r="L152" s="761">
        <f t="shared" si="119"/>
        <v>0</v>
      </c>
      <c r="M152" s="761">
        <f t="shared" si="119"/>
        <v>0</v>
      </c>
      <c r="N152" s="761">
        <f t="shared" si="119"/>
        <v>0</v>
      </c>
      <c r="O152" s="761">
        <f t="shared" si="119"/>
        <v>0</v>
      </c>
      <c r="P152" s="761">
        <f t="shared" si="119"/>
        <v>0</v>
      </c>
      <c r="Q152" s="761">
        <f t="shared" si="119"/>
        <v>0</v>
      </c>
      <c r="R152" s="761">
        <f t="shared" si="119"/>
        <v>0</v>
      </c>
      <c r="S152" s="761">
        <f t="shared" si="113"/>
        <v>0</v>
      </c>
      <c r="T152" s="552"/>
      <c r="U152" s="26"/>
      <c r="V152" s="26"/>
      <c r="X152" s="28"/>
      <c r="Y152" s="549"/>
      <c r="Z152" s="549"/>
      <c r="AA152" s="28"/>
      <c r="AB152" s="28"/>
      <c r="AC152" s="28"/>
      <c r="AD152" s="28"/>
      <c r="AE152" s="28"/>
      <c r="AF152" s="28"/>
      <c r="AG152" s="28"/>
      <c r="AH152" s="28"/>
      <c r="AI152" s="28"/>
      <c r="AJ152" s="28"/>
      <c r="AK152" s="613"/>
      <c r="AL152" s="42"/>
      <c r="BA152" s="1479"/>
      <c r="BB152" s="1479"/>
      <c r="BC152" s="1479"/>
      <c r="BD152" s="1479"/>
      <c r="BE152" s="1479"/>
      <c r="BF152" s="1479"/>
      <c r="BG152" s="1479"/>
      <c r="BH152" s="1479"/>
      <c r="BI152" s="1479"/>
      <c r="BJ152" s="1479"/>
      <c r="BK152" s="1479"/>
      <c r="BL152" s="1479"/>
      <c r="BM152" s="1479"/>
      <c r="BN152" s="1479"/>
      <c r="BO152" s="1479"/>
      <c r="BP152" s="1479"/>
      <c r="BQ152" s="1479"/>
      <c r="BR152" s="1479"/>
      <c r="BS152" s="1479"/>
      <c r="BT152" s="1479"/>
      <c r="BU152" s="1479"/>
      <c r="BV152" s="1479"/>
      <c r="BW152" s="1479"/>
      <c r="BX152" s="1479"/>
      <c r="BY152" s="1479"/>
      <c r="BZ152" s="1479"/>
      <c r="CA152" s="1479"/>
      <c r="CB152" s="1479"/>
      <c r="CC152" s="1479"/>
      <c r="CD152" s="1479"/>
      <c r="CE152" s="1479"/>
      <c r="CF152" s="1479"/>
      <c r="CG152" s="1479"/>
      <c r="CH152" s="1479"/>
      <c r="CI152" s="31"/>
      <c r="CJ152" s="31"/>
      <c r="CK152" s="31"/>
      <c r="CL152" s="31"/>
      <c r="CM152" s="31"/>
      <c r="CN152" s="31"/>
      <c r="CO152" s="31"/>
      <c r="CP152" s="31"/>
      <c r="CQ152" s="31"/>
      <c r="CS152" s="233"/>
      <c r="CT152" s="233"/>
      <c r="CU152" s="30"/>
      <c r="CV152" s="523"/>
      <c r="CW152" s="523"/>
      <c r="DK152" s="52"/>
    </row>
    <row r="153" spans="3:115" ht="14.25" hidden="1" customHeight="1">
      <c r="C153" s="1781"/>
      <c r="D153" s="1780"/>
      <c r="E153" s="1776">
        <v>8</v>
      </c>
      <c r="F153" s="1783" t="str">
        <f t="shared" si="110"/>
        <v>MwSt</v>
      </c>
      <c r="G153" s="761">
        <f t="shared" ref="G153:R153" si="120">G133*$E133+G134*$E134+G135*$E135</f>
        <v>0</v>
      </c>
      <c r="H153" s="761">
        <f t="shared" si="120"/>
        <v>0</v>
      </c>
      <c r="I153" s="761">
        <f t="shared" si="120"/>
        <v>0</v>
      </c>
      <c r="J153" s="761">
        <f t="shared" si="120"/>
        <v>0</v>
      </c>
      <c r="K153" s="761">
        <f t="shared" si="120"/>
        <v>0</v>
      </c>
      <c r="L153" s="761">
        <f t="shared" si="120"/>
        <v>0</v>
      </c>
      <c r="M153" s="761">
        <f t="shared" si="120"/>
        <v>0</v>
      </c>
      <c r="N153" s="761">
        <f t="shared" si="120"/>
        <v>0</v>
      </c>
      <c r="O153" s="761">
        <f t="shared" si="120"/>
        <v>0</v>
      </c>
      <c r="P153" s="761">
        <f t="shared" si="120"/>
        <v>0</v>
      </c>
      <c r="Q153" s="761">
        <f t="shared" si="120"/>
        <v>0</v>
      </c>
      <c r="R153" s="761">
        <f t="shared" si="120"/>
        <v>0</v>
      </c>
      <c r="S153" s="761">
        <f t="shared" si="113"/>
        <v>0</v>
      </c>
      <c r="T153" s="552"/>
      <c r="U153" s="26"/>
      <c r="V153" s="26"/>
      <c r="X153" s="28"/>
      <c r="Y153" s="549"/>
      <c r="Z153" s="549"/>
      <c r="AA153" s="28"/>
      <c r="AB153" s="28"/>
      <c r="AC153" s="28"/>
      <c r="AD153" s="28"/>
      <c r="AE153" s="28"/>
      <c r="AF153" s="28"/>
      <c r="AG153" s="28"/>
      <c r="AH153" s="28"/>
      <c r="AI153" s="28"/>
      <c r="AJ153" s="28"/>
      <c r="AK153" s="613"/>
      <c r="AL153" s="42"/>
      <c r="BA153" s="1479"/>
      <c r="BB153" s="1479"/>
      <c r="BC153" s="1479"/>
      <c r="BD153" s="1479"/>
      <c r="BE153" s="1479"/>
      <c r="BF153" s="1479"/>
      <c r="BG153" s="1479"/>
      <c r="BH153" s="1479"/>
      <c r="BI153" s="1479"/>
      <c r="BJ153" s="1479"/>
      <c r="BK153" s="1479"/>
      <c r="BL153" s="1479"/>
      <c r="BM153" s="1479"/>
      <c r="BN153" s="1479"/>
      <c r="BO153" s="1479"/>
      <c r="BP153" s="1479"/>
      <c r="BQ153" s="1479"/>
      <c r="BR153" s="1479"/>
      <c r="BS153" s="1479"/>
      <c r="BT153" s="1479"/>
      <c r="BU153" s="1479"/>
      <c r="BV153" s="1479"/>
      <c r="BW153" s="1479"/>
      <c r="BX153" s="1479"/>
      <c r="BY153" s="1479"/>
      <c r="BZ153" s="1479"/>
      <c r="CA153" s="1479"/>
      <c r="CB153" s="1479"/>
      <c r="CC153" s="1479"/>
      <c r="CD153" s="1479"/>
      <c r="CE153" s="1479"/>
      <c r="CF153" s="1479"/>
      <c r="CG153" s="1479"/>
      <c r="CH153" s="1479"/>
      <c r="CI153" s="31"/>
      <c r="CJ153" s="31"/>
      <c r="CK153" s="31"/>
      <c r="CL153" s="31"/>
      <c r="CM153" s="31"/>
      <c r="CN153" s="31"/>
      <c r="CO153" s="31"/>
      <c r="CP153" s="31"/>
      <c r="CQ153" s="31"/>
      <c r="CS153" s="233"/>
      <c r="CT153" s="233"/>
      <c r="CU153" s="30"/>
      <c r="CV153" s="523"/>
      <c r="CW153" s="523"/>
      <c r="DK153" s="52"/>
    </row>
    <row r="154" spans="3:115" ht="14.25" hidden="1" customHeight="1">
      <c r="C154" s="1782"/>
      <c r="D154" s="1780"/>
      <c r="E154" s="1776">
        <v>9</v>
      </c>
      <c r="F154" s="1783" t="str">
        <f t="shared" si="110"/>
        <v>MwSt</v>
      </c>
      <c r="G154" s="761">
        <f t="shared" ref="G154:R154" si="121">G138*$E138+G139*$E139+G140*$E140+G141*$E141</f>
        <v>0</v>
      </c>
      <c r="H154" s="761">
        <f t="shared" si="121"/>
        <v>0</v>
      </c>
      <c r="I154" s="761">
        <f t="shared" si="121"/>
        <v>0</v>
      </c>
      <c r="J154" s="761">
        <f t="shared" si="121"/>
        <v>0</v>
      </c>
      <c r="K154" s="761">
        <f t="shared" si="121"/>
        <v>0</v>
      </c>
      <c r="L154" s="761">
        <f t="shared" si="121"/>
        <v>0</v>
      </c>
      <c r="M154" s="761">
        <f t="shared" si="121"/>
        <v>0</v>
      </c>
      <c r="N154" s="761">
        <f t="shared" si="121"/>
        <v>0</v>
      </c>
      <c r="O154" s="761">
        <f t="shared" si="121"/>
        <v>0</v>
      </c>
      <c r="P154" s="761">
        <f t="shared" si="121"/>
        <v>0</v>
      </c>
      <c r="Q154" s="761">
        <f t="shared" si="121"/>
        <v>0</v>
      </c>
      <c r="R154" s="761">
        <f t="shared" si="121"/>
        <v>0</v>
      </c>
      <c r="S154" s="761">
        <f t="shared" si="113"/>
        <v>0</v>
      </c>
      <c r="T154" s="552"/>
      <c r="U154" s="26"/>
      <c r="V154" s="26"/>
      <c r="X154" s="28"/>
      <c r="Y154" s="549"/>
      <c r="Z154" s="549"/>
      <c r="AA154" s="28"/>
      <c r="AB154" s="28"/>
      <c r="AC154" s="28"/>
      <c r="AD154" s="28"/>
      <c r="AE154" s="28"/>
      <c r="AF154" s="28"/>
      <c r="AG154" s="28"/>
      <c r="AH154" s="28"/>
      <c r="AI154" s="28"/>
      <c r="AJ154" s="28"/>
      <c r="AK154" s="613"/>
      <c r="AL154" s="42"/>
      <c r="BA154" s="1479"/>
      <c r="BB154" s="1479"/>
      <c r="BC154" s="1479"/>
      <c r="BD154" s="1479"/>
      <c r="BE154" s="1479"/>
      <c r="BF154" s="1479"/>
      <c r="BG154" s="1479"/>
      <c r="BH154" s="1479"/>
      <c r="BI154" s="1479"/>
      <c r="BJ154" s="1479"/>
      <c r="BK154" s="1479"/>
      <c r="BL154" s="1479"/>
      <c r="BM154" s="1479"/>
      <c r="BN154" s="1479"/>
      <c r="BO154" s="1479"/>
      <c r="BP154" s="1479"/>
      <c r="BQ154" s="1479"/>
      <c r="BR154" s="1479"/>
      <c r="BS154" s="1479"/>
      <c r="BT154" s="1479"/>
      <c r="BU154" s="1479"/>
      <c r="BV154" s="1479"/>
      <c r="BW154" s="1479"/>
      <c r="BX154" s="1479"/>
      <c r="BY154" s="1479"/>
      <c r="BZ154" s="1479"/>
      <c r="CA154" s="1479"/>
      <c r="CB154" s="1479"/>
      <c r="CC154" s="1479"/>
      <c r="CD154" s="1479"/>
      <c r="CE154" s="1479"/>
      <c r="CF154" s="1479"/>
      <c r="CG154" s="1479"/>
      <c r="CH154" s="1479"/>
      <c r="CI154" s="31"/>
      <c r="CJ154" s="31"/>
      <c r="CK154" s="31"/>
      <c r="CL154" s="31"/>
      <c r="CM154" s="31"/>
      <c r="CN154" s="31"/>
      <c r="CO154" s="31"/>
      <c r="CP154" s="31"/>
      <c r="CQ154" s="31"/>
      <c r="CS154" s="233"/>
      <c r="CT154" s="233"/>
      <c r="CU154" s="30"/>
      <c r="CV154" s="523"/>
      <c r="CW154" s="523"/>
      <c r="DK154" s="52"/>
    </row>
    <row r="155" spans="3:115" ht="14.25" customHeight="1">
      <c r="C155" s="590"/>
      <c r="D155" s="1630"/>
      <c r="E155" s="574"/>
      <c r="F155" s="1262" t="str">
        <f>F77</f>
        <v>MwSt gesamt</v>
      </c>
      <c r="G155" s="1264">
        <f t="shared" ref="G155:R155" si="122">G83*$E83+G84*$E84+G85*$E85+G87*$E87+G88*$E88+G91*$E92+G95*$E95+G96*$E96+G97*$E97+G98*$E98+G99*$E99+G103*$E103+G106*$E106+G107*$E107+G108*$E108+G109*$E109+G112*$E112+G113*$E113+G114*$E114+G115*$E115+G118*$E118+G119*$E119+G120*$E120+G121*$E121+G122*$E122+G126*$E126+G127*$E127+G128*$E128+G129*$E129+G130*$E130+G133*$E133+G134*$E134+G135*$E135+G138*$E138+G139*$E139+G140*$E140+G141*$E141</f>
        <v>0</v>
      </c>
      <c r="H155" s="1264">
        <f t="shared" si="122"/>
        <v>0</v>
      </c>
      <c r="I155" s="1264">
        <f t="shared" si="122"/>
        <v>0</v>
      </c>
      <c r="J155" s="1264">
        <f t="shared" si="122"/>
        <v>0</v>
      </c>
      <c r="K155" s="1264">
        <f t="shared" si="122"/>
        <v>0</v>
      </c>
      <c r="L155" s="1264">
        <f t="shared" si="122"/>
        <v>0</v>
      </c>
      <c r="M155" s="1264">
        <f t="shared" si="122"/>
        <v>0</v>
      </c>
      <c r="N155" s="1264">
        <f t="shared" si="122"/>
        <v>0</v>
      </c>
      <c r="O155" s="1264">
        <f t="shared" si="122"/>
        <v>0</v>
      </c>
      <c r="P155" s="1264">
        <f t="shared" si="122"/>
        <v>0</v>
      </c>
      <c r="Q155" s="1264">
        <f t="shared" si="122"/>
        <v>0</v>
      </c>
      <c r="R155" s="1264">
        <f t="shared" si="122"/>
        <v>0</v>
      </c>
      <c r="S155" s="1264">
        <f>+S154+S153+S152+S151+S150+S149+S148+S147+S146</f>
        <v>0</v>
      </c>
      <c r="T155" s="552"/>
      <c r="U155" s="25"/>
      <c r="V155" s="25"/>
      <c r="W155" s="28"/>
      <c r="X155" s="28"/>
      <c r="Y155" s="28"/>
      <c r="Z155" s="28"/>
      <c r="AA155" s="28"/>
      <c r="AB155" s="28"/>
      <c r="AC155" s="28"/>
      <c r="AD155" s="28"/>
      <c r="AE155" s="28"/>
      <c r="AF155" s="28"/>
      <c r="AG155" s="28"/>
      <c r="AH155" s="28"/>
      <c r="AI155" s="592"/>
      <c r="AJ155" s="592"/>
      <c r="AK155" s="613"/>
      <c r="AL155" s="25"/>
      <c r="BA155" s="1479"/>
      <c r="BB155" s="1479"/>
      <c r="BC155" s="1479"/>
      <c r="BD155" s="1479"/>
      <c r="BE155" s="1479"/>
      <c r="BF155" s="1479"/>
      <c r="BG155" s="1479"/>
      <c r="BH155" s="1479"/>
      <c r="BI155" s="1479"/>
      <c r="BJ155" s="1479"/>
      <c r="BK155" s="1479"/>
      <c r="BL155" s="1479"/>
      <c r="BM155" s="1479"/>
      <c r="BN155" s="1479"/>
      <c r="BO155" s="1479"/>
      <c r="BP155" s="1479"/>
      <c r="BQ155" s="1479"/>
      <c r="BR155" s="1479"/>
      <c r="BS155" s="1479"/>
      <c r="BT155" s="1479"/>
      <c r="BU155" s="1479"/>
      <c r="BV155" s="1479"/>
      <c r="BW155" s="1479"/>
      <c r="BX155" s="1479"/>
      <c r="BY155" s="1479"/>
      <c r="BZ155" s="1479"/>
      <c r="CA155" s="1479"/>
      <c r="CB155" s="1479"/>
      <c r="CC155" s="1479"/>
      <c r="CD155" s="1479"/>
      <c r="CE155" s="1479"/>
      <c r="CF155" s="1479"/>
      <c r="CG155" s="1479"/>
      <c r="CH155" s="1479"/>
      <c r="CI155" s="31"/>
      <c r="CJ155" s="31"/>
      <c r="CK155" s="31"/>
      <c r="CL155" s="31"/>
      <c r="CM155" s="31"/>
      <c r="CN155" s="31"/>
      <c r="CO155" s="31"/>
      <c r="CP155" s="31"/>
      <c r="CQ155" s="31"/>
      <c r="CU155" s="30" t="str">
        <f>IF(Basisdaten!$B$15=Basisdaten!$D$2,CV155,CW155)</f>
        <v>*) wird aus TAB "7 Finanzierung|Financing" übernommen (auf ganze Euro gerundet!)</v>
      </c>
      <c r="CV155" s="38" t="s">
        <v>973</v>
      </c>
      <c r="CW155" s="38" t="s">
        <v>972</v>
      </c>
      <c r="DK155" s="52"/>
    </row>
    <row r="156" spans="3:115" ht="14.25" customHeight="1">
      <c r="C156" s="591"/>
      <c r="D156" s="1638"/>
      <c r="E156" s="574"/>
      <c r="F156" s="1140"/>
      <c r="G156" s="310"/>
      <c r="H156" s="310"/>
      <c r="I156" s="310"/>
      <c r="J156" s="310"/>
      <c r="K156" s="310"/>
      <c r="L156" s="310"/>
      <c r="M156" s="310"/>
      <c r="N156" s="310"/>
      <c r="O156" s="310"/>
      <c r="P156" s="310"/>
      <c r="Q156" s="310"/>
      <c r="R156" s="310"/>
      <c r="S156" s="1141"/>
      <c r="T156" s="552"/>
      <c r="W156" s="592"/>
      <c r="X156" s="592"/>
      <c r="Y156" s="592"/>
      <c r="Z156" s="592"/>
      <c r="AA156" s="592"/>
      <c r="AB156" s="592"/>
      <c r="AC156" s="592"/>
      <c r="AD156" s="592"/>
      <c r="AE156" s="592"/>
      <c r="AF156" s="592"/>
      <c r="AG156" s="592"/>
      <c r="AH156" s="592"/>
      <c r="AI156" s="592"/>
      <c r="AJ156" s="592"/>
      <c r="AK156" s="613"/>
      <c r="AM156" s="1482"/>
      <c r="AN156" s="1482"/>
      <c r="AO156" s="1482"/>
      <c r="AP156" s="1482"/>
      <c r="AQ156" s="1482"/>
      <c r="AR156" s="1482"/>
      <c r="AS156" s="1482"/>
      <c r="AT156" s="1482"/>
      <c r="AU156" s="1482"/>
      <c r="AV156" s="1482"/>
      <c r="AW156" s="1482"/>
      <c r="AX156" s="1482"/>
      <c r="AY156" s="1482"/>
      <c r="AZ156" s="1482"/>
      <c r="BA156" s="1483"/>
      <c r="BB156" s="1483"/>
      <c r="BC156" s="1483"/>
      <c r="BD156" s="1483"/>
      <c r="BE156" s="1483"/>
      <c r="BF156" s="1483"/>
      <c r="BG156" s="1483"/>
      <c r="BH156" s="1483"/>
      <c r="BI156" s="1483"/>
      <c r="BJ156" s="1483"/>
      <c r="BK156" s="1483"/>
      <c r="BL156" s="1483"/>
      <c r="BM156" s="1483"/>
      <c r="BN156" s="1483"/>
      <c r="BO156" s="1483"/>
      <c r="BP156" s="1483"/>
      <c r="BQ156" s="1483"/>
      <c r="BR156" s="1483"/>
      <c r="BS156" s="1483"/>
      <c r="BT156" s="1483"/>
      <c r="BU156" s="1483"/>
      <c r="BV156" s="1483"/>
      <c r="BW156" s="1483"/>
      <c r="BX156" s="1483"/>
      <c r="BY156" s="1483"/>
      <c r="BZ156" s="1483"/>
      <c r="CA156" s="1483"/>
      <c r="CB156" s="1483"/>
      <c r="CC156" s="1483"/>
      <c r="CD156" s="1483"/>
      <c r="CE156" s="1483"/>
      <c r="CF156" s="1483"/>
      <c r="CG156" s="1483"/>
      <c r="CH156" s="1483"/>
      <c r="CI156" s="560"/>
      <c r="CJ156" s="560"/>
      <c r="CK156" s="560"/>
      <c r="CL156" s="560"/>
      <c r="CM156" s="560"/>
      <c r="CN156" s="560"/>
      <c r="CO156" s="560"/>
      <c r="CP156" s="560"/>
      <c r="CQ156" s="560"/>
      <c r="CU156" s="30"/>
      <c r="CV156" s="38"/>
      <c r="CW156" s="38"/>
      <c r="DK156" s="52"/>
    </row>
    <row r="157" spans="3:115" s="37" customFormat="1" ht="24.6">
      <c r="C157" s="589"/>
      <c r="D157" s="1630"/>
      <c r="E157" s="163" t="str">
        <f ca="1">CU157</f>
        <v>3b Betriebskosten für die Jahre 2028 - 2030</v>
      </c>
      <c r="I157" s="578">
        <f>IFERROR(I224,"undo")</f>
        <v>0</v>
      </c>
      <c r="J157" s="578">
        <f>IFERROR(J224,"undo")</f>
        <v>0</v>
      </c>
      <c r="K157" s="1725"/>
      <c r="L157" s="614">
        <f>IFERROR(SUM(I224:K224),"1")</f>
        <v>0</v>
      </c>
      <c r="M157" s="615"/>
      <c r="N157" s="616"/>
      <c r="O157" s="615"/>
      <c r="P157" s="45"/>
      <c r="Q157" s="616" t="str">
        <f ca="1">"Betriebskosten II (" &amp;Basisdaten!L15 &amp;  ") für die Jahre " &amp;Basisdaten!O18</f>
        <v>Betriebskosten II ( (ohne MwSt) ) für die Jahre 2026 - 2030</v>
      </c>
      <c r="R157" s="615"/>
      <c r="S157" s="615"/>
      <c r="T157" s="558"/>
      <c r="U157" s="1274" t="str">
        <f ca="1">CN157</f>
        <v>4b-1.1 Aufstellung geringwertige Wirtschaftsgüter (GWG) der gewählten Geschäftsart für die Jahre 2028 - 2030</v>
      </c>
      <c r="V157" s="1311"/>
      <c r="W157" s="1311"/>
      <c r="X157" s="1311"/>
      <c r="Y157" s="1311"/>
      <c r="Z157" s="1311"/>
      <c r="AA157" s="1311"/>
      <c r="AB157" s="1311"/>
      <c r="AC157" s="1311"/>
      <c r="AD157" s="28"/>
      <c r="AE157" s="1542"/>
      <c r="AF157" s="1529"/>
      <c r="AG157" s="1511"/>
      <c r="AH157" s="1511"/>
      <c r="AI157" s="1540"/>
      <c r="AJ157" s="432"/>
      <c r="AK157" s="613"/>
      <c r="AM157" s="50"/>
      <c r="AN157" s="50"/>
      <c r="AO157" s="50"/>
      <c r="AP157" s="50"/>
      <c r="AQ157" s="50"/>
      <c r="AR157" s="50"/>
      <c r="AS157" s="50"/>
      <c r="AT157" s="50"/>
      <c r="AU157" s="50"/>
      <c r="AV157" s="50"/>
      <c r="AW157" s="50"/>
      <c r="AX157" s="50"/>
      <c r="AY157" s="50"/>
      <c r="AZ157" s="50"/>
      <c r="BA157" s="176"/>
      <c r="BB157" s="176"/>
      <c r="BC157" s="176"/>
      <c r="BD157" s="176"/>
      <c r="BE157" s="176"/>
      <c r="BF157" s="176"/>
      <c r="BG157" s="176"/>
      <c r="BH157" s="176"/>
      <c r="BI157" s="176"/>
      <c r="BJ157" s="176"/>
      <c r="BK157" s="176"/>
      <c r="BL157" s="176"/>
      <c r="BM157" s="176"/>
      <c r="BN157" s="176"/>
      <c r="BO157" s="176"/>
      <c r="BP157" s="176"/>
      <c r="BQ157" s="176"/>
      <c r="BR157" s="176"/>
      <c r="BS157" s="176"/>
      <c r="BT157" s="176"/>
      <c r="BU157" s="176"/>
      <c r="BV157" s="176"/>
      <c r="BW157" s="176"/>
      <c r="BX157" s="176"/>
      <c r="BY157" s="176"/>
      <c r="BZ157" s="176"/>
      <c r="CA157" s="176"/>
      <c r="CB157" s="176"/>
      <c r="CC157" s="176"/>
      <c r="CD157" s="176"/>
      <c r="CE157" s="176"/>
      <c r="CF157" s="176"/>
      <c r="CG157" s="176"/>
      <c r="CH157" s="176"/>
      <c r="CI157" s="36"/>
      <c r="CJ157" s="36"/>
      <c r="CK157" s="36"/>
      <c r="CL157" s="36"/>
      <c r="CM157" s="36"/>
      <c r="CN157" s="37" t="str">
        <f ca="1">IF(Basisdaten!$B$15=Basisdaten!$D$2,CO157,CP157)</f>
        <v>4b-1.1 Aufstellung geringwertige Wirtschaftsgüter (GWG) der gewählten Geschäftsart für die Jahre 2028 - 2030</v>
      </c>
      <c r="CO157" s="37" t="str">
        <f ca="1">"4b-1.1 Aufstellung geringwertige Wirtschaftsgüter (GWG) der gewählten Geschäftsart für die Jahre "&amp;Basisdaten!$O$17</f>
        <v>4b-1.1 Aufstellung geringwertige Wirtschaftsgüter (GWG) der gewählten Geschäftsart für die Jahre 2028 - 2030</v>
      </c>
      <c r="CP157" s="309" t="str">
        <f ca="1">"4b-1.1 List of low-value assets (LVA) for the selected type of business for the years "&amp;Basisdaten!$O$17</f>
        <v>4b-1.1 List of low-value assets (LVA) for the selected type of business for the years 2028 - 2030</v>
      </c>
      <c r="CQ157" s="31"/>
      <c r="CR157" s="95"/>
      <c r="CU157" s="30" t="str">
        <f ca="1">IF(Basisdaten!$B$15=Basisdaten!$D$2,CV157,CW157)</f>
        <v>3b Betriebskosten für die Jahre 2028 - 2030</v>
      </c>
      <c r="CV157" s="38" t="str">
        <f ca="1">"3b Betriebskosten für die Jahre " &amp;Basisdaten!O17</f>
        <v>3b Betriebskosten für die Jahre 2028 - 2030</v>
      </c>
      <c r="CW157" s="38" t="str">
        <f ca="1">"3b Operating Expense for Years  " &amp;Basisdaten!O17</f>
        <v>3b Operating Expense for Years  2028 - 2030</v>
      </c>
      <c r="CX157" s="168"/>
      <c r="CY157" s="168"/>
      <c r="CZ157" s="168"/>
      <c r="DA157" s="168"/>
      <c r="DB157" s="168"/>
      <c r="DC157" s="168"/>
      <c r="DD157" s="168"/>
      <c r="DE157" s="168"/>
      <c r="DF157" s="168"/>
      <c r="DG157" s="168"/>
      <c r="DH157" s="168"/>
      <c r="DI157" s="168"/>
      <c r="DJ157" s="168"/>
    </row>
    <row r="158" spans="3:115" s="25" customFormat="1" ht="14.4" customHeight="1">
      <c r="C158" s="590"/>
      <c r="D158" s="1630"/>
      <c r="E158" s="33"/>
      <c r="G158" s="1253" t="str">
        <f>IF('2 Umsatz|Sales'!$CT$3=0,Basisdaten!$Q$15,Basisdaten!$Q$16)</f>
        <v xml:space="preserve"> (ohne MwSt) </v>
      </c>
      <c r="H158" s="1253" t="str">
        <f>IF('2 Umsatz|Sales'!$CT$23=0,Basisdaten!$Q$15,Basisdaten!$Q$16)</f>
        <v xml:space="preserve"> (ohne MwSt) </v>
      </c>
      <c r="I158" s="1142" t="str">
        <f>IF('2 Umsatz|Sales'!$CT$185=0,Basisdaten!$Q$15,Basisdaten!$Q$16)</f>
        <v xml:space="preserve"> (ohne MwSt) </v>
      </c>
      <c r="J158" s="1142" t="str">
        <f>IF('2 Umsatz|Sales'!$CT$186=0,Basisdaten!$Q$15,Basisdaten!$Q$16)</f>
        <v xml:space="preserve"> (ohne MwSt) </v>
      </c>
      <c r="K158" s="1142" t="str">
        <f>IF('2 Umsatz|Sales'!$CT$187=0,Basisdaten!$Q$15,Basisdaten!$Q$16)</f>
        <v xml:space="preserve"> (ohne MwSt) </v>
      </c>
      <c r="L158" s="63"/>
      <c r="M158" s="58"/>
      <c r="N158" s="64"/>
      <c r="O158" s="58"/>
      <c r="P158" s="24"/>
      <c r="Q158" s="64"/>
      <c r="R158" s="58"/>
      <c r="S158" s="58"/>
      <c r="T158" s="558"/>
      <c r="U158" s="2245" t="str">
        <f>U2</f>
        <v>Artikelbezeichnung</v>
      </c>
      <c r="V158" s="2246"/>
      <c r="W158" s="336" t="str">
        <f>W2</f>
        <v>Betrag</v>
      </c>
      <c r="X158" s="336" t="str">
        <f>X2</f>
        <v>Stk-Kost</v>
      </c>
      <c r="Y158" s="336" t="str">
        <f>Y2</f>
        <v>Anzahl</v>
      </c>
      <c r="Z158" s="336" t="str">
        <f>CU174</f>
        <v>Invest-Jahr</v>
      </c>
      <c r="AA158" s="336" t="str">
        <f>AA2</f>
        <v>Direkt/Pool</v>
      </c>
      <c r="AB158" s="336" t="str">
        <f>AB2</f>
        <v>Direkt</v>
      </c>
      <c r="AC158" s="336" t="str">
        <f>AC2</f>
        <v>Pool</v>
      </c>
      <c r="AD158" s="336" t="str">
        <f>AD2</f>
        <v>Kommentar</v>
      </c>
      <c r="AJ158" s="49"/>
      <c r="AK158" s="613"/>
      <c r="AL158" s="336" t="str">
        <f>AL3</f>
        <v>Aufgaben und/oder Kommentar</v>
      </c>
      <c r="AM158" s="42"/>
      <c r="AN158" s="42"/>
      <c r="AO158" s="42"/>
      <c r="AP158" s="42"/>
      <c r="AQ158" s="42"/>
      <c r="AR158" s="42"/>
      <c r="AS158" s="42"/>
      <c r="AT158" s="42"/>
      <c r="AU158" s="42"/>
      <c r="AV158" s="42"/>
      <c r="AW158" s="42"/>
      <c r="AX158" s="42"/>
      <c r="AY158" s="42"/>
      <c r="AZ158" s="42"/>
      <c r="BA158" s="1479"/>
      <c r="BB158" s="1479"/>
      <c r="BC158" s="1479"/>
      <c r="BD158" s="1479"/>
      <c r="BE158" s="1479"/>
      <c r="BF158" s="1479"/>
      <c r="BG158" s="1479"/>
      <c r="BH158" s="1479"/>
      <c r="BI158" s="1479"/>
      <c r="BJ158" s="1479"/>
      <c r="BK158" s="1479"/>
      <c r="BL158" s="1479"/>
      <c r="BM158" s="1479"/>
      <c r="BN158" s="1479"/>
      <c r="BO158" s="1479"/>
      <c r="BP158" s="1479"/>
      <c r="BQ158" s="1479"/>
      <c r="BR158" s="1479"/>
      <c r="BS158" s="1479"/>
      <c r="BT158" s="1479"/>
      <c r="BU158" s="1479"/>
      <c r="BV158" s="1479"/>
      <c r="BW158" s="1479"/>
      <c r="BX158" s="1479"/>
      <c r="BY158" s="1479"/>
      <c r="BZ158" s="1479"/>
      <c r="CA158" s="1543"/>
      <c r="CB158" s="1530" t="s">
        <v>997</v>
      </c>
      <c r="CC158" s="1530" t="s">
        <v>886</v>
      </c>
      <c r="CD158" s="481" t="s">
        <v>996</v>
      </c>
      <c r="CE158" s="1530" t="s">
        <v>995</v>
      </c>
      <c r="CF158" s="1479"/>
      <c r="CG158" s="1479"/>
      <c r="CH158" s="1479"/>
      <c r="CI158" s="31"/>
      <c r="CJ158" s="31"/>
      <c r="CK158" s="31"/>
      <c r="CL158" s="31"/>
      <c r="CM158" s="31"/>
      <c r="CR158" s="95"/>
      <c r="CS158" s="95"/>
      <c r="CT158" s="95"/>
      <c r="CU158" s="546" t="str">
        <f>IF(Basisdaten!$B$15=Basisdaten!$D$2,CV158,CW158)</f>
        <v xml:space="preserve"> Bezugsfehler! Rückgängig{Str}+{Z} / KlickUndo-Symbol </v>
      </c>
      <c r="CV158" s="546" t="s">
        <v>610</v>
      </c>
      <c r="CW158" s="141" t="s">
        <v>428</v>
      </c>
      <c r="CX158" s="60"/>
      <c r="CY158" s="60"/>
      <c r="CZ158" s="60"/>
      <c r="DA158" s="60"/>
      <c r="DB158" s="60"/>
      <c r="DC158" s="60"/>
      <c r="DD158" s="60"/>
      <c r="DE158" s="60"/>
      <c r="DF158" s="60"/>
      <c r="DG158" s="60"/>
      <c r="DH158" s="60"/>
      <c r="DI158" s="60"/>
      <c r="DJ158" s="60"/>
    </row>
    <row r="159" spans="3:115" s="30" customFormat="1" ht="14.25" customHeight="1">
      <c r="C159" s="589"/>
      <c r="D159" s="1630"/>
      <c r="E159" s="336" t="str">
        <f>E3</f>
        <v>No.</v>
      </c>
      <c r="F159" s="526" t="str">
        <f>F3</f>
        <v>Kostenart</v>
      </c>
      <c r="G159" s="1137">
        <f ca="1">Basisdaten!C15</f>
        <v>2026</v>
      </c>
      <c r="H159" s="1138">
        <f ca="1">G159+1</f>
        <v>2027</v>
      </c>
      <c r="I159" s="336">
        <f ca="1">H159+1</f>
        <v>2028</v>
      </c>
      <c r="J159" s="336">
        <f ca="1">I159+1</f>
        <v>2029</v>
      </c>
      <c r="K159" s="619">
        <f ca="1">J159+1</f>
        <v>2030</v>
      </c>
      <c r="L159" s="1187"/>
      <c r="M159" s="61"/>
      <c r="N159" s="61"/>
      <c r="O159" s="61"/>
      <c r="P159" s="37"/>
      <c r="Q159" s="61"/>
      <c r="R159" s="61"/>
      <c r="S159" s="61"/>
      <c r="T159" s="558"/>
      <c r="U159" s="2247"/>
      <c r="V159" s="2248"/>
      <c r="W159" s="1393">
        <f>X159*Y159</f>
        <v>0</v>
      </c>
      <c r="X159" s="1244"/>
      <c r="Y159" s="1237"/>
      <c r="Z159" s="1243"/>
      <c r="AA159" s="1238"/>
      <c r="AB159" s="1239">
        <f>IF($AA159=$CC$1,0,IF(AND($AA159="Direkt",$X159&gt;Basisdaten!$B$50,$X159&lt;=Basisdaten!$C$50),$W159,IF(AND($X159&lt;=Basisdaten!$C$50,$X159&gt;Basisdaten!$B$50),$W159,0)))</f>
        <v>0</v>
      </c>
      <c r="AC159" s="1239">
        <f>IF(AA159=$CB$1,0,IF(AND($AA159="Pool",$X159&lt;=Basisdaten!$D$50,$X159&gt;Basisdaten!$B$50),$W159,0))</f>
        <v>0</v>
      </c>
      <c r="AD159" s="1392" t="str">
        <f t="shared" ref="AD159:AD163" si="123">IF(AND($AA159=$CC$1,$X159&gt;$CC$2),$CD$2,IF(AND($AA159=$CB$1,$X159&gt;$CB$2),$CD$1,IF(AND($X159&lt;$CA$2,$X159&lt;&gt;0,$Y159&gt;0),$CA$3,"")))</f>
        <v/>
      </c>
      <c r="AJ159" s="49"/>
      <c r="AK159" s="613"/>
      <c r="AL159" s="422"/>
      <c r="AM159" s="50"/>
      <c r="AN159" s="50"/>
      <c r="AO159" s="50"/>
      <c r="AP159" s="50"/>
      <c r="AQ159" s="50"/>
      <c r="AR159" s="50"/>
      <c r="AS159" s="50"/>
      <c r="AT159" s="50"/>
      <c r="AU159" s="50"/>
      <c r="AV159" s="50"/>
      <c r="AW159" s="50"/>
      <c r="AX159" s="50"/>
      <c r="AY159" s="50"/>
      <c r="AZ159" s="50"/>
      <c r="BA159" s="1479"/>
      <c r="BB159" s="1479"/>
      <c r="BC159" s="1479"/>
      <c r="BD159" s="1479"/>
      <c r="BE159" s="1479"/>
      <c r="BF159" s="1479"/>
      <c r="BG159" s="1479"/>
      <c r="BH159" s="1479"/>
      <c r="BI159" s="1479"/>
      <c r="BJ159" s="1479"/>
      <c r="BK159" s="1479"/>
      <c r="BL159" s="1479"/>
      <c r="BM159" s="1479"/>
      <c r="BN159" s="1479"/>
      <c r="BO159" s="1479"/>
      <c r="BP159" s="1479"/>
      <c r="BQ159" s="1479"/>
      <c r="BR159" s="1479"/>
      <c r="BS159" s="1479"/>
      <c r="BT159" s="1479"/>
      <c r="BU159" s="1479"/>
      <c r="BV159" s="1479"/>
      <c r="BW159" s="1479"/>
      <c r="BX159" s="1479"/>
      <c r="BY159" s="1479"/>
      <c r="BZ159" s="1479"/>
      <c r="CA159" s="1534">
        <f t="shared" ref="CA159:CA163" si="124">IF(OR(AD159=$CD$1,AD159=$CD$2,AD159=$CA$3),1,0)</f>
        <v>0</v>
      </c>
      <c r="CB159" s="1535">
        <f t="shared" ref="CB159:CB163" si="125">IF(OR(AND($X159&lt;$CA$2,$X159&lt;&gt;0),AND($X159&gt;$CB$2,$AA159=$CB$1),AND($X159&gt;$CC$2,$AA159=$CC$1)),1,0)</f>
        <v>0</v>
      </c>
      <c r="CC159" s="1535">
        <f t="shared" ref="CC159:CC163" si="126">IF(AND($X159&gt;0,$Y159=0),1,0)</f>
        <v>0</v>
      </c>
      <c r="CD159" s="1534">
        <f>IF(AND($X159&gt;0,$Z159=""),1,0)</f>
        <v>0</v>
      </c>
      <c r="CE159" s="1535">
        <f>IF(AND($AA159="",$X159&gt;0),1,0)</f>
        <v>0</v>
      </c>
      <c r="CF159" s="1538" t="s">
        <v>1008</v>
      </c>
      <c r="CG159" s="1479"/>
      <c r="CH159" s="1479"/>
      <c r="CI159" s="31"/>
      <c r="CJ159" s="31"/>
      <c r="CK159" s="31"/>
      <c r="CL159" s="31"/>
      <c r="CM159" s="31"/>
      <c r="CN159" s="31"/>
      <c r="CO159" s="31"/>
      <c r="CP159" s="31"/>
      <c r="CQ159" s="31"/>
      <c r="CR159" s="95"/>
      <c r="CS159" s="95"/>
      <c r="CT159" s="95"/>
      <c r="CU159" s="30" t="str">
        <f ca="1">IF(Basisdaten!$B$15=Basisdaten!$D$2,CV159,CW159)</f>
        <v>Betriebskosten II für Jahr 2026</v>
      </c>
      <c r="CV159" s="38" t="str">
        <f ca="1">$CV$77&amp;" für "&amp;Basisdaten!O15</f>
        <v>Betriebskosten II für Jahr 2026</v>
      </c>
      <c r="CW159" s="38" t="str">
        <f ca="1">$CW$77&amp;" for "&amp;Basisdaten!O15</f>
        <v>Operation Costs II for Jahr 2026</v>
      </c>
      <c r="CY159" s="60"/>
      <c r="CZ159" s="60"/>
      <c r="DA159" s="60"/>
      <c r="DB159" s="60"/>
      <c r="DC159" s="60"/>
      <c r="DD159" s="60"/>
      <c r="DE159" s="60"/>
      <c r="DF159" s="116"/>
      <c r="DG159" s="116"/>
      <c r="DH159" s="116"/>
      <c r="DI159" s="116"/>
      <c r="DJ159" s="116"/>
    </row>
    <row r="160" spans="3:115" ht="14.25" customHeight="1">
      <c r="C160" s="1639" t="str">
        <f>C90</f>
        <v>MwSt</v>
      </c>
      <c r="D160" s="1630"/>
      <c r="E160" s="597">
        <v>1</v>
      </c>
      <c r="F160" s="598" t="str">
        <f>F4</f>
        <v>Verwaltung (Büro)</v>
      </c>
      <c r="G160" s="1184"/>
      <c r="H160" s="1185"/>
      <c r="I160" s="2276" t="str">
        <f>IF(C224=1,$CU$165,"")</f>
        <v/>
      </c>
      <c r="J160" s="2277"/>
      <c r="K160" s="2278"/>
      <c r="L160" s="603"/>
      <c r="M160" s="57"/>
      <c r="N160" s="57"/>
      <c r="O160" s="57"/>
      <c r="P160" s="57"/>
      <c r="Q160" s="57"/>
      <c r="R160" s="57"/>
      <c r="S160" s="57"/>
      <c r="T160" s="558"/>
      <c r="U160" s="2247"/>
      <c r="V160" s="2248"/>
      <c r="W160" s="1393">
        <f t="shared" ref="W160:W163" si="127">X160*Y160</f>
        <v>0</v>
      </c>
      <c r="X160" s="1244"/>
      <c r="Y160" s="1237"/>
      <c r="Z160" s="1243"/>
      <c r="AA160" s="1238"/>
      <c r="AB160" s="1239">
        <f>IF($AA160=$CC$1,0,IF(AND($AA160="Direkt",$X160&gt;Basisdaten!$B$50,$X160&lt;=Basisdaten!$C$50),$W160,IF(AND($X160&lt;=Basisdaten!$C$50,$X160&gt;Basisdaten!$B$50),$W160,0)))</f>
        <v>0</v>
      </c>
      <c r="AC160" s="1239">
        <f>IF(AA160=$CB$1,0,IF(AND($AA160="Pool",$X160&lt;=Basisdaten!$D$50,$X160&gt;Basisdaten!$B$50),$W160,0))</f>
        <v>0</v>
      </c>
      <c r="AD160" s="1392" t="str">
        <f t="shared" si="123"/>
        <v/>
      </c>
      <c r="AJ160" s="1344"/>
      <c r="AK160" s="613"/>
      <c r="AL160" s="422"/>
      <c r="BA160" s="1479"/>
      <c r="BB160" s="1479"/>
      <c r="BC160" s="1479"/>
      <c r="BD160" s="1479"/>
      <c r="BE160" s="1479"/>
      <c r="BF160" s="1479"/>
      <c r="BG160" s="1479"/>
      <c r="BH160" s="1479"/>
      <c r="BI160" s="1479"/>
      <c r="BJ160" s="1479"/>
      <c r="BK160" s="1479"/>
      <c r="BL160" s="1479"/>
      <c r="BM160" s="1479"/>
      <c r="BN160" s="1479"/>
      <c r="BO160" s="1479"/>
      <c r="BP160" s="1479"/>
      <c r="BQ160" s="1479"/>
      <c r="BR160" s="1479"/>
      <c r="BS160" s="1479"/>
      <c r="BT160" s="1479"/>
      <c r="BU160" s="1479"/>
      <c r="BV160" s="1479"/>
      <c r="BW160" s="1479"/>
      <c r="BX160" s="1479"/>
      <c r="BY160" s="1479"/>
      <c r="BZ160" s="1479"/>
      <c r="CA160" s="1534">
        <f t="shared" si="124"/>
        <v>0</v>
      </c>
      <c r="CB160" s="1535">
        <f t="shared" si="125"/>
        <v>0</v>
      </c>
      <c r="CC160" s="1535">
        <f t="shared" si="126"/>
        <v>0</v>
      </c>
      <c r="CD160" s="1534">
        <f t="shared" ref="CD160:CD163" si="128">IF(AND($X160&gt;0,$Z160=""),1,0)</f>
        <v>0</v>
      </c>
      <c r="CE160" s="1535">
        <f t="shared" ref="CE160:CE163" si="129">IF(AND($AA160="",$X160&gt;0),1,0)</f>
        <v>0</v>
      </c>
      <c r="CF160" s="1538"/>
      <c r="CG160" s="1479"/>
      <c r="CH160" s="1479"/>
      <c r="CI160" s="31"/>
      <c r="CJ160" s="31"/>
      <c r="CK160" s="31"/>
      <c r="CL160" s="31"/>
      <c r="CM160" s="31"/>
      <c r="CN160" s="31"/>
      <c r="CO160" s="31"/>
      <c r="CP160" s="31"/>
      <c r="CQ160" s="31"/>
      <c r="CR160" s="236"/>
      <c r="CS160" s="95"/>
      <c r="CT160" s="95"/>
      <c r="CU160" s="30" t="str">
        <f ca="1">IF(Basisdaten!$B$15=Basisdaten!$D$2,CV160,CW160)</f>
        <v>Betriebskosten II für Jahr 2027</v>
      </c>
      <c r="CV160" s="38" t="str">
        <f ca="1">$CV$77&amp;" für "&amp;Basisdaten!O16</f>
        <v>Betriebskosten II für Jahr 2027</v>
      </c>
      <c r="CW160" s="38" t="str">
        <f ca="1">$CW$77&amp;" for "&amp;Basisdaten!O16</f>
        <v>Operation Costs II for Jahr 2027</v>
      </c>
      <c r="CX160" s="60"/>
      <c r="CY160" s="60"/>
      <c r="CZ160" s="60"/>
      <c r="DA160" s="60"/>
      <c r="DB160" s="60"/>
      <c r="DC160" s="60"/>
      <c r="DD160" s="60"/>
      <c r="DE160" s="60"/>
    </row>
    <row r="161" spans="3:109" ht="14.25" customHeight="1">
      <c r="C161" s="1629">
        <f t="shared" ref="C161:C178" si="130">C83</f>
        <v>0.19</v>
      </c>
      <c r="D161" s="1630"/>
      <c r="E161" s="1319">
        <f>IF('2 Umsatz|Sales'!$CT$23=0,0,C161)</f>
        <v>0.19</v>
      </c>
      <c r="F161" s="538" t="str">
        <f>F5</f>
        <v>Raummiete</v>
      </c>
      <c r="G161" s="1173">
        <f t="shared" ref="G161:G167" si="131">S5</f>
        <v>0</v>
      </c>
      <c r="H161" s="1174">
        <f t="shared" ref="H161:H167" si="132">S83</f>
        <v>0</v>
      </c>
      <c r="I161" s="577"/>
      <c r="J161" s="577"/>
      <c r="K161" s="579"/>
      <c r="L161" s="603"/>
      <c r="M161" s="57"/>
      <c r="N161" s="57"/>
      <c r="O161" s="57"/>
      <c r="P161" s="57"/>
      <c r="Q161" s="57"/>
      <c r="R161" s="57"/>
      <c r="S161" s="57"/>
      <c r="T161" s="554"/>
      <c r="U161" s="2247"/>
      <c r="V161" s="2248"/>
      <c r="W161" s="1393">
        <f t="shared" si="127"/>
        <v>0</v>
      </c>
      <c r="X161" s="1237"/>
      <c r="Y161" s="1237"/>
      <c r="Z161" s="1243"/>
      <c r="AA161" s="1238"/>
      <c r="AB161" s="1239">
        <f>IF($AA161=$CC$1,0,IF(AND($AA161="Direkt",$X161&gt;Basisdaten!$B$50,$X161&lt;=Basisdaten!$C$50),$W161,IF(AND($X161&lt;=Basisdaten!$C$50,$X161&gt;Basisdaten!$B$50),$W161,0)))</f>
        <v>0</v>
      </c>
      <c r="AC161" s="1239">
        <f>IF(AA161=$CB$1,0,IF(AND($AA161="Pool",$X161&lt;=Basisdaten!$D$50,$X161&gt;Basisdaten!$B$50),$W161,0))</f>
        <v>0</v>
      </c>
      <c r="AD161" s="1392" t="str">
        <f t="shared" si="123"/>
        <v/>
      </c>
      <c r="AJ161" s="49"/>
      <c r="AK161" s="613"/>
      <c r="AL161" s="422"/>
      <c r="BA161" s="1479"/>
      <c r="BB161" s="1479"/>
      <c r="BC161" s="1479"/>
      <c r="BD161" s="1479"/>
      <c r="BE161" s="1479"/>
      <c r="BF161" s="1479"/>
      <c r="BG161" s="1479"/>
      <c r="BH161" s="1479"/>
      <c r="BI161" s="1479"/>
      <c r="BJ161" s="1479"/>
      <c r="BK161" s="1479"/>
      <c r="BL161" s="1479"/>
      <c r="BM161" s="1479"/>
      <c r="BN161" s="1479"/>
      <c r="BO161" s="1479"/>
      <c r="BP161" s="1479"/>
      <c r="BQ161" s="1479"/>
      <c r="BR161" s="1479"/>
      <c r="BS161" s="1479"/>
      <c r="BT161" s="1479"/>
      <c r="BU161" s="1479"/>
      <c r="BV161" s="1479"/>
      <c r="BW161" s="1479"/>
      <c r="BX161" s="1479"/>
      <c r="BY161" s="1479"/>
      <c r="BZ161" s="1479"/>
      <c r="CA161" s="1534">
        <f t="shared" si="124"/>
        <v>0</v>
      </c>
      <c r="CB161" s="1535">
        <f t="shared" si="125"/>
        <v>0</v>
      </c>
      <c r="CC161" s="1535">
        <f t="shared" si="126"/>
        <v>0</v>
      </c>
      <c r="CD161" s="1534">
        <f t="shared" si="128"/>
        <v>0</v>
      </c>
      <c r="CE161" s="1535">
        <f t="shared" si="129"/>
        <v>0</v>
      </c>
      <c r="CF161" s="1538"/>
      <c r="CG161" s="1479"/>
      <c r="CH161" s="1479"/>
      <c r="CI161" s="31"/>
      <c r="CJ161" s="31"/>
      <c r="CK161" s="31"/>
      <c r="CL161" s="31"/>
      <c r="CM161" s="31"/>
      <c r="CN161" s="31"/>
      <c r="CO161" s="31"/>
      <c r="CP161" s="31"/>
      <c r="CQ161" s="31"/>
      <c r="CR161" s="95"/>
      <c r="CS161" s="95"/>
      <c r="CT161" s="95"/>
      <c r="CU161" s="30" t="str">
        <f ca="1">IF(Basisdaten!$B$15=Basisdaten!$D$2,CV161,CW161)</f>
        <v>Betriebskosten II für die Jahre 2026 - 2030</v>
      </c>
      <c r="CV161" s="38" t="str">
        <f ca="1">$CV$77&amp;" für die Jahre "&amp;Basisdaten!O18</f>
        <v>Betriebskosten II für die Jahre 2026 - 2030</v>
      </c>
      <c r="CW161" s="38" t="str">
        <f ca="1">$CW$77&amp;" for the years "&amp;Basisdaten!O18</f>
        <v>Operation Costs II for the years 2026 - 2030</v>
      </c>
      <c r="CX161" s="60"/>
      <c r="CY161" s="60"/>
      <c r="CZ161" s="60"/>
      <c r="DA161" s="60"/>
      <c r="DB161" s="60"/>
      <c r="DC161" s="60"/>
      <c r="DD161" s="60"/>
      <c r="DE161" s="60"/>
    </row>
    <row r="162" spans="3:109" ht="14.25" customHeight="1">
      <c r="C162" s="1629">
        <f t="shared" si="130"/>
        <v>0.19</v>
      </c>
      <c r="D162" s="1630"/>
      <c r="E162" s="1320">
        <f>IF('2 Umsatz|Sales'!$CT$23=0,0,C162)</f>
        <v>0.19</v>
      </c>
      <c r="F162" s="278" t="str">
        <f>F6</f>
        <v>Strom, Wasser, Heizung, sonst. Nebenkosten</v>
      </c>
      <c r="G162" s="1173">
        <f t="shared" si="131"/>
        <v>0</v>
      </c>
      <c r="H162" s="1174">
        <f t="shared" si="132"/>
        <v>0</v>
      </c>
      <c r="I162" s="577"/>
      <c r="J162" s="577"/>
      <c r="K162" s="577"/>
      <c r="L162" s="603"/>
      <c r="M162" s="57"/>
      <c r="N162" s="57"/>
      <c r="O162" s="57"/>
      <c r="P162" s="57"/>
      <c r="Q162" s="57"/>
      <c r="R162" s="57"/>
      <c r="S162" s="57"/>
      <c r="T162" s="554"/>
      <c r="U162" s="2247"/>
      <c r="V162" s="2248"/>
      <c r="W162" s="1393">
        <f t="shared" si="127"/>
        <v>0</v>
      </c>
      <c r="X162" s="1237"/>
      <c r="Y162" s="1237"/>
      <c r="Z162" s="1243"/>
      <c r="AA162" s="1787"/>
      <c r="AB162" s="1788">
        <f>IF($AA162=$CC$1,0,IF(AND($AA162="Direkt",$X162&gt;Basisdaten!$B$50,$X162&lt;=Basisdaten!$C$50),$W162,IF(AND($X162&lt;=Basisdaten!$C$50,$X162&gt;Basisdaten!$B$50),$W162,0)))</f>
        <v>0</v>
      </c>
      <c r="AC162" s="1788">
        <f>IF(AA162=$CB$1,0,IF(AND($AA162="Pool",$X162&lt;=Basisdaten!$D$50,$X162&gt;Basisdaten!$B$50),$W162,0))</f>
        <v>0</v>
      </c>
      <c r="AD162" s="1392" t="str">
        <f t="shared" si="123"/>
        <v/>
      </c>
      <c r="AJ162" s="49"/>
      <c r="AK162" s="613"/>
      <c r="AL162" s="422"/>
      <c r="BA162" s="1479"/>
      <c r="BB162" s="1479"/>
      <c r="BC162" s="1479"/>
      <c r="BD162" s="1479"/>
      <c r="BE162" s="1479"/>
      <c r="BF162" s="1479"/>
      <c r="BG162" s="1479"/>
      <c r="BH162" s="1479"/>
      <c r="BI162" s="1479"/>
      <c r="BJ162" s="1479"/>
      <c r="BK162" s="1479"/>
      <c r="BL162" s="1479"/>
      <c r="BM162" s="1479"/>
      <c r="BN162" s="1479"/>
      <c r="BO162" s="1479"/>
      <c r="BP162" s="1479"/>
      <c r="BQ162" s="1479"/>
      <c r="BR162" s="1479"/>
      <c r="BS162" s="1479"/>
      <c r="BT162" s="1479"/>
      <c r="BU162" s="1479"/>
      <c r="BV162" s="1479"/>
      <c r="BW162" s="1479"/>
      <c r="BX162" s="1479"/>
      <c r="BY162" s="1479"/>
      <c r="BZ162" s="1479"/>
      <c r="CA162" s="1534">
        <f t="shared" si="124"/>
        <v>0</v>
      </c>
      <c r="CB162" s="1535">
        <f t="shared" si="125"/>
        <v>0</v>
      </c>
      <c r="CC162" s="1535">
        <f t="shared" si="126"/>
        <v>0</v>
      </c>
      <c r="CD162" s="1534">
        <f t="shared" si="128"/>
        <v>0</v>
      </c>
      <c r="CE162" s="1535">
        <f t="shared" si="129"/>
        <v>0</v>
      </c>
      <c r="CF162" s="1538"/>
      <c r="CG162" s="1479"/>
      <c r="CH162" s="1479"/>
      <c r="CI162" s="31"/>
      <c r="CJ162" s="31"/>
      <c r="CK162" s="31"/>
      <c r="CL162" s="31"/>
      <c r="CM162" s="31"/>
      <c r="CN162" s="31"/>
      <c r="CO162" s="31"/>
      <c r="CP162" s="31"/>
      <c r="CQ162" s="31"/>
      <c r="CR162" s="95"/>
      <c r="CS162" s="95"/>
      <c r="CT162" s="95"/>
      <c r="CU162" s="30" t="str">
        <f>IF(Basisdaten!$B$15=Basisdaten!$D$2,CV162,CW162)</f>
        <v>Geringwertige Wirtschaftsgüter</v>
      </c>
      <c r="CV162" s="38" t="s">
        <v>877</v>
      </c>
      <c r="CW162" s="38" t="s">
        <v>878</v>
      </c>
      <c r="CX162" s="60"/>
      <c r="CY162" s="60"/>
      <c r="CZ162" s="60"/>
      <c r="DA162" s="60"/>
      <c r="DB162" s="60"/>
      <c r="DC162" s="60"/>
      <c r="DD162" s="60"/>
      <c r="DE162" s="60"/>
    </row>
    <row r="163" spans="3:109" ht="14.25" customHeight="1">
      <c r="C163" s="1629">
        <f t="shared" si="130"/>
        <v>0.19</v>
      </c>
      <c r="D163" s="1630"/>
      <c r="E163" s="1320">
        <f>IF('2 Umsatz|Sales'!$CT$23=0,0,C163)</f>
        <v>0.19</v>
      </c>
      <c r="F163" s="278" t="str">
        <f>F7</f>
        <v>Telefon, Fax, Internet, Porto</v>
      </c>
      <c r="G163" s="1173">
        <f t="shared" si="131"/>
        <v>0</v>
      </c>
      <c r="H163" s="1174">
        <f t="shared" si="132"/>
        <v>0</v>
      </c>
      <c r="I163" s="577"/>
      <c r="J163" s="417"/>
      <c r="K163" s="580"/>
      <c r="L163" s="1188"/>
      <c r="M163" s="57"/>
      <c r="N163" s="57"/>
      <c r="O163" s="57"/>
      <c r="P163" s="57"/>
      <c r="Q163" s="57"/>
      <c r="R163" s="57"/>
      <c r="S163" s="57"/>
      <c r="T163" s="554"/>
      <c r="U163" s="2247"/>
      <c r="V163" s="2248"/>
      <c r="W163" s="1393">
        <f t="shared" si="127"/>
        <v>0</v>
      </c>
      <c r="X163" s="1237"/>
      <c r="Y163" s="1237"/>
      <c r="Z163" s="1243"/>
      <c r="AA163" s="1789"/>
      <c r="AB163" s="1790">
        <f>IF($AA163=$CC$1,0,IF(AND($AA163="Direkt",$X163&gt;Basisdaten!$B$50,$X163&lt;=Basisdaten!$C$50),$W163,IF(AND($X163&lt;=Basisdaten!$C$50,$X163&gt;Basisdaten!$B$50),$W163,0)))</f>
        <v>0</v>
      </c>
      <c r="AC163" s="1790">
        <f>IF(AA163=$CB$1,0,IF(AND($AA163="Pool",$X163&lt;=Basisdaten!$D$50,$X163&gt;Basisdaten!$B$50),$W163,0))</f>
        <v>0</v>
      </c>
      <c r="AD163" s="1395" t="str">
        <f t="shared" si="123"/>
        <v/>
      </c>
      <c r="AJ163" s="49"/>
      <c r="AK163" s="613"/>
      <c r="AL163" s="422"/>
      <c r="BA163" s="1479"/>
      <c r="BB163" s="1479"/>
      <c r="BC163" s="1479"/>
      <c r="BD163" s="1479"/>
      <c r="BE163" s="1479"/>
      <c r="BF163" s="1479"/>
      <c r="BG163" s="1479"/>
      <c r="BH163" s="1479"/>
      <c r="BI163" s="1479"/>
      <c r="BJ163" s="1479"/>
      <c r="BK163" s="1479"/>
      <c r="BL163" s="1479"/>
      <c r="BM163" s="1479"/>
      <c r="BN163" s="1479"/>
      <c r="BO163" s="1479"/>
      <c r="BP163" s="1479"/>
      <c r="BQ163" s="1479"/>
      <c r="BR163" s="1479"/>
      <c r="BS163" s="1479"/>
      <c r="BT163" s="1479"/>
      <c r="BU163" s="1479"/>
      <c r="BV163" s="1479"/>
      <c r="BW163" s="1479"/>
      <c r="BX163" s="1479"/>
      <c r="BY163" s="1479"/>
      <c r="BZ163" s="1479"/>
      <c r="CA163" s="1534">
        <f t="shared" si="124"/>
        <v>0</v>
      </c>
      <c r="CB163" s="1535">
        <f t="shared" si="125"/>
        <v>0</v>
      </c>
      <c r="CC163" s="1535">
        <f t="shared" si="126"/>
        <v>0</v>
      </c>
      <c r="CD163" s="1534">
        <f t="shared" si="128"/>
        <v>0</v>
      </c>
      <c r="CE163" s="1535">
        <f t="shared" si="129"/>
        <v>0</v>
      </c>
      <c r="CF163" s="1538"/>
      <c r="CG163" s="1479"/>
      <c r="CH163" s="1479"/>
      <c r="CI163" s="31"/>
      <c r="CJ163" s="31"/>
      <c r="CK163" s="31"/>
      <c r="CL163" s="31"/>
      <c r="CM163" s="31"/>
      <c r="CN163" s="31"/>
      <c r="CO163" s="31"/>
      <c r="CP163" s="31"/>
      <c r="CQ163" s="31"/>
      <c r="CS163" s="228"/>
      <c r="CU163" s="30" t="str">
        <f>IF(Basisdaten!$B$15=Basisdaten!$D$2,CV163,CW163)</f>
        <v>Jährliche Betriebskosten</v>
      </c>
      <c r="CV163" s="38" t="s">
        <v>952</v>
      </c>
      <c r="CW163" s="38" t="s">
        <v>953</v>
      </c>
      <c r="CX163" s="60"/>
      <c r="CY163" s="60"/>
      <c r="CZ163" s="60"/>
      <c r="DA163" s="60"/>
      <c r="DB163" s="60"/>
      <c r="DC163" s="60"/>
      <c r="DD163" s="60"/>
      <c r="DE163" s="60"/>
    </row>
    <row r="164" spans="3:109" ht="14.25" customHeight="1">
      <c r="C164" s="1629">
        <f t="shared" si="130"/>
        <v>0.19</v>
      </c>
      <c r="D164" s="1630"/>
      <c r="E164" s="1320">
        <f>IF('2 Umsatz|Sales'!$CT$23=0,0,C164)</f>
        <v>0.19</v>
      </c>
      <c r="F164" s="278" t="str">
        <f>CU8&amp; "   "&amp;CU68&amp;" Tab 4b-1.1  ==&gt;"</f>
        <v>GWG (Büromöbel, Einrichtungen,...)   Planung Tab 4b-1.1  ==&gt;</v>
      </c>
      <c r="G164" s="1369">
        <f t="shared" si="131"/>
        <v>0</v>
      </c>
      <c r="H164" s="1369">
        <f t="shared" si="132"/>
        <v>0</v>
      </c>
      <c r="I164" s="1368">
        <f ca="1">X165</f>
        <v>0</v>
      </c>
      <c r="J164" s="1368">
        <f ca="1">Y165</f>
        <v>0</v>
      </c>
      <c r="K164" s="1368">
        <f ca="1">Z165</f>
        <v>0</v>
      </c>
      <c r="L164" s="1188"/>
      <c r="M164" s="57"/>
      <c r="N164" s="57"/>
      <c r="O164" s="57"/>
      <c r="P164" s="57"/>
      <c r="Q164" s="57"/>
      <c r="R164" s="57"/>
      <c r="S164" s="57"/>
      <c r="T164" s="554"/>
      <c r="U164" s="1769"/>
      <c r="V164" s="1770"/>
      <c r="W164" s="1771"/>
      <c r="X164" s="1273">
        <f ca="1">Basisdaten!$C$15+2</f>
        <v>2028</v>
      </c>
      <c r="Y164" s="1273">
        <f ca="1">X164+1</f>
        <v>2029</v>
      </c>
      <c r="Z164" s="1273">
        <f ca="1">Y164+1</f>
        <v>2030</v>
      </c>
      <c r="AA164" s="554"/>
      <c r="AB164" s="554"/>
      <c r="AC164" s="554"/>
      <c r="AD164" s="554"/>
      <c r="AE164" s="554"/>
      <c r="AJ164" s="1344"/>
      <c r="AK164" s="613"/>
      <c r="AL164" s="422"/>
      <c r="BA164" s="1479"/>
      <c r="BB164" s="1479"/>
      <c r="BC164" s="1479"/>
      <c r="BD164" s="1479"/>
      <c r="BE164" s="1479"/>
      <c r="BF164" s="1479"/>
      <c r="BG164" s="1479"/>
      <c r="BH164" s="1479"/>
      <c r="BI164" s="1479"/>
      <c r="BJ164" s="1479"/>
      <c r="BK164" s="1479"/>
      <c r="BL164" s="1479"/>
      <c r="BM164" s="1479"/>
      <c r="BN164" s="1479"/>
      <c r="BO164" s="1479"/>
      <c r="BP164" s="1479"/>
      <c r="BQ164" s="1479"/>
      <c r="BR164" s="1479"/>
      <c r="BS164" s="1479"/>
      <c r="BT164" s="1479"/>
      <c r="BU164" s="1479"/>
      <c r="BV164" s="1479"/>
      <c r="BW164" s="1479"/>
      <c r="BX164" s="1479"/>
      <c r="BY164" s="1479"/>
      <c r="BZ164" s="1479"/>
      <c r="CA164" s="1479"/>
      <c r="CB164" s="1479"/>
      <c r="CC164" s="1479"/>
      <c r="CD164" s="1479"/>
      <c r="CE164" s="1479"/>
      <c r="CF164" s="1479"/>
      <c r="CG164" s="1479"/>
      <c r="CH164" s="1479"/>
      <c r="CI164" s="31"/>
      <c r="CJ164" s="31"/>
      <c r="CK164" s="31"/>
      <c r="CL164" s="31"/>
      <c r="CM164" s="31"/>
      <c r="CN164" s="31"/>
      <c r="CO164" s="31"/>
      <c r="CP164" s="31"/>
      <c r="CQ164" s="31"/>
      <c r="CS164" s="228"/>
      <c r="CU164" s="546" t="str">
        <f>IF(Basisdaten!$B$15=Basisdaten!$D$2,CV164,CW164)</f>
        <v xml:space="preserve">Verschieben von Zellen führt zu Bezugsfehlern! Rückgängig mit {Str}+{Z} oder Klick auf Undo-Symbol </v>
      </c>
      <c r="CV164" s="546" t="s">
        <v>607</v>
      </c>
      <c r="CW164" s="546" t="s">
        <v>619</v>
      </c>
      <c r="CX164" s="60"/>
      <c r="CY164" s="60"/>
      <c r="CZ164" s="60"/>
      <c r="DA164" s="60"/>
      <c r="DB164" s="60"/>
      <c r="DC164" s="60"/>
      <c r="DD164" s="60"/>
      <c r="DE164" s="60"/>
    </row>
    <row r="165" spans="3:109" ht="14.25" customHeight="1">
      <c r="C165" s="1629">
        <f t="shared" si="130"/>
        <v>0.19</v>
      </c>
      <c r="D165" s="1630"/>
      <c r="E165" s="1320">
        <f>IF('2 Umsatz|Sales'!$CT$23=0,0,C165)</f>
        <v>0.19</v>
      </c>
      <c r="F165" s="278" t="str">
        <f t="shared" ref="F165:F171" si="133">F9</f>
        <v>IT Lizenzen, OS, Office, Wartung, …</v>
      </c>
      <c r="G165" s="1173">
        <f t="shared" si="131"/>
        <v>0</v>
      </c>
      <c r="H165" s="1174">
        <f t="shared" si="132"/>
        <v>0</v>
      </c>
      <c r="I165" s="417"/>
      <c r="J165" s="417"/>
      <c r="K165" s="580"/>
      <c r="L165" s="1188"/>
      <c r="M165" s="57"/>
      <c r="N165" s="57"/>
      <c r="O165" s="57"/>
      <c r="P165" s="57"/>
      <c r="Q165" s="57"/>
      <c r="R165" s="57"/>
      <c r="S165" s="57"/>
      <c r="T165" s="554"/>
      <c r="U165" s="1390" t="str">
        <f>U9</f>
        <v>GWG Direkt</v>
      </c>
      <c r="V165" s="1396"/>
      <c r="W165" s="1394"/>
      <c r="X165" s="1265">
        <f ca="1">IF(AND($Z$159=X176,$AB$159&gt;0),$AB$159,0)+IF(AND($Z$160=X176,$AB$160&gt;0),$AB$160,0)+IF(AND($Z$161=X176,$AB$161&gt;0),$AB$161,0)+IF(AND($Z$162=X176,$AB$162&gt;0),$AB$162,0)+IF(AND($Z$163=X176,$AB$163&gt;0),$AB$163,0)</f>
        <v>0</v>
      </c>
      <c r="Y165" s="1265">
        <f ca="1">IF(AND($Z$159=Y176,$AB$159&gt;0),$AB$159,0)+IF(AND($Z$160=Y176,$AB$160&gt;0),$AB$160,0)+IF(AND($Z$161=Y176,$AB$161&gt;0),$AB$161,0)+IF(AND($Z$162=Y176,$AB$162&gt;0),$AB$162,0)+IF(AND($Z$163=Y176,$AB$163&gt;0),$AB$163,0)</f>
        <v>0</v>
      </c>
      <c r="Z165" s="1265">
        <f ca="1">IF(AND($Z$159=Z176,$AB$159&gt;0),$AB$159,0)+IF(AND($Z$160=Z176,$AB$160&gt;0),$AB$160,0)+IF(AND($Z$161=Z176,$AB$162&gt;0),$AB$161,0)+IF(AND($Z$162=Z176,$AB$161&gt;0),$AB$162,0)+IF(AND($Z$163=Z176,$AB$163&gt;0),$AB$163,0)</f>
        <v>0</v>
      </c>
      <c r="AA165" s="554"/>
      <c r="AB165" s="554"/>
      <c r="AC165" s="554"/>
      <c r="AD165" s="554"/>
      <c r="AE165" s="554"/>
      <c r="AF165" s="554"/>
      <c r="AJ165" s="49"/>
      <c r="AK165" s="613"/>
      <c r="AL165" s="422"/>
      <c r="BA165" s="1479"/>
      <c r="BB165" s="1479"/>
      <c r="BC165" s="1479"/>
      <c r="BD165" s="1479"/>
      <c r="BE165" s="1479"/>
      <c r="BF165" s="1479"/>
      <c r="BG165" s="1479"/>
      <c r="BH165" s="1479"/>
      <c r="BI165" s="1479"/>
      <c r="BJ165" s="1479"/>
      <c r="BK165" s="1479"/>
      <c r="BL165" s="1479"/>
      <c r="BM165" s="1479"/>
      <c r="BN165" s="1479"/>
      <c r="BO165" s="1479"/>
      <c r="BP165" s="1479"/>
      <c r="BQ165" s="1479"/>
      <c r="BR165" s="1479"/>
      <c r="BS165" s="1479"/>
      <c r="BT165" s="1479"/>
      <c r="BU165" s="1479"/>
      <c r="BV165" s="1479"/>
      <c r="BW165" s="1479"/>
      <c r="BX165" s="1479"/>
      <c r="BY165" s="1479"/>
      <c r="BZ165" s="1479"/>
      <c r="CA165" s="1479"/>
      <c r="CB165" s="1479"/>
      <c r="CC165" s="1479"/>
      <c r="CD165" s="1479"/>
      <c r="CE165" s="1479"/>
      <c r="CF165" s="1479"/>
      <c r="CG165" s="1479"/>
      <c r="CH165" s="1479"/>
      <c r="CI165" s="31"/>
      <c r="CJ165" s="31"/>
      <c r="CK165" s="31"/>
      <c r="CL165" s="31"/>
      <c r="CM165" s="31"/>
      <c r="CN165" s="31"/>
      <c r="CO165" s="31"/>
      <c r="CP165" s="31"/>
      <c r="CQ165" s="31"/>
      <c r="CS165" s="228"/>
      <c r="CU165" s="546" t="str">
        <f>IF(Basisdaten!$B$15=Basisdaten!$D$2,CV165,CW165)</f>
        <v xml:space="preserve">Verschiebung rückgängig mit {Str}+{Z} oder [Undo] </v>
      </c>
      <c r="CV165" s="546" t="s">
        <v>620</v>
      </c>
      <c r="CW165" s="546" t="s">
        <v>619</v>
      </c>
      <c r="CX165" s="60"/>
      <c r="CY165" s="60"/>
      <c r="CZ165" s="60"/>
      <c r="DA165" s="60"/>
      <c r="DB165" s="60"/>
      <c r="DC165" s="60"/>
      <c r="DD165" s="60"/>
      <c r="DE165" s="60"/>
    </row>
    <row r="166" spans="3:109" ht="14.25" customHeight="1" thickBot="1">
      <c r="C166" s="1629">
        <f t="shared" si="130"/>
        <v>0.19</v>
      </c>
      <c r="D166" s="1630"/>
      <c r="E166" s="1320">
        <f>IF('2 Umsatz|Sales'!$CT$23=0,0,C166)</f>
        <v>0.19</v>
      </c>
      <c r="F166" s="1218" t="str">
        <f t="shared" si="133"/>
        <v>Sonstiges</v>
      </c>
      <c r="G166" s="1180">
        <f t="shared" si="131"/>
        <v>0</v>
      </c>
      <c r="H166" s="1181">
        <f t="shared" si="132"/>
        <v>0</v>
      </c>
      <c r="I166" s="521"/>
      <c r="J166" s="521"/>
      <c r="K166" s="581"/>
      <c r="L166" s="1188"/>
      <c r="M166" s="57"/>
      <c r="N166" s="57"/>
      <c r="O166" s="57"/>
      <c r="P166" s="57"/>
      <c r="Q166" s="57"/>
      <c r="R166" s="57"/>
      <c r="S166" s="57"/>
      <c r="T166" s="554"/>
      <c r="U166" s="1390" t="str">
        <f>U10</f>
        <v>GWG Pool</v>
      </c>
      <c r="V166" s="1396"/>
      <c r="W166" s="1394"/>
      <c r="X166" s="1265">
        <f ca="1">IF(AND($Z$159=X176,$AC$159&gt;0),$AC$159,0)+IF(AND($Z$160=X176,$AC$160&gt;0),$AC$160,0)+IF(AND($Z$161=X176,$AC$161&gt;0),$AC$161,0)+IF(AND($Z$162=X176,$AC$162&gt;0),$AC$162,0)+IF(AND($Z$163=X176,$AC$163&gt;0),$AC$163,0)</f>
        <v>0</v>
      </c>
      <c r="Y166" s="1265">
        <f ca="1">IF(AND($Z$159=Y176,$AC$159&gt;0),$AC$159,0)+IF(AND($Z$160=Y176,$AC$160&gt;0),$AC$160,0)+IF(AND($Z$161=Y176,$AC$161&gt;0),$AC$161,0)+IF(AND($Z$162=Y176,$AC$162&gt;0),$AC$162,0)+IF(AND($Z$163=Y176,$AC$163&gt;0),$AC$163,0)</f>
        <v>0</v>
      </c>
      <c r="Z166" s="1265">
        <f ca="1">IF(AND($Z$159=Z176,$AC$159&gt;0),$AC$159,0)+IF(AND($Z$160=Z176,$AC$160&gt;0),$AC$160,0)+IF(AND($Z$161=Z176,$AC$161&gt;0),$AC$161,0)+IF(AND($Z$162=Z176,$AC$162&gt;0),$AC$162,0)+IF(AND($Z$163=Z176,$AC$163&gt;0),$AC$163,0)</f>
        <v>0</v>
      </c>
      <c r="AE166" s="25"/>
      <c r="AF166" s="25"/>
      <c r="AG166" s="25"/>
      <c r="AH166" s="25"/>
      <c r="AI166" s="49"/>
      <c r="AJ166" s="49"/>
      <c r="AK166" s="613"/>
      <c r="AL166" s="422"/>
      <c r="BA166" s="1479"/>
      <c r="BB166" s="1479"/>
      <c r="BC166" s="1479"/>
      <c r="BD166" s="1479"/>
      <c r="BE166" s="1479"/>
      <c r="BF166" s="1479"/>
      <c r="BG166" s="1479"/>
      <c r="BH166" s="1479"/>
      <c r="BI166" s="1479"/>
      <c r="BJ166" s="1479"/>
      <c r="BK166" s="1479"/>
      <c r="BL166" s="1479"/>
      <c r="BM166" s="1479"/>
      <c r="BN166" s="1479"/>
      <c r="BO166" s="1479"/>
      <c r="BP166" s="1479"/>
      <c r="BQ166" s="1479"/>
      <c r="BR166" s="1479"/>
      <c r="BS166" s="1479"/>
      <c r="BT166" s="1479"/>
      <c r="BU166" s="1479"/>
      <c r="BV166" s="1479"/>
      <c r="BW166" s="1479"/>
      <c r="BX166" s="1479"/>
      <c r="BY166" s="1479"/>
      <c r="BZ166" s="1479"/>
      <c r="CA166" s="1479"/>
      <c r="CB166" s="1479"/>
      <c r="CC166" s="1479"/>
      <c r="CD166" s="1479"/>
      <c r="CE166" s="1479"/>
      <c r="CF166" s="1479"/>
      <c r="CG166" s="1479"/>
      <c r="CH166" s="1479"/>
      <c r="CI166" s="31"/>
      <c r="CJ166" s="31"/>
      <c r="CK166" s="31"/>
      <c r="CL166" s="31"/>
      <c r="CM166" s="31"/>
      <c r="CN166" s="31"/>
      <c r="CO166" s="31"/>
      <c r="CP166" s="31"/>
      <c r="CQ166" s="31"/>
      <c r="CS166" s="228"/>
      <c r="CU166" s="30" t="str">
        <f>IF(Basisdaten!$B$15=Basisdaten!$D$2,CV166,CW166)</f>
        <v>Aufgaben und/oder Kommentar</v>
      </c>
      <c r="CV166" s="30" t="s">
        <v>131</v>
      </c>
      <c r="CW166" s="30" t="s">
        <v>590</v>
      </c>
      <c r="CX166" s="60"/>
      <c r="CY166" s="60"/>
      <c r="CZ166" s="60"/>
      <c r="DA166" s="60"/>
      <c r="DB166" s="60"/>
      <c r="DC166" s="60"/>
      <c r="DD166" s="60"/>
      <c r="DE166" s="60"/>
    </row>
    <row r="167" spans="3:109" ht="14.25" customHeight="1" thickTop="1">
      <c r="C167" s="1631">
        <f t="shared" si="130"/>
        <v>0</v>
      </c>
      <c r="D167" s="1630"/>
      <c r="E167" s="531"/>
      <c r="F167" s="222" t="str">
        <f t="shared" si="133"/>
        <v>Summe Verwaltung (Büro)</v>
      </c>
      <c r="G167" s="1178">
        <f t="shared" si="131"/>
        <v>0</v>
      </c>
      <c r="H167" s="1179">
        <f t="shared" si="132"/>
        <v>0</v>
      </c>
      <c r="I167" s="255">
        <f ca="1">SUM(I161:I166)</f>
        <v>0</v>
      </c>
      <c r="J167" s="255">
        <f ca="1">SUM(J161:J166)</f>
        <v>0</v>
      </c>
      <c r="K167" s="255">
        <f ca="1">SUM(K161:K166)</f>
        <v>0</v>
      </c>
      <c r="L167" s="1188"/>
      <c r="M167" s="57"/>
      <c r="N167" s="57"/>
      <c r="O167" s="57"/>
      <c r="P167" s="57"/>
      <c r="Q167" s="57"/>
      <c r="R167" s="57"/>
      <c r="S167" s="57"/>
      <c r="T167" s="555"/>
      <c r="V167" s="216"/>
      <c r="W167" s="216"/>
      <c r="X167" s="216"/>
      <c r="Y167" s="216"/>
      <c r="Z167" s="216"/>
      <c r="AA167" s="216"/>
      <c r="AB167" s="216"/>
      <c r="AC167" s="216"/>
      <c r="AD167" s="216"/>
      <c r="AE167" s="216"/>
      <c r="AF167" s="25"/>
      <c r="AG167" s="25"/>
      <c r="AH167" s="25"/>
      <c r="AI167" s="49"/>
      <c r="AJ167" s="49"/>
      <c r="AK167" s="613"/>
      <c r="AL167" s="422"/>
      <c r="BA167" s="1479"/>
      <c r="BB167" s="1479"/>
      <c r="BC167" s="1479"/>
      <c r="BD167" s="1479"/>
      <c r="BE167" s="1479"/>
      <c r="BF167" s="1479"/>
      <c r="BG167" s="1479"/>
      <c r="BH167" s="1479"/>
      <c r="BI167" s="1479"/>
      <c r="BJ167" s="1479"/>
      <c r="BK167" s="1479"/>
      <c r="BL167" s="1479"/>
      <c r="BM167" s="1479"/>
      <c r="BN167" s="1479"/>
      <c r="BO167" s="1479"/>
      <c r="BP167" s="1479"/>
      <c r="BQ167" s="1479"/>
      <c r="BR167" s="1479"/>
      <c r="BS167" s="1479"/>
      <c r="BT167" s="1479"/>
      <c r="BU167" s="1479"/>
      <c r="BV167" s="1479"/>
      <c r="BW167" s="1479"/>
      <c r="BX167" s="1479"/>
      <c r="BY167" s="1479"/>
      <c r="BZ167" s="1479"/>
      <c r="CA167" s="1479"/>
      <c r="CB167" s="1479"/>
      <c r="CC167" s="1479"/>
      <c r="CD167" s="1479"/>
      <c r="CE167" s="1479"/>
      <c r="CF167" s="1479"/>
      <c r="CG167" s="1479"/>
      <c r="CH167" s="1479"/>
      <c r="CI167" s="31"/>
      <c r="CJ167" s="31"/>
      <c r="CK167" s="31"/>
      <c r="CL167" s="31"/>
      <c r="CM167" s="31"/>
      <c r="CN167" s="31"/>
      <c r="CO167" s="31"/>
      <c r="CP167" s="31"/>
      <c r="CQ167" s="31"/>
      <c r="CS167" s="228"/>
      <c r="CU167" s="30" t="str">
        <f>IF(Basisdaten!$B$15=Basisdaten!$D$2,CV167,CW167)</f>
        <v>bitte in Tabelle 4b-1.1 planen</v>
      </c>
      <c r="CV167" s="38" t="s">
        <v>960</v>
      </c>
      <c r="CW167" s="38" t="s">
        <v>961</v>
      </c>
      <c r="CX167" s="60"/>
      <c r="CY167" s="60"/>
      <c r="CZ167" s="60"/>
      <c r="DA167" s="60"/>
      <c r="DB167" s="60"/>
      <c r="DC167" s="60"/>
      <c r="DD167" s="60"/>
      <c r="DE167" s="60"/>
    </row>
    <row r="168" spans="3:109" ht="14.25" customHeight="1">
      <c r="C168" s="1633" t="str">
        <f t="shared" si="130"/>
        <v>MwSt</v>
      </c>
      <c r="D168" s="1630"/>
      <c r="E168" s="597">
        <f>E90</f>
        <v>2</v>
      </c>
      <c r="F168" s="598" t="str">
        <f t="shared" si="133"/>
        <v>Kosten bei Geschäftsart Auswahl/Choose &amp; Auswahl/Choose</v>
      </c>
      <c r="G168" s="1175"/>
      <c r="H168" s="1176"/>
      <c r="I168" s="2279" t="str">
        <f>IF(E225=1,$CU$165,"")</f>
        <v/>
      </c>
      <c r="J168" s="2280"/>
      <c r="K168" s="2281"/>
      <c r="L168" s="610">
        <f>IFERROR(I225,"undo")</f>
        <v>0</v>
      </c>
      <c r="M168" s="57"/>
      <c r="N168" s="57"/>
      <c r="O168" s="57"/>
      <c r="P168" s="57"/>
      <c r="Q168" s="57"/>
      <c r="R168" s="57"/>
      <c r="S168" s="57"/>
      <c r="T168" s="555"/>
      <c r="U168" s="2269" t="str">
        <f ca="1">CN169</f>
        <v>4b-1.2 Aufstellung geringwertige Wirtschaftsgüter (GWG) der gewählten Geschäftsart für die Jahre 2028 - 2030</v>
      </c>
      <c r="V168" s="2269"/>
      <c r="W168" s="2269"/>
      <c r="X168" s="2269"/>
      <c r="Y168" s="2269"/>
      <c r="Z168" s="2269"/>
      <c r="AA168" s="2269"/>
      <c r="AB168" s="2269"/>
      <c r="AC168" s="2269"/>
      <c r="AD168" s="2269"/>
      <c r="AE168" s="216"/>
      <c r="AF168" s="25"/>
      <c r="AG168" s="25"/>
      <c r="AH168" s="25"/>
      <c r="AI168" s="49"/>
      <c r="AJ168" s="49"/>
      <c r="AK168" s="613"/>
      <c r="AL168" s="422"/>
      <c r="BA168" s="1479"/>
      <c r="BB168" s="1479"/>
      <c r="BC168" s="1479"/>
      <c r="BD168" s="1479"/>
      <c r="BE168" s="1479"/>
      <c r="BF168" s="1479"/>
      <c r="BG168" s="1479"/>
      <c r="BH168" s="1479"/>
      <c r="BI168" s="1479"/>
      <c r="BJ168" s="1479"/>
      <c r="BK168" s="1479"/>
      <c r="BL168" s="1479"/>
      <c r="BM168" s="1479"/>
      <c r="BN168" s="1479"/>
      <c r="BO168" s="1479"/>
      <c r="BP168" s="1479"/>
      <c r="BQ168" s="1479"/>
      <c r="BR168" s="1479"/>
      <c r="BS168" s="1479"/>
      <c r="BT168" s="1479"/>
      <c r="BU168" s="1479"/>
      <c r="BV168" s="1479"/>
      <c r="BW168" s="1479"/>
      <c r="BX168" s="1479"/>
      <c r="BY168" s="1479"/>
      <c r="BZ168" s="1479"/>
      <c r="CA168" s="1479"/>
      <c r="CB168" s="1479"/>
      <c r="CC168" s="1479"/>
      <c r="CD168" s="1479"/>
      <c r="CE168" s="1479"/>
      <c r="CF168" s="1479"/>
      <c r="CG168" s="1479"/>
      <c r="CH168" s="1479"/>
      <c r="CI168" s="31"/>
      <c r="CJ168" s="31"/>
      <c r="CK168" s="31"/>
      <c r="CL168" s="31"/>
      <c r="CM168" s="31"/>
      <c r="CN168" s="31"/>
      <c r="CO168" s="31"/>
      <c r="CP168" s="31"/>
      <c r="CQ168" s="31"/>
      <c r="CS168" s="228"/>
      <c r="CU168" s="30" t="str">
        <f ca="1">IF(Basisdaten!$B$15=Basisdaten!$D$2,CV168,CW168)</f>
        <v>3a-1.2 Nebenrechung Personalkosten das Jahr 2026</v>
      </c>
      <c r="CV168" s="305" t="str">
        <f ca="1">"3a-1.2 Nebenrechung Personalkosten das "&amp;Basisdaten!O15</f>
        <v>3a-1.2 Nebenrechung Personalkosten das Jahr 2026</v>
      </c>
      <c r="CW168" s="305" t="str">
        <f ca="1">"3a-1.2 Ancillary: Account for Personal Costs for "&amp;Basisdaten!O15</f>
        <v>3a-1.2 Ancillary: Account for Personal Costs for Jahr 2026</v>
      </c>
      <c r="CX168" s="60"/>
      <c r="CY168" s="60"/>
      <c r="CZ168" s="60"/>
      <c r="DA168" s="60"/>
      <c r="DB168" s="60"/>
      <c r="DC168" s="60"/>
      <c r="DD168" s="60"/>
      <c r="DE168" s="60"/>
    </row>
    <row r="169" spans="3:109" ht="14.25" customHeight="1">
      <c r="C169" s="1629">
        <f t="shared" si="130"/>
        <v>0.19</v>
      </c>
      <c r="D169" s="1630"/>
      <c r="E169" s="1319">
        <f>IF('2 Umsatz|Sales'!$CT$23=0,0,C169)</f>
        <v>0.19</v>
      </c>
      <c r="F169" s="538" t="str">
        <f t="shared" si="133"/>
        <v xml:space="preserve">Einkauf </v>
      </c>
      <c r="G169" s="1173">
        <f t="shared" ref="G169:G177" si="134">S13</f>
        <v>0</v>
      </c>
      <c r="H169" s="1174">
        <f t="shared" ref="H169:H178" si="135">S91</f>
        <v>0</v>
      </c>
      <c r="I169" s="417"/>
      <c r="J169" s="417"/>
      <c r="K169" s="417"/>
      <c r="L169" s="610">
        <f>IFERROR(J225,"undo")</f>
        <v>0</v>
      </c>
      <c r="M169" s="57"/>
      <c r="N169" s="57"/>
      <c r="O169" s="57"/>
      <c r="P169" s="57"/>
      <c r="Q169" s="57"/>
      <c r="R169" s="57"/>
      <c r="S169" s="57"/>
      <c r="T169" s="554"/>
      <c r="U169" s="2260"/>
      <c r="V169" s="2260"/>
      <c r="W169" s="2260"/>
      <c r="X169" s="2260"/>
      <c r="Y169" s="2260"/>
      <c r="Z169" s="2260"/>
      <c r="AA169" s="2260"/>
      <c r="AB169" s="2260"/>
      <c r="AC169" s="2260"/>
      <c r="AD169" s="2260"/>
      <c r="AE169" s="1544"/>
      <c r="AF169" s="1544"/>
      <c r="AG169" s="1544"/>
      <c r="AH169" s="1544"/>
      <c r="AI169" s="1540"/>
      <c r="AJ169" s="1540"/>
      <c r="AK169" s="613"/>
      <c r="AL169" s="422"/>
      <c r="BA169" s="1479"/>
      <c r="BB169" s="1479"/>
      <c r="BC169" s="1479"/>
      <c r="BD169" s="1479"/>
      <c r="BE169" s="1479"/>
      <c r="BF169" s="1479"/>
      <c r="BG169" s="1479"/>
      <c r="BH169" s="1479"/>
      <c r="BI169" s="1479"/>
      <c r="BJ169" s="1479"/>
      <c r="BK169" s="1479"/>
      <c r="BL169" s="1479"/>
      <c r="BM169" s="1479"/>
      <c r="BN169" s="1479"/>
      <c r="BO169" s="1479"/>
      <c r="BP169" s="1479"/>
      <c r="BQ169" s="1479"/>
      <c r="BR169" s="1479"/>
      <c r="BS169" s="1479"/>
      <c r="BT169" s="1479"/>
      <c r="BU169" s="1479"/>
      <c r="BV169" s="1479"/>
      <c r="BW169" s="1479"/>
      <c r="BX169" s="1479"/>
      <c r="BY169" s="1479"/>
      <c r="BZ169" s="1479"/>
      <c r="CA169" s="1479"/>
      <c r="CB169" s="1479"/>
      <c r="CC169" s="1479"/>
      <c r="CD169" s="1479"/>
      <c r="CE169" s="1479"/>
      <c r="CF169" s="1479"/>
      <c r="CG169" s="1479"/>
      <c r="CH169" s="1479"/>
      <c r="CI169" s="31"/>
      <c r="CJ169" s="31"/>
      <c r="CK169" s="31"/>
      <c r="CL169" s="31"/>
      <c r="CM169" s="31"/>
      <c r="CN169" s="25" t="str">
        <f ca="1">IF(Basisdaten!$B$15=Basisdaten!$D$2,CO169,CP169)</f>
        <v>4b-1.2 Aufstellung geringwertige Wirtschaftsgüter (GWG) der gewählten Geschäftsart für die Jahre 2028 - 2030</v>
      </c>
      <c r="CO169" s="25" t="str">
        <f ca="1">"4b-1.2 Aufstellung geringwertige Wirtschaftsgüter (GWG) der gewählten Geschäftsart für die Jahre "&amp;Basisdaten!$O$17</f>
        <v>4b-1.2 Aufstellung geringwertige Wirtschaftsgüter (GWG) der gewählten Geschäftsart für die Jahre 2028 - 2030</v>
      </c>
      <c r="CP169" s="9" t="str">
        <f ca="1">"List of low-value assets (LVA) for the selected type of business for the years "&amp;Basisdaten!$O$17</f>
        <v>List of low-value assets (LVA) for the selected type of business for the years 2028 - 2030</v>
      </c>
      <c r="CQ169" s="31"/>
      <c r="CR169" s="95"/>
      <c r="CS169" s="95"/>
      <c r="CU169" s="30" t="str">
        <f>IF(Basisdaten!$B$15=Basisdaten!$D$2,CV169,CW169)</f>
        <v>Mitarbeiter</v>
      </c>
      <c r="CV169" s="545" t="s">
        <v>1002</v>
      </c>
      <c r="CW169" s="545" t="s">
        <v>1057</v>
      </c>
      <c r="CX169" s="60"/>
      <c r="CY169" s="60"/>
      <c r="CZ169" s="60"/>
      <c r="DA169" s="60"/>
      <c r="DB169" s="60"/>
      <c r="DC169" s="60"/>
      <c r="DD169" s="60"/>
      <c r="DE169" s="60"/>
    </row>
    <row r="170" spans="3:109" ht="14.25" customHeight="1">
      <c r="C170" s="1629">
        <f t="shared" si="130"/>
        <v>0.19</v>
      </c>
      <c r="D170" s="1630"/>
      <c r="E170" s="1320">
        <f>IF('2 Umsatz|Sales'!$CT$23=0,0,C170)</f>
        <v>0.19</v>
      </c>
      <c r="F170" s="278" t="str">
        <f t="shared" si="133"/>
        <v>Notwendig nach Tab 2 für Auswahl/Choose</v>
      </c>
      <c r="G170" s="1173">
        <f t="shared" si="134"/>
        <v>0</v>
      </c>
      <c r="H170" s="1174">
        <f t="shared" si="135"/>
        <v>0</v>
      </c>
      <c r="I170" s="280">
        <f>'2 Umsatz|Sales'!L119+'2 Umsatz|Sales'!L108</f>
        <v>0</v>
      </c>
      <c r="J170" s="280">
        <f>'2 Umsatz|Sales'!P119+'2 Umsatz|Sales'!P108</f>
        <v>0</v>
      </c>
      <c r="K170" s="280">
        <f>'2 Umsatz|Sales'!T119+'2 Umsatz|Sales'!T108</f>
        <v>0</v>
      </c>
      <c r="L170" s="610">
        <f>IFERROR(K225,"undo")</f>
        <v>0</v>
      </c>
      <c r="M170" s="57"/>
      <c r="N170" s="57"/>
      <c r="O170" s="57"/>
      <c r="P170" s="57"/>
      <c r="Q170" s="57"/>
      <c r="R170" s="57"/>
      <c r="S170" s="57"/>
      <c r="T170" s="554"/>
      <c r="U170" s="2245" t="str">
        <f>U158</f>
        <v>Artikelbezeichnung</v>
      </c>
      <c r="V170" s="2246"/>
      <c r="W170" s="336" t="str">
        <f t="shared" ref="W170:AD170" si="136">W158</f>
        <v>Betrag</v>
      </c>
      <c r="X170" s="336" t="str">
        <f t="shared" si="136"/>
        <v>Stk-Kost</v>
      </c>
      <c r="Y170" s="336" t="str">
        <f t="shared" si="136"/>
        <v>Anzahl</v>
      </c>
      <c r="Z170" s="336" t="str">
        <f t="shared" si="136"/>
        <v>Invest-Jahr</v>
      </c>
      <c r="AA170" s="336" t="str">
        <f t="shared" si="136"/>
        <v>Direkt/Pool</v>
      </c>
      <c r="AB170" s="336" t="str">
        <f t="shared" si="136"/>
        <v>Direkt</v>
      </c>
      <c r="AC170" s="336" t="str">
        <f t="shared" si="136"/>
        <v>Pool</v>
      </c>
      <c r="AD170" s="336" t="str">
        <f t="shared" si="136"/>
        <v>Kommentar</v>
      </c>
      <c r="AJ170" s="1540"/>
      <c r="AK170" s="613"/>
      <c r="AL170" s="422"/>
      <c r="BA170" s="1479"/>
      <c r="BB170" s="1479"/>
      <c r="BC170" s="1479"/>
      <c r="BD170" s="1479"/>
      <c r="BE170" s="1479"/>
      <c r="BF170" s="1479"/>
      <c r="BG170" s="1479"/>
      <c r="BH170" s="1479"/>
      <c r="BI170" s="1479"/>
      <c r="BJ170" s="1479"/>
      <c r="BK170" s="1479"/>
      <c r="BL170" s="1479"/>
      <c r="BM170" s="1479"/>
      <c r="BN170" s="1479"/>
      <c r="BO170" s="1479"/>
      <c r="BP170" s="1479"/>
      <c r="BQ170" s="1479"/>
      <c r="BR170" s="1479"/>
      <c r="BS170" s="1479"/>
      <c r="BT170" s="1479"/>
      <c r="BU170" s="1479"/>
      <c r="BV170" s="1479"/>
      <c r="BW170" s="1479"/>
      <c r="BX170" s="1479"/>
      <c r="BY170" s="1479"/>
      <c r="BZ170" s="1479"/>
      <c r="CA170" s="1544"/>
      <c r="CB170" s="1511" t="s">
        <v>997</v>
      </c>
      <c r="CC170" s="1511" t="s">
        <v>886</v>
      </c>
      <c r="CD170" s="1545" t="s">
        <v>996</v>
      </c>
      <c r="CE170" s="1511" t="s">
        <v>995</v>
      </c>
      <c r="CF170" s="1479"/>
      <c r="CG170" s="1479"/>
      <c r="CH170" s="1479"/>
      <c r="CI170" s="31"/>
      <c r="CJ170" s="31"/>
      <c r="CK170" s="31"/>
      <c r="CL170" s="31"/>
      <c r="CM170" s="31"/>
      <c r="CN170" s="31"/>
      <c r="CO170" s="31"/>
      <c r="CP170" s="31"/>
      <c r="CQ170" s="31"/>
      <c r="CS170" s="228"/>
      <c r="CU170" s="30" t="str">
        <f>IF(Basisdaten!$B$15=Basisdaten!$D$2,CV170,CW170)</f>
        <v>Gehalt</v>
      </c>
      <c r="CV170" s="545" t="s">
        <v>945</v>
      </c>
      <c r="CW170" s="545" t="s">
        <v>1056</v>
      </c>
      <c r="CX170" s="60"/>
      <c r="CY170" s="60"/>
      <c r="CZ170" s="60"/>
      <c r="DA170" s="60"/>
      <c r="DB170" s="60"/>
      <c r="DC170" s="60"/>
      <c r="DD170" s="60"/>
      <c r="DE170" s="60"/>
    </row>
    <row r="171" spans="3:109" ht="14.25" customHeight="1">
      <c r="C171" s="1634">
        <f t="shared" si="130"/>
        <v>0.19</v>
      </c>
      <c r="D171" s="1630"/>
      <c r="E171" s="1320">
        <f>IF('2 Umsatz|Sales'!$CT$23=0,0,C171)</f>
        <v>0.19</v>
      </c>
      <c r="F171" s="278" t="str">
        <f t="shared" si="133"/>
        <v xml:space="preserve">Vorräte </v>
      </c>
      <c r="G171" s="1173">
        <f t="shared" si="134"/>
        <v>0</v>
      </c>
      <c r="H171" s="1174">
        <f t="shared" si="135"/>
        <v>0</v>
      </c>
      <c r="I171" s="280"/>
      <c r="J171" s="280"/>
      <c r="K171" s="280"/>
      <c r="L171" s="559"/>
      <c r="M171" s="57"/>
      <c r="N171" s="57"/>
      <c r="O171" s="57"/>
      <c r="P171" s="57"/>
      <c r="Q171" s="57"/>
      <c r="R171" s="57"/>
      <c r="S171" s="57"/>
      <c r="T171" s="554"/>
      <c r="U171" s="2247"/>
      <c r="V171" s="2248"/>
      <c r="W171" s="1393">
        <f>X171*Y171</f>
        <v>0</v>
      </c>
      <c r="X171" s="1244"/>
      <c r="Y171" s="1237"/>
      <c r="Z171" s="1243"/>
      <c r="AA171" s="1238"/>
      <c r="AB171" s="1239"/>
      <c r="AC171" s="1239">
        <f>IF(AA171=$CB$1,0,IF(AND($AA171="Pool",$X171&lt;=Basisdaten!$D$50,$X171&gt;Basisdaten!$B$50),$W171,0))</f>
        <v>0</v>
      </c>
      <c r="AD171" s="1392" t="str">
        <f t="shared" ref="AD171:AD175" si="137">IF(AND($AA171=$CC$1,$X171&gt;$CC$2),$CD$2,IF(AND($AA171=$CB$1,$X171&gt;$CB$2),$CD$1,IF(AND($X171&lt;$CA$2,$X171&lt;&gt;0,$Y171&gt;0),$CA$3,"")))</f>
        <v/>
      </c>
      <c r="AJ171" s="1540"/>
      <c r="AK171" s="613"/>
      <c r="AL171" s="422"/>
      <c r="BA171" s="1479"/>
      <c r="BB171" s="1479"/>
      <c r="BC171" s="1479"/>
      <c r="BD171" s="1479"/>
      <c r="BE171" s="1479"/>
      <c r="BF171" s="1479"/>
      <c r="BG171" s="1479"/>
      <c r="BH171" s="1479"/>
      <c r="BI171" s="1479"/>
      <c r="BJ171" s="1479"/>
      <c r="BK171" s="1479"/>
      <c r="BL171" s="1479"/>
      <c r="BM171" s="1479"/>
      <c r="BN171" s="1479"/>
      <c r="BO171" s="1479"/>
      <c r="BP171" s="1479"/>
      <c r="BQ171" s="1479"/>
      <c r="BR171" s="1479"/>
      <c r="BS171" s="1479"/>
      <c r="BT171" s="1479"/>
      <c r="BU171" s="1479"/>
      <c r="BV171" s="1479"/>
      <c r="BW171" s="1479"/>
      <c r="BX171" s="1479"/>
      <c r="BY171" s="1479"/>
      <c r="BZ171" s="1479"/>
      <c r="CA171" s="1547">
        <f t="shared" ref="CA171:CA175" si="138">IF(OR(AD171=$CD$1,AD171=$CD$2,AD171=$CA$3),1,0)</f>
        <v>0</v>
      </c>
      <c r="CB171" s="1548">
        <f t="shared" ref="CB171:CB175" si="139">IF(OR(AND($X171&lt;$CA$2,$X171&lt;&gt;0),AND($X171&gt;$CB$2,$AA171=$CB$1),AND($X171&gt;$CC$2,$AA171=$CC$1)),1,0)</f>
        <v>0</v>
      </c>
      <c r="CC171" s="1548">
        <f t="shared" ref="CC171:CC175" si="140">IF(AND($X171&gt;0,$Y171=0),1,0)</f>
        <v>0</v>
      </c>
      <c r="CD171" s="1547">
        <f>IF(AND($X171&gt;0,$Z171=""),1,0)</f>
        <v>0</v>
      </c>
      <c r="CE171" s="1548">
        <f>IF(AND($AA171="",$X171&gt;0),1,0)</f>
        <v>0</v>
      </c>
      <c r="CF171" s="1538" t="s">
        <v>1008</v>
      </c>
      <c r="CG171" s="1479"/>
      <c r="CH171" s="1479"/>
      <c r="CI171" s="31"/>
      <c r="CJ171" s="31"/>
      <c r="CK171" s="31"/>
      <c r="CL171" s="31"/>
      <c r="CM171" s="31"/>
      <c r="CN171" s="31"/>
      <c r="CO171" s="31"/>
      <c r="CP171" s="31"/>
      <c r="CQ171" s="31"/>
      <c r="CS171" s="228"/>
      <c r="CU171" s="30" t="str">
        <f>IF(Basisdaten!$B$15=Basisdaten!$D$2,CV171,CW171)</f>
        <v>Anzahl Mitarbeiter Minijob</v>
      </c>
      <c r="CV171" s="545" t="s">
        <v>593</v>
      </c>
      <c r="CW171" s="545" t="s">
        <v>596</v>
      </c>
      <c r="CX171" s="60"/>
      <c r="CY171" s="60"/>
      <c r="CZ171" s="60"/>
      <c r="DA171" s="60"/>
      <c r="DB171" s="60"/>
      <c r="DC171" s="60"/>
      <c r="DD171" s="60"/>
      <c r="DE171" s="60"/>
    </row>
    <row r="172" spans="3:109" ht="14.25" customHeight="1">
      <c r="C172" s="1634">
        <f t="shared" si="130"/>
        <v>0.19</v>
      </c>
      <c r="D172" s="1630"/>
      <c r="E172" s="1320">
        <f>IF('2 Umsatz|Sales'!$CT$23=0,0,C172)</f>
        <v>0.19</v>
      </c>
      <c r="F172" s="278" t="str">
        <f>CN30&amp;"   "&amp; CU68&amp;" Tab 4b-1.2 ==&gt;"</f>
        <v>GWG    Planung Tab 4b-1.2 ==&gt;</v>
      </c>
      <c r="G172" s="1369">
        <f t="shared" si="134"/>
        <v>0</v>
      </c>
      <c r="H172" s="1369">
        <f t="shared" si="135"/>
        <v>0</v>
      </c>
      <c r="I172" s="1370">
        <f ca="1">X177</f>
        <v>0</v>
      </c>
      <c r="J172" s="1370">
        <f ca="1">Y177</f>
        <v>0</v>
      </c>
      <c r="K172" s="1370">
        <f ca="1">Z177</f>
        <v>0</v>
      </c>
      <c r="L172" s="1188"/>
      <c r="M172" s="57"/>
      <c r="N172" s="57"/>
      <c r="O172" s="57"/>
      <c r="P172" s="57"/>
      <c r="Q172" s="57"/>
      <c r="R172" s="57"/>
      <c r="S172" s="57"/>
      <c r="T172" s="554"/>
      <c r="U172" s="2247"/>
      <c r="V172" s="2248"/>
      <c r="W172" s="1393">
        <f t="shared" ref="W172:W175" si="141">X172*Y172</f>
        <v>0</v>
      </c>
      <c r="X172" s="1244"/>
      <c r="Y172" s="1237"/>
      <c r="Z172" s="1243"/>
      <c r="AA172" s="1238"/>
      <c r="AB172" s="1239">
        <f>IF($AA172=$CC$1,0,IF(AND($AA172="Direkt",$X172&gt;Basisdaten!$B$50,$X172&lt;=Basisdaten!$C$50),$W172,IF(AND($X172&lt;=Basisdaten!$C$50,$X172&gt;Basisdaten!$B$50),$W172,0)))</f>
        <v>0</v>
      </c>
      <c r="AC172" s="1239">
        <f>IF(AA172=$CB$1,0,IF(AND($AA172="Pool",$X172&lt;=Basisdaten!$D$50,$X172&gt;Basisdaten!$B$50),$W172,0))</f>
        <v>0</v>
      </c>
      <c r="AD172" s="1392" t="str">
        <f t="shared" si="137"/>
        <v/>
      </c>
      <c r="AJ172" s="1540"/>
      <c r="AK172" s="613"/>
      <c r="AL172" s="422"/>
      <c r="BA172" s="1479"/>
      <c r="BB172" s="1479"/>
      <c r="BC172" s="1479"/>
      <c r="BD172" s="1479"/>
      <c r="BE172" s="1479"/>
      <c r="BF172" s="1479"/>
      <c r="BG172" s="1479"/>
      <c r="BH172" s="1479"/>
      <c r="BI172" s="1479"/>
      <c r="BJ172" s="1479"/>
      <c r="BK172" s="1479"/>
      <c r="BL172" s="1479"/>
      <c r="BM172" s="1479"/>
      <c r="BN172" s="1479"/>
      <c r="BO172" s="1479"/>
      <c r="BP172" s="1479"/>
      <c r="BQ172" s="1479"/>
      <c r="BR172" s="1479"/>
      <c r="BS172" s="1479"/>
      <c r="BT172" s="1479"/>
      <c r="BU172" s="1479"/>
      <c r="BV172" s="1479"/>
      <c r="BW172" s="1479"/>
      <c r="BX172" s="1479"/>
      <c r="BY172" s="1479"/>
      <c r="BZ172" s="1479"/>
      <c r="CA172" s="1547">
        <f t="shared" si="138"/>
        <v>0</v>
      </c>
      <c r="CB172" s="1548">
        <f t="shared" si="139"/>
        <v>0</v>
      </c>
      <c r="CC172" s="1548">
        <f t="shared" si="140"/>
        <v>0</v>
      </c>
      <c r="CD172" s="1547">
        <f t="shared" ref="CD172:CD175" si="142">IF(AND($X172&gt;0,$Z172=""),1,0)</f>
        <v>0</v>
      </c>
      <c r="CE172" s="1548">
        <f t="shared" ref="CE172:CE175" si="143">IF(AND($AA172="",$X172&gt;0),1,0)</f>
        <v>0</v>
      </c>
      <c r="CF172" s="1538"/>
      <c r="CG172" s="1479"/>
      <c r="CH172" s="1479"/>
      <c r="CI172" s="31"/>
      <c r="CJ172" s="31"/>
      <c r="CK172" s="31"/>
      <c r="CL172" s="31"/>
      <c r="CM172" s="31"/>
      <c r="CN172" s="31"/>
      <c r="CO172" s="31"/>
      <c r="CP172" s="31"/>
      <c r="CQ172" s="31"/>
      <c r="CS172" s="230"/>
      <c r="CU172" s="30" t="str">
        <f>IF(Basisdaten!$B$15=Basisdaten!$D$2,CV172,CW172)</f>
        <v>Hilfe</v>
      </c>
      <c r="CV172" s="545" t="s">
        <v>507</v>
      </c>
      <c r="CW172" s="545" t="s">
        <v>597</v>
      </c>
      <c r="CX172" s="60"/>
      <c r="CY172" s="60"/>
      <c r="CZ172" s="60"/>
      <c r="DA172" s="60"/>
      <c r="DB172" s="60"/>
      <c r="DC172" s="60"/>
      <c r="DD172" s="60"/>
      <c r="DE172" s="60"/>
    </row>
    <row r="173" spans="3:109" ht="14.25" customHeight="1">
      <c r="C173" s="1629">
        <f t="shared" si="130"/>
        <v>0.19</v>
      </c>
      <c r="D173" s="1630"/>
      <c r="E173" s="1320">
        <f>IF('2 Umsatz|Sales'!$CT$23=0,0,C173)</f>
        <v>0.19</v>
      </c>
      <c r="F173" s="278" t="str">
        <f t="shared" ref="F173:F178" si="144">F17</f>
        <v/>
      </c>
      <c r="G173" s="1173">
        <f t="shared" si="134"/>
        <v>0</v>
      </c>
      <c r="H173" s="1174">
        <f t="shared" si="135"/>
        <v>0</v>
      </c>
      <c r="I173" s="577"/>
      <c r="J173" s="577"/>
      <c r="K173" s="579"/>
      <c r="L173" s="1188"/>
      <c r="M173" s="57"/>
      <c r="N173" s="57"/>
      <c r="O173" s="57"/>
      <c r="P173" s="57"/>
      <c r="Q173" s="57"/>
      <c r="R173" s="57"/>
      <c r="S173" s="57"/>
      <c r="T173" s="554"/>
      <c r="U173" s="2247"/>
      <c r="V173" s="2248"/>
      <c r="W173" s="1393">
        <f t="shared" si="141"/>
        <v>0</v>
      </c>
      <c r="X173" s="1237"/>
      <c r="Y173" s="1237"/>
      <c r="Z173" s="1243"/>
      <c r="AA173" s="1238"/>
      <c r="AB173" s="1239"/>
      <c r="AC173" s="1239">
        <f>IF(AA173=$CB$1,0,IF(AND($AA173="Pool",$X173&lt;=Basisdaten!$D$50,$X173&gt;Basisdaten!$B$50),$W173,0))</f>
        <v>0</v>
      </c>
      <c r="AD173" s="1392" t="str">
        <f t="shared" si="137"/>
        <v/>
      </c>
      <c r="AJ173" s="1540"/>
      <c r="AK173" s="613"/>
      <c r="AL173" s="422"/>
      <c r="BA173" s="1479"/>
      <c r="BB173" s="1479"/>
      <c r="BC173" s="1479"/>
      <c r="BD173" s="1479"/>
      <c r="BE173" s="1479"/>
      <c r="BF173" s="1479"/>
      <c r="BG173" s="1479"/>
      <c r="BH173" s="1479"/>
      <c r="BI173" s="1479"/>
      <c r="BJ173" s="1479"/>
      <c r="BK173" s="1479"/>
      <c r="BL173" s="1479"/>
      <c r="BM173" s="1479"/>
      <c r="BN173" s="1479"/>
      <c r="BO173" s="1479"/>
      <c r="BP173" s="1479"/>
      <c r="BQ173" s="1479"/>
      <c r="BR173" s="1479"/>
      <c r="BS173" s="1479"/>
      <c r="BT173" s="1479"/>
      <c r="BU173" s="1479"/>
      <c r="BV173" s="1479"/>
      <c r="BW173" s="1479"/>
      <c r="BX173" s="1479"/>
      <c r="BY173" s="1479"/>
      <c r="BZ173" s="1479"/>
      <c r="CA173" s="1547">
        <f t="shared" si="138"/>
        <v>0</v>
      </c>
      <c r="CB173" s="1548">
        <f t="shared" si="139"/>
        <v>0</v>
      </c>
      <c r="CC173" s="1548">
        <f t="shared" si="140"/>
        <v>0</v>
      </c>
      <c r="CD173" s="1547">
        <f t="shared" si="142"/>
        <v>0</v>
      </c>
      <c r="CE173" s="1548">
        <f t="shared" si="143"/>
        <v>0</v>
      </c>
      <c r="CF173" s="1538"/>
      <c r="CG173" s="1479"/>
      <c r="CH173" s="1479"/>
      <c r="CI173" s="31"/>
      <c r="CJ173" s="31"/>
      <c r="CK173" s="31"/>
      <c r="CL173" s="31"/>
      <c r="CM173" s="31"/>
      <c r="CN173" s="31"/>
      <c r="CO173" s="31"/>
      <c r="CP173" s="31"/>
      <c r="CQ173" s="31"/>
      <c r="CS173" s="229"/>
      <c r="CU173" s="30" t="str">
        <f>IF(Basisdaten!$B$15=Basisdaten!$D$2,CV173,CW173)</f>
        <v>Gehalt 2</v>
      </c>
      <c r="CV173" s="545" t="s">
        <v>617</v>
      </c>
      <c r="CW173" s="545" t="s">
        <v>615</v>
      </c>
    </row>
    <row r="174" spans="3:109" ht="14.25" customHeight="1">
      <c r="C174" s="1629">
        <f t="shared" si="130"/>
        <v>0.19</v>
      </c>
      <c r="D174" s="1630"/>
      <c r="E174" s="1320">
        <f>IF('2 Umsatz|Sales'!$CT$23=0,0,C174)</f>
        <v>0.19</v>
      </c>
      <c r="F174" s="278" t="str">
        <f t="shared" si="144"/>
        <v/>
      </c>
      <c r="G174" s="1173">
        <f t="shared" si="134"/>
        <v>0</v>
      </c>
      <c r="H174" s="1174">
        <f t="shared" si="135"/>
        <v>0</v>
      </c>
      <c r="I174" s="417"/>
      <c r="J174" s="417"/>
      <c r="K174" s="580"/>
      <c r="L174" s="1188"/>
      <c r="M174" s="57"/>
      <c r="N174" s="57"/>
      <c r="O174" s="57"/>
      <c r="P174" s="57"/>
      <c r="Q174" s="57"/>
      <c r="R174" s="57"/>
      <c r="S174" s="57"/>
      <c r="T174" s="554"/>
      <c r="U174" s="2247"/>
      <c r="V174" s="2248"/>
      <c r="W174" s="1393">
        <f t="shared" si="141"/>
        <v>0</v>
      </c>
      <c r="X174" s="1237"/>
      <c r="Y174" s="1237"/>
      <c r="Z174" s="1243"/>
      <c r="AA174" s="1238"/>
      <c r="AB174" s="1239">
        <f>IF($AA174=$CC$1,0,IF(AND($AA174="Direkt",$X174&gt;Basisdaten!$B$50,$X174&lt;=Basisdaten!$C$50),$W174,IF(AND($X174&lt;=Basisdaten!$C$50,$X174&gt;Basisdaten!$B$50),$W174,0)))</f>
        <v>0</v>
      </c>
      <c r="AC174" s="1239">
        <f>IF(AA174=$CB$1,0,IF(AND($AA174="Pool",$X174&lt;=Basisdaten!$D$50,$X174&gt;Basisdaten!$B$50),$W174,0))</f>
        <v>0</v>
      </c>
      <c r="AD174" s="1392" t="str">
        <f t="shared" si="137"/>
        <v/>
      </c>
      <c r="AJ174" s="1546"/>
      <c r="AK174" s="613"/>
      <c r="AL174" s="422"/>
      <c r="BA174" s="1479"/>
      <c r="BB174" s="1479"/>
      <c r="BC174" s="1479"/>
      <c r="BD174" s="1479"/>
      <c r="BE174" s="1479"/>
      <c r="BF174" s="1479"/>
      <c r="BG174" s="1479"/>
      <c r="BH174" s="1479"/>
      <c r="BI174" s="1479"/>
      <c r="BJ174" s="1479"/>
      <c r="BK174" s="1479"/>
      <c r="BL174" s="1479"/>
      <c r="BM174" s="1479"/>
      <c r="BN174" s="1479"/>
      <c r="BO174" s="1479"/>
      <c r="BP174" s="1479"/>
      <c r="BQ174" s="1479"/>
      <c r="BR174" s="1479"/>
      <c r="BS174" s="1479"/>
      <c r="BT174" s="1479"/>
      <c r="BU174" s="1479"/>
      <c r="BV174" s="1479"/>
      <c r="BW174" s="1479"/>
      <c r="BX174" s="1479"/>
      <c r="BY174" s="1479"/>
      <c r="BZ174" s="1479"/>
      <c r="CA174" s="1547">
        <f t="shared" si="138"/>
        <v>0</v>
      </c>
      <c r="CB174" s="1548">
        <f t="shared" si="139"/>
        <v>0</v>
      </c>
      <c r="CC174" s="1548">
        <f t="shared" si="140"/>
        <v>0</v>
      </c>
      <c r="CD174" s="1547">
        <f t="shared" si="142"/>
        <v>0</v>
      </c>
      <c r="CE174" s="1548">
        <f t="shared" si="143"/>
        <v>0</v>
      </c>
      <c r="CF174" s="1538"/>
      <c r="CG174" s="1479"/>
      <c r="CH174" s="1479"/>
      <c r="CI174" s="31"/>
      <c r="CJ174" s="31"/>
      <c r="CK174" s="31"/>
      <c r="CL174" s="31"/>
      <c r="CM174" s="31"/>
      <c r="CN174" s="31"/>
      <c r="CO174" s="31"/>
      <c r="CP174" s="31"/>
      <c r="CQ174" s="31"/>
      <c r="CS174" s="229"/>
      <c r="CU174" s="30" t="str">
        <f>IF(Basisdaten!$B$15=Basisdaten!$D$2,CV174,CW174)</f>
        <v>Invest-Jahr</v>
      </c>
      <c r="CV174" s="38" t="s">
        <v>998</v>
      </c>
      <c r="CW174" s="545" t="s">
        <v>999</v>
      </c>
    </row>
    <row r="175" spans="3:109" ht="14.25" customHeight="1">
      <c r="C175" s="1629">
        <f t="shared" si="130"/>
        <v>0.19</v>
      </c>
      <c r="D175" s="1630"/>
      <c r="E175" s="1320">
        <f>IF('2 Umsatz|Sales'!$CT$23=0,0,C175)</f>
        <v>0.19</v>
      </c>
      <c r="F175" s="278" t="str">
        <f t="shared" si="144"/>
        <v/>
      </c>
      <c r="G175" s="1173">
        <f t="shared" si="134"/>
        <v>0</v>
      </c>
      <c r="H175" s="1174">
        <f t="shared" si="135"/>
        <v>0</v>
      </c>
      <c r="I175" s="417"/>
      <c r="J175" s="417"/>
      <c r="K175" s="580"/>
      <c r="L175" s="1188"/>
      <c r="M175" s="57"/>
      <c r="N175" s="57"/>
      <c r="O175" s="57"/>
      <c r="P175" s="57"/>
      <c r="Q175" s="57"/>
      <c r="R175" s="57"/>
      <c r="S175" s="57"/>
      <c r="T175" s="554"/>
      <c r="U175" s="2247"/>
      <c r="V175" s="2248"/>
      <c r="W175" s="1393">
        <f t="shared" si="141"/>
        <v>0</v>
      </c>
      <c r="X175" s="1237"/>
      <c r="Y175" s="1237"/>
      <c r="Z175" s="1243"/>
      <c r="AA175" s="1241"/>
      <c r="AB175" s="1242">
        <f>IF($AA175=$CC$1,0,IF(AND($AA175="Direkt",$X175&gt;Basisdaten!$B$50,$X175&lt;=Basisdaten!$C$50),$W175,IF(AND($X175&lt;=Basisdaten!$C$50,$X175&gt;Basisdaten!$B$50),$W175,0)))</f>
        <v>0</v>
      </c>
      <c r="AC175" s="1242">
        <f>IF(AA175=$CB$1,0,IF(AND($AA175="Pool",$X175&lt;=Basisdaten!$D$50,$X175&gt;Basisdaten!$B$50),$W175,0))</f>
        <v>0</v>
      </c>
      <c r="AD175" s="1395" t="str">
        <f t="shared" si="137"/>
        <v/>
      </c>
      <c r="AJ175" s="1546"/>
      <c r="AK175" s="613"/>
      <c r="AL175" s="422"/>
      <c r="BA175" s="1479"/>
      <c r="BB175" s="1479"/>
      <c r="BC175" s="1479"/>
      <c r="BD175" s="1479"/>
      <c r="BE175" s="1479"/>
      <c r="BF175" s="1479"/>
      <c r="BG175" s="1479"/>
      <c r="BH175" s="1479"/>
      <c r="BI175" s="1479"/>
      <c r="BJ175" s="1479"/>
      <c r="BK175" s="1479"/>
      <c r="BL175" s="1479"/>
      <c r="BM175" s="1479"/>
      <c r="BN175" s="1479"/>
      <c r="BO175" s="1479"/>
      <c r="BP175" s="1479"/>
      <c r="BQ175" s="1479"/>
      <c r="BR175" s="1479"/>
      <c r="BS175" s="1479"/>
      <c r="BT175" s="1479"/>
      <c r="BU175" s="1479"/>
      <c r="BV175" s="1479"/>
      <c r="BW175" s="1479"/>
      <c r="BX175" s="1479"/>
      <c r="BY175" s="1479"/>
      <c r="BZ175" s="1479"/>
      <c r="CA175" s="1547">
        <f t="shared" si="138"/>
        <v>0</v>
      </c>
      <c r="CB175" s="1548">
        <f t="shared" si="139"/>
        <v>0</v>
      </c>
      <c r="CC175" s="1548">
        <f t="shared" si="140"/>
        <v>0</v>
      </c>
      <c r="CD175" s="1547">
        <f t="shared" si="142"/>
        <v>0</v>
      </c>
      <c r="CE175" s="1548">
        <f t="shared" si="143"/>
        <v>0</v>
      </c>
      <c r="CF175" s="1538"/>
      <c r="CG175" s="1479"/>
      <c r="CH175" s="1479"/>
      <c r="CI175" s="31"/>
      <c r="CJ175" s="31"/>
      <c r="CK175" s="31"/>
      <c r="CL175" s="31"/>
      <c r="CM175" s="31"/>
      <c r="CN175" s="31"/>
      <c r="CO175" s="31"/>
      <c r="CP175" s="31"/>
      <c r="CQ175" s="31"/>
      <c r="CS175" s="229"/>
      <c r="CU175" s="30">
        <f>IF(Basisdaten!$B$15=Basisdaten!$D$2,CV175,CW175)</f>
        <v>0</v>
      </c>
      <c r="CV175" s="545"/>
      <c r="CW175" s="545"/>
    </row>
    <row r="176" spans="3:109" ht="14.25" customHeight="1">
      <c r="C176" s="1629">
        <f t="shared" si="130"/>
        <v>0.19</v>
      </c>
      <c r="D176" s="1630"/>
      <c r="E176" s="1320">
        <f>IF('2 Umsatz|Sales'!$CT$23=0,0,C176)</f>
        <v>0.19</v>
      </c>
      <c r="F176" s="278" t="str">
        <f t="shared" si="144"/>
        <v/>
      </c>
      <c r="G176" s="1173">
        <f t="shared" si="134"/>
        <v>0</v>
      </c>
      <c r="H176" s="1174">
        <f t="shared" si="135"/>
        <v>0</v>
      </c>
      <c r="I176" s="417"/>
      <c r="J176" s="417"/>
      <c r="K176" s="580"/>
      <c r="L176" s="1188"/>
      <c r="M176" s="57"/>
      <c r="N176" s="57"/>
      <c r="O176" s="57"/>
      <c r="P176" s="57"/>
      <c r="Q176" s="57"/>
      <c r="R176" s="57"/>
      <c r="S176" s="57"/>
      <c r="T176" s="554"/>
      <c r="U176" s="1769"/>
      <c r="V176" s="1770"/>
      <c r="W176" s="1771"/>
      <c r="X176" s="1273">
        <f ca="1">Basisdaten!$C$15+2</f>
        <v>2028</v>
      </c>
      <c r="Y176" s="1273">
        <f ca="1">X176+1</f>
        <v>2029</v>
      </c>
      <c r="Z176" s="1273">
        <f ca="1">Y176+1</f>
        <v>2030</v>
      </c>
      <c r="AA176" s="554"/>
      <c r="AB176" s="554"/>
      <c r="AC176" s="554"/>
      <c r="AD176" s="554"/>
      <c r="AE176" s="554"/>
      <c r="AF176" s="554"/>
      <c r="AG176" s="554"/>
      <c r="AJ176" s="1546"/>
      <c r="AK176" s="613"/>
      <c r="AL176" s="422"/>
      <c r="BA176" s="1479"/>
      <c r="BB176" s="1479"/>
      <c r="BC176" s="1479"/>
      <c r="BD176" s="1479"/>
      <c r="BE176" s="1479"/>
      <c r="BF176" s="1479"/>
      <c r="BG176" s="1479"/>
      <c r="BH176" s="1479"/>
      <c r="BI176" s="1479"/>
      <c r="BJ176" s="1479"/>
      <c r="BK176" s="1479"/>
      <c r="BL176" s="1479"/>
      <c r="BM176" s="1479"/>
      <c r="BN176" s="1479"/>
      <c r="BO176" s="1479"/>
      <c r="BP176" s="1479"/>
      <c r="BQ176" s="1479"/>
      <c r="BR176" s="1479"/>
      <c r="BS176" s="1479"/>
      <c r="BT176" s="1479"/>
      <c r="BU176" s="1479"/>
      <c r="BV176" s="1479"/>
      <c r="BW176" s="1479"/>
      <c r="BX176" s="1479"/>
      <c r="BY176" s="1479"/>
      <c r="BZ176" s="1479"/>
      <c r="CA176" s="1479"/>
      <c r="CB176" s="1479"/>
      <c r="CC176" s="1479"/>
      <c r="CD176" s="1479"/>
      <c r="CE176" s="1479"/>
      <c r="CF176" s="1479"/>
      <c r="CG176" s="1479"/>
      <c r="CH176" s="1479"/>
      <c r="CI176" s="31"/>
      <c r="CJ176" s="31"/>
      <c r="CK176" s="31"/>
      <c r="CL176" s="31"/>
      <c r="CM176" s="31"/>
      <c r="CN176" s="31"/>
      <c r="CO176" s="31"/>
      <c r="CP176" s="31"/>
      <c r="CQ176" s="31"/>
      <c r="CS176" s="227"/>
      <c r="CU176" s="30" t="str">
        <f>IF(Basisdaten!$B$15=Basisdaten!$D$2,CV176,CW176)</f>
        <v>Gehalt 3</v>
      </c>
      <c r="CV176" s="545" t="s">
        <v>618</v>
      </c>
      <c r="CW176" s="545" t="s">
        <v>616</v>
      </c>
    </row>
    <row r="177" spans="3:114" ht="14.25" customHeight="1" thickBot="1">
      <c r="C177" s="1629">
        <f t="shared" si="130"/>
        <v>0.19</v>
      </c>
      <c r="D177" s="1630"/>
      <c r="E177" s="1320">
        <f>IF('2 Umsatz|Sales'!$CT$23=0,0,C177)</f>
        <v>0.19</v>
      </c>
      <c r="F177" s="1219" t="str">
        <f t="shared" si="144"/>
        <v>Sonstiges</v>
      </c>
      <c r="G177" s="1180">
        <f t="shared" si="134"/>
        <v>0</v>
      </c>
      <c r="H177" s="1181">
        <f t="shared" si="135"/>
        <v>0</v>
      </c>
      <c r="I177" s="521"/>
      <c r="J177" s="521"/>
      <c r="K177" s="581"/>
      <c r="L177" s="1188"/>
      <c r="M177" s="57"/>
      <c r="N177" s="57"/>
      <c r="O177" s="57"/>
      <c r="P177" s="57"/>
      <c r="Q177" s="57"/>
      <c r="R177" s="57"/>
      <c r="S177" s="57"/>
      <c r="T177" s="554"/>
      <c r="U177" s="1390" t="str">
        <f>U165</f>
        <v>GWG Direkt</v>
      </c>
      <c r="V177" s="1396"/>
      <c r="W177" s="1394"/>
      <c r="X177" s="1265">
        <f ca="1">IF(AND($Z$171=X176,$AB$171&gt;0),$AB$171,0)+IF(AND($Z$172=X176,$AB$172&gt;0),$AB$172,0)+IF(AND($Z$173=X176,$AB$173&gt;0),$AB$173,0)+IF(AND($Z$174=X176,$AB$174&gt;0),$AB$174,0)+IF(AND($Z$175=X176,$AB$175&gt;0),$AB$175,0)</f>
        <v>0</v>
      </c>
      <c r="Y177" s="1265">
        <f ca="1">IF(AND($Z$171=Y176,$AB$171&gt;0),$AB$171,0)+IF(AND($Z$172=Y176,$AB$172&gt;0),$AB$172,0)+IF(AND($Z$173=Y176,$AB$173&gt;0),$AB$173,0)+IF(AND($Z$174=Y176,$AB$174&gt;0),$AB$174,0)+IF(AND($Z$175=Y176,$AB$175&gt;0),$AB$175,0)</f>
        <v>0</v>
      </c>
      <c r="Z177" s="1265">
        <f ca="1">IF(AND($Z$171=Z176,$AB$171&gt;0),$AB$171,0)+IF(AND($Z$172=Z176,$AB$172&gt;0),$AB$172,0)+IF(AND($Z$173=Z176,$AB$174&gt;0),$AB$173,0)+IF(AND($Z$174=I169,$AB$173&gt;0),$AB$174,0)+IF(AND($Z$175=Z176,$AB$175&gt;0),$AB$175,0)</f>
        <v>0</v>
      </c>
      <c r="AA177" s="554"/>
      <c r="AB177" s="554"/>
      <c r="AC177" s="554"/>
      <c r="AD177" s="554"/>
      <c r="AE177" s="554"/>
      <c r="AF177" s="554"/>
      <c r="AG177" s="554"/>
      <c r="AJ177" s="1546"/>
      <c r="AK177" s="613"/>
      <c r="AL177" s="422"/>
      <c r="BA177" s="1479"/>
      <c r="BB177" s="1479"/>
      <c r="BC177" s="1479"/>
      <c r="BD177" s="1479"/>
      <c r="BE177" s="1479"/>
      <c r="BF177" s="1479"/>
      <c r="BG177" s="1479"/>
      <c r="BH177" s="1479"/>
      <c r="BI177" s="1479"/>
      <c r="BJ177" s="1479"/>
      <c r="BK177" s="1479"/>
      <c r="BL177" s="1479"/>
      <c r="BM177" s="1479"/>
      <c r="BN177" s="1479"/>
      <c r="BO177" s="1479"/>
      <c r="BP177" s="1479"/>
      <c r="BQ177" s="1479"/>
      <c r="BR177" s="1479"/>
      <c r="BS177" s="1479"/>
      <c r="BT177" s="1479"/>
      <c r="BU177" s="1479"/>
      <c r="BV177" s="1479"/>
      <c r="BW177" s="1479"/>
      <c r="BX177" s="1479"/>
      <c r="BY177" s="1479"/>
      <c r="BZ177" s="1479"/>
      <c r="CA177" s="1479"/>
      <c r="CB177" s="1479"/>
      <c r="CC177" s="1479"/>
      <c r="CD177" s="1479"/>
      <c r="CE177" s="1479"/>
      <c r="CF177" s="1479"/>
      <c r="CG177" s="1479"/>
      <c r="CH177" s="1479"/>
      <c r="CI177" s="31"/>
      <c r="CJ177" s="31"/>
      <c r="CK177" s="31"/>
      <c r="CL177" s="31"/>
      <c r="CM177" s="31"/>
      <c r="CN177" s="31"/>
      <c r="CO177" s="31"/>
      <c r="CP177" s="31"/>
      <c r="CQ177" s="31"/>
      <c r="CU177" s="30" t="str">
        <f>IF(Basisdaten!$B$15=Basisdaten!$D$2,CV177,CW177)</f>
        <v>Sozialabgaben</v>
      </c>
      <c r="CV177" s="305" t="s">
        <v>592</v>
      </c>
      <c r="CW177" s="305" t="s">
        <v>598</v>
      </c>
    </row>
    <row r="178" spans="3:114" ht="14.25" customHeight="1" thickTop="1">
      <c r="C178" s="1631">
        <f t="shared" si="130"/>
        <v>0</v>
      </c>
      <c r="D178" s="1630"/>
      <c r="E178" s="531"/>
      <c r="F178" s="536" t="str">
        <f t="shared" si="144"/>
        <v>Summe Kosten Geschäftsart</v>
      </c>
      <c r="G178" s="534">
        <f>SUM(G172:G177)+G169</f>
        <v>0</v>
      </c>
      <c r="H178" s="1174">
        <f t="shared" si="135"/>
        <v>0</v>
      </c>
      <c r="I178" s="534">
        <f ca="1">SUM(I172:I177)+I169</f>
        <v>0</v>
      </c>
      <c r="J178" s="534">
        <f ca="1">SUM(J172:J177)+J169</f>
        <v>0</v>
      </c>
      <c r="K178" s="534">
        <f ca="1">SUM(K172:K177)+K169</f>
        <v>0</v>
      </c>
      <c r="L178" s="1190"/>
      <c r="M178" s="57"/>
      <c r="N178" s="57"/>
      <c r="O178" s="57"/>
      <c r="P178" s="57"/>
      <c r="Q178" s="57"/>
      <c r="R178" s="57"/>
      <c r="S178" s="57"/>
      <c r="T178" s="555"/>
      <c r="U178" s="1390" t="str">
        <f>U166</f>
        <v>GWG Pool</v>
      </c>
      <c r="V178" s="1396"/>
      <c r="W178" s="1394"/>
      <c r="X178" s="1265">
        <f ca="1">IF(AND($Z$171=X176,$AC$171&gt;0),$AC$171,0)+IF(AND($Z$172=X176,$AC$172&gt;0),$AC$172,0)+IF(AND($Z$173=X176,$AC$173&gt;0),$AC$173,0)+IF(AND($Z$174=X176,$AC$174&gt;0),$AC$174,0)+IF(AND($Z$175=X176,$AC$175&gt;0),$AC$175,0)</f>
        <v>0</v>
      </c>
      <c r="Y178" s="1265">
        <f ca="1">IF(AND($Z$171=Y176,$AC$171&gt;0),$AC$171,0)+IF(AND($Z$172=Y176,$AC$172&gt;0),$AC$172,0)+IF(AND($Z$173=Y176,$AC$173&gt;0),$AC$173,0)+IF(AND($Z$174=Y176,$AC$174&gt;0),$AC$174,0)+IF(AND($Z$175=Y176,$AC$175&gt;0),$AC$175,0)</f>
        <v>0</v>
      </c>
      <c r="Z178" s="1265">
        <f ca="1">IF(AND($Z$171=Z176,$AC$171&gt;0),$AC$171,0)+IF(AND($Z$172=Z176,$AC$172&gt;0),$AC$172,0)+IF(AND($Z$173=Z176,$AC$173&gt;0),$AC$173,0)+IF(AND($Z$174=Z176,$AC$174&gt;0),$AC$174,0)+IF(AND($Z$175=Z176,$AC$175&gt;0),$AC$175,0)</f>
        <v>0</v>
      </c>
      <c r="AA178" s="611"/>
      <c r="AB178" s="611"/>
      <c r="AC178" s="611"/>
      <c r="AD178" s="25"/>
      <c r="AE178" s="25"/>
      <c r="AF178" s="25"/>
      <c r="AG178" s="25"/>
      <c r="AH178" s="25"/>
      <c r="AI178" s="25"/>
      <c r="AJ178" s="1215"/>
      <c r="AK178" s="613"/>
      <c r="AL178" s="422"/>
      <c r="BA178" s="1479"/>
      <c r="BB178" s="1479"/>
      <c r="BC178" s="1479"/>
      <c r="BD178" s="1479"/>
      <c r="BE178" s="1479"/>
      <c r="BF178" s="1479"/>
      <c r="BG178" s="1479"/>
      <c r="BH178" s="1479"/>
      <c r="BI178" s="1479"/>
      <c r="BJ178" s="1479"/>
      <c r="BK178" s="1479"/>
      <c r="BL178" s="1479"/>
      <c r="BM178" s="1479"/>
      <c r="BN178" s="1479"/>
      <c r="BO178" s="1479"/>
      <c r="BP178" s="1479"/>
      <c r="BQ178" s="1479"/>
      <c r="BR178" s="1479"/>
      <c r="BS178" s="1479"/>
      <c r="BT178" s="1479"/>
      <c r="BU178" s="1479"/>
      <c r="BV178" s="1479"/>
      <c r="BW178" s="1479"/>
      <c r="BX178" s="1479"/>
      <c r="BY178" s="1479"/>
      <c r="BZ178" s="1479"/>
      <c r="CA178" s="1479"/>
      <c r="CB178" s="1479"/>
      <c r="CC178" s="1479"/>
      <c r="CD178" s="1479"/>
      <c r="CE178" s="1479"/>
      <c r="CF178" s="1479"/>
      <c r="CG178" s="1479"/>
      <c r="CH178" s="1479"/>
      <c r="CI178" s="31"/>
      <c r="CJ178" s="31"/>
      <c r="CK178" s="31"/>
      <c r="CL178" s="31"/>
      <c r="CM178" s="31"/>
      <c r="CN178" s="31"/>
      <c r="CO178" s="31"/>
      <c r="CP178" s="31"/>
      <c r="CQ178" s="31"/>
      <c r="CU178" s="30" t="str">
        <f>IF(Basisdaten!$B$15=Basisdaten!$D$2,CV178,CW178)</f>
        <v>Gehalt Geschäftsführer</v>
      </c>
      <c r="CV178" s="545" t="s">
        <v>613</v>
      </c>
      <c r="CW178" s="545" t="s">
        <v>614</v>
      </c>
    </row>
    <row r="179" spans="3:114" ht="14.25" customHeight="1">
      <c r="C179" s="1635"/>
      <c r="D179" s="1630"/>
      <c r="E179" s="597">
        <f>E101</f>
        <v>3</v>
      </c>
      <c r="F179" s="598" t="str">
        <f>CU188</f>
        <v>Personalkosten (nur Angestellte)     aus Tab 4b-2    ===&gt;</v>
      </c>
      <c r="G179" s="1175"/>
      <c r="H179" s="1176"/>
      <c r="I179" s="2279" t="str">
        <f>IF(E226=1,$CU$165,"")</f>
        <v/>
      </c>
      <c r="J179" s="2280"/>
      <c r="K179" s="2281"/>
      <c r="L179" s="1189"/>
      <c r="T179" s="556"/>
      <c r="AA179" s="611"/>
      <c r="AK179" s="613"/>
      <c r="AL179" s="422"/>
      <c r="AM179" s="1482"/>
      <c r="AN179" s="1482"/>
      <c r="AO179" s="1482"/>
      <c r="AP179" s="1482"/>
      <c r="AQ179" s="1482"/>
      <c r="AR179" s="1482"/>
      <c r="AS179" s="1482"/>
      <c r="AT179" s="1482"/>
      <c r="AU179" s="1482"/>
      <c r="AV179" s="1482"/>
      <c r="AW179" s="1482"/>
      <c r="AX179" s="1482"/>
      <c r="AY179" s="1482"/>
      <c r="AZ179" s="1482"/>
      <c r="BA179" s="1483"/>
      <c r="BB179" s="1483"/>
      <c r="BC179" s="1483"/>
      <c r="BD179" s="1483"/>
      <c r="BE179" s="1483"/>
      <c r="BF179" s="1483"/>
      <c r="BG179" s="1483"/>
      <c r="BH179" s="1483"/>
      <c r="BI179" s="1483"/>
      <c r="BJ179" s="1483"/>
      <c r="BK179" s="1483"/>
      <c r="BL179" s="1483"/>
      <c r="BM179" s="1483"/>
      <c r="BN179" s="1483"/>
      <c r="BO179" s="1483"/>
      <c r="BP179" s="1483"/>
      <c r="BQ179" s="1483"/>
      <c r="BR179" s="1483"/>
      <c r="BS179" s="1483"/>
      <c r="BT179" s="1483"/>
      <c r="BU179" s="1483"/>
      <c r="BV179" s="1483"/>
      <c r="BW179" s="1483"/>
      <c r="BX179" s="1483"/>
      <c r="BY179" s="1483"/>
      <c r="BZ179" s="1483"/>
      <c r="CA179" s="1483"/>
      <c r="CB179" s="1483"/>
      <c r="CC179" s="1483"/>
      <c r="CD179" s="1483"/>
      <c r="CE179" s="1483"/>
      <c r="CF179" s="1483"/>
      <c r="CG179" s="1483"/>
      <c r="CH179" s="1483"/>
      <c r="CI179" s="560"/>
      <c r="CJ179" s="560"/>
      <c r="CK179" s="560"/>
      <c r="CL179" s="560"/>
      <c r="CM179" s="560"/>
      <c r="CN179" s="560"/>
      <c r="CO179" s="560"/>
      <c r="CP179" s="560"/>
      <c r="CQ179" s="560"/>
      <c r="CU179" s="30" t="str">
        <f>IF(Basisdaten!$B$15=Basisdaten!$D$2,CV179,CW179)</f>
        <v>Anzahl Mitarbeiter</v>
      </c>
      <c r="CV179" s="545" t="s">
        <v>591</v>
      </c>
      <c r="CW179" s="545" t="s">
        <v>194</v>
      </c>
    </row>
    <row r="180" spans="3:114" ht="14.25" customHeight="1">
      <c r="C180" s="1632">
        <f t="shared" ref="C180:C219" si="145">C102</f>
        <v>0</v>
      </c>
      <c r="D180" s="1630"/>
      <c r="E180" s="1256">
        <v>0</v>
      </c>
      <c r="F180" s="538" t="s">
        <v>980</v>
      </c>
      <c r="G180" s="1173">
        <f>S24</f>
        <v>0</v>
      </c>
      <c r="H180" s="1174">
        <f>S102</f>
        <v>0</v>
      </c>
      <c r="I180" s="280">
        <f>AA193-I181</f>
        <v>0</v>
      </c>
      <c r="J180" s="280">
        <f>AE193-J181</f>
        <v>0</v>
      </c>
      <c r="K180" s="583">
        <f>AI193-K181</f>
        <v>0</v>
      </c>
      <c r="L180" s="1188"/>
      <c r="M180" s="57"/>
      <c r="N180" s="57"/>
      <c r="O180" s="57"/>
      <c r="P180" s="57"/>
      <c r="Q180" s="57"/>
      <c r="R180" s="57"/>
      <c r="S180" s="57"/>
      <c r="T180" s="556"/>
      <c r="U180" s="2249" t="str">
        <f>CU187</f>
        <v>4b-2 Nebenrechung Personalkosten</v>
      </c>
      <c r="V180" s="2249"/>
      <c r="W180" s="2249"/>
      <c r="X180" s="2249"/>
      <c r="AA180" s="611"/>
      <c r="AC180" s="25"/>
      <c r="AD180" s="25"/>
      <c r="AE180" s="25"/>
      <c r="AF180" s="25"/>
      <c r="AG180" s="25"/>
      <c r="AH180" s="25"/>
      <c r="AI180" s="25"/>
      <c r="AJ180" s="1215"/>
      <c r="AK180" s="613"/>
      <c r="AL180" s="422"/>
      <c r="BA180" s="1479"/>
      <c r="BB180" s="1479"/>
      <c r="BC180" s="1479"/>
      <c r="BD180" s="1479"/>
      <c r="BE180" s="1479"/>
      <c r="BF180" s="1479"/>
      <c r="BG180" s="1479"/>
      <c r="BH180" s="1479"/>
      <c r="BI180" s="1479"/>
      <c r="BJ180" s="1479"/>
      <c r="BK180" s="1479"/>
      <c r="BL180" s="1479"/>
      <c r="BM180" s="1479"/>
      <c r="BN180" s="1479"/>
      <c r="BO180" s="1479"/>
      <c r="BP180" s="1479"/>
      <c r="BQ180" s="1479"/>
      <c r="BR180" s="1479"/>
      <c r="BS180" s="1479"/>
      <c r="BT180" s="1479"/>
      <c r="BU180" s="1479"/>
      <c r="BV180" s="1479"/>
      <c r="BW180" s="1479"/>
      <c r="BX180" s="1479"/>
      <c r="BY180" s="1479"/>
      <c r="BZ180" s="1479"/>
      <c r="CA180" s="1479"/>
      <c r="CB180" s="1479"/>
      <c r="CC180" s="1479"/>
      <c r="CD180" s="1479"/>
      <c r="CE180" s="1479"/>
      <c r="CF180" s="1479"/>
      <c r="CG180" s="1479"/>
      <c r="CH180" s="1479"/>
      <c r="CI180" s="31"/>
      <c r="CJ180" s="31"/>
      <c r="CK180" s="31"/>
      <c r="CL180" s="31"/>
      <c r="CM180" s="31"/>
      <c r="CN180" s="31"/>
      <c r="CO180" s="31"/>
      <c r="CP180" s="31"/>
      <c r="CQ180" s="31"/>
      <c r="CU180" s="30" t="str">
        <f>IF(Basisdaten!$B$15=Basisdaten!$D$2,CV180,CW180)</f>
        <v>Gehaltssumme</v>
      </c>
      <c r="CV180" s="305" t="s">
        <v>119</v>
      </c>
      <c r="CW180" s="305" t="s">
        <v>195</v>
      </c>
    </row>
    <row r="181" spans="3:114" s="30" customFormat="1" ht="16.05" customHeight="1" thickBot="1">
      <c r="C181" s="1629">
        <f t="shared" si="145"/>
        <v>0</v>
      </c>
      <c r="D181" s="1643"/>
      <c r="E181" s="1320">
        <f>IF('2 Umsatz|Sales'!$CT$23=0,0,C181)</f>
        <v>0</v>
      </c>
      <c r="F181" s="1738" t="str">
        <f>F103</f>
        <v>Sozialabgaben</v>
      </c>
      <c r="G181" s="1739">
        <f>S25</f>
        <v>0</v>
      </c>
      <c r="H181" s="1740">
        <f>S103</f>
        <v>0</v>
      </c>
      <c r="I181" s="1741">
        <f>AA194</f>
        <v>0</v>
      </c>
      <c r="J181" s="1741">
        <f>AE194</f>
        <v>0</v>
      </c>
      <c r="K181" s="1742">
        <f>AI194</f>
        <v>0</v>
      </c>
      <c r="L181" s="1743"/>
      <c r="M181" s="1744"/>
      <c r="N181" s="1744"/>
      <c r="O181" s="1744"/>
      <c r="P181" s="1744"/>
      <c r="Q181" s="1744"/>
      <c r="R181" s="1744"/>
      <c r="S181" s="1744"/>
      <c r="T181" s="556"/>
      <c r="U181" s="2250"/>
      <c r="V181" s="2250"/>
      <c r="W181" s="2250"/>
      <c r="X181" s="2250"/>
      <c r="Y181" s="2241">
        <f ca="1">I159</f>
        <v>2028</v>
      </c>
      <c r="Z181" s="2242"/>
      <c r="AA181" s="2243"/>
      <c r="AB181" s="1858" t="str">
        <f>AJ23</f>
        <v>↓Sozialabgaben↓</v>
      </c>
      <c r="AC181" s="2241">
        <f ca="1">J159</f>
        <v>2029</v>
      </c>
      <c r="AD181" s="2242"/>
      <c r="AE181" s="2243"/>
      <c r="AF181" s="1858" t="str">
        <f>AB181</f>
        <v>↓Sozialabgaben↓</v>
      </c>
      <c r="AG181" s="2241">
        <f ca="1">K159</f>
        <v>2030</v>
      </c>
      <c r="AH181" s="2242"/>
      <c r="AI181" s="2243"/>
      <c r="AJ181" s="1858" t="str">
        <f>AF181</f>
        <v>↓Sozialabgaben↓</v>
      </c>
      <c r="AK181" s="912"/>
      <c r="AL181" s="422"/>
      <c r="AM181" s="50"/>
      <c r="AN181" s="50"/>
      <c r="AO181" s="50"/>
      <c r="AP181" s="50"/>
      <c r="AQ181" s="50"/>
      <c r="AR181" s="50"/>
      <c r="AS181" s="50"/>
      <c r="AT181" s="50"/>
      <c r="AU181" s="50"/>
      <c r="AV181" s="50"/>
      <c r="AW181" s="50"/>
      <c r="AX181" s="50"/>
      <c r="AY181" s="50"/>
      <c r="AZ181" s="50"/>
      <c r="BA181" s="176"/>
      <c r="BB181" s="176"/>
      <c r="BC181" s="176"/>
      <c r="BD181" s="176"/>
      <c r="BE181" s="176"/>
      <c r="BF181" s="176"/>
      <c r="BG181" s="176"/>
      <c r="BH181" s="176"/>
      <c r="BI181" s="176"/>
      <c r="BJ181" s="176"/>
      <c r="BK181" s="176"/>
      <c r="BL181" s="176"/>
      <c r="BM181" s="176"/>
      <c r="BN181" s="176"/>
      <c r="BO181" s="176"/>
      <c r="BP181" s="176"/>
      <c r="BQ181" s="176"/>
      <c r="BR181" s="176"/>
      <c r="BS181" s="176"/>
      <c r="BT181" s="176"/>
      <c r="BU181" s="176"/>
      <c r="BV181" s="176"/>
      <c r="BW181" s="176"/>
      <c r="BX181" s="176"/>
      <c r="BY181" s="176"/>
      <c r="BZ181" s="176"/>
      <c r="CA181" s="176"/>
      <c r="CB181" s="176"/>
      <c r="CC181" s="176"/>
      <c r="CD181" s="176"/>
      <c r="CE181" s="176"/>
      <c r="CF181" s="176"/>
      <c r="CG181" s="176"/>
      <c r="CH181" s="176"/>
      <c r="CI181" s="36"/>
      <c r="CJ181" s="36"/>
      <c r="CK181" s="36"/>
      <c r="CL181" s="36"/>
      <c r="CM181" s="36"/>
      <c r="CN181" s="36"/>
      <c r="CO181" s="36"/>
      <c r="CP181" s="36"/>
      <c r="CQ181" s="36"/>
      <c r="CU181" s="30" t="str">
        <f>IF(Basisdaten!$B$15=Basisdaten!$D$2,CV181,CW181)</f>
        <v>Ziehen führt zu Fehler! Rückgängig mit {Str}+{Z} or {Undo}</v>
      </c>
      <c r="CV181" s="305" t="s">
        <v>599</v>
      </c>
      <c r="CW181" s="305" t="s">
        <v>600</v>
      </c>
      <c r="CX181" s="116"/>
      <c r="CY181" s="116"/>
      <c r="CZ181" s="116"/>
      <c r="DA181" s="116"/>
      <c r="DB181" s="116"/>
      <c r="DC181" s="116"/>
      <c r="DD181" s="116"/>
      <c r="DE181" s="116"/>
      <c r="DF181" s="116"/>
      <c r="DG181" s="116"/>
      <c r="DH181" s="116"/>
      <c r="DI181" s="116"/>
      <c r="DJ181" s="116"/>
    </row>
    <row r="182" spans="3:114" ht="14.25" customHeight="1" thickTop="1">
      <c r="C182" s="1631">
        <f t="shared" si="145"/>
        <v>0</v>
      </c>
      <c r="D182" s="1630"/>
      <c r="E182" s="531">
        <f>E104</f>
        <v>0</v>
      </c>
      <c r="F182" s="1186" t="str">
        <f>F26</f>
        <v>Summe Personalkosten</v>
      </c>
      <c r="G182" s="1173">
        <f>S26</f>
        <v>0</v>
      </c>
      <c r="H182" s="1174">
        <f>S104</f>
        <v>0</v>
      </c>
      <c r="I182" s="527">
        <f>SUM(I180:I181)</f>
        <v>0</v>
      </c>
      <c r="J182" s="527">
        <f>SUM(J180:J181)</f>
        <v>0</v>
      </c>
      <c r="K182" s="582">
        <f>SUM(K180:K181)</f>
        <v>0</v>
      </c>
      <c r="L182" s="1188"/>
      <c r="M182" s="57"/>
      <c r="N182" s="57"/>
      <c r="O182" s="57"/>
      <c r="P182" s="57"/>
      <c r="Q182" s="57"/>
      <c r="R182" s="57"/>
      <c r="S182" s="57"/>
      <c r="T182" s="556"/>
      <c r="U182" s="2253" t="str">
        <f>U103</f>
        <v>Gehalt/Lohn</v>
      </c>
      <c r="V182" s="2254"/>
      <c r="W182" s="1134">
        <f ca="1">G159</f>
        <v>2026</v>
      </c>
      <c r="X182" s="1357">
        <f ca="1">H159</f>
        <v>2027</v>
      </c>
      <c r="Y182" s="1404" t="str">
        <f>$CU$169</f>
        <v>Mitarbeiter</v>
      </c>
      <c r="Z182" s="1863" t="str">
        <f>$CU$194</f>
        <v>M-Gehlat net</v>
      </c>
      <c r="AA182" s="1863" t="str">
        <f>CU195</f>
        <v>J-Gehalt brut</v>
      </c>
      <c r="AB182" s="1402">
        <f>Basisdaten!$E$35</f>
        <v>0.192</v>
      </c>
      <c r="AC182" s="1404" t="str">
        <f>Y182</f>
        <v>Mitarbeiter</v>
      </c>
      <c r="AD182" s="1863" t="str">
        <f>Z182</f>
        <v>M-Gehlat net</v>
      </c>
      <c r="AE182" s="1863" t="str">
        <f>AA182</f>
        <v>J-Gehalt brut</v>
      </c>
      <c r="AF182" s="1402">
        <f>Basisdaten!$E$35</f>
        <v>0.192</v>
      </c>
      <c r="AG182" s="1404" t="str">
        <f>AC182</f>
        <v>Mitarbeiter</v>
      </c>
      <c r="AH182" s="1863" t="str">
        <f>AD182</f>
        <v>M-Gehlat net</v>
      </c>
      <c r="AI182" s="1863" t="str">
        <f>AE182</f>
        <v>J-Gehalt brut</v>
      </c>
      <c r="AJ182" s="1412">
        <f>Basisdaten!$E$35</f>
        <v>0.192</v>
      </c>
      <c r="AK182" s="613"/>
      <c r="AL182" s="422"/>
      <c r="BA182" s="1479"/>
      <c r="BB182" s="1479"/>
      <c r="BC182" s="1479"/>
      <c r="BD182" s="1479"/>
      <c r="BE182" s="1479"/>
      <c r="BF182" s="1479"/>
      <c r="BG182" s="1479"/>
      <c r="BH182" s="1479"/>
      <c r="BI182" s="1479"/>
      <c r="BJ182" s="1479"/>
      <c r="BK182" s="1479"/>
      <c r="BL182" s="1479"/>
      <c r="BM182" s="1479"/>
      <c r="BN182" s="1479"/>
      <c r="BO182" s="1479"/>
      <c r="BP182" s="1479"/>
      <c r="BQ182" s="1479"/>
      <c r="BR182" s="1479"/>
      <c r="BS182" s="1479"/>
      <c r="BT182" s="1479"/>
      <c r="BU182" s="1479"/>
      <c r="BV182" s="1479"/>
      <c r="BW182" s="1479"/>
      <c r="BX182" s="1479"/>
      <c r="BY182" s="1479"/>
      <c r="BZ182" s="1479"/>
      <c r="CA182" s="1479"/>
      <c r="CB182" s="1479"/>
      <c r="CC182" s="1479"/>
      <c r="CD182" s="1479"/>
      <c r="CE182" s="1479"/>
      <c r="CF182" s="1479"/>
      <c r="CG182" s="1479"/>
      <c r="CH182" s="1479"/>
      <c r="CI182" s="31"/>
      <c r="CJ182" s="31"/>
      <c r="CK182" s="31"/>
      <c r="CL182" s="31"/>
      <c r="CM182" s="31"/>
      <c r="CN182" s="31"/>
      <c r="CO182" s="31"/>
      <c r="CP182" s="31"/>
      <c r="CQ182" s="31"/>
      <c r="CU182" s="30" t="str">
        <f>IF(Basisdaten!$B$15=Basisdaten!$D$2,CV182,CW182)</f>
        <v>Lohn</v>
      </c>
      <c r="CV182" s="305" t="s">
        <v>594</v>
      </c>
      <c r="CW182" s="567" t="s">
        <v>1070</v>
      </c>
    </row>
    <row r="183" spans="3:114" s="544" customFormat="1" ht="14.25" customHeight="1">
      <c r="C183" s="1633" t="str">
        <f t="shared" si="145"/>
        <v>MwSt</v>
      </c>
      <c r="D183" s="1630"/>
      <c r="E183" s="597">
        <f>E105</f>
        <v>4</v>
      </c>
      <c r="F183" s="598" t="str">
        <f>F27</f>
        <v>Reisekosten</v>
      </c>
      <c r="G183" s="1175"/>
      <c r="H183" s="1176"/>
      <c r="I183" s="2276" t="str">
        <f>IF(C227=1,$CU$165,"")</f>
        <v/>
      </c>
      <c r="J183" s="2277"/>
      <c r="K183" s="2278"/>
      <c r="L183" s="610" t="str">
        <f>IFERROR(#REF!,"undo")</f>
        <v>undo</v>
      </c>
      <c r="M183" s="604"/>
      <c r="N183" s="604"/>
      <c r="O183" s="604"/>
      <c r="P183" s="604"/>
      <c r="Q183" s="604"/>
      <c r="R183" s="604"/>
      <c r="S183" s="604"/>
      <c r="T183" s="555"/>
      <c r="U183" s="1797" t="str">
        <f>"ø "&amp;$CU$169</f>
        <v>ø Mitarbeiter</v>
      </c>
      <c r="V183" s="1365"/>
      <c r="W183" s="1363">
        <f>SUM(X25:AI25)/12</f>
        <v>0</v>
      </c>
      <c r="X183" s="1407">
        <f>SUM(X104:AI104)/12</f>
        <v>0</v>
      </c>
      <c r="Y183" s="1405"/>
      <c r="Z183" s="1400"/>
      <c r="AA183" s="1400"/>
      <c r="AB183" s="1808" t="str">
        <f>$CU$192</f>
        <v>↓m. Lohn-St↓</v>
      </c>
      <c r="AC183" s="1405"/>
      <c r="AD183" s="1400"/>
      <c r="AE183" s="1400"/>
      <c r="AF183" s="1808" t="str">
        <f>AB183</f>
        <v>↓m. Lohn-St↓</v>
      </c>
      <c r="AG183" s="1405"/>
      <c r="AH183" s="1409"/>
      <c r="AI183" s="1410"/>
      <c r="AJ183" s="1808" t="str">
        <f>AF183</f>
        <v>↓m. Lohn-St↓</v>
      </c>
      <c r="AK183" s="613"/>
      <c r="AL183" s="422"/>
      <c r="AM183" s="1484"/>
      <c r="AN183" s="1484"/>
      <c r="AO183" s="1484"/>
      <c r="AP183" s="1484"/>
      <c r="AQ183" s="1484"/>
      <c r="AR183" s="1484"/>
      <c r="AS183" s="1484"/>
      <c r="AT183" s="1484"/>
      <c r="AU183" s="1484"/>
      <c r="AV183" s="1484"/>
      <c r="AW183" s="1484"/>
      <c r="AX183" s="1484"/>
      <c r="AY183" s="1484"/>
      <c r="AZ183" s="1484"/>
      <c r="BA183" s="1485"/>
      <c r="BB183" s="1485"/>
      <c r="BC183" s="1485"/>
      <c r="BD183" s="1485"/>
      <c r="BE183" s="1485"/>
      <c r="BF183" s="1485"/>
      <c r="BG183" s="1485"/>
      <c r="BH183" s="1485"/>
      <c r="BI183" s="1485"/>
      <c r="BJ183" s="1485"/>
      <c r="BK183" s="1485"/>
      <c r="BL183" s="1485"/>
      <c r="BM183" s="1485"/>
      <c r="BN183" s="1485"/>
      <c r="BO183" s="1485"/>
      <c r="BP183" s="1485"/>
      <c r="BQ183" s="1485"/>
      <c r="BR183" s="1485"/>
      <c r="BS183" s="1485"/>
      <c r="BT183" s="1485"/>
      <c r="BU183" s="1485"/>
      <c r="BV183" s="1485"/>
      <c r="BW183" s="1485"/>
      <c r="BX183" s="1485"/>
      <c r="BY183" s="1485"/>
      <c r="BZ183" s="1485"/>
      <c r="CA183" s="1485"/>
      <c r="CB183" s="1485"/>
      <c r="CC183" s="1485"/>
      <c r="CD183" s="1485"/>
      <c r="CE183" s="1485"/>
      <c r="CF183" s="1485"/>
      <c r="CG183" s="1485"/>
      <c r="CH183" s="1485"/>
      <c r="CI183" s="605"/>
      <c r="CJ183" s="605"/>
      <c r="CK183" s="605"/>
      <c r="CL183" s="605"/>
      <c r="CM183" s="605"/>
      <c r="CN183" s="605"/>
      <c r="CO183" s="605"/>
      <c r="CP183" s="605"/>
      <c r="CQ183" s="605"/>
      <c r="CU183" s="30" t="str">
        <f>IF(Basisdaten!$B$15=Basisdaten!$D$2,CV183,CW183)</f>
        <v>Anzahl Geschäftsführer</v>
      </c>
      <c r="CV183" s="305" t="s">
        <v>595</v>
      </c>
      <c r="CW183" s="305" t="s">
        <v>601</v>
      </c>
      <c r="CX183" s="606"/>
      <c r="CY183" s="606"/>
      <c r="CZ183" s="606"/>
      <c r="DA183" s="606"/>
      <c r="DB183" s="606"/>
      <c r="DC183" s="606"/>
      <c r="DD183" s="606"/>
      <c r="DE183" s="606"/>
      <c r="DF183" s="606"/>
      <c r="DG183" s="606"/>
      <c r="DH183" s="606"/>
      <c r="DI183" s="606"/>
      <c r="DJ183" s="606"/>
    </row>
    <row r="184" spans="3:114" ht="14.25" customHeight="1">
      <c r="C184" s="1629">
        <f t="shared" si="145"/>
        <v>0.19</v>
      </c>
      <c r="D184" s="1630"/>
      <c r="E184" s="1319">
        <f>IF('2 Umsatz|Sales'!$CT$23=0,0,C184)</f>
        <v>0.19</v>
      </c>
      <c r="F184" s="278" t="str">
        <f>F28</f>
        <v>Fahrtkosten</v>
      </c>
      <c r="G184" s="1173">
        <f>S28</f>
        <v>0</v>
      </c>
      <c r="H184" s="1174">
        <f>S106</f>
        <v>0</v>
      </c>
      <c r="I184" s="417"/>
      <c r="J184" s="417"/>
      <c r="K184" s="417"/>
      <c r="L184" s="610">
        <f>IFERROR(J227,"undo")</f>
        <v>0</v>
      </c>
      <c r="M184" s="57"/>
      <c r="N184" s="57"/>
      <c r="O184" s="57"/>
      <c r="P184" s="57"/>
      <c r="Q184" s="57"/>
      <c r="R184" s="57"/>
      <c r="S184" s="57"/>
      <c r="T184" s="557">
        <v>1</v>
      </c>
      <c r="U184" s="1797" t="str">
        <f>$CU$170&amp;" "&amp;T184&amp;" (brutto)"</f>
        <v>Gehalt 1 (brutto)</v>
      </c>
      <c r="V184" s="1366"/>
      <c r="W184" s="1364">
        <f>SUM(X26:AI26)</f>
        <v>0</v>
      </c>
      <c r="X184" s="1408">
        <f>SUM(X105:AI105)</f>
        <v>0</v>
      </c>
      <c r="Y184" s="1406"/>
      <c r="Z184" s="1399"/>
      <c r="AA184" s="1340">
        <f>Y183*Z184*(1+$AJ$182)*12</f>
        <v>0</v>
      </c>
      <c r="AB184" s="1362">
        <f>IF(12*Z184&lt;=Basisdaten!$D$21,0,IF(12*Z184&lt;=Basisdaten!$F$21,Z184*(Basisdaten!$E$23*(12*Z184-Basisdaten!$E$21)+Basisdaten!$E$22),IF(12*Z184&lt;=Basisdaten!$H$21,Z184*(Basisdaten!$G$23*(12*Z184-Basisdaten!$G$21)+Basisdaten!$G$22),IF(12*Z184&lt;=Basisdaten!$J$21,Z184*(Basisdaten!$I$23*(12*Z184-Basisdaten!$I$21)+Basisdaten!$I$22),IF(12*Z184&gt;Basisdaten!$K$21,M184*Basisdaten!$K$22,"hoppla")))))</f>
        <v>0</v>
      </c>
      <c r="AC184" s="1406"/>
      <c r="AD184" s="1399"/>
      <c r="AE184" s="1340">
        <f>AC183*AD184*(1+$AJ$182)*12</f>
        <v>0</v>
      </c>
      <c r="AF184" s="1362">
        <f>IF(12*AD184&lt;=Basisdaten!$D$21,0,IF(12*AD184&lt;=Basisdaten!$F$21,AD184*(Basisdaten!$E$23*(12*AD184-Basisdaten!$E$21)+Basisdaten!$E$22),IF(12*AD184&lt;=Basisdaten!$H$21,AD184*(Basisdaten!$G$23*(12*AD184-Basisdaten!$G$21)+Basisdaten!$G$22),IF(12*AD184&lt;=Basisdaten!$J$21,AD184*(Basisdaten!$I$23*(12*AD184-Basisdaten!$I$21)+Basisdaten!$I$22),IF(12*AD184&gt;Basisdaten!$K$21,Q184*Basisdaten!$K$22,"hoppla")))))</f>
        <v>0</v>
      </c>
      <c r="AG184" s="1411"/>
      <c r="AH184" s="1399"/>
      <c r="AI184" s="1340">
        <f>AG183*AH184*(1+$AJ$182)*12</f>
        <v>0</v>
      </c>
      <c r="AJ184" s="1413">
        <f>IF(12*AH184&lt;=Basisdaten!$D$21,0,IF(12*AH184&lt;=Basisdaten!$F$21,AH184*(Basisdaten!$E$23*(12*AH184-Basisdaten!$E$21)+Basisdaten!$E$22),IF(12*AH184&lt;=Basisdaten!$H$21,AH184*(Basisdaten!$G$23*(12*AH184-Basisdaten!$G$21)+Basisdaten!$G$22),IF(12*AH184&lt;=Basisdaten!$J$21,AH184*(Basisdaten!$I$23*(12*AH184-Basisdaten!$I$21)+Basisdaten!$I$22),IF(12*AH184&gt;Basisdaten!$K$21,U184*Basisdaten!$K$22,"hoppla")))))</f>
        <v>0</v>
      </c>
      <c r="AK184" s="613"/>
      <c r="AL184" s="422"/>
      <c r="BA184" s="1479"/>
      <c r="BB184" s="1479"/>
      <c r="BC184" s="1479"/>
      <c r="BD184" s="1479"/>
      <c r="BE184" s="1479"/>
      <c r="BF184" s="1479"/>
      <c r="BG184" s="1479"/>
      <c r="BH184" s="1479"/>
      <c r="BI184" s="1479"/>
      <c r="BJ184" s="1479"/>
      <c r="BK184" s="1479"/>
      <c r="BL184" s="1479"/>
      <c r="BM184" s="1479"/>
      <c r="BN184" s="1479"/>
      <c r="BO184" s="1479"/>
      <c r="BP184" s="1479"/>
      <c r="BQ184" s="1479"/>
      <c r="BR184" s="1479"/>
      <c r="BS184" s="1479"/>
      <c r="BT184" s="1479"/>
      <c r="BU184" s="1479"/>
      <c r="BV184" s="1479"/>
      <c r="BW184" s="1479"/>
      <c r="BX184" s="1479"/>
      <c r="BY184" s="1479"/>
      <c r="BZ184" s="1479"/>
      <c r="CA184" s="1479"/>
      <c r="CB184" s="1479"/>
      <c r="CC184" s="1479"/>
      <c r="CD184" s="1479"/>
      <c r="CE184" s="1479"/>
      <c r="CF184" s="1479"/>
      <c r="CG184" s="1479"/>
      <c r="CH184" s="1479"/>
      <c r="CI184" s="31"/>
      <c r="CJ184" s="31"/>
      <c r="CK184" s="31"/>
      <c r="CL184" s="31"/>
      <c r="CM184" s="31"/>
      <c r="CN184" s="31"/>
      <c r="CO184" s="31"/>
      <c r="CP184" s="31"/>
      <c r="CQ184" s="31"/>
      <c r="CS184" s="227"/>
      <c r="CU184" s="30" t="str">
        <f>IF(Basisdaten!$B$15=Basisdaten!$D$2,CV184,CW184)</f>
        <v xml:space="preserve">4a-2 Nebenrechung Personalkosten für das Jahr </v>
      </c>
      <c r="CV184" s="305" t="str">
        <f>"4a-2 Nebenrechung Personalkosten für das Jahr "</f>
        <v xml:space="preserve">4a-2 Nebenrechung Personalkosten für das Jahr </v>
      </c>
      <c r="CW184" s="305" t="str">
        <f>"4a-2 Ancillary: Account for Personal Costs for the year "</f>
        <v xml:space="preserve">4a-2 Ancillary: Account for Personal Costs for the year </v>
      </c>
    </row>
    <row r="185" spans="3:114" ht="14.25" customHeight="1">
      <c r="C185" s="1629">
        <f t="shared" si="145"/>
        <v>0.19</v>
      </c>
      <c r="D185" s="1630"/>
      <c r="E185" s="1320">
        <f>IF('2 Umsatz|Sales'!$CT$23=0,0,C185)</f>
        <v>0.19</v>
      </c>
      <c r="F185" s="278" t="str">
        <f>F29</f>
        <v>Reisekostenpauschalen</v>
      </c>
      <c r="G185" s="1173">
        <f>S29</f>
        <v>0</v>
      </c>
      <c r="H185" s="1174">
        <f>S107</f>
        <v>0</v>
      </c>
      <c r="I185" s="417"/>
      <c r="J185" s="417"/>
      <c r="K185" s="417"/>
      <c r="L185" s="610">
        <f>IFERROR(K227,"undo")</f>
        <v>0</v>
      </c>
      <c r="M185" s="57"/>
      <c r="N185" s="57"/>
      <c r="O185" s="57"/>
      <c r="P185" s="57"/>
      <c r="Q185" s="57"/>
      <c r="R185" s="57"/>
      <c r="S185" s="57"/>
      <c r="T185" s="557"/>
      <c r="U185" s="1797" t="str">
        <f>U183</f>
        <v>ø Mitarbeiter</v>
      </c>
      <c r="V185" s="1365"/>
      <c r="W185" s="1363">
        <f>SUM(X27:AI27)/12</f>
        <v>0</v>
      </c>
      <c r="X185" s="1407">
        <f>SUM(X106:AI106)/12</f>
        <v>0</v>
      </c>
      <c r="Y185" s="1405"/>
      <c r="Z185" s="1400"/>
      <c r="AA185" s="1400"/>
      <c r="AB185" s="1808" t="str">
        <f>AB183</f>
        <v>↓m. Lohn-St↓</v>
      </c>
      <c r="AC185" s="1405"/>
      <c r="AD185" s="1400"/>
      <c r="AE185" s="1400"/>
      <c r="AF185" s="1808" t="str">
        <f>AB185</f>
        <v>↓m. Lohn-St↓</v>
      </c>
      <c r="AG185" s="1965"/>
      <c r="AH185" s="1409"/>
      <c r="AI185" s="1410"/>
      <c r="AJ185" s="1808" t="str">
        <f>AJ183</f>
        <v>↓m. Lohn-St↓</v>
      </c>
      <c r="AK185" s="613"/>
      <c r="AL185" s="422"/>
      <c r="BA185" s="1479"/>
      <c r="BB185" s="1479"/>
      <c r="BC185" s="1479"/>
      <c r="BD185" s="1479"/>
      <c r="BE185" s="1479"/>
      <c r="BF185" s="1479"/>
      <c r="BG185" s="1479"/>
      <c r="BH185" s="1479"/>
      <c r="BI185" s="1479"/>
      <c r="BJ185" s="1479"/>
      <c r="BK185" s="1479"/>
      <c r="BL185" s="1479"/>
      <c r="BM185" s="1479"/>
      <c r="BN185" s="1479"/>
      <c r="BO185" s="1479"/>
      <c r="BP185" s="1479"/>
      <c r="BQ185" s="1479"/>
      <c r="BR185" s="1479"/>
      <c r="BS185" s="1479"/>
      <c r="BT185" s="1479"/>
      <c r="BU185" s="1479"/>
      <c r="BV185" s="1479"/>
      <c r="BW185" s="1479"/>
      <c r="BX185" s="1479"/>
      <c r="BY185" s="1479"/>
      <c r="BZ185" s="1479"/>
      <c r="CA185" s="1479"/>
      <c r="CB185" s="1479"/>
      <c r="CC185" s="1479"/>
      <c r="CD185" s="1479"/>
      <c r="CE185" s="1479"/>
      <c r="CF185" s="1479"/>
      <c r="CG185" s="1479"/>
      <c r="CH185" s="1479"/>
      <c r="CI185" s="31"/>
      <c r="CJ185" s="31"/>
      <c r="CK185" s="31"/>
      <c r="CL185" s="31"/>
      <c r="CM185" s="31"/>
      <c r="CN185" s="31"/>
      <c r="CO185" s="31"/>
      <c r="CP185" s="31"/>
      <c r="CQ185" s="31"/>
      <c r="CS185" s="227"/>
      <c r="CU185" s="30" t="str">
        <f>IF(Basisdaten!$B$15=Basisdaten!$D$2,CV185,CW185)</f>
        <v>Vorgabe</v>
      </c>
      <c r="CV185" s="568" t="s">
        <v>605</v>
      </c>
      <c r="CW185" s="544" t="s">
        <v>606</v>
      </c>
    </row>
    <row r="186" spans="3:114" ht="14.25" customHeight="1">
      <c r="C186" s="1629">
        <f t="shared" si="145"/>
        <v>0.19</v>
      </c>
      <c r="D186" s="1630"/>
      <c r="E186" s="1320">
        <f>IF('2 Umsatz|Sales'!$CT$23=0,0,C186)</f>
        <v>0.19</v>
      </c>
      <c r="F186" s="278" t="str">
        <f>F30</f>
        <v>Übernachtungen</v>
      </c>
      <c r="G186" s="1173">
        <f>S30</f>
        <v>0</v>
      </c>
      <c r="H186" s="1174">
        <f>S108</f>
        <v>0</v>
      </c>
      <c r="I186" s="417"/>
      <c r="J186" s="417"/>
      <c r="K186" s="580"/>
      <c r="L186" s="1188"/>
      <c r="M186" s="57"/>
      <c r="N186" s="57"/>
      <c r="O186" s="57"/>
      <c r="P186" s="57"/>
      <c r="Q186" s="57"/>
      <c r="R186" s="57"/>
      <c r="S186" s="57"/>
      <c r="T186" s="557">
        <v>2</v>
      </c>
      <c r="U186" s="1797" t="str">
        <f>$CU$170&amp;" "&amp;T186&amp;" (brutto)"</f>
        <v>Gehalt 2 (brutto)</v>
      </c>
      <c r="V186" s="1366"/>
      <c r="W186" s="1364">
        <f>SUM(X28:AI28)</f>
        <v>0</v>
      </c>
      <c r="X186" s="1408">
        <f>SUM(X107:AI107)</f>
        <v>0</v>
      </c>
      <c r="Y186" s="1406"/>
      <c r="Z186" s="1399"/>
      <c r="AA186" s="1340">
        <f>Y185*Z186*(1+$AJ$182)*12</f>
        <v>0</v>
      </c>
      <c r="AB186" s="1362">
        <f>IF(12*Z186&lt;=Basisdaten!$D$21,0,IF(12*Z186&lt;=Basisdaten!$F$21,Z186*(Basisdaten!$E$23*(12*Z186-Basisdaten!$E$21)+Basisdaten!$E$22),IF(12*Z186&lt;=Basisdaten!$H$21,Z186*(Basisdaten!$G$23*(12*Z186-Basisdaten!$G$21)+Basisdaten!$G$22),IF(12*Z186&lt;=Basisdaten!$J$21,Z186*(Basisdaten!$I$23*(12*Z186-Basisdaten!$I$21)+Basisdaten!$I$22),IF(12*Z186&gt;Basisdaten!$K$21,M186*Basisdaten!$K$22,"hoppla")))))</f>
        <v>0</v>
      </c>
      <c r="AC186" s="1406"/>
      <c r="AD186" s="1399"/>
      <c r="AE186" s="1340">
        <f>AC185*AD186*(1+$AJ$182)*12</f>
        <v>0</v>
      </c>
      <c r="AF186" s="1362">
        <f>IF(12*AD186&lt;=Basisdaten!$D$21,0,IF(12*AD186&lt;=Basisdaten!$F$21,AD186*(Basisdaten!$E$23*(12*AD186-Basisdaten!$E$21)+Basisdaten!$E$22),IF(12*AD186&lt;=Basisdaten!$H$21,AD186*(Basisdaten!$G$23*(12*AD186-Basisdaten!$G$21)+Basisdaten!$G$22),IF(12*AD186&lt;=Basisdaten!$J$21,AD186*(Basisdaten!$I$23*(12*AD186-Basisdaten!$I$21)+Basisdaten!$I$22),IF(12*AD186&gt;Basisdaten!$K$21,Q186*Basisdaten!$K$22,"hoppla")))))</f>
        <v>0</v>
      </c>
      <c r="AG186" s="1411"/>
      <c r="AH186" s="1399"/>
      <c r="AI186" s="1340">
        <f>AG185*AH186*(1+$AJ$182)*12</f>
        <v>0</v>
      </c>
      <c r="AJ186" s="1413">
        <f>IF(12*AH186&lt;=Basisdaten!$D$21,0,IF(12*AH186&lt;=Basisdaten!$F$21,AH186*(Basisdaten!$E$23*(12*AH186-Basisdaten!$E$21)+Basisdaten!$E$22),IF(12*AH186&lt;=Basisdaten!$H$21,AH186*(Basisdaten!$G$23*(12*AH186-Basisdaten!$G$21)+Basisdaten!$G$22),IF(12*AH186&lt;=Basisdaten!$J$21,AH186*(Basisdaten!$I$23*(12*AH186-Basisdaten!$I$21)+Basisdaten!$I$22),IF(12*AH186&gt;Basisdaten!$K$21,U186*Basisdaten!$K$22,"hoppla")))))</f>
        <v>0</v>
      </c>
      <c r="AK186" s="613"/>
      <c r="AL186" s="422"/>
      <c r="BA186" s="1479"/>
      <c r="BB186" s="1479"/>
      <c r="BC186" s="1479"/>
      <c r="BD186" s="1479"/>
      <c r="BE186" s="1479"/>
      <c r="BF186" s="1479"/>
      <c r="BG186" s="1479"/>
      <c r="BH186" s="1479"/>
      <c r="BI186" s="1479"/>
      <c r="BJ186" s="1479"/>
      <c r="BK186" s="1479"/>
      <c r="BL186" s="1479"/>
      <c r="BM186" s="1479"/>
      <c r="BN186" s="1479"/>
      <c r="BO186" s="1479"/>
      <c r="BP186" s="1479"/>
      <c r="BQ186" s="1479"/>
      <c r="BR186" s="1479"/>
      <c r="BS186" s="1479"/>
      <c r="BT186" s="1479"/>
      <c r="BU186" s="1479"/>
      <c r="BV186" s="1479"/>
      <c r="BW186" s="1479"/>
      <c r="BX186" s="1479"/>
      <c r="BY186" s="1479"/>
      <c r="BZ186" s="1479"/>
      <c r="CA186" s="1479"/>
      <c r="CB186" s="1479"/>
      <c r="CC186" s="1479"/>
      <c r="CD186" s="1479"/>
      <c r="CE186" s="1479"/>
      <c r="CF186" s="1479"/>
      <c r="CG186" s="1479"/>
      <c r="CH186" s="1479"/>
      <c r="CI186" s="31"/>
      <c r="CJ186" s="31"/>
      <c r="CK186" s="31"/>
      <c r="CL186" s="31"/>
      <c r="CM186" s="31"/>
      <c r="CN186" s="31"/>
      <c r="CO186" s="31"/>
      <c r="CP186" s="31"/>
      <c r="CQ186" s="31"/>
      <c r="CS186" s="227"/>
      <c r="CU186" s="30" t="str">
        <f>IF(Basisdaten!$B$15=Basisdaten!$D$2,CV186,CW186)</f>
        <v>üblich 35%</v>
      </c>
      <c r="CV186" s="568" t="s">
        <v>624</v>
      </c>
      <c r="CW186" s="544" t="s">
        <v>625</v>
      </c>
    </row>
    <row r="187" spans="3:114" ht="14.25" customHeight="1" thickBot="1">
      <c r="C187" s="1629">
        <f t="shared" si="145"/>
        <v>0.19</v>
      </c>
      <c r="D187" s="1630"/>
      <c r="E187" s="1320"/>
      <c r="F187" s="1218" t="str">
        <f>F109</f>
        <v>Sonstiges</v>
      </c>
      <c r="G187" s="1180">
        <f>S31</f>
        <v>0</v>
      </c>
      <c r="H187" s="1181">
        <f>S109</f>
        <v>0</v>
      </c>
      <c r="I187" s="521"/>
      <c r="J187" s="521"/>
      <c r="K187" s="581"/>
      <c r="L187" s="1188"/>
      <c r="M187" s="57"/>
      <c r="N187" s="57"/>
      <c r="O187" s="57"/>
      <c r="P187" s="57"/>
      <c r="Q187" s="57"/>
      <c r="R187" s="57"/>
      <c r="S187" s="57"/>
      <c r="T187" s="557"/>
      <c r="U187" s="1797" t="str">
        <f>U183</f>
        <v>ø Mitarbeiter</v>
      </c>
      <c r="V187" s="1365"/>
      <c r="W187" s="1363">
        <f>SUM(X29:AI29)/12</f>
        <v>0</v>
      </c>
      <c r="X187" s="1407">
        <f>SUM(X108:AI108)/12</f>
        <v>0</v>
      </c>
      <c r="Y187" s="1405"/>
      <c r="Z187" s="1400"/>
      <c r="AA187" s="1400"/>
      <c r="AB187" s="1808" t="str">
        <f>AB185</f>
        <v>↓m. Lohn-St↓</v>
      </c>
      <c r="AC187" s="1405"/>
      <c r="AD187" s="1400"/>
      <c r="AE187" s="1400"/>
      <c r="AF187" s="1808" t="str">
        <f>AB187</f>
        <v>↓m. Lohn-St↓</v>
      </c>
      <c r="AG187" s="1965"/>
      <c r="AH187" s="1409"/>
      <c r="AI187" s="1410"/>
      <c r="AJ187" s="1808" t="str">
        <f>AJ185</f>
        <v>↓m. Lohn-St↓</v>
      </c>
      <c r="AK187" s="613"/>
      <c r="AL187" s="422"/>
      <c r="BA187" s="1479"/>
      <c r="BB187" s="1479"/>
      <c r="BC187" s="1479"/>
      <c r="BD187" s="1479"/>
      <c r="BE187" s="1479"/>
      <c r="BF187" s="1479"/>
      <c r="BG187" s="1479"/>
      <c r="BH187" s="1479"/>
      <c r="BI187" s="1479"/>
      <c r="BJ187" s="1479"/>
      <c r="BK187" s="1479"/>
      <c r="BL187" s="1479"/>
      <c r="BM187" s="1479"/>
      <c r="BN187" s="1479"/>
      <c r="BO187" s="1479"/>
      <c r="BP187" s="1479"/>
      <c r="BQ187" s="1479"/>
      <c r="BR187" s="1479"/>
      <c r="BS187" s="1479"/>
      <c r="BT187" s="1479"/>
      <c r="BU187" s="1479"/>
      <c r="BV187" s="1479"/>
      <c r="BW187" s="1479"/>
      <c r="BX187" s="1479"/>
      <c r="BY187" s="1479"/>
      <c r="BZ187" s="1479"/>
      <c r="CA187" s="1479"/>
      <c r="CB187" s="1479"/>
      <c r="CC187" s="1479"/>
      <c r="CD187" s="1479"/>
      <c r="CE187" s="1479"/>
      <c r="CF187" s="1479"/>
      <c r="CG187" s="1479"/>
      <c r="CH187" s="1479"/>
      <c r="CI187" s="31"/>
      <c r="CJ187" s="31"/>
      <c r="CK187" s="31"/>
      <c r="CL187" s="31"/>
      <c r="CM187" s="31"/>
      <c r="CN187" s="31"/>
      <c r="CO187" s="31"/>
      <c r="CP187" s="31"/>
      <c r="CQ187" s="31"/>
      <c r="CS187" s="227"/>
      <c r="CU187" s="30" t="str">
        <f>IF(Basisdaten!$B$15=Basisdaten!$D$2,CV187,CW187)</f>
        <v>4b-2 Nebenrechung Personalkosten</v>
      </c>
      <c r="CV187" s="305" t="str">
        <f>"4b-2 Nebenrechung Personalkosten"</f>
        <v>4b-2 Nebenrechung Personalkosten</v>
      </c>
      <c r="CW187" s="305" t="str">
        <f>"4b-2 Ancillary: Account for Personal Costs"</f>
        <v>4b-2 Ancillary: Account for Personal Costs</v>
      </c>
    </row>
    <row r="188" spans="3:114" ht="14.25" customHeight="1" thickTop="1" thickBot="1">
      <c r="C188" s="1631">
        <f t="shared" si="145"/>
        <v>0</v>
      </c>
      <c r="D188" s="1630"/>
      <c r="E188" s="1135">
        <f>IF('2 Umsatz|Sales'!$CT$23=0,0,C188)</f>
        <v>0</v>
      </c>
      <c r="F188" s="46" t="str">
        <f>F32</f>
        <v>Summe Reisekosten</v>
      </c>
      <c r="G188" s="1173">
        <f>S32</f>
        <v>0</v>
      </c>
      <c r="H188" s="1174">
        <f>S110</f>
        <v>0</v>
      </c>
      <c r="I188" s="534">
        <f>SUM(I184:I187)</f>
        <v>0</v>
      </c>
      <c r="J188" s="527">
        <f>SUM(J184:J187)</f>
        <v>0</v>
      </c>
      <c r="K188" s="582">
        <f>SUM(K184:K187)</f>
        <v>0</v>
      </c>
      <c r="L188" s="1188"/>
      <c r="M188" s="57"/>
      <c r="N188" s="57"/>
      <c r="O188" s="57"/>
      <c r="P188" s="57"/>
      <c r="Q188" s="57"/>
      <c r="R188" s="57"/>
      <c r="S188" s="57"/>
      <c r="T188" s="554">
        <v>3</v>
      </c>
      <c r="U188" s="1819" t="str">
        <f>$CU$170&amp;" "&amp;T188&amp;" (brutto)"</f>
        <v>Gehalt 3 (brutto)</v>
      </c>
      <c r="V188" s="1820"/>
      <c r="W188" s="1821">
        <f>SUM(X30:AI30)</f>
        <v>0</v>
      </c>
      <c r="X188" s="1822">
        <f>SUM(X109:AI109)</f>
        <v>0</v>
      </c>
      <c r="Y188" s="1406"/>
      <c r="Z188" s="1823"/>
      <c r="AA188" s="1341">
        <f>Y187*Z188*(1+$AJ$182)*12</f>
        <v>0</v>
      </c>
      <c r="AB188" s="1824">
        <f>IF(12*Z188&lt;=Basisdaten!$D$21,0,IF(12*Z188&lt;=Basisdaten!$F$21,Z188*(Basisdaten!$E$23*(12*Z188-Basisdaten!$E$21)+Basisdaten!$E$22),IF(12*Z188&lt;=Basisdaten!$H$21,Z188*(Basisdaten!$G$23*(12*Z188-Basisdaten!$G$21)+Basisdaten!$G$22),IF(12*Z188&lt;=Basisdaten!$J$21,Z188*(Basisdaten!$I$23*(12*Z188-Basisdaten!$I$21)+Basisdaten!$I$22),IF(12*Z188&gt;Basisdaten!$K$21,M188*Basisdaten!$K$22,"hoppla")))))</f>
        <v>0</v>
      </c>
      <c r="AC188" s="1406"/>
      <c r="AD188" s="1823"/>
      <c r="AE188" s="1341">
        <f>AC187*AD188*(1+$AJ$182)*12</f>
        <v>0</v>
      </c>
      <c r="AF188" s="1824">
        <f>IF(12*AD188&lt;=Basisdaten!$D$21,0,IF(12*AD188&lt;=Basisdaten!$F$21,AD188*(Basisdaten!$E$23*(12*AD188-Basisdaten!$E$21)+Basisdaten!$E$22),IF(12*AD188&lt;=Basisdaten!$H$21,AD188*(Basisdaten!$G$23*(12*AD188-Basisdaten!$G$21)+Basisdaten!$G$22),IF(12*AD188&lt;=Basisdaten!$J$21,AD188*(Basisdaten!$I$23*(12*AD188-Basisdaten!$I$21)+Basisdaten!$I$22),IF(12*AD188&gt;Basisdaten!$K$21,Q188*Basisdaten!$K$22,"hoppla")))))</f>
        <v>0</v>
      </c>
      <c r="AG188" s="1825"/>
      <c r="AH188" s="1823"/>
      <c r="AI188" s="1341">
        <f>AG187*AH188*(1+$AJ$182)*12</f>
        <v>0</v>
      </c>
      <c r="AJ188" s="1826">
        <f>IF(12*AH188&lt;=Basisdaten!$D$21,0,IF(12*AH188&lt;=Basisdaten!$F$21,AH188*(Basisdaten!$E$23*(12*AH188-Basisdaten!$E$21)+Basisdaten!$E$22),IF(12*AH188&lt;=Basisdaten!$H$21,AH188*(Basisdaten!$G$23*(12*AH188-Basisdaten!$G$21)+Basisdaten!$G$22),IF(12*AH188&lt;=Basisdaten!$J$21,AH188*(Basisdaten!$I$23*(12*AH188-Basisdaten!$I$21)+Basisdaten!$I$22),IF(12*AH188&gt;Basisdaten!$K$21,U188*Basisdaten!$K$22,"hoppla")))))</f>
        <v>0</v>
      </c>
      <c r="AK188" s="613"/>
      <c r="AL188" s="422"/>
      <c r="BA188" s="1479"/>
      <c r="BB188" s="1479"/>
      <c r="BC188" s="1479"/>
      <c r="BD188" s="1479"/>
      <c r="BE188" s="1479"/>
      <c r="BF188" s="1479"/>
      <c r="BG188" s="1479"/>
      <c r="BH188" s="1479"/>
      <c r="BI188" s="1479"/>
      <c r="BJ188" s="1479"/>
      <c r="BK188" s="1479"/>
      <c r="BL188" s="1479"/>
      <c r="BM188" s="1479"/>
      <c r="BN188" s="1479"/>
      <c r="BO188" s="1479"/>
      <c r="BP188" s="1479"/>
      <c r="BQ188" s="1479"/>
      <c r="BR188" s="1479"/>
      <c r="BS188" s="1479"/>
      <c r="BT188" s="1479"/>
      <c r="BU188" s="1479"/>
      <c r="BV188" s="1479"/>
      <c r="BW188" s="1479"/>
      <c r="BX188" s="1479"/>
      <c r="BY188" s="1479"/>
      <c r="BZ188" s="1479"/>
      <c r="CA188" s="1479"/>
      <c r="CB188" s="1479"/>
      <c r="CC188" s="1479"/>
      <c r="CD188" s="1479"/>
      <c r="CE188" s="1479"/>
      <c r="CF188" s="1479"/>
      <c r="CG188" s="1479"/>
      <c r="CH188" s="1479"/>
      <c r="CI188" s="31"/>
      <c r="CJ188" s="31"/>
      <c r="CK188" s="31"/>
      <c r="CL188" s="31"/>
      <c r="CM188" s="31"/>
      <c r="CN188" s="31"/>
      <c r="CO188" s="31"/>
      <c r="CP188" s="31"/>
      <c r="CQ188" s="31"/>
      <c r="CS188" s="227"/>
      <c r="CU188" s="30" t="str">
        <f>IF(Basisdaten!$B$15=Basisdaten!$D$2,CV188,CW188)</f>
        <v>Personalkosten (nur Angestellte)     aus Tab 4b-2    ===&gt;</v>
      </c>
      <c r="CV188" s="38" t="s">
        <v>906</v>
      </c>
      <c r="CW188" s="38" t="s">
        <v>907</v>
      </c>
    </row>
    <row r="189" spans="3:114" ht="14.25" customHeight="1">
      <c r="C189" s="1633" t="str">
        <f t="shared" si="145"/>
        <v>MwSt</v>
      </c>
      <c r="D189" s="1630"/>
      <c r="E189" s="597">
        <f>E111</f>
        <v>5</v>
      </c>
      <c r="F189" s="598" t="str">
        <f>F33</f>
        <v>Versicherungen und Beiträge (betrieblich!)</v>
      </c>
      <c r="G189" s="1175"/>
      <c r="H189" s="1176"/>
      <c r="I189" s="2276" t="str">
        <f>IF(C228=1,$CU$165,"")</f>
        <v/>
      </c>
      <c r="J189" s="2277"/>
      <c r="K189" s="2278"/>
      <c r="L189" s="610">
        <f>IFERROR(I228,"undo")</f>
        <v>0</v>
      </c>
      <c r="M189" s="57"/>
      <c r="N189" s="57"/>
      <c r="O189" s="57"/>
      <c r="P189" s="57"/>
      <c r="Q189" s="57"/>
      <c r="R189" s="57"/>
      <c r="S189" s="57"/>
      <c r="T189" s="552"/>
      <c r="U189" s="1835" t="str">
        <f>"ø "&amp;$CU$189</f>
        <v>ø GF</v>
      </c>
      <c r="V189" s="1836"/>
      <c r="W189" s="1837">
        <f>SUM(X31:AI31)/12</f>
        <v>0</v>
      </c>
      <c r="X189" s="1838">
        <f>SUM(X110:AI110)/12</f>
        <v>0</v>
      </c>
      <c r="Y189" s="1839"/>
      <c r="Z189" s="1840"/>
      <c r="AA189" s="1840"/>
      <c r="AB189" s="1841" t="str">
        <f>AB187</f>
        <v>↓m. Lohn-St↓</v>
      </c>
      <c r="AC189" s="1839"/>
      <c r="AD189" s="1840"/>
      <c r="AE189" s="1840"/>
      <c r="AF189" s="1841" t="str">
        <f>AB189</f>
        <v>↓m. Lohn-St↓</v>
      </c>
      <c r="AG189" s="1966"/>
      <c r="AH189" s="1842"/>
      <c r="AI189" s="1843"/>
      <c r="AJ189" s="1841" t="str">
        <f>AJ187</f>
        <v>↓m. Lohn-St↓</v>
      </c>
      <c r="AK189" s="613"/>
      <c r="AL189" s="422"/>
      <c r="BA189" s="1479"/>
      <c r="BB189" s="1479"/>
      <c r="BC189" s="1479"/>
      <c r="BD189" s="1479"/>
      <c r="BE189" s="1479"/>
      <c r="BF189" s="1479"/>
      <c r="BG189" s="1479"/>
      <c r="BH189" s="1479"/>
      <c r="BI189" s="1479"/>
      <c r="BJ189" s="1479"/>
      <c r="BK189" s="1479"/>
      <c r="BL189" s="1479"/>
      <c r="BM189" s="1479"/>
      <c r="BN189" s="1479"/>
      <c r="BO189" s="1479"/>
      <c r="BP189" s="1479"/>
      <c r="BQ189" s="1479"/>
      <c r="BR189" s="1479"/>
      <c r="BS189" s="1479"/>
      <c r="BT189" s="1479"/>
      <c r="BU189" s="1479"/>
      <c r="BV189" s="1479"/>
      <c r="BW189" s="1479"/>
      <c r="BX189" s="1479"/>
      <c r="BY189" s="1479"/>
      <c r="BZ189" s="1479"/>
      <c r="CA189" s="1479"/>
      <c r="CB189" s="1479"/>
      <c r="CC189" s="1479"/>
      <c r="CD189" s="1479"/>
      <c r="CE189" s="1479"/>
      <c r="CF189" s="1479"/>
      <c r="CG189" s="1479"/>
      <c r="CH189" s="1479"/>
      <c r="CI189" s="31"/>
      <c r="CJ189" s="31"/>
      <c r="CK189" s="31"/>
      <c r="CL189" s="31"/>
      <c r="CM189" s="31"/>
      <c r="CN189" s="31"/>
      <c r="CO189" s="31"/>
      <c r="CP189" s="31"/>
      <c r="CQ189" s="31"/>
      <c r="CS189" s="227"/>
      <c r="CU189" s="30" t="str">
        <f>IF(Basisdaten!$B$15=Basisdaten!$D$2,CV189,CW189)</f>
        <v>GF</v>
      </c>
      <c r="CV189" s="38" t="s">
        <v>1058</v>
      </c>
      <c r="CW189" s="38" t="s">
        <v>1059</v>
      </c>
    </row>
    <row r="190" spans="3:114" ht="14.25" customHeight="1" thickBot="1">
      <c r="C190" s="1629">
        <f t="shared" si="145"/>
        <v>0.19</v>
      </c>
      <c r="D190" s="1630"/>
      <c r="E190" s="1319">
        <f>IF('2 Umsatz|Sales'!$CT$23=0,0,C190)</f>
        <v>0.19</v>
      </c>
      <c r="F190" s="278" t="str">
        <f>F34</f>
        <v>Haftpflicht</v>
      </c>
      <c r="G190" s="1173">
        <f>S34</f>
        <v>0</v>
      </c>
      <c r="H190" s="1174">
        <f>S112</f>
        <v>0</v>
      </c>
      <c r="I190" s="417"/>
      <c r="J190" s="417"/>
      <c r="K190" s="417"/>
      <c r="L190" s="610">
        <f>IFERROR(J228,"undo")</f>
        <v>0</v>
      </c>
      <c r="M190" s="57"/>
      <c r="N190" s="57"/>
      <c r="O190" s="57"/>
      <c r="P190" s="57"/>
      <c r="Q190" s="57"/>
      <c r="R190" s="57"/>
      <c r="S190" s="57"/>
      <c r="T190" s="557"/>
      <c r="U190" s="1844" t="str">
        <f>CU170&amp;" "&amp;CU189&amp;" (brutto)"</f>
        <v>Gehalt GF (brutto)</v>
      </c>
      <c r="V190" s="1845"/>
      <c r="W190" s="1846">
        <f>SUM(X32:AI32)</f>
        <v>0</v>
      </c>
      <c r="X190" s="1847">
        <f>SUM(X111:AI111)</f>
        <v>0</v>
      </c>
      <c r="Y190" s="1848"/>
      <c r="Z190" s="1849"/>
      <c r="AA190" s="1817">
        <f>Y189*Z190*(1+$AJ$182)*12</f>
        <v>0</v>
      </c>
      <c r="AB190" s="1850">
        <f>IF(12*Z190&lt;=Basisdaten!$D$21,0,IF(12*Z190&lt;=Basisdaten!$F$21,Z190*(Basisdaten!$E$23*(12*Z190-Basisdaten!$E$21)+Basisdaten!$E$22),IF(12*Z190&lt;=Basisdaten!$H$21,Z190*(Basisdaten!$G$23*(12*Z190-Basisdaten!$G$21)+Basisdaten!$G$22),IF(12*Z190&lt;=Basisdaten!$J$21,Z190*(Basisdaten!$I$23*(12*Z190-Basisdaten!$I$21)+Basisdaten!$I$22),IF(12*Z190&gt;Basisdaten!$K$21,M190*Basisdaten!$K$22,"hoppla")))))</f>
        <v>0</v>
      </c>
      <c r="AC190" s="1848"/>
      <c r="AD190" s="1849"/>
      <c r="AE190" s="1817">
        <f>AC189*AD190*(1+$AJ$182)*12</f>
        <v>0</v>
      </c>
      <c r="AF190" s="1850">
        <f>IF(12*AD190&lt;=Basisdaten!$D$21,0,IF(12*AD190&lt;=Basisdaten!$F$21,AD190*(Basisdaten!$E$23*(12*AD190-Basisdaten!$E$21)+Basisdaten!$E$22),IF(12*AD190&lt;=Basisdaten!$H$21,AD190*(Basisdaten!$G$23*(12*AD190-Basisdaten!$G$21)+Basisdaten!$G$22),IF(12*AD190&lt;=Basisdaten!$J$21,AD190*(Basisdaten!$I$23*(12*AD190-Basisdaten!$I$21)+Basisdaten!$I$22),IF(12*AD190&gt;Basisdaten!$K$21,Q190*Basisdaten!$K$22,"hoppla")))))</f>
        <v>0</v>
      </c>
      <c r="AG190" s="1851">
        <f>AG188</f>
        <v>0</v>
      </c>
      <c r="AH190" s="1849"/>
      <c r="AI190" s="1817">
        <f>AG189*AH190*(1+$AJ$182)*12</f>
        <v>0</v>
      </c>
      <c r="AJ190" s="1852">
        <f>IF(12*AH190&lt;=Basisdaten!$D$21,0,IF(12*AH190&lt;=Basisdaten!$F$21,AH190*(Basisdaten!$E$23*(12*AH190-Basisdaten!$E$21)+Basisdaten!$E$22),IF(12*AH190&lt;=Basisdaten!$H$21,AH190*(Basisdaten!$G$23*(12*AH190-Basisdaten!$G$21)+Basisdaten!$G$22),IF(12*AH190&lt;=Basisdaten!$J$21,AH190*(Basisdaten!$I$23*(12*AH190-Basisdaten!$I$21)+Basisdaten!$I$22),IF(12*AH190&gt;Basisdaten!$K$21,U190*Basisdaten!$K$22,"hoppla")))))</f>
        <v>0</v>
      </c>
      <c r="AK190" s="613"/>
      <c r="AL190" s="422"/>
      <c r="BA190" s="1479"/>
      <c r="BB190" s="1479"/>
      <c r="BC190" s="1479"/>
      <c r="BD190" s="1479"/>
      <c r="BE190" s="1479"/>
      <c r="BF190" s="1479"/>
      <c r="BG190" s="1479"/>
      <c r="BH190" s="1479"/>
      <c r="BI190" s="1479"/>
      <c r="BJ190" s="1479"/>
      <c r="BK190" s="1479"/>
      <c r="BL190" s="1479"/>
      <c r="BM190" s="1479"/>
      <c r="BN190" s="1479"/>
      <c r="BO190" s="1479"/>
      <c r="BP190" s="1479"/>
      <c r="BQ190" s="1479"/>
      <c r="BR190" s="1479"/>
      <c r="BS190" s="1479"/>
      <c r="BT190" s="1479"/>
      <c r="BU190" s="1479"/>
      <c r="BV190" s="1479"/>
      <c r="BW190" s="1479"/>
      <c r="BX190" s="1479"/>
      <c r="BY190" s="1479"/>
      <c r="BZ190" s="1479"/>
      <c r="CA190" s="1479"/>
      <c r="CB190" s="1479"/>
      <c r="CC190" s="1479"/>
      <c r="CD190" s="1479"/>
      <c r="CE190" s="1479"/>
      <c r="CF190" s="1479"/>
      <c r="CG190" s="1479"/>
      <c r="CH190" s="1479"/>
      <c r="CI190" s="31"/>
      <c r="CJ190" s="31"/>
      <c r="CK190" s="31"/>
      <c r="CL190" s="31"/>
      <c r="CM190" s="31"/>
      <c r="CN190" s="31"/>
      <c r="CO190" s="31"/>
      <c r="CP190" s="31"/>
      <c r="CQ190" s="31"/>
      <c r="CS190" s="227"/>
      <c r="CU190" s="30" t="str">
        <f>IF(Basisdaten!$B$15=Basisdaten!$D$2,CV190,CW190)</f>
        <v>netto</v>
      </c>
      <c r="CV190" s="38" t="s">
        <v>944</v>
      </c>
      <c r="CW190" s="38" t="s">
        <v>1060</v>
      </c>
    </row>
    <row r="191" spans="3:114" ht="14.25" customHeight="1">
      <c r="C191" s="1629">
        <f t="shared" si="145"/>
        <v>0.19</v>
      </c>
      <c r="D191" s="1630"/>
      <c r="E191" s="1320">
        <f>IF('2 Umsatz|Sales'!$CT$23=0,0,C191)</f>
        <v>0.19</v>
      </c>
      <c r="F191" s="278" t="str">
        <f>F35</f>
        <v>Rechtschutzversicherung</v>
      </c>
      <c r="G191" s="1173">
        <f>S35</f>
        <v>0</v>
      </c>
      <c r="H191" s="1174">
        <f>S113</f>
        <v>0</v>
      </c>
      <c r="I191" s="417"/>
      <c r="J191" s="417"/>
      <c r="K191" s="580"/>
      <c r="L191" s="610">
        <f>IFERROR(K228,"undo")</f>
        <v>0</v>
      </c>
      <c r="M191" s="57"/>
      <c r="N191" s="57"/>
      <c r="O191" s="57"/>
      <c r="P191" s="57"/>
      <c r="Q191" s="57"/>
      <c r="R191" s="57"/>
      <c r="S191" s="57"/>
      <c r="T191" s="557"/>
      <c r="U191" s="1827" t="s">
        <v>1055</v>
      </c>
      <c r="V191" s="1828"/>
      <c r="W191" s="1829">
        <f>SUM(X33:AI33)/12</f>
        <v>0</v>
      </c>
      <c r="X191" s="1830">
        <f>SUM(X112:AI112)/12</f>
        <v>0</v>
      </c>
      <c r="Y191" s="1831"/>
      <c r="Z191" s="1883" t="str">
        <f>CU190&amp;" = "&amp;CU191</f>
        <v>netto = brutto</v>
      </c>
      <c r="AA191" s="1832"/>
      <c r="AB191" s="1833" t="str">
        <f>$CU$193</f>
        <v>↓Obergrenze↓</v>
      </c>
      <c r="AC191" s="1831"/>
      <c r="AD191" s="1883" t="str">
        <f>Z191</f>
        <v>netto = brutto</v>
      </c>
      <c r="AE191" s="1832"/>
      <c r="AF191" s="1833" t="str">
        <f>AB191</f>
        <v>↓Obergrenze↓</v>
      </c>
      <c r="AG191" s="1834"/>
      <c r="AH191" s="1884" t="str">
        <f>AD191</f>
        <v>netto = brutto</v>
      </c>
      <c r="AJ191" s="1833" t="str">
        <f>AF191</f>
        <v>↓Obergrenze↓</v>
      </c>
      <c r="AK191" s="613"/>
      <c r="AL191" s="422"/>
      <c r="BA191" s="1479"/>
      <c r="BB191" s="1479"/>
      <c r="BC191" s="1479"/>
      <c r="BD191" s="1479"/>
      <c r="BE191" s="1479"/>
      <c r="BF191" s="1479"/>
      <c r="BG191" s="1479"/>
      <c r="BH191" s="1479"/>
      <c r="BI191" s="1479"/>
      <c r="BJ191" s="1479"/>
      <c r="BK191" s="1479"/>
      <c r="BL191" s="1479"/>
      <c r="BM191" s="1479"/>
      <c r="BN191" s="1479"/>
      <c r="BO191" s="1479"/>
      <c r="BP191" s="1479"/>
      <c r="BQ191" s="1479"/>
      <c r="BR191" s="1479"/>
      <c r="BS191" s="1479"/>
      <c r="BT191" s="1479"/>
      <c r="BU191" s="1479"/>
      <c r="BV191" s="1479"/>
      <c r="BW191" s="1479"/>
      <c r="BX191" s="1479"/>
      <c r="BY191" s="1479"/>
      <c r="BZ191" s="1479"/>
      <c r="CA191" s="1479"/>
      <c r="CB191" s="1479"/>
      <c r="CC191" s="1479"/>
      <c r="CD191" s="1479"/>
      <c r="CE191" s="1479"/>
      <c r="CF191" s="1479"/>
      <c r="CG191" s="1479"/>
      <c r="CH191" s="1479"/>
      <c r="CI191" s="31"/>
      <c r="CJ191" s="31"/>
      <c r="CK191" s="31"/>
      <c r="CL191" s="31"/>
      <c r="CM191" s="31"/>
      <c r="CN191" s="31"/>
      <c r="CO191" s="31"/>
      <c r="CP191" s="31"/>
      <c r="CQ191" s="31"/>
      <c r="CS191" s="227"/>
      <c r="CU191" s="30" t="str">
        <f>IF(Basisdaten!$B$15=Basisdaten!$D$2,CV191,CW191)</f>
        <v>brutto</v>
      </c>
      <c r="CV191" s="38" t="s">
        <v>940</v>
      </c>
      <c r="CW191" s="38" t="s">
        <v>1061</v>
      </c>
    </row>
    <row r="192" spans="3:114" ht="14.25" customHeight="1" thickBot="1">
      <c r="C192" s="1629">
        <f t="shared" si="145"/>
        <v>0.19</v>
      </c>
      <c r="D192" s="1630"/>
      <c r="E192" s="1320">
        <f>IF('2 Umsatz|Sales'!$CT$23=0,0,C192)</f>
        <v>0.19</v>
      </c>
      <c r="F192" s="278" t="str">
        <f>F36</f>
        <v>Beiträge (IHK, Berufsverbände, ...)</v>
      </c>
      <c r="G192" s="1173">
        <f>S36</f>
        <v>0</v>
      </c>
      <c r="H192" s="1174">
        <f>S114</f>
        <v>0</v>
      </c>
      <c r="I192" s="417"/>
      <c r="J192" s="417"/>
      <c r="K192" s="580"/>
      <c r="L192" s="610"/>
      <c r="M192" s="57"/>
      <c r="N192" s="57"/>
      <c r="O192" s="57"/>
      <c r="P192" s="57"/>
      <c r="Q192" s="57"/>
      <c r="R192" s="57"/>
      <c r="S192" s="57"/>
      <c r="T192" s="557"/>
      <c r="U192" s="1798" t="str">
        <f>CU182</f>
        <v>Lohn</v>
      </c>
      <c r="V192" s="1366"/>
      <c r="W192" s="1364">
        <f>SUM(X34:AI34)</f>
        <v>0</v>
      </c>
      <c r="X192" s="1408">
        <f>SUM(X113:AI113)</f>
        <v>0</v>
      </c>
      <c r="Y192" s="1416"/>
      <c r="Z192" s="1401"/>
      <c r="AA192" s="1341"/>
      <c r="AB192" s="1403">
        <f>Basisdaten!$L$39</f>
        <v>603</v>
      </c>
      <c r="AC192" s="1416"/>
      <c r="AD192" s="1401"/>
      <c r="AE192" s="1341"/>
      <c r="AF192" s="1403">
        <f>Basisdaten!$L$39</f>
        <v>603</v>
      </c>
      <c r="AG192" s="1417"/>
      <c r="AH192" s="1401"/>
      <c r="AI192" s="1341"/>
      <c r="AJ192" s="1414">
        <f>$AJ$113</f>
        <v>603</v>
      </c>
      <c r="AK192" s="613"/>
      <c r="AL192" s="422"/>
      <c r="BA192" s="1479"/>
      <c r="BB192" s="1479"/>
      <c r="BC192" s="1479"/>
      <c r="BD192" s="1479"/>
      <c r="BE192" s="1479"/>
      <c r="BF192" s="1479"/>
      <c r="BG192" s="1479"/>
      <c r="BH192" s="1479"/>
      <c r="BI192" s="1479"/>
      <c r="BJ192" s="1479"/>
      <c r="BK192" s="1479"/>
      <c r="BL192" s="1479"/>
      <c r="BM192" s="1479"/>
      <c r="BN192" s="1479"/>
      <c r="BO192" s="1479"/>
      <c r="BP192" s="1479"/>
      <c r="BQ192" s="1479"/>
      <c r="BR192" s="1479"/>
      <c r="BS192" s="1479"/>
      <c r="BT192" s="1479"/>
      <c r="BU192" s="1479"/>
      <c r="BV192" s="1479"/>
      <c r="BW192" s="1479"/>
      <c r="BX192" s="1479"/>
      <c r="BY192" s="1479"/>
      <c r="BZ192" s="1479"/>
      <c r="CA192" s="1479"/>
      <c r="CB192" s="1479"/>
      <c r="CC192" s="1479"/>
      <c r="CD192" s="1479"/>
      <c r="CE192" s="1479"/>
      <c r="CF192" s="1479"/>
      <c r="CG192" s="1479"/>
      <c r="CH192" s="1479"/>
      <c r="CI192" s="31"/>
      <c r="CJ192" s="31"/>
      <c r="CK192" s="31"/>
      <c r="CL192" s="31"/>
      <c r="CM192" s="31"/>
      <c r="CN192" s="31"/>
      <c r="CO192" s="31"/>
      <c r="CP192" s="31"/>
      <c r="CQ192" s="31"/>
      <c r="CS192" s="227"/>
      <c r="CU192" s="30" t="str">
        <f>IF(Basisdaten!$B$15=Basisdaten!$D$2,CV192,CW192)</f>
        <v>↓m. Lohn-St↓</v>
      </c>
      <c r="CV192" s="38" t="s">
        <v>1062</v>
      </c>
      <c r="CW192" s="38" t="s">
        <v>1063</v>
      </c>
    </row>
    <row r="193" spans="3:101" ht="14.25" customHeight="1" thickTop="1" thickBot="1">
      <c r="C193" s="1629">
        <f t="shared" si="145"/>
        <v>0.19</v>
      </c>
      <c r="D193" s="1630"/>
      <c r="E193" s="1320">
        <f>IF('2 Umsatz|Sales'!$CT$23=0,0,C193)</f>
        <v>0.19</v>
      </c>
      <c r="F193" s="1218" t="str">
        <f>F115</f>
        <v>Sonstiges</v>
      </c>
      <c r="G193" s="1180">
        <f>S37</f>
        <v>0</v>
      </c>
      <c r="H193" s="1181">
        <f>S115</f>
        <v>0</v>
      </c>
      <c r="I193" s="521"/>
      <c r="J193" s="521"/>
      <c r="K193" s="581"/>
      <c r="L193" s="1188"/>
      <c r="M193" s="57"/>
      <c r="N193" s="57"/>
      <c r="O193" s="57"/>
      <c r="P193" s="57"/>
      <c r="Q193" s="57"/>
      <c r="R193" s="57"/>
      <c r="S193" s="57"/>
      <c r="T193" s="557"/>
      <c r="U193" s="1799" t="str">
        <f>U114</f>
        <v>Gehaltssumme</v>
      </c>
      <c r="V193" s="1611"/>
      <c r="W193" s="1360">
        <f>AJ35</f>
        <v>0</v>
      </c>
      <c r="X193" s="1612">
        <f>AJ114</f>
        <v>0</v>
      </c>
      <c r="Y193" s="1803" t="str">
        <f>U193</f>
        <v>Gehaltssumme</v>
      </c>
      <c r="Z193" s="1415"/>
      <c r="AA193" s="1351">
        <f>Z192+AA190+AA188+AA186+AA184</f>
        <v>0</v>
      </c>
      <c r="AB193" s="1806"/>
      <c r="AC193" s="1804" t="str">
        <f>Y193</f>
        <v>Gehaltssumme</v>
      </c>
      <c r="AD193" s="1415"/>
      <c r="AE193" s="1351">
        <f>AD192+AE190+AE188+AE186+AE184</f>
        <v>0</v>
      </c>
      <c r="AF193" s="1806"/>
      <c r="AG193" s="1804" t="str">
        <f>AC193</f>
        <v>Gehaltssumme</v>
      </c>
      <c r="AH193" s="1415"/>
      <c r="AI193" s="1351">
        <f>AH192+AI190+AI188+AI186+AI184</f>
        <v>0</v>
      </c>
      <c r="AJ193" s="1865"/>
      <c r="AK193" s="613"/>
      <c r="AL193" s="422"/>
      <c r="BA193" s="1479"/>
      <c r="BB193" s="1479"/>
      <c r="BC193" s="1479"/>
      <c r="BD193" s="1479"/>
      <c r="BE193" s="1479"/>
      <c r="BF193" s="1479"/>
      <c r="BG193" s="1479"/>
      <c r="BH193" s="1479"/>
      <c r="BI193" s="1479"/>
      <c r="BJ193" s="1479"/>
      <c r="BK193" s="1479"/>
      <c r="BL193" s="1479"/>
      <c r="BM193" s="1479"/>
      <c r="BN193" s="1479"/>
      <c r="BO193" s="1479"/>
      <c r="BP193" s="1479"/>
      <c r="BQ193" s="1479"/>
      <c r="BR193" s="1479"/>
      <c r="BS193" s="1479"/>
      <c r="BT193" s="1479"/>
      <c r="BU193" s="1479"/>
      <c r="BV193" s="1479"/>
      <c r="BW193" s="1479"/>
      <c r="BX193" s="1479"/>
      <c r="BY193" s="1479"/>
      <c r="BZ193" s="1479"/>
      <c r="CA193" s="1479"/>
      <c r="CB193" s="1479"/>
      <c r="CC193" s="1479"/>
      <c r="CD193" s="1479"/>
      <c r="CE193" s="1479"/>
      <c r="CF193" s="1479"/>
      <c r="CG193" s="1479"/>
      <c r="CH193" s="1479"/>
      <c r="CI193" s="31"/>
      <c r="CJ193" s="31"/>
      <c r="CK193" s="31"/>
      <c r="CL193" s="31"/>
      <c r="CM193" s="31"/>
      <c r="CN193" s="31"/>
      <c r="CO193" s="31"/>
      <c r="CP193" s="31"/>
      <c r="CQ193" s="31"/>
      <c r="CS193" s="227"/>
      <c r="CU193" s="30" t="str">
        <f>IF(Basisdaten!$B$15=Basisdaten!$D$2,CV193,CW193)</f>
        <v>↓Obergrenze↓</v>
      </c>
      <c r="CV193" s="38" t="s">
        <v>1064</v>
      </c>
      <c r="CW193" s="38" t="s">
        <v>1065</v>
      </c>
    </row>
    <row r="194" spans="3:101" ht="14.25" customHeight="1" thickTop="1" thickBot="1">
      <c r="C194" s="1631">
        <f t="shared" si="145"/>
        <v>0</v>
      </c>
      <c r="D194" s="1630"/>
      <c r="E194" s="531"/>
      <c r="F194" s="46" t="str">
        <f t="shared" ref="F194:F199" si="146">F38</f>
        <v>Summe Versicherungen und Beiträge (betrieblich!)</v>
      </c>
      <c r="G194" s="1173">
        <f>S38</f>
        <v>0</v>
      </c>
      <c r="H194" s="1174">
        <f>S116</f>
        <v>0</v>
      </c>
      <c r="I194" s="534">
        <f>SUM(I190:I193)</f>
        <v>0</v>
      </c>
      <c r="J194" s="527">
        <f>SUM(J190:J193)</f>
        <v>0</v>
      </c>
      <c r="K194" s="582">
        <f>SUM(K190:K193)</f>
        <v>0</v>
      </c>
      <c r="L194" s="1188"/>
      <c r="M194" s="57"/>
      <c r="N194" s="57"/>
      <c r="O194" s="57"/>
      <c r="P194" s="57"/>
      <c r="Q194" s="57"/>
      <c r="R194" s="57"/>
      <c r="S194" s="57"/>
      <c r="T194" s="554"/>
      <c r="U194" s="1800" t="str">
        <f>U115</f>
        <v>Sozialabgaben*</v>
      </c>
      <c r="V194" s="1610"/>
      <c r="W194" s="1613">
        <f>AJ36</f>
        <v>0</v>
      </c>
      <c r="X194" s="1614">
        <f>AJ115</f>
        <v>0</v>
      </c>
      <c r="Y194" s="1803" t="str">
        <f>U194</f>
        <v>Sozialabgaben*</v>
      </c>
      <c r="Z194" s="1802"/>
      <c r="AA194" s="1805">
        <f>(AA184+AA186+AA188+AA190)*$AJ$24+AA192*Z192*Basisdaten!$F$35</f>
        <v>0</v>
      </c>
      <c r="AB194" s="1807"/>
      <c r="AC194" s="1804" t="str">
        <f>Y194</f>
        <v>Sozialabgaben*</v>
      </c>
      <c r="AD194" s="1610"/>
      <c r="AE194" s="1374">
        <f>(AE184+AE186+AE188+AE190)*$AJ$24+AE192*AD192*Basisdaten!$F$35</f>
        <v>0</v>
      </c>
      <c r="AF194" s="1807"/>
      <c r="AG194" s="1804" t="str">
        <f>AC194</f>
        <v>Sozialabgaben*</v>
      </c>
      <c r="AH194" s="1610"/>
      <c r="AI194" s="1374">
        <f>(AI184+AI186+AI188+AI190)*$AJ$24+AI192*AH192*Basisdaten!$F$35</f>
        <v>0</v>
      </c>
      <c r="AJ194" s="1866"/>
      <c r="AK194" s="613"/>
      <c r="AL194" s="422"/>
      <c r="BA194" s="1479"/>
      <c r="BB194" s="1479"/>
      <c r="BC194" s="1479"/>
      <c r="BD194" s="1479"/>
      <c r="BE194" s="1479"/>
      <c r="BF194" s="1479"/>
      <c r="BG194" s="1479"/>
      <c r="BH194" s="1479"/>
      <c r="BI194" s="1479"/>
      <c r="BJ194" s="1479"/>
      <c r="BK194" s="1479"/>
      <c r="BL194" s="1479"/>
      <c r="BM194" s="1479"/>
      <c r="BN194" s="1479"/>
      <c r="BO194" s="1479"/>
      <c r="BP194" s="1479"/>
      <c r="BQ194" s="1479"/>
      <c r="BR194" s="1479"/>
      <c r="BS194" s="1479"/>
      <c r="BT194" s="1479"/>
      <c r="BU194" s="1479"/>
      <c r="BV194" s="1479"/>
      <c r="BW194" s="1479"/>
      <c r="BX194" s="1479"/>
      <c r="BY194" s="1479"/>
      <c r="BZ194" s="1479"/>
      <c r="CA194" s="1479"/>
      <c r="CB194" s="1479"/>
      <c r="CC194" s="1479"/>
      <c r="CD194" s="1479"/>
      <c r="CE194" s="1479"/>
      <c r="CF194" s="1479"/>
      <c r="CG194" s="1479"/>
      <c r="CH194" s="1479"/>
      <c r="CI194" s="31"/>
      <c r="CJ194" s="31"/>
      <c r="CK194" s="31"/>
      <c r="CL194" s="31"/>
      <c r="CM194" s="31"/>
      <c r="CN194" s="31"/>
      <c r="CO194" s="31"/>
      <c r="CP194" s="31"/>
      <c r="CQ194" s="31"/>
      <c r="CS194" s="227"/>
      <c r="CU194" s="30" t="str">
        <f>IF(Basisdaten!$B$15=Basisdaten!$D$2,CV194,CW194)</f>
        <v>M-Gehlat net</v>
      </c>
      <c r="CV194" s="522" t="s">
        <v>1066</v>
      </c>
      <c r="CW194" s="522" t="s">
        <v>1068</v>
      </c>
    </row>
    <row r="195" spans="3:101" ht="14.25" customHeight="1" thickTop="1">
      <c r="C195" s="1633" t="str">
        <f t="shared" si="145"/>
        <v>MwSt</v>
      </c>
      <c r="D195" s="1630"/>
      <c r="E195" s="597">
        <f>E117</f>
        <v>6</v>
      </c>
      <c r="F195" s="598" t="str">
        <f t="shared" si="146"/>
        <v>KFZ Kosten / Betriebliche Nutzung</v>
      </c>
      <c r="G195" s="1175"/>
      <c r="H195" s="1176"/>
      <c r="I195" s="2276" t="str">
        <f>IF(C229=1,$CU$165,"")</f>
        <v/>
      </c>
      <c r="J195" s="2277"/>
      <c r="K195" s="2278"/>
      <c r="L195" s="610">
        <f>IFERROR(I229,"undo")</f>
        <v>0</v>
      </c>
      <c r="M195" s="57"/>
      <c r="N195" s="57"/>
      <c r="O195" s="57"/>
      <c r="P195" s="57"/>
      <c r="Q195" s="57"/>
      <c r="R195" s="57"/>
      <c r="S195" s="57"/>
      <c r="T195" s="552"/>
      <c r="U195" s="585" t="s">
        <v>118</v>
      </c>
      <c r="AC195" s="25"/>
      <c r="AD195" s="25"/>
      <c r="AE195" s="25"/>
      <c r="AF195" s="25"/>
      <c r="AG195" s="25"/>
      <c r="AH195" s="25"/>
      <c r="AI195" s="25"/>
      <c r="AJ195" s="1215"/>
      <c r="AK195" s="1142"/>
      <c r="AL195" s="422"/>
      <c r="BA195" s="1479"/>
      <c r="BB195" s="1479"/>
      <c r="BC195" s="1479"/>
      <c r="BD195" s="1479"/>
      <c r="BE195" s="1479"/>
      <c r="BF195" s="1479"/>
      <c r="BG195" s="1479"/>
      <c r="BH195" s="1479"/>
      <c r="BI195" s="1479"/>
      <c r="BJ195" s="1479"/>
      <c r="BK195" s="1479"/>
      <c r="BL195" s="1479"/>
      <c r="BM195" s="1479"/>
      <c r="BN195" s="1479"/>
      <c r="BO195" s="1479"/>
      <c r="BP195" s="1479"/>
      <c r="BQ195" s="1479"/>
      <c r="BR195" s="1479"/>
      <c r="BS195" s="1479"/>
      <c r="BT195" s="1479"/>
      <c r="BU195" s="1479"/>
      <c r="BV195" s="1479"/>
      <c r="BW195" s="1479"/>
      <c r="BX195" s="1479"/>
      <c r="BY195" s="1479"/>
      <c r="BZ195" s="1479"/>
      <c r="CA195" s="1479"/>
      <c r="CB195" s="1479"/>
      <c r="CC195" s="1479"/>
      <c r="CD195" s="1479"/>
      <c r="CE195" s="1479"/>
      <c r="CF195" s="1479"/>
      <c r="CG195" s="1479"/>
      <c r="CH195" s="1479"/>
      <c r="CI195" s="31"/>
      <c r="CJ195" s="31"/>
      <c r="CK195" s="31"/>
      <c r="CL195" s="31"/>
      <c r="CM195" s="31"/>
      <c r="CN195" s="31"/>
      <c r="CO195" s="31"/>
      <c r="CP195" s="31"/>
      <c r="CQ195" s="31"/>
      <c r="CS195" s="227"/>
      <c r="CU195" s="30" t="str">
        <f>IF(Basisdaten!$B$15=Basisdaten!$D$2,CV195,CW195)</f>
        <v>J-Gehalt brut</v>
      </c>
      <c r="CV195" s="522" t="s">
        <v>1067</v>
      </c>
      <c r="CW195" s="522" t="s">
        <v>1069</v>
      </c>
    </row>
    <row r="196" spans="3:101" ht="14.25" customHeight="1">
      <c r="C196" s="1629">
        <f t="shared" si="145"/>
        <v>0.19</v>
      </c>
      <c r="D196" s="1630"/>
      <c r="E196" s="1319">
        <f>IF('2 Umsatz|Sales'!$CT$23=0,0,C196)</f>
        <v>0.19</v>
      </c>
      <c r="F196" s="278" t="str">
        <f t="shared" si="146"/>
        <v>Leasingraten Kfz</v>
      </c>
      <c r="G196" s="1173">
        <f t="shared" ref="G196:G201" si="147">S40</f>
        <v>0</v>
      </c>
      <c r="H196" s="1174">
        <f t="shared" ref="H196:H201" si="148">S118</f>
        <v>0</v>
      </c>
      <c r="I196" s="417"/>
      <c r="J196" s="417"/>
      <c r="K196" s="417"/>
      <c r="L196" s="610">
        <f>IFERROR(J229,"undo")</f>
        <v>0</v>
      </c>
      <c r="M196" s="57"/>
      <c r="N196" s="57"/>
      <c r="O196" s="57"/>
      <c r="P196" s="57"/>
      <c r="Q196" s="57"/>
      <c r="R196" s="57"/>
      <c r="S196" s="57"/>
      <c r="T196" s="554"/>
      <c r="U196" s="585"/>
      <c r="V196" s="585"/>
      <c r="W196" s="1353"/>
      <c r="X196" s="1353"/>
      <c r="Y196" s="1353"/>
      <c r="Z196" s="1353"/>
      <c r="AA196" s="1353"/>
      <c r="AB196" s="1353"/>
      <c r="AC196" s="25"/>
      <c r="AD196" s="25"/>
      <c r="AE196" s="25"/>
      <c r="AF196" s="25"/>
      <c r="AG196" s="25"/>
      <c r="AH196" s="25"/>
      <c r="AI196" s="25"/>
      <c r="AJ196" s="1215"/>
      <c r="AK196" s="1142"/>
      <c r="AL196" s="422"/>
      <c r="BA196" s="1479"/>
      <c r="BB196" s="1479"/>
      <c r="BC196" s="1479"/>
      <c r="BD196" s="1479"/>
      <c r="BE196" s="1479"/>
      <c r="BF196" s="1479"/>
      <c r="BG196" s="1479"/>
      <c r="BH196" s="1479"/>
      <c r="BI196" s="1479"/>
      <c r="BJ196" s="1479"/>
      <c r="BK196" s="1479"/>
      <c r="BL196" s="1479"/>
      <c r="BM196" s="1479"/>
      <c r="BN196" s="1479"/>
      <c r="BO196" s="1479"/>
      <c r="BP196" s="1479"/>
      <c r="BQ196" s="1479"/>
      <c r="BR196" s="1479"/>
      <c r="BS196" s="1479"/>
      <c r="BT196" s="1479"/>
      <c r="BU196" s="1479"/>
      <c r="BV196" s="1479"/>
      <c r="BW196" s="1479"/>
      <c r="BX196" s="1479"/>
      <c r="BY196" s="1479"/>
      <c r="BZ196" s="1479"/>
      <c r="CA196" s="1479"/>
      <c r="CB196" s="1479"/>
      <c r="CC196" s="1479"/>
      <c r="CD196" s="1479"/>
      <c r="CE196" s="1479"/>
      <c r="CF196" s="1479"/>
      <c r="CG196" s="1479"/>
      <c r="CH196" s="1479"/>
      <c r="CI196" s="31"/>
      <c r="CJ196" s="31"/>
      <c r="CK196" s="31"/>
      <c r="CL196" s="31"/>
      <c r="CM196" s="31"/>
      <c r="CN196" s="31"/>
      <c r="CO196" s="31"/>
      <c r="CP196" s="31"/>
      <c r="CQ196" s="31"/>
      <c r="CU196" s="30"/>
    </row>
    <row r="197" spans="3:101" ht="14.25" customHeight="1">
      <c r="C197" s="1629">
        <f t="shared" si="145"/>
        <v>0.19</v>
      </c>
      <c r="D197" s="1630"/>
      <c r="E197" s="1320">
        <f>IF('2 Umsatz|Sales'!$CT$23=0,0,C197)</f>
        <v>0.19</v>
      </c>
      <c r="F197" s="278" t="str">
        <f t="shared" si="146"/>
        <v>Versicherungen/Kfz-Steuer</v>
      </c>
      <c r="G197" s="1173">
        <f t="shared" si="147"/>
        <v>0</v>
      </c>
      <c r="H197" s="1174">
        <f t="shared" si="148"/>
        <v>0</v>
      </c>
      <c r="I197" s="417"/>
      <c r="J197" s="417"/>
      <c r="K197" s="580"/>
      <c r="L197" s="610">
        <f>IFERROR(K229,"undo")</f>
        <v>0</v>
      </c>
      <c r="M197" s="57"/>
      <c r="N197" s="57"/>
      <c r="O197" s="57"/>
      <c r="P197" s="57"/>
      <c r="Q197" s="57"/>
      <c r="R197" s="57"/>
      <c r="S197" s="57"/>
      <c r="T197" s="554"/>
      <c r="U197" s="585"/>
      <c r="V197" s="1354"/>
      <c r="W197" s="1355"/>
      <c r="X197" s="1353"/>
      <c r="Y197" s="1353"/>
      <c r="Z197" s="1353"/>
      <c r="AA197" s="1353"/>
      <c r="AB197" s="1353"/>
      <c r="AC197" s="25"/>
      <c r="AD197" s="25"/>
      <c r="AE197" s="25"/>
      <c r="AF197" s="25"/>
      <c r="AG197" s="25"/>
      <c r="AH197" s="25"/>
      <c r="AI197" s="25"/>
      <c r="AJ197" s="1215"/>
      <c r="AK197" s="1142"/>
      <c r="AL197" s="422"/>
      <c r="BA197" s="1479"/>
      <c r="BB197" s="1479"/>
      <c r="BC197" s="1479"/>
      <c r="BD197" s="1479"/>
      <c r="BE197" s="1479"/>
      <c r="BF197" s="1479"/>
      <c r="BG197" s="1479"/>
      <c r="BH197" s="1479"/>
      <c r="BI197" s="1479"/>
      <c r="BJ197" s="1479"/>
      <c r="BK197" s="1479"/>
      <c r="BL197" s="1479"/>
      <c r="BM197" s="1479"/>
      <c r="BN197" s="1479"/>
      <c r="BO197" s="1479"/>
      <c r="BP197" s="1479"/>
      <c r="BQ197" s="1479"/>
      <c r="BR197" s="1479"/>
      <c r="BS197" s="1479"/>
      <c r="BT197" s="1479"/>
      <c r="BU197" s="1479"/>
      <c r="BV197" s="1479"/>
      <c r="BW197" s="1479"/>
      <c r="BX197" s="1479"/>
      <c r="BY197" s="1479"/>
      <c r="BZ197" s="1479"/>
      <c r="CA197" s="1479"/>
      <c r="CB197" s="1479"/>
      <c r="CC197" s="1479"/>
      <c r="CD197" s="1479"/>
      <c r="CE197" s="1479"/>
      <c r="CF197" s="1479"/>
      <c r="CG197" s="1479"/>
      <c r="CH197" s="1479"/>
      <c r="CI197" s="31"/>
      <c r="CJ197" s="31"/>
      <c r="CK197" s="31"/>
      <c r="CL197" s="31"/>
      <c r="CM197" s="31"/>
      <c r="CN197" s="31"/>
      <c r="CO197" s="31"/>
      <c r="CP197" s="31"/>
      <c r="CQ197" s="31"/>
      <c r="CU197" s="30"/>
    </row>
    <row r="198" spans="3:101" ht="14.25" customHeight="1">
      <c r="C198" s="1629">
        <f t="shared" si="145"/>
        <v>0.19</v>
      </c>
      <c r="D198" s="1630"/>
      <c r="E198" s="1320">
        <f>IF('2 Umsatz|Sales'!$CT$23=0,0,C198)</f>
        <v>0.19</v>
      </c>
      <c r="F198" s="278" t="str">
        <f t="shared" si="146"/>
        <v>Fahrzeugkosten (Tanken und Reparatur)</v>
      </c>
      <c r="G198" s="1173">
        <f t="shared" si="147"/>
        <v>0</v>
      </c>
      <c r="H198" s="1174">
        <f t="shared" si="148"/>
        <v>0</v>
      </c>
      <c r="I198" s="417"/>
      <c r="J198" s="417"/>
      <c r="K198" s="417"/>
      <c r="L198" s="559"/>
      <c r="M198" s="57"/>
      <c r="N198" s="57"/>
      <c r="O198" s="57"/>
      <c r="P198" s="57"/>
      <c r="Q198" s="57"/>
      <c r="R198" s="57"/>
      <c r="S198" s="57"/>
      <c r="T198" s="554"/>
      <c r="U198" s="585"/>
      <c r="V198" s="585"/>
      <c r="W198" s="1356"/>
      <c r="X198" s="1353"/>
      <c r="Y198" s="1353"/>
      <c r="Z198" s="1353"/>
      <c r="AA198" s="1353"/>
      <c r="AB198" s="1353"/>
      <c r="AC198" s="25"/>
      <c r="AD198" s="25"/>
      <c r="AE198" s="25"/>
      <c r="AF198" s="25"/>
      <c r="AG198" s="25"/>
      <c r="AH198" s="25"/>
      <c r="AI198" s="25"/>
      <c r="AJ198" s="1215"/>
      <c r="AK198" s="1142"/>
      <c r="AL198" s="422"/>
      <c r="BA198" s="1479"/>
      <c r="BB198" s="1479"/>
      <c r="BC198" s="1479"/>
      <c r="BD198" s="1479"/>
      <c r="BE198" s="1479"/>
      <c r="BF198" s="1479"/>
      <c r="BG198" s="1479"/>
      <c r="BH198" s="1479"/>
      <c r="BI198" s="1479"/>
      <c r="BJ198" s="1479"/>
      <c r="BK198" s="1479"/>
      <c r="BL198" s="1479"/>
      <c r="BM198" s="1479"/>
      <c r="BN198" s="1479"/>
      <c r="BO198" s="1479"/>
      <c r="BP198" s="1479"/>
      <c r="BQ198" s="1479"/>
      <c r="BR198" s="1479"/>
      <c r="BS198" s="1479"/>
      <c r="BT198" s="1479"/>
      <c r="BU198" s="1479"/>
      <c r="BV198" s="1479"/>
      <c r="BW198" s="1479"/>
      <c r="BX198" s="1479"/>
      <c r="BY198" s="1479"/>
      <c r="BZ198" s="1479"/>
      <c r="CA198" s="1479"/>
      <c r="CB198" s="1479"/>
      <c r="CC198" s="1479"/>
      <c r="CD198" s="1479"/>
      <c r="CE198" s="1479"/>
      <c r="CF198" s="1479"/>
      <c r="CG198" s="1479"/>
      <c r="CH198" s="1479"/>
      <c r="CI198" s="31"/>
      <c r="CJ198" s="31"/>
      <c r="CK198" s="31"/>
      <c r="CL198" s="31"/>
      <c r="CM198" s="31"/>
      <c r="CN198" s="31"/>
      <c r="CO198" s="31"/>
      <c r="CP198" s="31"/>
      <c r="CQ198" s="31"/>
      <c r="CU198" s="30"/>
    </row>
    <row r="199" spans="3:101" ht="14.25" customHeight="1">
      <c r="C199" s="1629">
        <f t="shared" si="145"/>
        <v>0.19</v>
      </c>
      <c r="D199" s="1630"/>
      <c r="E199" s="1320">
        <f>IF('2 Umsatz|Sales'!$CT$23=0,0,C199)</f>
        <v>0.19</v>
      </c>
      <c r="F199" s="278" t="str">
        <f t="shared" si="146"/>
        <v>Abrechenbare Kilometerkosten</v>
      </c>
      <c r="G199" s="1173">
        <f t="shared" si="147"/>
        <v>0</v>
      </c>
      <c r="H199" s="1174">
        <f t="shared" si="148"/>
        <v>0</v>
      </c>
      <c r="I199" s="417"/>
      <c r="J199" s="417"/>
      <c r="K199" s="580"/>
      <c r="L199" s="1188"/>
      <c r="M199" s="57"/>
      <c r="N199" s="57"/>
      <c r="O199" s="57"/>
      <c r="P199" s="57"/>
      <c r="Q199" s="57"/>
      <c r="R199" s="57"/>
      <c r="S199" s="57"/>
      <c r="T199" s="554"/>
      <c r="AC199" s="25"/>
      <c r="AD199" s="25"/>
      <c r="AE199" s="25"/>
      <c r="AF199" s="25"/>
      <c r="AG199" s="25"/>
      <c r="AH199" s="25"/>
      <c r="AI199" s="25"/>
      <c r="AJ199" s="1215"/>
      <c r="AK199" s="1142"/>
      <c r="AL199" s="422"/>
      <c r="BA199" s="1479"/>
      <c r="BB199" s="1479"/>
      <c r="BC199" s="1479"/>
      <c r="BD199" s="1479"/>
      <c r="BE199" s="1479"/>
      <c r="BF199" s="1479"/>
      <c r="BG199" s="1479"/>
      <c r="BH199" s="1479"/>
      <c r="BI199" s="1479"/>
      <c r="BJ199" s="1479"/>
      <c r="BK199" s="1479"/>
      <c r="BL199" s="1479"/>
      <c r="BM199" s="1479"/>
      <c r="BN199" s="1479"/>
      <c r="BO199" s="1479"/>
      <c r="BP199" s="1479"/>
      <c r="BQ199" s="1479"/>
      <c r="BR199" s="1479"/>
      <c r="BS199" s="1479"/>
      <c r="BT199" s="1479"/>
      <c r="BU199" s="1479"/>
      <c r="BV199" s="1479"/>
      <c r="BW199" s="1479"/>
      <c r="BX199" s="1479"/>
      <c r="BY199" s="1479"/>
      <c r="BZ199" s="1479"/>
      <c r="CA199" s="1479"/>
      <c r="CB199" s="1479"/>
      <c r="CC199" s="1479"/>
      <c r="CD199" s="1479"/>
      <c r="CE199" s="1479"/>
      <c r="CF199" s="1479"/>
      <c r="CG199" s="1479"/>
      <c r="CH199" s="1479"/>
      <c r="CI199" s="31"/>
      <c r="CJ199" s="31"/>
      <c r="CK199" s="31"/>
      <c r="CL199" s="31"/>
      <c r="CM199" s="31"/>
      <c r="CN199" s="31"/>
      <c r="CO199" s="31"/>
      <c r="CP199" s="31"/>
      <c r="CQ199" s="31"/>
      <c r="CU199" s="30"/>
    </row>
    <row r="200" spans="3:101" ht="14.25" customHeight="1" thickBot="1">
      <c r="C200" s="1629">
        <f t="shared" si="145"/>
        <v>0.19</v>
      </c>
      <c r="D200" s="1630"/>
      <c r="E200" s="1320">
        <f>IF('2 Umsatz|Sales'!$CT$23=0,0,C200)</f>
        <v>0.19</v>
      </c>
      <c r="F200" s="1218" t="str">
        <f>F122</f>
        <v>Sonstiges</v>
      </c>
      <c r="G200" s="1180">
        <f t="shared" si="147"/>
        <v>0</v>
      </c>
      <c r="H200" s="1181">
        <f t="shared" si="148"/>
        <v>0</v>
      </c>
      <c r="I200" s="521"/>
      <c r="J200" s="521"/>
      <c r="K200" s="581"/>
      <c r="L200" s="1188"/>
      <c r="M200" s="57"/>
      <c r="N200" s="57"/>
      <c r="O200" s="57"/>
      <c r="P200" s="57"/>
      <c r="Q200" s="57"/>
      <c r="R200" s="57"/>
      <c r="S200" s="57"/>
      <c r="T200" s="554"/>
      <c r="AC200" s="25"/>
      <c r="AD200" s="25"/>
      <c r="AE200" s="25"/>
      <c r="AF200" s="25"/>
      <c r="AG200" s="25"/>
      <c r="AH200" s="25"/>
      <c r="AI200" s="25"/>
      <c r="AJ200" s="1215"/>
      <c r="AK200" s="1142"/>
      <c r="AL200" s="422"/>
      <c r="BA200" s="1479"/>
      <c r="BB200" s="1479"/>
      <c r="BC200" s="1479"/>
      <c r="BD200" s="1479"/>
      <c r="BE200" s="1479"/>
      <c r="BF200" s="1479"/>
      <c r="BG200" s="1479"/>
      <c r="BH200" s="1479"/>
      <c r="BI200" s="1479"/>
      <c r="BJ200" s="1479"/>
      <c r="BK200" s="1479"/>
      <c r="BL200" s="1479"/>
      <c r="BM200" s="1479"/>
      <c r="BN200" s="1479"/>
      <c r="BO200" s="1479"/>
      <c r="BP200" s="1479"/>
      <c r="BQ200" s="1479"/>
      <c r="BR200" s="1479"/>
      <c r="BS200" s="1479"/>
      <c r="BT200" s="1479"/>
      <c r="BU200" s="1479"/>
      <c r="BV200" s="1479"/>
      <c r="BW200" s="1479"/>
      <c r="BX200" s="1479"/>
      <c r="BY200" s="1479"/>
      <c r="BZ200" s="1479"/>
      <c r="CA200" s="1479"/>
      <c r="CB200" s="1479"/>
      <c r="CC200" s="1479"/>
      <c r="CD200" s="1479"/>
      <c r="CE200" s="1479"/>
      <c r="CF200" s="1479"/>
      <c r="CG200" s="1479"/>
      <c r="CH200" s="1479"/>
      <c r="CI200" s="31"/>
      <c r="CJ200" s="31"/>
      <c r="CK200" s="31"/>
      <c r="CL200" s="31"/>
      <c r="CM200" s="31"/>
      <c r="CN200" s="31"/>
      <c r="CO200" s="31"/>
      <c r="CP200" s="31"/>
      <c r="CQ200" s="31"/>
      <c r="CS200" s="227"/>
      <c r="CU200" s="30"/>
    </row>
    <row r="201" spans="3:101" ht="14.25" customHeight="1" thickTop="1">
      <c r="C201" s="1631">
        <f t="shared" si="145"/>
        <v>0</v>
      </c>
      <c r="D201" s="1630"/>
      <c r="E201" s="531">
        <f>IF('2 Umsatz|Sales'!$CT$23=0,0,C201)</f>
        <v>0</v>
      </c>
      <c r="F201" s="46" t="str">
        <f t="shared" ref="F201:F207" si="149">F45</f>
        <v>Summe KFZ Kosten / Betriebliche Nutzung</v>
      </c>
      <c r="G201" s="1173">
        <f t="shared" si="147"/>
        <v>0</v>
      </c>
      <c r="H201" s="1174">
        <f t="shared" si="148"/>
        <v>0</v>
      </c>
      <c r="I201" s="534">
        <f>SUM(I196:I200)</f>
        <v>0</v>
      </c>
      <c r="J201" s="527">
        <f>SUM(J196:J200)</f>
        <v>0</v>
      </c>
      <c r="K201" s="582">
        <f>SUM(K196:K200)</f>
        <v>0</v>
      </c>
      <c r="L201" s="1188"/>
      <c r="M201" s="57"/>
      <c r="N201" s="57"/>
      <c r="O201" s="57"/>
      <c r="P201" s="57"/>
      <c r="Q201" s="57"/>
      <c r="R201" s="57"/>
      <c r="S201" s="57"/>
      <c r="T201" s="552"/>
      <c r="U201" s="25"/>
      <c r="V201" s="25"/>
      <c r="W201" s="25"/>
      <c r="X201" s="25"/>
      <c r="Y201" s="25"/>
      <c r="Z201" s="25"/>
      <c r="AA201" s="25"/>
      <c r="AB201" s="25"/>
      <c r="AC201" s="25"/>
      <c r="AD201" s="25"/>
      <c r="AE201" s="25"/>
      <c r="AF201" s="25"/>
      <c r="AG201" s="25"/>
      <c r="AH201" s="25"/>
      <c r="AI201" s="25"/>
      <c r="AJ201" s="1215"/>
      <c r="AK201" s="1142"/>
      <c r="AL201" s="422"/>
      <c r="BA201" s="1479"/>
      <c r="BB201" s="1479"/>
      <c r="BC201" s="1479"/>
      <c r="BD201" s="1479"/>
      <c r="BE201" s="1479"/>
      <c r="BF201" s="1479"/>
      <c r="BG201" s="1479"/>
      <c r="BH201" s="1479"/>
      <c r="BI201" s="1479"/>
      <c r="BJ201" s="1479"/>
      <c r="BK201" s="1479"/>
      <c r="BL201" s="1479"/>
      <c r="BM201" s="1479"/>
      <c r="BN201" s="1479"/>
      <c r="BO201" s="1479"/>
      <c r="BP201" s="1479"/>
      <c r="BQ201" s="1479"/>
      <c r="BR201" s="1479"/>
      <c r="BS201" s="1479"/>
      <c r="BT201" s="1479"/>
      <c r="BU201" s="1479"/>
      <c r="BV201" s="1479"/>
      <c r="BW201" s="1479"/>
      <c r="BX201" s="1479"/>
      <c r="BY201" s="1479"/>
      <c r="BZ201" s="1479"/>
      <c r="CA201" s="1479"/>
      <c r="CB201" s="1479"/>
      <c r="CC201" s="1479"/>
      <c r="CD201" s="1479"/>
      <c r="CE201" s="1479"/>
      <c r="CF201" s="1479"/>
      <c r="CG201" s="1479"/>
      <c r="CH201" s="1479"/>
      <c r="CI201" s="31"/>
      <c r="CJ201" s="31"/>
      <c r="CK201" s="31"/>
      <c r="CL201" s="31"/>
      <c r="CM201" s="31"/>
      <c r="CN201" s="31"/>
      <c r="CO201" s="31"/>
      <c r="CP201" s="31"/>
      <c r="CQ201" s="31"/>
      <c r="CU201" s="30"/>
    </row>
    <row r="202" spans="3:101" ht="14.25" customHeight="1">
      <c r="C202" s="1633" t="str">
        <f t="shared" si="145"/>
        <v>MwSt</v>
      </c>
      <c r="D202" s="1630"/>
      <c r="E202" s="597">
        <f>E124</f>
        <v>7</v>
      </c>
      <c r="F202" s="598" t="str">
        <f t="shared" si="149"/>
        <v>Marketing  u. Werbung</v>
      </c>
      <c r="G202" s="1175"/>
      <c r="H202" s="1176"/>
      <c r="I202" s="2279" t="str">
        <f>IF(E230=1,$CU$165,"")</f>
        <v/>
      </c>
      <c r="J202" s="2280"/>
      <c r="K202" s="2281"/>
      <c r="L202" s="610">
        <f>IFERROR(I230,"undo")</f>
        <v>0</v>
      </c>
      <c r="M202" s="57"/>
      <c r="N202" s="57"/>
      <c r="O202" s="57"/>
      <c r="P202" s="57"/>
      <c r="Q202" s="57"/>
      <c r="R202" s="57"/>
      <c r="S202" s="57"/>
      <c r="T202" s="552"/>
      <c r="U202" s="25"/>
      <c r="V202" s="25"/>
      <c r="W202" s="25"/>
      <c r="X202" s="25"/>
      <c r="Y202" s="25"/>
      <c r="Z202" s="25"/>
      <c r="AA202" s="25"/>
      <c r="AB202" s="25"/>
      <c r="AC202" s="25"/>
      <c r="AD202" s="25"/>
      <c r="AE202" s="25"/>
      <c r="AF202" s="25"/>
      <c r="AG202" s="25"/>
      <c r="AH202" s="25"/>
      <c r="AI202" s="25"/>
      <c r="AJ202" s="1215"/>
      <c r="AK202" s="1142"/>
      <c r="AL202" s="422"/>
      <c r="BA202" s="1479"/>
      <c r="BB202" s="1479"/>
      <c r="BC202" s="1479"/>
      <c r="BD202" s="1479"/>
      <c r="BE202" s="1479"/>
      <c r="BF202" s="1479"/>
      <c r="BG202" s="1479"/>
      <c r="BH202" s="1479"/>
      <c r="BI202" s="1479"/>
      <c r="BJ202" s="1479"/>
      <c r="BK202" s="1479"/>
      <c r="BL202" s="1479"/>
      <c r="BM202" s="1479"/>
      <c r="BN202" s="1479"/>
      <c r="BO202" s="1479"/>
      <c r="BP202" s="1479"/>
      <c r="BQ202" s="1479"/>
      <c r="BR202" s="1479"/>
      <c r="BS202" s="1479"/>
      <c r="BT202" s="1479"/>
      <c r="BU202" s="1479"/>
      <c r="BV202" s="1479"/>
      <c r="BW202" s="1479"/>
      <c r="BX202" s="1479"/>
      <c r="BY202" s="1479"/>
      <c r="BZ202" s="1479"/>
      <c r="CA202" s="1479"/>
      <c r="CB202" s="1479"/>
      <c r="CC202" s="1479"/>
      <c r="CD202" s="1479"/>
      <c r="CE202" s="1479"/>
      <c r="CF202" s="1479"/>
      <c r="CG202" s="1479"/>
      <c r="CH202" s="1479"/>
      <c r="CI202" s="31"/>
      <c r="CJ202" s="31"/>
      <c r="CK202" s="31"/>
      <c r="CL202" s="31"/>
      <c r="CM202" s="31"/>
      <c r="CN202" s="31"/>
      <c r="CO202" s="31"/>
      <c r="CP202" s="31"/>
      <c r="CQ202" s="31"/>
      <c r="CU202" s="30"/>
    </row>
    <row r="203" spans="3:101" ht="14.25" customHeight="1">
      <c r="C203" s="1629">
        <f t="shared" si="145"/>
        <v>0.19</v>
      </c>
      <c r="D203" s="1630"/>
      <c r="E203" s="1319">
        <f>IF('2 Umsatz|Sales'!$CT$23=0,0,C203)</f>
        <v>0.19</v>
      </c>
      <c r="F203" s="278" t="str">
        <f t="shared" si="149"/>
        <v>Marktforschung</v>
      </c>
      <c r="G203" s="1173">
        <f t="shared" ref="G203:G209" si="150">S47</f>
        <v>0</v>
      </c>
      <c r="H203" s="1174">
        <f t="shared" ref="H203:H209" si="151">S125</f>
        <v>0</v>
      </c>
      <c r="I203" s="577"/>
      <c r="J203" s="577"/>
      <c r="K203" s="577"/>
      <c r="L203" s="610">
        <f>IFERROR(J230,"undo")</f>
        <v>0</v>
      </c>
      <c r="M203" s="57"/>
      <c r="N203" s="57"/>
      <c r="O203" s="57"/>
      <c r="P203" s="57"/>
      <c r="Q203" s="57"/>
      <c r="R203" s="57"/>
      <c r="S203" s="57"/>
      <c r="T203" s="554"/>
      <c r="U203" s="25"/>
      <c r="V203" s="25"/>
      <c r="W203" s="25"/>
      <c r="X203" s="25"/>
      <c r="Y203" s="25"/>
      <c r="Z203" s="25"/>
      <c r="AA203" s="25"/>
      <c r="AB203" s="25"/>
      <c r="AC203" s="25"/>
      <c r="AD203" s="25"/>
      <c r="AE203" s="25"/>
      <c r="AF203" s="25"/>
      <c r="AG203" s="25"/>
      <c r="AH203" s="25"/>
      <c r="AI203" s="25"/>
      <c r="AJ203" s="1215"/>
      <c r="AK203" s="1142"/>
      <c r="AL203" s="422"/>
      <c r="BA203" s="1479"/>
      <c r="BB203" s="1479"/>
      <c r="BC203" s="1479"/>
      <c r="BD203" s="1479"/>
      <c r="BE203" s="1479"/>
      <c r="BF203" s="1479"/>
      <c r="BG203" s="1479"/>
      <c r="BH203" s="1479"/>
      <c r="BI203" s="1479"/>
      <c r="BJ203" s="1479"/>
      <c r="BK203" s="1479"/>
      <c r="BL203" s="1479"/>
      <c r="BM203" s="1479"/>
      <c r="BN203" s="1479"/>
      <c r="BO203" s="1479"/>
      <c r="BP203" s="1479"/>
      <c r="BQ203" s="1479"/>
      <c r="BR203" s="1479"/>
      <c r="BS203" s="1479"/>
      <c r="BT203" s="1479"/>
      <c r="BU203" s="1479"/>
      <c r="BV203" s="1479"/>
      <c r="BW203" s="1479"/>
      <c r="BX203" s="1479"/>
      <c r="BY203" s="1479"/>
      <c r="BZ203" s="1479"/>
      <c r="CA203" s="1479"/>
      <c r="CB203" s="1479"/>
      <c r="CC203" s="1479"/>
      <c r="CD203" s="1479"/>
      <c r="CE203" s="1479"/>
      <c r="CF203" s="1479"/>
      <c r="CG203" s="1479"/>
      <c r="CH203" s="1479"/>
      <c r="CI203" s="31"/>
      <c r="CJ203" s="31"/>
      <c r="CK203" s="31"/>
      <c r="CL203" s="31"/>
      <c r="CM203" s="31"/>
      <c r="CN203" s="31"/>
      <c r="CO203" s="31"/>
      <c r="CP203" s="31"/>
      <c r="CQ203" s="31"/>
      <c r="CS203" s="227"/>
      <c r="CU203" s="30"/>
    </row>
    <row r="204" spans="3:101" ht="14.25" customHeight="1">
      <c r="C204" s="1629">
        <f t="shared" si="145"/>
        <v>0.19</v>
      </c>
      <c r="D204" s="1630"/>
      <c r="E204" s="1320">
        <f>IF('2 Umsatz|Sales'!$CT$23=0,0,C204)</f>
        <v>0.19</v>
      </c>
      <c r="F204" s="278" t="str">
        <f t="shared" si="149"/>
        <v>Briefpapier, Visitenkarte, Stempel</v>
      </c>
      <c r="G204" s="1173">
        <f t="shared" si="150"/>
        <v>0</v>
      </c>
      <c r="H204" s="1174">
        <f t="shared" si="151"/>
        <v>0</v>
      </c>
      <c r="I204" s="417"/>
      <c r="J204" s="417"/>
      <c r="K204" s="580"/>
      <c r="L204" s="610">
        <f>IFERROR(K230,"undo")</f>
        <v>0</v>
      </c>
      <c r="M204" s="57"/>
      <c r="N204" s="57"/>
      <c r="O204" s="57"/>
      <c r="P204" s="303"/>
      <c r="Q204" s="57"/>
      <c r="R204" s="57"/>
      <c r="S204" s="57"/>
      <c r="T204" s="554"/>
      <c r="U204" s="25"/>
      <c r="V204" s="25"/>
      <c r="W204" s="25"/>
      <c r="X204" s="25"/>
      <c r="Y204" s="25"/>
      <c r="Z204" s="25"/>
      <c r="AA204" s="25"/>
      <c r="AB204" s="25"/>
      <c r="AC204" s="25"/>
      <c r="AD204" s="25"/>
      <c r="AE204" s="25"/>
      <c r="AF204" s="25"/>
      <c r="AG204" s="25"/>
      <c r="AH204" s="25"/>
      <c r="AI204" s="25"/>
      <c r="AJ204" s="1215"/>
      <c r="AK204" s="1142"/>
      <c r="AL204" s="422"/>
      <c r="BA204" s="1479"/>
      <c r="BB204" s="1479"/>
      <c r="BC204" s="1479"/>
      <c r="BD204" s="1479"/>
      <c r="BE204" s="1479"/>
      <c r="BF204" s="1479"/>
      <c r="BG204" s="1479"/>
      <c r="BH204" s="1479"/>
      <c r="BI204" s="1479"/>
      <c r="BJ204" s="1479"/>
      <c r="BK204" s="1479"/>
      <c r="BL204" s="1479"/>
      <c r="BM204" s="1479"/>
      <c r="BN204" s="1479"/>
      <c r="BO204" s="1479"/>
      <c r="BP204" s="1479"/>
      <c r="BQ204" s="1479"/>
      <c r="BR204" s="1479"/>
      <c r="BS204" s="1479"/>
      <c r="BT204" s="1479"/>
      <c r="BU204" s="1479"/>
      <c r="BV204" s="1479"/>
      <c r="BW204" s="1479"/>
      <c r="BX204" s="1479"/>
      <c r="BY204" s="1479"/>
      <c r="BZ204" s="1479"/>
      <c r="CA204" s="1479"/>
      <c r="CB204" s="1479"/>
      <c r="CC204" s="1479"/>
      <c r="CD204" s="1479"/>
      <c r="CE204" s="1479"/>
      <c r="CF204" s="1479"/>
      <c r="CG204" s="1479"/>
      <c r="CH204" s="1479"/>
      <c r="CI204" s="31"/>
      <c r="CJ204" s="31"/>
      <c r="CK204" s="31"/>
      <c r="CL204" s="31"/>
      <c r="CM204" s="31"/>
      <c r="CN204" s="31"/>
      <c r="CO204" s="31"/>
      <c r="CP204" s="31"/>
      <c r="CQ204" s="31"/>
      <c r="CU204" s="30"/>
    </row>
    <row r="205" spans="3:101" ht="14.25" customHeight="1">
      <c r="C205" s="1629">
        <f t="shared" si="145"/>
        <v>0.19</v>
      </c>
      <c r="D205" s="1630"/>
      <c r="E205" s="1320">
        <f>IF('2 Umsatz|Sales'!$CT$23=0,0,C205)</f>
        <v>0.19</v>
      </c>
      <c r="F205" s="278" t="str">
        <f t="shared" si="149"/>
        <v>Webseite, lfd. Webseitenpflege</v>
      </c>
      <c r="G205" s="1173">
        <f t="shared" si="150"/>
        <v>0</v>
      </c>
      <c r="H205" s="1174">
        <f t="shared" si="151"/>
        <v>0</v>
      </c>
      <c r="I205" s="417"/>
      <c r="J205" s="417"/>
      <c r="K205" s="580"/>
      <c r="L205" s="1188"/>
      <c r="M205" s="57"/>
      <c r="N205" s="57"/>
      <c r="O205" s="57"/>
      <c r="Q205" s="57"/>
      <c r="R205" s="57"/>
      <c r="S205" s="57"/>
      <c r="T205" s="554"/>
      <c r="U205" s="25"/>
      <c r="V205" s="25"/>
      <c r="W205" s="25"/>
      <c r="X205" s="25"/>
      <c r="Y205" s="25"/>
      <c r="Z205" s="25"/>
      <c r="AA205" s="25"/>
      <c r="AB205" s="25"/>
      <c r="AC205" s="25"/>
      <c r="AD205" s="25"/>
      <c r="AE205" s="25"/>
      <c r="AF205" s="25"/>
      <c r="AG205" s="25"/>
      <c r="AH205" s="25"/>
      <c r="AI205" s="25"/>
      <c r="AJ205" s="1215"/>
      <c r="AK205" s="1142"/>
      <c r="AL205" s="422"/>
      <c r="BA205" s="1479"/>
      <c r="BB205" s="1479"/>
      <c r="BC205" s="1479"/>
      <c r="BD205" s="1479"/>
      <c r="BE205" s="1479"/>
      <c r="BF205" s="1479"/>
      <c r="BG205" s="1479"/>
      <c r="BH205" s="1479"/>
      <c r="BI205" s="1479"/>
      <c r="BJ205" s="1479"/>
      <c r="BK205" s="1479"/>
      <c r="BL205" s="1479"/>
      <c r="BM205" s="1479"/>
      <c r="BN205" s="1479"/>
      <c r="BO205" s="1479"/>
      <c r="BP205" s="1479"/>
      <c r="BQ205" s="1479"/>
      <c r="BR205" s="1479"/>
      <c r="BS205" s="1479"/>
      <c r="BT205" s="1479"/>
      <c r="BU205" s="1479"/>
      <c r="BV205" s="1479"/>
      <c r="BW205" s="1479"/>
      <c r="BX205" s="1479"/>
      <c r="BY205" s="1479"/>
      <c r="BZ205" s="1479"/>
      <c r="CA205" s="1479"/>
      <c r="CB205" s="1479"/>
      <c r="CC205" s="1479"/>
      <c r="CD205" s="1479"/>
      <c r="CE205" s="1479"/>
      <c r="CF205" s="1479"/>
      <c r="CG205" s="1479"/>
      <c r="CH205" s="1479"/>
      <c r="CI205" s="31"/>
      <c r="CJ205" s="31"/>
      <c r="CK205" s="31"/>
      <c r="CL205" s="31"/>
      <c r="CM205" s="31"/>
      <c r="CN205" s="31"/>
      <c r="CO205" s="31"/>
      <c r="CP205" s="31"/>
      <c r="CQ205" s="31"/>
      <c r="CU205" s="30"/>
    </row>
    <row r="206" spans="3:101" ht="14.25" customHeight="1">
      <c r="C206" s="1629">
        <f t="shared" si="145"/>
        <v>0.19</v>
      </c>
      <c r="D206" s="1630"/>
      <c r="E206" s="1320">
        <f>IF('2 Umsatz|Sales'!$CT$23=0,0,C206)</f>
        <v>0.19</v>
      </c>
      <c r="F206" s="278" t="str">
        <f t="shared" si="149"/>
        <v>Flyer, Prospekte, Broschüren, Anzeigen</v>
      </c>
      <c r="G206" s="1173">
        <f t="shared" si="150"/>
        <v>0</v>
      </c>
      <c r="H206" s="1174">
        <f t="shared" si="151"/>
        <v>0</v>
      </c>
      <c r="I206" s="417"/>
      <c r="J206" s="417"/>
      <c r="K206" s="580"/>
      <c r="L206" s="1188"/>
      <c r="M206" s="57"/>
      <c r="N206" s="57"/>
      <c r="O206" s="57"/>
      <c r="Q206" s="57"/>
      <c r="R206" s="57"/>
      <c r="S206" s="57"/>
      <c r="T206" s="554"/>
      <c r="U206" s="25"/>
      <c r="V206" s="25"/>
      <c r="W206" s="25"/>
      <c r="X206" s="25"/>
      <c r="Y206" s="25"/>
      <c r="Z206" s="25"/>
      <c r="AA206" s="25"/>
      <c r="AB206" s="25"/>
      <c r="AC206" s="25"/>
      <c r="AD206" s="25"/>
      <c r="AE206" s="25"/>
      <c r="AF206" s="25"/>
      <c r="AG206" s="25"/>
      <c r="AH206" s="25"/>
      <c r="AI206" s="25"/>
      <c r="AJ206" s="1215"/>
      <c r="AK206" s="1142"/>
      <c r="AL206" s="422"/>
      <c r="BA206" s="1479"/>
      <c r="BB206" s="1479"/>
      <c r="BC206" s="1479"/>
      <c r="BD206" s="1479"/>
      <c r="BE206" s="1479"/>
      <c r="BF206" s="1479"/>
      <c r="BG206" s="1479"/>
      <c r="BH206" s="1479"/>
      <c r="BI206" s="1479"/>
      <c r="BJ206" s="1479"/>
      <c r="BK206" s="1479"/>
      <c r="BL206" s="1479"/>
      <c r="BM206" s="1479"/>
      <c r="BN206" s="1479"/>
      <c r="BO206" s="1479"/>
      <c r="BP206" s="1479"/>
      <c r="BQ206" s="1479"/>
      <c r="BR206" s="1479"/>
      <c r="BS206" s="1479"/>
      <c r="BT206" s="1479"/>
      <c r="BU206" s="1479"/>
      <c r="BV206" s="1479"/>
      <c r="BW206" s="1479"/>
      <c r="BX206" s="1479"/>
      <c r="BY206" s="1479"/>
      <c r="BZ206" s="1479"/>
      <c r="CA206" s="1479"/>
      <c r="CB206" s="1479"/>
      <c r="CC206" s="1479"/>
      <c r="CD206" s="1479"/>
      <c r="CE206" s="1479"/>
      <c r="CF206" s="1479"/>
      <c r="CG206" s="1479"/>
      <c r="CH206" s="1479"/>
      <c r="CI206" s="31"/>
      <c r="CJ206" s="31"/>
      <c r="CK206" s="31"/>
      <c r="CL206" s="31"/>
      <c r="CM206" s="31"/>
      <c r="CN206" s="31"/>
      <c r="CO206" s="31"/>
      <c r="CP206" s="31"/>
      <c r="CQ206" s="31"/>
      <c r="CU206" s="30"/>
    </row>
    <row r="207" spans="3:101" ht="14.25" customHeight="1">
      <c r="C207" s="1629">
        <f t="shared" si="145"/>
        <v>0.19</v>
      </c>
      <c r="D207" s="1630"/>
      <c r="E207" s="1320">
        <f>IF('2 Umsatz|Sales'!$CT$23=0,0,C207)</f>
        <v>0.19</v>
      </c>
      <c r="F207" s="278" t="str">
        <f t="shared" si="149"/>
        <v>Bewirtungskosten</v>
      </c>
      <c r="G207" s="1173">
        <f t="shared" si="150"/>
        <v>0</v>
      </c>
      <c r="H207" s="1174">
        <f t="shared" si="151"/>
        <v>0</v>
      </c>
      <c r="I207" s="417"/>
      <c r="J207" s="417"/>
      <c r="K207" s="580"/>
      <c r="L207" s="1188"/>
      <c r="M207" s="57"/>
      <c r="N207" s="57"/>
      <c r="O207" s="57"/>
      <c r="P207" s="57"/>
      <c r="Q207" s="57"/>
      <c r="R207" s="57"/>
      <c r="S207" s="57"/>
      <c r="T207" s="554"/>
      <c r="U207" s="25"/>
      <c r="V207" s="25"/>
      <c r="W207" s="25"/>
      <c r="X207" s="25"/>
      <c r="Y207" s="25"/>
      <c r="Z207" s="25"/>
      <c r="AA207" s="25"/>
      <c r="AB207" s="25"/>
      <c r="AC207" s="25"/>
      <c r="AD207" s="25"/>
      <c r="AE207" s="25"/>
      <c r="AF207" s="25"/>
      <c r="AG207" s="25"/>
      <c r="AH207" s="25"/>
      <c r="AI207" s="25"/>
      <c r="AJ207" s="1215"/>
      <c r="AK207" s="1142"/>
      <c r="AL207" s="422"/>
      <c r="BA207" s="1479"/>
      <c r="BB207" s="1479"/>
      <c r="BC207" s="1479"/>
      <c r="BD207" s="1479"/>
      <c r="BE207" s="1479"/>
      <c r="BF207" s="1479"/>
      <c r="BG207" s="1479"/>
      <c r="BH207" s="1479"/>
      <c r="BI207" s="1479"/>
      <c r="BJ207" s="1479"/>
      <c r="BK207" s="1479"/>
      <c r="BL207" s="1479"/>
      <c r="BM207" s="1479"/>
      <c r="BN207" s="1479"/>
      <c r="BO207" s="1479"/>
      <c r="BP207" s="1479"/>
      <c r="BQ207" s="1479"/>
      <c r="BR207" s="1479"/>
      <c r="BS207" s="1479"/>
      <c r="BT207" s="1479"/>
      <c r="BU207" s="1479"/>
      <c r="BV207" s="1479"/>
      <c r="BW207" s="1479"/>
      <c r="BX207" s="1479"/>
      <c r="BY207" s="1479"/>
      <c r="BZ207" s="1479"/>
      <c r="CA207" s="1479"/>
      <c r="CB207" s="1479"/>
      <c r="CC207" s="1479"/>
      <c r="CD207" s="1479"/>
      <c r="CE207" s="1479"/>
      <c r="CF207" s="1479"/>
      <c r="CG207" s="1479"/>
      <c r="CH207" s="1479"/>
      <c r="CI207" s="31"/>
      <c r="CJ207" s="31"/>
      <c r="CK207" s="31"/>
      <c r="CL207" s="31"/>
      <c r="CM207" s="31"/>
      <c r="CN207" s="31"/>
      <c r="CO207" s="31"/>
      <c r="CP207" s="31"/>
      <c r="CQ207" s="31"/>
      <c r="CU207" s="30"/>
    </row>
    <row r="208" spans="3:101" ht="14.25" customHeight="1" thickBot="1">
      <c r="C208" s="1629">
        <f t="shared" si="145"/>
        <v>0.19</v>
      </c>
      <c r="D208" s="1630"/>
      <c r="E208" s="1320">
        <f>IF('2 Umsatz|Sales'!$CT$23=0,0,C208)</f>
        <v>0.19</v>
      </c>
      <c r="F208" s="1218" t="str">
        <f>F130</f>
        <v>Sonstiges, Messen, ...</v>
      </c>
      <c r="G208" s="1180">
        <f t="shared" si="150"/>
        <v>0</v>
      </c>
      <c r="H208" s="1181">
        <f t="shared" si="151"/>
        <v>0</v>
      </c>
      <c r="I208" s="521"/>
      <c r="J208" s="521"/>
      <c r="K208" s="581"/>
      <c r="L208" s="1188"/>
      <c r="M208" s="57"/>
      <c r="N208" s="57"/>
      <c r="O208" s="57"/>
      <c r="P208" s="57"/>
      <c r="Q208" s="57"/>
      <c r="R208" s="57"/>
      <c r="S208" s="57"/>
      <c r="T208" s="554"/>
      <c r="U208" s="25"/>
      <c r="V208" s="25"/>
      <c r="W208" s="25"/>
      <c r="X208" s="25"/>
      <c r="Y208" s="25"/>
      <c r="Z208" s="25"/>
      <c r="AA208" s="25"/>
      <c r="AB208" s="25"/>
      <c r="AC208" s="25"/>
      <c r="AD208" s="25"/>
      <c r="AE208" s="25"/>
      <c r="AF208" s="25"/>
      <c r="AG208" s="25"/>
      <c r="AH208" s="25"/>
      <c r="AI208" s="25"/>
      <c r="AJ208" s="1215"/>
      <c r="AK208" s="1142"/>
      <c r="AL208" s="422"/>
      <c r="BA208" s="1479"/>
      <c r="BB208" s="1479"/>
      <c r="BC208" s="1479"/>
      <c r="BD208" s="1479"/>
      <c r="BE208" s="1479"/>
      <c r="BF208" s="1479"/>
      <c r="BG208" s="1479"/>
      <c r="BH208" s="1479"/>
      <c r="BI208" s="1479"/>
      <c r="BJ208" s="1479"/>
      <c r="BK208" s="1479"/>
      <c r="BL208" s="1479"/>
      <c r="BM208" s="1479"/>
      <c r="BN208" s="1479"/>
      <c r="BO208" s="1479"/>
      <c r="BP208" s="1479"/>
      <c r="BQ208" s="1479"/>
      <c r="BR208" s="1479"/>
      <c r="BS208" s="1479"/>
      <c r="BT208" s="1479"/>
      <c r="BU208" s="1479"/>
      <c r="BV208" s="1479"/>
      <c r="BW208" s="1479"/>
      <c r="BX208" s="1479"/>
      <c r="BY208" s="1479"/>
      <c r="BZ208" s="1479"/>
      <c r="CA208" s="1479"/>
      <c r="CB208" s="1479"/>
      <c r="CC208" s="1479"/>
      <c r="CD208" s="1479"/>
      <c r="CE208" s="1479"/>
      <c r="CF208" s="1479"/>
      <c r="CG208" s="1479"/>
      <c r="CH208" s="1479"/>
      <c r="CI208" s="31"/>
      <c r="CJ208" s="31"/>
      <c r="CK208" s="31"/>
      <c r="CL208" s="31"/>
      <c r="CM208" s="31"/>
      <c r="CN208" s="31"/>
      <c r="CO208" s="31"/>
      <c r="CP208" s="31"/>
      <c r="CQ208" s="31"/>
      <c r="CU208" s="30"/>
    </row>
    <row r="209" spans="3:115" ht="13.8" customHeight="1" thickTop="1">
      <c r="C209" s="1636">
        <f t="shared" si="145"/>
        <v>0</v>
      </c>
      <c r="D209" s="1630"/>
      <c r="E209" s="531"/>
      <c r="F209" s="46" t="str">
        <f>F53</f>
        <v>Summe Marketing  u. Werbung</v>
      </c>
      <c r="G209" s="1173">
        <f t="shared" si="150"/>
        <v>0</v>
      </c>
      <c r="H209" s="1174">
        <f t="shared" si="151"/>
        <v>0</v>
      </c>
      <c r="I209" s="534">
        <f>SUM(I203:I208)</f>
        <v>0</v>
      </c>
      <c r="J209" s="527">
        <f>SUM(J203:J208)</f>
        <v>0</v>
      </c>
      <c r="K209" s="582">
        <f>SUM(K203:K208)</f>
        <v>0</v>
      </c>
      <c r="L209" s="1188"/>
      <c r="M209" s="57"/>
      <c r="N209" s="57"/>
      <c r="O209" s="57"/>
      <c r="P209" s="57"/>
      <c r="Q209" s="57"/>
      <c r="R209" s="57"/>
      <c r="S209" s="57"/>
      <c r="T209" s="552"/>
      <c r="U209" s="25"/>
      <c r="V209" s="25"/>
      <c r="W209" s="25"/>
      <c r="X209" s="25"/>
      <c r="Y209" s="25"/>
      <c r="Z209" s="25"/>
      <c r="AA209" s="25"/>
      <c r="AB209" s="25"/>
      <c r="AC209" s="25"/>
      <c r="AD209" s="25"/>
      <c r="AE209" s="25"/>
      <c r="AF209" s="25"/>
      <c r="AG209" s="25"/>
      <c r="AH209" s="25"/>
      <c r="AI209" s="25"/>
      <c r="AJ209" s="1215"/>
      <c r="AK209" s="1142"/>
      <c r="AL209" s="422"/>
      <c r="BA209" s="1479"/>
      <c r="BB209" s="1479"/>
      <c r="BC209" s="1479"/>
      <c r="BD209" s="1479"/>
      <c r="BE209" s="1479"/>
      <c r="BF209" s="1479"/>
      <c r="BG209" s="1479"/>
      <c r="BH209" s="1479"/>
      <c r="BI209" s="1479"/>
      <c r="BJ209" s="1479"/>
      <c r="BK209" s="1479"/>
      <c r="BL209" s="1479"/>
      <c r="BM209" s="1479"/>
      <c r="BN209" s="1479"/>
      <c r="BO209" s="1479"/>
      <c r="BP209" s="1479"/>
      <c r="BQ209" s="1479"/>
      <c r="BR209" s="1479"/>
      <c r="BS209" s="1479"/>
      <c r="BT209" s="1479"/>
      <c r="BU209" s="1479"/>
      <c r="BV209" s="1479"/>
      <c r="BW209" s="1479"/>
      <c r="BX209" s="1479"/>
      <c r="BY209" s="1479"/>
      <c r="BZ209" s="1479"/>
      <c r="CA209" s="1479"/>
      <c r="CB209" s="1479"/>
      <c r="CC209" s="1479"/>
      <c r="CD209" s="1479"/>
      <c r="CE209" s="1479"/>
      <c r="CF209" s="1479"/>
      <c r="CG209" s="1479"/>
      <c r="CH209" s="1479"/>
      <c r="CI209" s="31"/>
      <c r="CJ209" s="31"/>
      <c r="CK209" s="31"/>
      <c r="CL209" s="31"/>
      <c r="CM209" s="31"/>
      <c r="CN209" s="31"/>
      <c r="CO209" s="31"/>
      <c r="CP209" s="31"/>
      <c r="CQ209" s="31"/>
      <c r="CS209" s="227"/>
      <c r="CU209" s="30"/>
    </row>
    <row r="210" spans="3:115" ht="14.25" customHeight="1">
      <c r="C210" s="1633" t="str">
        <f t="shared" si="145"/>
        <v>MwSt</v>
      </c>
      <c r="D210" s="1630"/>
      <c r="E210" s="597">
        <v>8</v>
      </c>
      <c r="F210" s="598" t="str">
        <f>F54</f>
        <v>Gründungs-, Rechts- und Beratungskosten</v>
      </c>
      <c r="G210" s="1175"/>
      <c r="H210" s="1176"/>
      <c r="I210" s="2276" t="str">
        <f>IF(C231=1,$CU$165,"")</f>
        <v/>
      </c>
      <c r="J210" s="2277"/>
      <c r="K210" s="2278"/>
      <c r="L210" s="610">
        <f>IFERROR(I231,"undo")</f>
        <v>0</v>
      </c>
      <c r="M210" s="57"/>
      <c r="N210" s="57"/>
      <c r="O210" s="57"/>
      <c r="P210" s="57"/>
      <c r="Q210" s="57"/>
      <c r="R210" s="57"/>
      <c r="S210" s="57"/>
      <c r="T210" s="554"/>
      <c r="U210" s="25"/>
      <c r="V210" s="25"/>
      <c r="W210" s="25"/>
      <c r="X210" s="25"/>
      <c r="Y210" s="25"/>
      <c r="Z210" s="25"/>
      <c r="AA210" s="25"/>
      <c r="AB210" s="25"/>
      <c r="AC210" s="25"/>
      <c r="AD210" s="25"/>
      <c r="AE210" s="25"/>
      <c r="AF210" s="25"/>
      <c r="AG210" s="25"/>
      <c r="AH210" s="25"/>
      <c r="AI210" s="25"/>
      <c r="AJ210" s="1215"/>
      <c r="AK210" s="1142"/>
      <c r="AL210" s="422"/>
      <c r="BA210" s="1479"/>
      <c r="BB210" s="1479"/>
      <c r="BC210" s="1479"/>
      <c r="BD210" s="1479"/>
      <c r="BE210" s="1479"/>
      <c r="BF210" s="1479"/>
      <c r="BG210" s="1479"/>
      <c r="BH210" s="1479"/>
      <c r="BI210" s="1479"/>
      <c r="BJ210" s="1479"/>
      <c r="BK210" s="1479"/>
      <c r="BL210" s="1479"/>
      <c r="BM210" s="1479"/>
      <c r="BN210" s="1479"/>
      <c r="BO210" s="1479"/>
      <c r="BP210" s="1479"/>
      <c r="BQ210" s="1479"/>
      <c r="BR210" s="1479"/>
      <c r="BS210" s="1479"/>
      <c r="BT210" s="1479"/>
      <c r="BU210" s="1479"/>
      <c r="BV210" s="1479"/>
      <c r="BW210" s="1479"/>
      <c r="BX210" s="1479"/>
      <c r="BY210" s="1479"/>
      <c r="BZ210" s="1479"/>
      <c r="CA210" s="1479"/>
      <c r="CB210" s="1479"/>
      <c r="CC210" s="1479"/>
      <c r="CD210" s="1479"/>
      <c r="CE210" s="1479"/>
      <c r="CF210" s="1479"/>
      <c r="CG210" s="1479"/>
      <c r="CH210" s="1479"/>
      <c r="CI210" s="31"/>
      <c r="CJ210" s="31"/>
      <c r="CK210" s="31"/>
      <c r="CL210" s="31"/>
      <c r="CM210" s="31"/>
      <c r="CN210" s="31"/>
      <c r="CO210" s="31"/>
      <c r="CP210" s="31"/>
      <c r="CQ210" s="31"/>
      <c r="CU210" s="30"/>
    </row>
    <row r="211" spans="3:115" ht="14.25" customHeight="1">
      <c r="C211" s="1629">
        <f t="shared" si="145"/>
        <v>0.19</v>
      </c>
      <c r="D211" s="1630"/>
      <c r="E211" s="1319">
        <f>IF('2 Umsatz|Sales'!$CT$23=0,0,C211)</f>
        <v>0.19</v>
      </c>
      <c r="F211" s="278" t="str">
        <f>F55</f>
        <v>Buchhaltung</v>
      </c>
      <c r="G211" s="1173">
        <f>S55</f>
        <v>0</v>
      </c>
      <c r="H211" s="1174">
        <f>S133</f>
        <v>0</v>
      </c>
      <c r="I211" s="417"/>
      <c r="J211" s="417"/>
      <c r="K211" s="417"/>
      <c r="L211" s="610">
        <f>IFERROR(J231,"undo")</f>
        <v>0</v>
      </c>
      <c r="M211" s="57"/>
      <c r="N211" s="57"/>
      <c r="O211" s="57"/>
      <c r="P211" s="57"/>
      <c r="Q211" s="57"/>
      <c r="R211" s="57"/>
      <c r="S211" s="57"/>
      <c r="T211" s="554"/>
      <c r="U211" s="25"/>
      <c r="V211" s="25"/>
      <c r="W211" s="25"/>
      <c r="X211" s="25"/>
      <c r="Y211" s="25"/>
      <c r="Z211" s="25"/>
      <c r="AA211" s="25"/>
      <c r="AB211" s="25"/>
      <c r="AC211" s="25"/>
      <c r="AD211" s="25"/>
      <c r="AE211" s="25"/>
      <c r="AF211" s="25"/>
      <c r="AG211" s="25"/>
      <c r="AH211" s="25"/>
      <c r="AI211" s="25"/>
      <c r="AJ211" s="1215"/>
      <c r="AK211" s="1142"/>
      <c r="AL211" s="422"/>
      <c r="BA211" s="1479"/>
      <c r="BB211" s="1479"/>
      <c r="BC211" s="1479"/>
      <c r="BD211" s="1479"/>
      <c r="BE211" s="1479"/>
      <c r="BF211" s="1479"/>
      <c r="BG211" s="1479"/>
      <c r="BH211" s="1479"/>
      <c r="BI211" s="1479"/>
      <c r="BJ211" s="1479"/>
      <c r="BK211" s="1479"/>
      <c r="BL211" s="1479"/>
      <c r="BM211" s="1479"/>
      <c r="BN211" s="1479"/>
      <c r="BO211" s="1479"/>
      <c r="BP211" s="1479"/>
      <c r="BQ211" s="1479"/>
      <c r="BR211" s="1479"/>
      <c r="BS211" s="1479"/>
      <c r="BT211" s="1479"/>
      <c r="BU211" s="1479"/>
      <c r="BV211" s="1479"/>
      <c r="BW211" s="1479"/>
      <c r="BX211" s="1479"/>
      <c r="BY211" s="1479"/>
      <c r="BZ211" s="1479"/>
      <c r="CA211" s="1479"/>
      <c r="CB211" s="1479"/>
      <c r="CC211" s="1479"/>
      <c r="CD211" s="1479"/>
      <c r="CE211" s="1479"/>
      <c r="CF211" s="1479"/>
      <c r="CG211" s="1479"/>
      <c r="CH211" s="1479"/>
      <c r="CI211" s="31"/>
      <c r="CJ211" s="31"/>
      <c r="CK211" s="31"/>
      <c r="CL211" s="31"/>
      <c r="CM211" s="31"/>
      <c r="CN211" s="31"/>
      <c r="CO211" s="31"/>
      <c r="CP211" s="31"/>
      <c r="CQ211" s="31"/>
      <c r="CU211" s="30"/>
    </row>
    <row r="212" spans="3:115" ht="14.25" customHeight="1">
      <c r="C212" s="1629">
        <f t="shared" si="145"/>
        <v>0.19</v>
      </c>
      <c r="D212" s="1630"/>
      <c r="E212" s="1320">
        <f>IF('2 Umsatz|Sales'!$CT$23=0,0,C212)</f>
        <v>0.19</v>
      </c>
      <c r="F212" s="278" t="str">
        <f>F56</f>
        <v>Steuerberatung, Abschluss, Prüfung</v>
      </c>
      <c r="G212" s="1173">
        <f>S56</f>
        <v>0</v>
      </c>
      <c r="H212" s="1174">
        <f>S134</f>
        <v>0</v>
      </c>
      <c r="I212" s="417"/>
      <c r="J212" s="417"/>
      <c r="K212" s="580"/>
      <c r="L212" s="610">
        <f>IFERROR(K231,"undo")</f>
        <v>0</v>
      </c>
      <c r="M212" s="57"/>
      <c r="N212" s="57"/>
      <c r="O212" s="57"/>
      <c r="P212" s="57"/>
      <c r="Q212" s="57"/>
      <c r="R212" s="57"/>
      <c r="S212" s="57"/>
      <c r="T212" s="554"/>
      <c r="U212" s="25"/>
      <c r="V212" s="25"/>
      <c r="W212" s="25"/>
      <c r="X212" s="25"/>
      <c r="Y212" s="25"/>
      <c r="Z212" s="25"/>
      <c r="AA212" s="25"/>
      <c r="AB212" s="25"/>
      <c r="AC212" s="25"/>
      <c r="AD212" s="25"/>
      <c r="AE212" s="25"/>
      <c r="AF212" s="25"/>
      <c r="AG212" s="25"/>
      <c r="AH212" s="25"/>
      <c r="AI212" s="25"/>
      <c r="AJ212" s="1215"/>
      <c r="AK212" s="1142"/>
      <c r="AL212" s="422"/>
      <c r="BA212" s="1479"/>
      <c r="BB212" s="1479"/>
      <c r="BC212" s="1479"/>
      <c r="BD212" s="1479"/>
      <c r="BE212" s="1479"/>
      <c r="BF212" s="1479"/>
      <c r="BG212" s="1479"/>
      <c r="BH212" s="1479"/>
      <c r="BI212" s="1479"/>
      <c r="BJ212" s="1479"/>
      <c r="BK212" s="1479"/>
      <c r="BL212" s="1479"/>
      <c r="BM212" s="1479"/>
      <c r="BN212" s="1479"/>
      <c r="BO212" s="1479"/>
      <c r="BP212" s="1479"/>
      <c r="BQ212" s="1479"/>
      <c r="BR212" s="1479"/>
      <c r="BS212" s="1479"/>
      <c r="BT212" s="1479"/>
      <c r="BU212" s="1479"/>
      <c r="BV212" s="1479"/>
      <c r="BW212" s="1479"/>
      <c r="BX212" s="1479"/>
      <c r="BY212" s="1479"/>
      <c r="BZ212" s="1479"/>
      <c r="CA212" s="1479"/>
      <c r="CB212" s="1479"/>
      <c r="CC212" s="1479"/>
      <c r="CD212" s="1479"/>
      <c r="CE212" s="1479"/>
      <c r="CF212" s="1479"/>
      <c r="CG212" s="1479"/>
      <c r="CH212" s="1479"/>
      <c r="CI212" s="31"/>
      <c r="CJ212" s="31"/>
      <c r="CK212" s="31"/>
      <c r="CL212" s="31"/>
      <c r="CM212" s="31"/>
      <c r="CN212" s="31"/>
      <c r="CO212" s="31"/>
      <c r="CP212" s="31"/>
      <c r="CQ212" s="31"/>
      <c r="CU212" s="30"/>
    </row>
    <row r="213" spans="3:115" ht="14.25" customHeight="1" thickBot="1">
      <c r="C213" s="1629">
        <f t="shared" si="145"/>
        <v>0.19</v>
      </c>
      <c r="D213" s="1630"/>
      <c r="E213" s="1320">
        <f>IF('2 Umsatz|Sales'!$CT$23=0,0,C213)</f>
        <v>0.19</v>
      </c>
      <c r="F213" s="1218" t="str">
        <f>F135</f>
        <v>Sonstiges</v>
      </c>
      <c r="G213" s="1180">
        <f>S57</f>
        <v>0</v>
      </c>
      <c r="H213" s="1181">
        <f>S135</f>
        <v>0</v>
      </c>
      <c r="I213" s="521"/>
      <c r="J213" s="521"/>
      <c r="K213" s="581"/>
      <c r="L213" s="1188"/>
      <c r="M213" s="57"/>
      <c r="N213" s="57"/>
      <c r="O213" s="57"/>
      <c r="P213" s="57"/>
      <c r="Q213" s="57"/>
      <c r="R213" s="57"/>
      <c r="S213" s="57"/>
      <c r="T213" s="554"/>
      <c r="U213" s="25"/>
      <c r="V213" s="25"/>
      <c r="W213" s="25"/>
      <c r="X213" s="25"/>
      <c r="Y213" s="25"/>
      <c r="Z213" s="25"/>
      <c r="AA213" s="25"/>
      <c r="AB213" s="25"/>
      <c r="AC213" s="25"/>
      <c r="AD213" s="25"/>
      <c r="AE213" s="25"/>
      <c r="AF213" s="25"/>
      <c r="AG213" s="25"/>
      <c r="AH213" s="25"/>
      <c r="AI213" s="25"/>
      <c r="AJ213" s="1215"/>
      <c r="AK213" s="1142"/>
      <c r="AL213" s="422"/>
      <c r="BA213" s="1479"/>
      <c r="BB213" s="1479"/>
      <c r="BC213" s="1479"/>
      <c r="BD213" s="1479"/>
      <c r="BE213" s="1479"/>
      <c r="BF213" s="1479"/>
      <c r="BG213" s="1479"/>
      <c r="BH213" s="1479"/>
      <c r="BI213" s="1479"/>
      <c r="BJ213" s="1479"/>
      <c r="BK213" s="1479"/>
      <c r="BL213" s="1479"/>
      <c r="BM213" s="1479"/>
      <c r="BN213" s="1479"/>
      <c r="BO213" s="1479"/>
      <c r="BP213" s="1479"/>
      <c r="BQ213" s="1479"/>
      <c r="BR213" s="1479"/>
      <c r="BS213" s="1479"/>
      <c r="BT213" s="1479"/>
      <c r="BU213" s="1479"/>
      <c r="BV213" s="1479"/>
      <c r="BW213" s="1479"/>
      <c r="BX213" s="1479"/>
      <c r="BY213" s="1479"/>
      <c r="BZ213" s="1479"/>
      <c r="CA213" s="1479"/>
      <c r="CB213" s="1479"/>
      <c r="CC213" s="1479"/>
      <c r="CD213" s="1479"/>
      <c r="CE213" s="1479"/>
      <c r="CF213" s="1479"/>
      <c r="CG213" s="1479"/>
      <c r="CH213" s="1479"/>
      <c r="CI213" s="31"/>
      <c r="CJ213" s="31"/>
      <c r="CK213" s="31"/>
      <c r="CL213" s="31"/>
      <c r="CM213" s="31"/>
      <c r="CN213" s="31"/>
      <c r="CO213" s="31"/>
      <c r="CP213" s="31"/>
      <c r="CQ213" s="31"/>
      <c r="CS213" s="227"/>
      <c r="CU213" s="30"/>
    </row>
    <row r="214" spans="3:115" ht="14.25" customHeight="1" thickTop="1">
      <c r="C214" s="1636">
        <f t="shared" si="145"/>
        <v>0</v>
      </c>
      <c r="D214" s="1630"/>
      <c r="E214" s="531"/>
      <c r="F214" s="46" t="str">
        <f>F58</f>
        <v>Summe Rechts- und Beratungskosten</v>
      </c>
      <c r="G214" s="1182">
        <f>S58</f>
        <v>0</v>
      </c>
      <c r="H214" s="1183">
        <f>S136</f>
        <v>0</v>
      </c>
      <c r="I214" s="534">
        <f>SUM(I211:I213)</f>
        <v>0</v>
      </c>
      <c r="J214" s="527">
        <f>SUM(J211:J213)</f>
        <v>0</v>
      </c>
      <c r="K214" s="582">
        <f>SUM(K211:K213)</f>
        <v>0</v>
      </c>
      <c r="L214" s="1188"/>
      <c r="M214" s="57"/>
      <c r="N214" s="57"/>
      <c r="O214" s="57"/>
      <c r="P214" s="57"/>
      <c r="Q214" s="57"/>
      <c r="R214" s="57"/>
      <c r="S214" s="57"/>
      <c r="T214" s="554"/>
      <c r="U214" s="25"/>
      <c r="V214" s="25"/>
      <c r="W214" s="25"/>
      <c r="X214" s="25"/>
      <c r="Y214" s="25"/>
      <c r="Z214" s="25"/>
      <c r="AA214" s="25"/>
      <c r="AB214" s="25"/>
      <c r="AC214" s="25"/>
      <c r="AD214" s="25"/>
      <c r="AE214" s="25"/>
      <c r="AF214" s="25"/>
      <c r="AG214" s="25"/>
      <c r="AH214" s="25"/>
      <c r="AI214" s="25"/>
      <c r="AJ214" s="1215"/>
      <c r="AK214" s="1142"/>
      <c r="AL214" s="422"/>
      <c r="BA214" s="1479"/>
      <c r="BB214" s="1479"/>
      <c r="BC214" s="1479"/>
      <c r="BD214" s="1479"/>
      <c r="BE214" s="1479"/>
      <c r="BF214" s="1479"/>
      <c r="BG214" s="1479"/>
      <c r="BH214" s="1479"/>
      <c r="BI214" s="1479"/>
      <c r="BJ214" s="1479"/>
      <c r="BK214" s="1479"/>
      <c r="BL214" s="1479"/>
      <c r="BM214" s="1479"/>
      <c r="BN214" s="1479"/>
      <c r="BO214" s="1479"/>
      <c r="BP214" s="1479"/>
      <c r="BQ214" s="1479"/>
      <c r="BR214" s="1479"/>
      <c r="BS214" s="1479"/>
      <c r="BT214" s="1479"/>
      <c r="BU214" s="1479"/>
      <c r="BV214" s="1479"/>
      <c r="BW214" s="1479"/>
      <c r="BX214" s="1479"/>
      <c r="BY214" s="1479"/>
      <c r="BZ214" s="1479"/>
      <c r="CA214" s="1479"/>
      <c r="CB214" s="1479"/>
      <c r="CC214" s="1479"/>
      <c r="CD214" s="1479"/>
      <c r="CE214" s="1479"/>
      <c r="CF214" s="1479"/>
      <c r="CG214" s="1479"/>
      <c r="CH214" s="1479"/>
      <c r="CI214" s="31"/>
      <c r="CJ214" s="31"/>
      <c r="CK214" s="31"/>
      <c r="CL214" s="31"/>
      <c r="CM214" s="31"/>
      <c r="CN214" s="31"/>
      <c r="CO214" s="31"/>
      <c r="CP214" s="31"/>
      <c r="CQ214" s="31"/>
      <c r="CU214" s="30"/>
    </row>
    <row r="215" spans="3:115" ht="14.25" customHeight="1">
      <c r="C215" s="1632" t="str">
        <f t="shared" si="145"/>
        <v>MwSt</v>
      </c>
      <c r="D215" s="1630"/>
      <c r="E215" s="597">
        <v>9</v>
      </c>
      <c r="F215" s="598" t="str">
        <f>F59</f>
        <v>Verschiedenes</v>
      </c>
      <c r="G215" s="1295"/>
      <c r="H215" s="1296"/>
      <c r="I215" s="2276" t="str">
        <f>IF(C232=1,$CU$165,"")</f>
        <v/>
      </c>
      <c r="J215" s="2277"/>
      <c r="K215" s="2278"/>
      <c r="L215" s="610">
        <f>IFERROR(I232,"undo")</f>
        <v>0</v>
      </c>
      <c r="M215" s="57"/>
      <c r="N215" s="57"/>
      <c r="O215" s="57"/>
      <c r="P215" s="57"/>
      <c r="Q215" s="57"/>
      <c r="R215" s="57"/>
      <c r="S215" s="57"/>
      <c r="T215" s="552"/>
      <c r="U215" s="25"/>
      <c r="V215" s="25"/>
      <c r="W215" s="25"/>
      <c r="X215" s="25"/>
      <c r="Y215" s="25"/>
      <c r="Z215" s="25"/>
      <c r="AA215" s="25"/>
      <c r="AB215" s="25"/>
      <c r="AC215" s="25"/>
      <c r="AD215" s="25"/>
      <c r="AE215" s="25"/>
      <c r="AF215" s="25"/>
      <c r="AG215" s="25"/>
      <c r="AH215" s="25"/>
      <c r="AI215" s="25"/>
      <c r="AJ215" s="1215"/>
      <c r="AK215" s="1142"/>
      <c r="AL215" s="422"/>
      <c r="BA215" s="1479"/>
      <c r="BB215" s="1479"/>
      <c r="BC215" s="1479"/>
      <c r="BD215" s="1479"/>
      <c r="BE215" s="1479"/>
      <c r="BF215" s="1479"/>
      <c r="BG215" s="1479"/>
      <c r="BH215" s="1479"/>
      <c r="BI215" s="1479"/>
      <c r="BJ215" s="1479"/>
      <c r="BK215" s="1479"/>
      <c r="BL215" s="1479"/>
      <c r="BM215" s="1479"/>
      <c r="BN215" s="1479"/>
      <c r="BO215" s="1479"/>
      <c r="BP215" s="1479"/>
      <c r="BQ215" s="1479"/>
      <c r="BR215" s="1479"/>
      <c r="BS215" s="1479"/>
      <c r="BT215" s="1479"/>
      <c r="BU215" s="1479"/>
      <c r="BV215" s="1479"/>
      <c r="BW215" s="1479"/>
      <c r="BX215" s="1479"/>
      <c r="BY215" s="1479"/>
      <c r="BZ215" s="1479"/>
      <c r="CA215" s="1479"/>
      <c r="CB215" s="1479"/>
      <c r="CC215" s="1479"/>
      <c r="CD215" s="1479"/>
      <c r="CE215" s="1479"/>
      <c r="CF215" s="1479"/>
      <c r="CG215" s="1479"/>
      <c r="CH215" s="1479"/>
      <c r="CI215" s="31"/>
      <c r="CJ215" s="31"/>
      <c r="CK215" s="31"/>
      <c r="CL215" s="31"/>
      <c r="CM215" s="31"/>
      <c r="CN215" s="31"/>
      <c r="CO215" s="31"/>
      <c r="CP215" s="31"/>
      <c r="CQ215" s="31"/>
      <c r="CU215" s="30"/>
    </row>
    <row r="216" spans="3:115" ht="14.25" customHeight="1">
      <c r="C216" s="1633">
        <f t="shared" si="145"/>
        <v>0</v>
      </c>
      <c r="D216" s="1630"/>
      <c r="E216" s="1319">
        <f>IF('2 Umsatz|Sales'!$CT$23=0,0,C216)</f>
        <v>0</v>
      </c>
      <c r="F216" s="278" t="str">
        <f>F60</f>
        <v>Finanzaufwand / Zinsen     aus TAB "7 Finanzierung|Financing"</v>
      </c>
      <c r="G216" s="1177">
        <f>S60</f>
        <v>0</v>
      </c>
      <c r="H216" s="1251">
        <f>S138</f>
        <v>0</v>
      </c>
      <c r="I216" s="279">
        <f>'8 Kapital|Capital'!G81</f>
        <v>0</v>
      </c>
      <c r="J216" s="279">
        <f ca="1">'8 Kapital|Capital'!H81</f>
        <v>0</v>
      </c>
      <c r="K216" s="279">
        <f ca="1">'8 Kapital|Capital'!I81</f>
        <v>0</v>
      </c>
      <c r="L216" s="610">
        <f>IFERROR(J232,"undo")</f>
        <v>0</v>
      </c>
      <c r="M216" s="57"/>
      <c r="N216" s="57"/>
      <c r="O216" s="57"/>
      <c r="P216" s="57"/>
      <c r="Q216" s="57"/>
      <c r="R216" s="57"/>
      <c r="S216" s="57"/>
      <c r="T216" s="554"/>
      <c r="U216" s="25"/>
      <c r="V216" s="25"/>
      <c r="W216" s="25"/>
      <c r="X216" s="25"/>
      <c r="Y216" s="25"/>
      <c r="Z216" s="25"/>
      <c r="AA216" s="25"/>
      <c r="AB216" s="25"/>
      <c r="AC216" s="25"/>
      <c r="AD216" s="25"/>
      <c r="AE216" s="25"/>
      <c r="AF216" s="25"/>
      <c r="AG216" s="25"/>
      <c r="AH216" s="25"/>
      <c r="AI216" s="25"/>
      <c r="AJ216" s="1215"/>
      <c r="AK216" s="1142"/>
      <c r="AL216" s="422"/>
      <c r="BA216" s="1479"/>
      <c r="BB216" s="1479"/>
      <c r="BC216" s="1479"/>
      <c r="BD216" s="1479"/>
      <c r="BE216" s="1479"/>
      <c r="BF216" s="1479"/>
      <c r="BG216" s="1479"/>
      <c r="BH216" s="1479"/>
      <c r="BI216" s="1479"/>
      <c r="BJ216" s="1479"/>
      <c r="BK216" s="1479"/>
      <c r="BL216" s="1479"/>
      <c r="BM216" s="1479"/>
      <c r="BN216" s="1479"/>
      <c r="BO216" s="1479"/>
      <c r="BP216" s="1479"/>
      <c r="BQ216" s="1479"/>
      <c r="BR216" s="1479"/>
      <c r="BS216" s="1479"/>
      <c r="BT216" s="1479"/>
      <c r="BU216" s="1479"/>
      <c r="BV216" s="1479"/>
      <c r="BW216" s="1479"/>
      <c r="BX216" s="1479"/>
      <c r="BY216" s="1479"/>
      <c r="BZ216" s="1479"/>
      <c r="CA216" s="1479"/>
      <c r="CB216" s="1479"/>
      <c r="CC216" s="1479"/>
      <c r="CD216" s="1479"/>
      <c r="CE216" s="1479"/>
      <c r="CF216" s="1479"/>
      <c r="CG216" s="1479"/>
      <c r="CH216" s="1479"/>
      <c r="CI216" s="31"/>
      <c r="CJ216" s="31"/>
      <c r="CK216" s="31"/>
      <c r="CL216" s="31"/>
      <c r="CM216" s="31"/>
      <c r="CN216" s="31"/>
      <c r="CO216" s="31"/>
      <c r="CP216" s="31"/>
      <c r="CQ216" s="31"/>
      <c r="CU216" s="30"/>
    </row>
    <row r="217" spans="3:115" ht="14.25" customHeight="1">
      <c r="C217" s="1629">
        <f t="shared" si="145"/>
        <v>0.19</v>
      </c>
      <c r="D217" s="1630"/>
      <c r="E217" s="1320">
        <f>IF('2 Umsatz|Sales'!$CT$23=0,0,C217)</f>
        <v>0.19</v>
      </c>
      <c r="F217" s="278" t="str">
        <f>F61</f>
        <v>Fachliteratur, Bücher</v>
      </c>
      <c r="G217" s="1173">
        <f>S61</f>
        <v>0</v>
      </c>
      <c r="H217" s="1174">
        <f>S139</f>
        <v>0</v>
      </c>
      <c r="I217" s="417"/>
      <c r="J217" s="417"/>
      <c r="K217" s="417"/>
      <c r="L217" s="610">
        <f>IFERROR(K232,"undo")</f>
        <v>0</v>
      </c>
      <c r="M217" s="57"/>
      <c r="N217" s="57"/>
      <c r="O217" s="57"/>
      <c r="P217" s="57"/>
      <c r="Q217" s="57"/>
      <c r="R217" s="57"/>
      <c r="S217" s="57"/>
      <c r="T217" s="554"/>
      <c r="U217" s="25"/>
      <c r="V217" s="25"/>
      <c r="W217" s="25"/>
      <c r="X217" s="25"/>
      <c r="Y217" s="25"/>
      <c r="Z217" s="25"/>
      <c r="AA217" s="25"/>
      <c r="AB217" s="25"/>
      <c r="AC217" s="25"/>
      <c r="AD217" s="25"/>
      <c r="AE217" s="25"/>
      <c r="AF217" s="25"/>
      <c r="AG217" s="25"/>
      <c r="AH217" s="25"/>
      <c r="AI217" s="25"/>
      <c r="AJ217" s="1215"/>
      <c r="AK217" s="1142"/>
      <c r="AL217" s="422"/>
      <c r="BA217" s="1479"/>
      <c r="BB217" s="1479"/>
      <c r="BC217" s="1479"/>
      <c r="BD217" s="1479"/>
      <c r="BE217" s="1479"/>
      <c r="BF217" s="1479"/>
      <c r="BG217" s="1479"/>
      <c r="BH217" s="1479"/>
      <c r="BI217" s="1479"/>
      <c r="BJ217" s="1479"/>
      <c r="BK217" s="1479"/>
      <c r="BL217" s="1479"/>
      <c r="BM217" s="1479"/>
      <c r="BN217" s="1479"/>
      <c r="BO217" s="1479"/>
      <c r="BP217" s="1479"/>
      <c r="BQ217" s="1479"/>
      <c r="BR217" s="1479"/>
      <c r="BS217" s="1479"/>
      <c r="BT217" s="1479"/>
      <c r="BU217" s="1479"/>
      <c r="BV217" s="1479"/>
      <c r="BW217" s="1479"/>
      <c r="BX217" s="1479"/>
      <c r="BY217" s="1479"/>
      <c r="BZ217" s="1479"/>
      <c r="CA217" s="1479"/>
      <c r="CB217" s="1479"/>
      <c r="CC217" s="1479"/>
      <c r="CD217" s="1479"/>
      <c r="CE217" s="1479"/>
      <c r="CF217" s="1479"/>
      <c r="CG217" s="1479"/>
      <c r="CH217" s="1479"/>
      <c r="CI217" s="31"/>
      <c r="CJ217" s="31"/>
      <c r="CK217" s="31"/>
      <c r="CL217" s="31"/>
      <c r="CM217" s="31"/>
      <c r="CN217" s="31"/>
      <c r="CO217" s="31"/>
      <c r="CP217" s="31"/>
      <c r="CQ217" s="31"/>
      <c r="CU217" s="30"/>
    </row>
    <row r="218" spans="3:115" s="54" customFormat="1" ht="14.25" customHeight="1">
      <c r="C218" s="1629">
        <f t="shared" si="145"/>
        <v>0.19</v>
      </c>
      <c r="D218" s="1630"/>
      <c r="E218" s="1320">
        <f>IF('2 Umsatz|Sales'!$CT$23=0,0,C218)</f>
        <v>0.19</v>
      </c>
      <c r="F218" s="278" t="str">
        <f>F62</f>
        <v>Schulungen</v>
      </c>
      <c r="G218" s="1173">
        <f>S62</f>
        <v>0</v>
      </c>
      <c r="H218" s="1174">
        <f>S140</f>
        <v>0</v>
      </c>
      <c r="I218" s="417"/>
      <c r="J218" s="417"/>
      <c r="K218" s="417"/>
      <c r="L218" s="1188"/>
      <c r="M218" s="57"/>
      <c r="N218" s="57"/>
      <c r="O218" s="57"/>
      <c r="P218" s="57"/>
      <c r="Q218" s="57"/>
      <c r="R218" s="57"/>
      <c r="S218" s="57"/>
      <c r="T218" s="554"/>
      <c r="U218" s="25"/>
      <c r="V218" s="25"/>
      <c r="W218" s="53"/>
      <c r="X218" s="53"/>
      <c r="Y218" s="53"/>
      <c r="Z218" s="53"/>
      <c r="AA218" s="53"/>
      <c r="AB218" s="53"/>
      <c r="AC218" s="53"/>
      <c r="AD218" s="53"/>
      <c r="AE218" s="53"/>
      <c r="AF218" s="53"/>
      <c r="AG218" s="53"/>
      <c r="AH218" s="53"/>
      <c r="AI218" s="53"/>
      <c r="AJ218" s="298"/>
      <c r="AK218" s="372"/>
      <c r="AL218" s="422"/>
      <c r="AM218" s="1486"/>
      <c r="AN218" s="1486"/>
      <c r="AO218" s="1486"/>
      <c r="AP218" s="1486"/>
      <c r="AQ218" s="1486"/>
      <c r="AR218" s="1486"/>
      <c r="AS218" s="1486"/>
      <c r="AT218" s="1486"/>
      <c r="AU218" s="1486"/>
      <c r="AV218" s="1486"/>
      <c r="AW218" s="1486"/>
      <c r="AX218" s="1486"/>
      <c r="AY218" s="1486"/>
      <c r="AZ218" s="1486"/>
      <c r="BA218" s="1479"/>
      <c r="BB218" s="1479"/>
      <c r="BC218" s="1479"/>
      <c r="BD218" s="1479"/>
      <c r="BE218" s="1479"/>
      <c r="BF218" s="1479"/>
      <c r="BG218" s="1479"/>
      <c r="BH218" s="1479"/>
      <c r="BI218" s="1479"/>
      <c r="BJ218" s="1479"/>
      <c r="BK218" s="1479"/>
      <c r="BL218" s="1479"/>
      <c r="BM218" s="1479"/>
      <c r="BN218" s="1479"/>
      <c r="BO218" s="1479"/>
      <c r="BP218" s="1479"/>
      <c r="BQ218" s="1479"/>
      <c r="BR218" s="1479"/>
      <c r="BS218" s="1479"/>
      <c r="BT218" s="1479"/>
      <c r="BU218" s="1479"/>
      <c r="BV218" s="1479"/>
      <c r="BW218" s="1479"/>
      <c r="BX218" s="1479"/>
      <c r="BY218" s="1479"/>
      <c r="BZ218" s="1479"/>
      <c r="CA218" s="1479"/>
      <c r="CB218" s="1479"/>
      <c r="CC218" s="1479"/>
      <c r="CD218" s="1479"/>
      <c r="CE218" s="1479"/>
      <c r="CF218" s="1479"/>
      <c r="CG218" s="1479"/>
      <c r="CH218" s="1479"/>
      <c r="CI218" s="31"/>
      <c r="CJ218" s="31"/>
      <c r="CK218" s="31"/>
      <c r="CL218" s="31"/>
      <c r="CM218" s="31"/>
      <c r="CN218" s="31"/>
      <c r="CO218" s="31"/>
      <c r="CP218" s="31"/>
      <c r="CQ218" s="31"/>
      <c r="CS218" s="29"/>
      <c r="CT218" s="29"/>
      <c r="CU218" s="30"/>
      <c r="CV218" s="522"/>
      <c r="CW218" s="522"/>
      <c r="CX218" s="211"/>
      <c r="CY218" s="211"/>
      <c r="CZ218" s="211"/>
      <c r="DA218" s="211"/>
      <c r="DB218" s="211"/>
      <c r="DC218" s="211"/>
      <c r="DD218" s="211"/>
      <c r="DE218" s="211"/>
      <c r="DF218" s="218"/>
      <c r="DG218" s="218"/>
      <c r="DH218" s="218"/>
      <c r="DI218" s="218"/>
      <c r="DJ218" s="218"/>
    </row>
    <row r="219" spans="3:115" s="25" customFormat="1" ht="14.25" customHeight="1" thickBot="1">
      <c r="C219" s="1629">
        <f t="shared" si="145"/>
        <v>0.19</v>
      </c>
      <c r="D219" s="1630"/>
      <c r="E219" s="1320">
        <f>IF('2 Umsatz|Sales'!$CT$23=0,0,C219)</f>
        <v>0.19</v>
      </c>
      <c r="F219" s="1218" t="str">
        <f>F141</f>
        <v>Sonstiges</v>
      </c>
      <c r="G219" s="1180">
        <f>S63</f>
        <v>0</v>
      </c>
      <c r="H219" s="1181">
        <f>S141</f>
        <v>0</v>
      </c>
      <c r="I219" s="521"/>
      <c r="J219" s="521"/>
      <c r="K219" s="581"/>
      <c r="L219" s="1188"/>
      <c r="M219" s="57"/>
      <c r="N219" s="57"/>
      <c r="O219" s="57"/>
      <c r="P219" s="57"/>
      <c r="Q219" s="57"/>
      <c r="R219" s="57"/>
      <c r="S219" s="57"/>
      <c r="T219" s="554"/>
      <c r="AJ219" s="1215"/>
      <c r="AK219" s="1142"/>
      <c r="AL219" s="422"/>
      <c r="AM219" s="42"/>
      <c r="AN219" s="42"/>
      <c r="AO219" s="42"/>
      <c r="AP219" s="42"/>
      <c r="AQ219" s="42"/>
      <c r="AR219" s="42"/>
      <c r="AS219" s="42"/>
      <c r="AT219" s="42"/>
      <c r="AU219" s="42"/>
      <c r="AV219" s="42"/>
      <c r="AW219" s="42"/>
      <c r="AX219" s="42"/>
      <c r="AY219" s="42"/>
      <c r="AZ219" s="42"/>
      <c r="BA219" s="1479"/>
      <c r="BB219" s="1479"/>
      <c r="BC219" s="1479"/>
      <c r="BD219" s="1479"/>
      <c r="BE219" s="1479"/>
      <c r="BF219" s="1479"/>
      <c r="BG219" s="1479"/>
      <c r="BH219" s="1479"/>
      <c r="BI219" s="1479"/>
      <c r="BJ219" s="1479"/>
      <c r="BK219" s="1479"/>
      <c r="BL219" s="1479"/>
      <c r="BM219" s="1479"/>
      <c r="BN219" s="1479"/>
      <c r="BO219" s="1479"/>
      <c r="BP219" s="1479"/>
      <c r="BQ219" s="1479"/>
      <c r="BR219" s="1479"/>
      <c r="BS219" s="1479"/>
      <c r="BT219" s="1479"/>
      <c r="BU219" s="1479"/>
      <c r="BV219" s="1479"/>
      <c r="BW219" s="1479"/>
      <c r="BX219" s="1479"/>
      <c r="BY219" s="1479"/>
      <c r="BZ219" s="1479"/>
      <c r="CA219" s="1479"/>
      <c r="CB219" s="1479"/>
      <c r="CC219" s="1479"/>
      <c r="CD219" s="1479"/>
      <c r="CE219" s="1479"/>
      <c r="CF219" s="1479"/>
      <c r="CG219" s="1479"/>
      <c r="CH219" s="1479"/>
      <c r="CI219" s="31"/>
      <c r="CJ219" s="31"/>
      <c r="CK219" s="31"/>
      <c r="CL219" s="31"/>
      <c r="CM219" s="31"/>
      <c r="CN219" s="31"/>
      <c r="CO219" s="31"/>
      <c r="CP219" s="31"/>
      <c r="CQ219" s="31"/>
      <c r="CS219" s="29"/>
      <c r="CT219" s="29"/>
      <c r="CU219" s="30"/>
      <c r="CV219" s="522"/>
      <c r="CW219" s="522"/>
      <c r="CX219" s="211"/>
      <c r="CY219" s="211"/>
      <c r="CZ219" s="211"/>
      <c r="DA219" s="211"/>
      <c r="DB219" s="211"/>
      <c r="DC219" s="211"/>
      <c r="DD219" s="211"/>
      <c r="DE219" s="211"/>
      <c r="DF219" s="60"/>
      <c r="DG219" s="60"/>
      <c r="DH219" s="60"/>
      <c r="DI219" s="60"/>
      <c r="DJ219" s="60"/>
    </row>
    <row r="220" spans="3:115" s="25" customFormat="1" ht="14.25" customHeight="1" thickTop="1" thickBot="1">
      <c r="C220" s="1637"/>
      <c r="D220" s="1630"/>
      <c r="E220" s="531"/>
      <c r="F220" s="46" t="str">
        <f>F64</f>
        <v>Summe Verschiedenes</v>
      </c>
      <c r="G220" s="1293">
        <f>S64</f>
        <v>0</v>
      </c>
      <c r="H220" s="1294">
        <f>S142</f>
        <v>0</v>
      </c>
      <c r="I220" s="253">
        <f>SUM(I216:I219)</f>
        <v>0</v>
      </c>
      <c r="J220" s="253">
        <f ca="1">SUM(J216:J219)</f>
        <v>0</v>
      </c>
      <c r="K220" s="584">
        <f ca="1">SUM(K216:K219)</f>
        <v>0</v>
      </c>
      <c r="L220" s="1188"/>
      <c r="M220" s="57"/>
      <c r="N220" s="57"/>
      <c r="O220" s="57"/>
      <c r="P220" s="57"/>
      <c r="Q220" s="57"/>
      <c r="R220" s="57"/>
      <c r="S220" s="57"/>
      <c r="T220" s="552"/>
      <c r="AJ220" s="1215"/>
      <c r="AK220" s="1142"/>
      <c r="AL220" s="41"/>
      <c r="AM220" s="42"/>
      <c r="AN220" s="42"/>
      <c r="AO220" s="42"/>
      <c r="AP220" s="42"/>
      <c r="AQ220" s="42"/>
      <c r="AR220" s="42"/>
      <c r="AS220" s="42"/>
      <c r="AT220" s="42"/>
      <c r="AU220" s="42"/>
      <c r="AV220" s="42"/>
      <c r="AW220" s="42"/>
      <c r="AX220" s="42"/>
      <c r="AY220" s="42"/>
      <c r="AZ220" s="42"/>
      <c r="BA220" s="1479"/>
      <c r="BB220" s="1479"/>
      <c r="BC220" s="1479"/>
      <c r="BD220" s="1479"/>
      <c r="BE220" s="1479"/>
      <c r="BF220" s="1479"/>
      <c r="BG220" s="1479"/>
      <c r="BH220" s="1479"/>
      <c r="BI220" s="1479"/>
      <c r="BJ220" s="1479"/>
      <c r="BK220" s="1479"/>
      <c r="BL220" s="1479"/>
      <c r="BM220" s="1479"/>
      <c r="BN220" s="1479"/>
      <c r="BO220" s="1479"/>
      <c r="BP220" s="1479"/>
      <c r="BQ220" s="1479"/>
      <c r="BR220" s="1479"/>
      <c r="BS220" s="1479"/>
      <c r="BT220" s="1479"/>
      <c r="BU220" s="1479"/>
      <c r="BV220" s="1479"/>
      <c r="BW220" s="1479"/>
      <c r="BX220" s="1479"/>
      <c r="BY220" s="1479"/>
      <c r="BZ220" s="1479"/>
      <c r="CA220" s="1479"/>
      <c r="CB220" s="1479"/>
      <c r="CC220" s="1479"/>
      <c r="CD220" s="1479"/>
      <c r="CE220" s="1479"/>
      <c r="CF220" s="1479"/>
      <c r="CG220" s="1479"/>
      <c r="CH220" s="1479"/>
      <c r="CI220" s="31"/>
      <c r="CJ220" s="31"/>
      <c r="CK220" s="31"/>
      <c r="CL220" s="31"/>
      <c r="CM220" s="31"/>
      <c r="CN220" s="31"/>
      <c r="CO220" s="31"/>
      <c r="CP220" s="31"/>
      <c r="CQ220" s="31"/>
      <c r="CS220" s="29"/>
      <c r="CT220" s="29"/>
      <c r="CU220" s="30"/>
      <c r="CV220" s="522"/>
      <c r="CW220" s="522"/>
      <c r="CX220" s="211"/>
      <c r="CY220" s="211"/>
      <c r="CZ220" s="211"/>
      <c r="DA220" s="211"/>
      <c r="DB220" s="211"/>
      <c r="DC220" s="211"/>
      <c r="DD220" s="211"/>
      <c r="DE220" s="211"/>
      <c r="DF220" s="60"/>
      <c r="DG220" s="60"/>
      <c r="DH220" s="60"/>
      <c r="DI220" s="60"/>
      <c r="DJ220" s="60"/>
    </row>
    <row r="221" spans="3:115" s="53" customFormat="1" ht="14.25" customHeight="1" thickTop="1">
      <c r="C221" s="65"/>
      <c r="D221" s="695"/>
      <c r="E221" s="524"/>
      <c r="F221" s="609" t="str">
        <f>F65</f>
        <v>Summe Betriebskosten I</v>
      </c>
      <c r="G221" s="794">
        <f>G220+G214+G209+G201+G194+G188+G182+G178+G167</f>
        <v>0</v>
      </c>
      <c r="H221" s="794">
        <f>H220+H214+H209+H201+H194+H188+H182+H178+H167</f>
        <v>0</v>
      </c>
      <c r="I221" s="794">
        <f ca="1">I220+I214+I209+I201+I194+I188+I182+I178+I167</f>
        <v>0</v>
      </c>
      <c r="J221" s="794">
        <f ca="1">J220+J214+J209+J201+J194+J188+J182+J178+J167</f>
        <v>0</v>
      </c>
      <c r="K221" s="794">
        <f ca="1">K220+K214+K209+K201+K194+K188+K182+K178+K167</f>
        <v>0</v>
      </c>
      <c r="L221" s="1188"/>
      <c r="M221" s="57"/>
      <c r="N221" s="57"/>
      <c r="O221" s="57"/>
      <c r="P221" s="57"/>
      <c r="Q221" s="57"/>
      <c r="R221" s="57"/>
      <c r="S221" s="57"/>
      <c r="T221" s="553"/>
      <c r="U221" s="25"/>
      <c r="V221" s="25"/>
      <c r="AJ221" s="298"/>
      <c r="AK221" s="372"/>
      <c r="AL221" s="42"/>
      <c r="AM221" s="1486"/>
      <c r="AN221" s="1486"/>
      <c r="AO221" s="1486"/>
      <c r="AP221" s="1486"/>
      <c r="AQ221" s="1486"/>
      <c r="AR221" s="1486"/>
      <c r="AS221" s="1486"/>
      <c r="AT221" s="1486"/>
      <c r="AU221" s="1486"/>
      <c r="AV221" s="1486"/>
      <c r="AW221" s="1486"/>
      <c r="AX221" s="1486"/>
      <c r="AY221" s="1486"/>
      <c r="AZ221" s="1486"/>
      <c r="BA221" s="1479"/>
      <c r="BB221" s="1479"/>
      <c r="BC221" s="1479"/>
      <c r="BD221" s="1479"/>
      <c r="BE221" s="1479"/>
      <c r="BF221" s="1479"/>
      <c r="BG221" s="1479"/>
      <c r="BH221" s="1479"/>
      <c r="BI221" s="1479"/>
      <c r="BJ221" s="1479"/>
      <c r="BK221" s="1479"/>
      <c r="BL221" s="1479"/>
      <c r="BM221" s="1479"/>
      <c r="BN221" s="1479"/>
      <c r="BO221" s="1479"/>
      <c r="BP221" s="1479"/>
      <c r="BQ221" s="1479"/>
      <c r="BR221" s="1479"/>
      <c r="BS221" s="1479"/>
      <c r="BT221" s="1479"/>
      <c r="BU221" s="1479"/>
      <c r="BV221" s="1479"/>
      <c r="BW221" s="1479"/>
      <c r="BX221" s="1479"/>
      <c r="BY221" s="1479"/>
      <c r="BZ221" s="1479"/>
      <c r="CA221" s="1479"/>
      <c r="CB221" s="1479"/>
      <c r="CC221" s="1479"/>
      <c r="CD221" s="1479"/>
      <c r="CE221" s="1479"/>
      <c r="CF221" s="1479"/>
      <c r="CG221" s="1479"/>
      <c r="CH221" s="1479"/>
      <c r="CI221" s="31"/>
      <c r="CJ221" s="31"/>
      <c r="CK221" s="31"/>
      <c r="CL221" s="31"/>
      <c r="CM221" s="31"/>
      <c r="CN221" s="31"/>
      <c r="CO221" s="31"/>
      <c r="CP221" s="31"/>
      <c r="CQ221" s="31"/>
      <c r="CS221" s="29"/>
      <c r="CT221" s="29"/>
      <c r="CU221" s="30"/>
      <c r="CV221" s="522"/>
      <c r="CW221" s="522"/>
      <c r="CX221" s="211"/>
      <c r="CY221" s="211"/>
      <c r="CZ221" s="211"/>
      <c r="DA221" s="211"/>
      <c r="DB221" s="211"/>
      <c r="DC221" s="211"/>
      <c r="DD221" s="211"/>
      <c r="DE221" s="211"/>
      <c r="DF221" s="235"/>
      <c r="DG221" s="235"/>
      <c r="DH221" s="235"/>
      <c r="DI221" s="235"/>
      <c r="DJ221" s="235"/>
    </row>
    <row r="222" spans="3:115" s="53" customFormat="1" ht="14.25" customHeight="1" thickBot="1">
      <c r="C222" s="34"/>
      <c r="D222" s="695"/>
      <c r="E222" s="1255"/>
      <c r="F222" s="607" t="str">
        <f>F66</f>
        <v>Abschreibungen aus TAB "4 Invest"</v>
      </c>
      <c r="G222" s="1180">
        <f>S66</f>
        <v>0</v>
      </c>
      <c r="H222" s="1181">
        <f t="shared" ref="H222:H223" si="152">S144</f>
        <v>0</v>
      </c>
      <c r="I222" s="1318">
        <f ca="1">'4 Invest'!I304</f>
        <v>0</v>
      </c>
      <c r="J222" s="1318">
        <f ca="1">'4 Invest'!K304</f>
        <v>0</v>
      </c>
      <c r="K222" s="1318">
        <f ca="1">'4 Invest'!M304</f>
        <v>0</v>
      </c>
      <c r="L222" s="1187"/>
      <c r="M222" s="61"/>
      <c r="N222" s="61"/>
      <c r="O222" s="61"/>
      <c r="P222" s="61"/>
      <c r="Q222" s="61"/>
      <c r="R222" s="61"/>
      <c r="S222" s="57"/>
      <c r="T222" s="552"/>
      <c r="U222" s="25"/>
      <c r="V222" s="25"/>
      <c r="AJ222" s="298"/>
      <c r="AK222" s="372"/>
      <c r="AL222" s="42"/>
      <c r="AM222" s="1486"/>
      <c r="AN222" s="1486"/>
      <c r="AO222" s="1486"/>
      <c r="AP222" s="1486"/>
      <c r="AQ222" s="1486"/>
      <c r="AR222" s="1486"/>
      <c r="AS222" s="1486"/>
      <c r="AT222" s="1486"/>
      <c r="AU222" s="1486"/>
      <c r="AV222" s="1486"/>
      <c r="AW222" s="1486"/>
      <c r="AX222" s="1486"/>
      <c r="AY222" s="1486"/>
      <c r="AZ222" s="1486"/>
      <c r="BA222" s="1479"/>
      <c r="BB222" s="1479"/>
      <c r="BC222" s="1479"/>
      <c r="BD222" s="1479"/>
      <c r="BE222" s="1479"/>
      <c r="BF222" s="1479"/>
      <c r="BG222" s="1479"/>
      <c r="BH222" s="1479"/>
      <c r="BI222" s="1479"/>
      <c r="BJ222" s="1479"/>
      <c r="BK222" s="1479"/>
      <c r="BL222" s="1479"/>
      <c r="BM222" s="1479"/>
      <c r="BN222" s="1479"/>
      <c r="BO222" s="1479"/>
      <c r="BP222" s="1479"/>
      <c r="BQ222" s="1479"/>
      <c r="BR222" s="1479"/>
      <c r="BS222" s="1479"/>
      <c r="BT222" s="1479"/>
      <c r="BU222" s="1479"/>
      <c r="BV222" s="1479"/>
      <c r="BW222" s="1479"/>
      <c r="BX222" s="1479"/>
      <c r="BY222" s="1479"/>
      <c r="BZ222" s="1479"/>
      <c r="CA222" s="1479"/>
      <c r="CB222" s="1479"/>
      <c r="CC222" s="1479"/>
      <c r="CD222" s="1479"/>
      <c r="CE222" s="1479"/>
      <c r="CF222" s="1479"/>
      <c r="CG222" s="1479"/>
      <c r="CH222" s="1479"/>
      <c r="CI222" s="31"/>
      <c r="CJ222" s="31"/>
      <c r="CK222" s="31"/>
      <c r="CL222" s="31"/>
      <c r="CM222" s="31"/>
      <c r="CN222" s="31"/>
      <c r="CO222" s="31"/>
      <c r="CP222" s="31"/>
      <c r="CQ222" s="31"/>
      <c r="CS222" s="29"/>
      <c r="CT222" s="29"/>
      <c r="CU222" s="30"/>
      <c r="CV222" s="522"/>
      <c r="CW222" s="30"/>
      <c r="CX222" s="211"/>
      <c r="CY222" s="211"/>
      <c r="CZ222" s="211"/>
      <c r="DA222" s="211"/>
      <c r="DB222" s="211"/>
      <c r="DC222" s="211"/>
      <c r="DD222" s="211"/>
      <c r="DE222" s="211"/>
      <c r="DF222" s="235"/>
      <c r="DG222" s="235"/>
      <c r="DH222" s="235"/>
      <c r="DI222" s="235"/>
      <c r="DJ222" s="235"/>
    </row>
    <row r="223" spans="3:115" s="53" customFormat="1" ht="14.25" customHeight="1" thickTop="1">
      <c r="C223" s="65"/>
      <c r="D223" s="695"/>
      <c r="E223" s="618"/>
      <c r="F223" s="525" t="str">
        <f>F67</f>
        <v>Summe Betriebskosten II</v>
      </c>
      <c r="G223" s="1378">
        <f>S67</f>
        <v>0</v>
      </c>
      <c r="H223" s="1207">
        <f t="shared" si="152"/>
        <v>0</v>
      </c>
      <c r="I223" s="532">
        <f ca="1">SUM(I221:I222)</f>
        <v>0</v>
      </c>
      <c r="J223" s="532">
        <f ca="1">SUM(J221:J222)</f>
        <v>0</v>
      </c>
      <c r="K223" s="1252">
        <f ca="1">SUM(K221:K222)</f>
        <v>0</v>
      </c>
      <c r="L223" s="1867"/>
      <c r="M223" s="61"/>
      <c r="N223" s="61"/>
      <c r="O223" s="61"/>
      <c r="P223" s="61"/>
      <c r="Q223" s="61"/>
      <c r="R223" s="61"/>
      <c r="S223" s="57"/>
      <c r="T223" s="552"/>
      <c r="U223" s="25"/>
      <c r="V223" s="25"/>
      <c r="AJ223" s="298"/>
      <c r="AK223" s="372"/>
      <c r="AL223" s="42"/>
      <c r="AM223" s="1486"/>
      <c r="AN223" s="1486"/>
      <c r="AO223" s="1486"/>
      <c r="AP223" s="1486"/>
      <c r="AQ223" s="1486"/>
      <c r="AR223" s="1486"/>
      <c r="AS223" s="1486"/>
      <c r="AT223" s="1486"/>
      <c r="AU223" s="1486"/>
      <c r="AV223" s="1486"/>
      <c r="AW223" s="1486"/>
      <c r="AX223" s="1486"/>
      <c r="AY223" s="1486"/>
      <c r="AZ223" s="1486"/>
      <c r="BA223" s="1479"/>
      <c r="BB223" s="1479"/>
      <c r="BC223" s="1479"/>
      <c r="BD223" s="1479"/>
      <c r="BE223" s="1479"/>
      <c r="BF223" s="1479"/>
      <c r="BG223" s="1479"/>
      <c r="BH223" s="1479"/>
      <c r="BI223" s="1479"/>
      <c r="BJ223" s="1479"/>
      <c r="BK223" s="1479"/>
      <c r="BL223" s="1479"/>
      <c r="BM223" s="1479"/>
      <c r="BN223" s="1479"/>
      <c r="BO223" s="1479"/>
      <c r="BP223" s="1479"/>
      <c r="BQ223" s="1479"/>
      <c r="BR223" s="1479"/>
      <c r="BS223" s="1479"/>
      <c r="BT223" s="1479"/>
      <c r="BU223" s="1479"/>
      <c r="BV223" s="1479"/>
      <c r="BW223" s="1479"/>
      <c r="BX223" s="1479"/>
      <c r="BY223" s="1479"/>
      <c r="BZ223" s="1479"/>
      <c r="CA223" s="1479"/>
      <c r="CB223" s="1479"/>
      <c r="CC223" s="1479"/>
      <c r="CD223" s="1479"/>
      <c r="CE223" s="1479"/>
      <c r="CF223" s="1479"/>
      <c r="CG223" s="1479"/>
      <c r="CH223" s="1479"/>
      <c r="CI223" s="31"/>
      <c r="CJ223" s="31"/>
      <c r="CK223" s="31"/>
      <c r="CL223" s="31"/>
      <c r="CM223" s="31"/>
      <c r="CN223" s="31"/>
      <c r="CO223" s="31"/>
      <c r="CP223" s="31"/>
      <c r="CQ223" s="31"/>
      <c r="CS223" s="29"/>
      <c r="CT223" s="29"/>
      <c r="CU223" s="30"/>
      <c r="CV223" s="522"/>
      <c r="CW223" s="30"/>
      <c r="CX223" s="211"/>
      <c r="CY223" s="211"/>
      <c r="CZ223" s="211"/>
      <c r="DA223" s="211"/>
      <c r="DB223" s="211"/>
      <c r="DC223" s="211"/>
      <c r="DD223" s="211"/>
      <c r="DE223" s="211"/>
      <c r="DF223" s="235"/>
      <c r="DG223" s="235"/>
      <c r="DH223" s="235"/>
      <c r="DI223" s="235"/>
      <c r="DJ223" s="235"/>
    </row>
    <row r="224" spans="3:115" ht="14.25" hidden="1" customHeight="1">
      <c r="C224" s="1779">
        <f>IFERROR(L224,1)</f>
        <v>0</v>
      </c>
      <c r="D224" s="1632">
        <f t="shared" ref="D224:E224" si="153">D146</f>
        <v>0</v>
      </c>
      <c r="E224" s="1779">
        <f t="shared" si="153"/>
        <v>1</v>
      </c>
      <c r="F224" s="1783" t="str">
        <f t="shared" ref="F224:F231" si="154">$F$68</f>
        <v>MwSt</v>
      </c>
      <c r="G224" s="1791">
        <f>S68</f>
        <v>0</v>
      </c>
      <c r="H224" s="1791">
        <f t="shared" ref="H224:H232" si="155">S146</f>
        <v>0</v>
      </c>
      <c r="I224" s="255">
        <f>I161*E161+E162*I162+E163*I163+I165*E165+E166*I166</f>
        <v>0</v>
      </c>
      <c r="J224" s="255">
        <f>J161*E161+E162*J162+E163*J163+J165*E165+E166*J166</f>
        <v>0</v>
      </c>
      <c r="K224" s="255">
        <f>K161*E161+E162*K162+E163*K163+K165*E165+E166*K166</f>
        <v>0</v>
      </c>
      <c r="L224" s="1867">
        <f>SUM(I224:K224)</f>
        <v>0</v>
      </c>
      <c r="T224" s="552"/>
      <c r="U224" s="552"/>
      <c r="V224" s="552"/>
      <c r="W224" s="552"/>
      <c r="X224" s="552"/>
      <c r="Y224" s="552"/>
      <c r="Z224" s="552"/>
      <c r="AA224" s="552"/>
      <c r="AB224" s="552"/>
      <c r="AC224" s="552"/>
      <c r="AD224" s="552"/>
      <c r="AE224" s="552"/>
      <c r="AF224" s="552"/>
      <c r="AG224" s="552"/>
      <c r="AH224" s="552"/>
      <c r="AI224" s="552"/>
      <c r="AJ224" s="552"/>
      <c r="AK224" s="552"/>
      <c r="AL224" s="42"/>
      <c r="AM224" s="1482"/>
      <c r="AN224" s="1482"/>
      <c r="AO224" s="1482"/>
      <c r="AP224" s="1482"/>
      <c r="AQ224" s="1482"/>
      <c r="AR224" s="1482"/>
      <c r="AS224" s="1482"/>
      <c r="AT224" s="1482"/>
      <c r="AU224" s="1482"/>
      <c r="AV224" s="1482"/>
      <c r="AW224" s="1482"/>
      <c r="AX224" s="1482"/>
      <c r="AY224" s="1482"/>
      <c r="AZ224" s="1482"/>
      <c r="BA224" s="1483"/>
      <c r="BB224" s="1483"/>
      <c r="BC224" s="1483"/>
      <c r="BD224" s="1483"/>
      <c r="BE224" s="1483"/>
      <c r="BF224" s="1483"/>
      <c r="BG224" s="1483"/>
      <c r="BH224" s="1483"/>
      <c r="BI224" s="1483"/>
      <c r="BJ224" s="1483"/>
      <c r="BK224" s="1483"/>
      <c r="BL224" s="1483"/>
      <c r="BM224" s="1483"/>
      <c r="BN224" s="1483"/>
      <c r="BO224" s="1483"/>
      <c r="BP224" s="1483"/>
      <c r="BQ224" s="1483"/>
      <c r="BR224" s="1483"/>
      <c r="BS224" s="1483"/>
      <c r="BT224" s="1483"/>
      <c r="BU224" s="1483"/>
      <c r="BV224" s="1483"/>
      <c r="BW224" s="1483"/>
      <c r="BX224" s="1483"/>
      <c r="BY224" s="1483"/>
      <c r="BZ224" s="1483"/>
      <c r="CA224" s="1483"/>
      <c r="CB224" s="1483"/>
      <c r="CC224" s="1483"/>
      <c r="CD224" s="1483"/>
      <c r="CE224" s="1483"/>
      <c r="CF224" s="1483"/>
      <c r="CG224" s="1483"/>
      <c r="CH224" s="1483"/>
      <c r="CI224" s="560"/>
      <c r="CJ224" s="560"/>
      <c r="CK224" s="560"/>
      <c r="CL224" s="560"/>
      <c r="CM224" s="560"/>
      <c r="CN224" s="560"/>
      <c r="CO224" s="560"/>
      <c r="CP224" s="560"/>
      <c r="CQ224" s="560"/>
      <c r="CS224" s="233"/>
      <c r="CT224" s="233"/>
      <c r="CU224" s="30" t="str">
        <f>IF(Basisdaten!$B$15=Basisdaten!$D$2,CV224,CW224)</f>
        <v>bitte in Tabelle 4b-1.2 planen</v>
      </c>
      <c r="CV224" s="38" t="s">
        <v>962</v>
      </c>
      <c r="CW224" s="38" t="s">
        <v>963</v>
      </c>
      <c r="DK224" s="52"/>
    </row>
    <row r="225" spans="3:115" ht="14.25" hidden="1" customHeight="1">
      <c r="C225" s="1779">
        <f>IFERROR(L225,1)</f>
        <v>0</v>
      </c>
      <c r="D225" s="1632">
        <f t="shared" ref="D225:E232" si="156">D147</f>
        <v>0</v>
      </c>
      <c r="E225" s="1779">
        <f t="shared" si="156"/>
        <v>2</v>
      </c>
      <c r="F225" s="1783" t="str">
        <f t="shared" si="154"/>
        <v>MwSt</v>
      </c>
      <c r="G225" s="1791">
        <f t="shared" ref="G225:G232" si="157">S69</f>
        <v>0</v>
      </c>
      <c r="H225" s="1791">
        <f t="shared" si="155"/>
        <v>0</v>
      </c>
      <c r="I225" s="761">
        <f>I169*$E$169+I173*$E$173+I174*$E$174+I175*$E$174+I175*$E$175+I176*$E$176+I177*$E$177</f>
        <v>0</v>
      </c>
      <c r="J225" s="761">
        <f t="shared" ref="J225:K225" si="158">J169*$E$169+J173*$E$173+J174*$E$174+J175*$E$174+J175*$E$175+J176*$E$176+J177*$E$177</f>
        <v>0</v>
      </c>
      <c r="K225" s="761">
        <f t="shared" si="158"/>
        <v>0</v>
      </c>
      <c r="L225" s="1867">
        <f t="shared" ref="L225:L232" si="159">SUM(I225:K225)</f>
        <v>0</v>
      </c>
      <c r="T225" s="552"/>
      <c r="U225" s="552"/>
      <c r="V225" s="552"/>
      <c r="W225" s="552"/>
      <c r="X225" s="552"/>
      <c r="Y225" s="552"/>
      <c r="Z225" s="552"/>
      <c r="AA225" s="552"/>
      <c r="AB225" s="552"/>
      <c r="AC225" s="552"/>
      <c r="AD225" s="552"/>
      <c r="AE225" s="552"/>
      <c r="AF225" s="552"/>
      <c r="AG225" s="552"/>
      <c r="AH225" s="552"/>
      <c r="AI225" s="552"/>
      <c r="AJ225" s="552"/>
      <c r="AK225" s="552"/>
      <c r="AL225" s="42"/>
      <c r="AM225" s="1482"/>
      <c r="AN225" s="1482"/>
      <c r="AO225" s="1482"/>
      <c r="AP225" s="1482"/>
      <c r="AQ225" s="1482"/>
      <c r="AR225" s="1482"/>
      <c r="AS225" s="1482"/>
      <c r="AT225" s="1482"/>
      <c r="AU225" s="1482"/>
      <c r="AV225" s="1482"/>
      <c r="AW225" s="1482"/>
      <c r="AX225" s="1482"/>
      <c r="AY225" s="1482"/>
      <c r="AZ225" s="1482"/>
      <c r="BA225" s="1483"/>
      <c r="BB225" s="1483"/>
      <c r="BC225" s="1483"/>
      <c r="BD225" s="1483"/>
      <c r="BE225" s="1483"/>
      <c r="BF225" s="1483"/>
      <c r="BG225" s="1483"/>
      <c r="BH225" s="1483"/>
      <c r="BI225" s="1483"/>
      <c r="BJ225" s="1483"/>
      <c r="BK225" s="1483"/>
      <c r="BL225" s="1483"/>
      <c r="BM225" s="1483"/>
      <c r="BN225" s="1483"/>
      <c r="BO225" s="1483"/>
      <c r="BP225" s="1483"/>
      <c r="BQ225" s="1483"/>
      <c r="BR225" s="1483"/>
      <c r="BS225" s="1483"/>
      <c r="BT225" s="1483"/>
      <c r="BU225" s="1483"/>
      <c r="BV225" s="1483"/>
      <c r="BW225" s="1483"/>
      <c r="BX225" s="1483"/>
      <c r="BY225" s="1483"/>
      <c r="BZ225" s="1483"/>
      <c r="CA225" s="1483"/>
      <c r="CB225" s="1483"/>
      <c r="CC225" s="1483"/>
      <c r="CD225" s="1483"/>
      <c r="CE225" s="1483"/>
      <c r="CF225" s="1483"/>
      <c r="CG225" s="1483"/>
      <c r="CH225" s="1483"/>
      <c r="CI225" s="560"/>
      <c r="CJ225" s="560"/>
      <c r="CK225" s="560"/>
      <c r="CL225" s="560"/>
      <c r="CM225" s="560"/>
      <c r="CN225" s="560"/>
      <c r="CO225" s="560"/>
      <c r="CP225" s="560"/>
      <c r="CQ225" s="560"/>
      <c r="CS225" s="233"/>
      <c r="CT225" s="233"/>
      <c r="CU225" s="30">
        <f>IF(Basisdaten!$B$15=Basisdaten!$D$2,CV225,CW225)</f>
        <v>0</v>
      </c>
      <c r="CV225" s="29"/>
      <c r="CW225" s="29"/>
      <c r="DK225" s="52"/>
    </row>
    <row r="226" spans="3:115" ht="14.25" hidden="1" customHeight="1">
      <c r="C226" s="1779">
        <f>IFERROR(L226,1)</f>
        <v>0</v>
      </c>
      <c r="D226" s="1632">
        <f t="shared" si="156"/>
        <v>0</v>
      </c>
      <c r="E226" s="1779">
        <f t="shared" si="156"/>
        <v>3</v>
      </c>
      <c r="F226" s="1783" t="str">
        <f t="shared" si="154"/>
        <v>MwSt</v>
      </c>
      <c r="G226" s="1791">
        <f t="shared" si="157"/>
        <v>0</v>
      </c>
      <c r="H226" s="1791">
        <f t="shared" si="155"/>
        <v>0</v>
      </c>
      <c r="J226" s="761">
        <f>AE227</f>
        <v>0</v>
      </c>
      <c r="K226" s="761">
        <f>AI227</f>
        <v>0</v>
      </c>
      <c r="L226" s="1867">
        <f t="shared" si="159"/>
        <v>0</v>
      </c>
      <c r="T226" s="552"/>
      <c r="U226" s="552"/>
      <c r="V226" s="552"/>
      <c r="W226" s="552"/>
      <c r="X226" s="552"/>
      <c r="Y226" s="552"/>
      <c r="Z226" s="552"/>
      <c r="AA226" s="552"/>
      <c r="AB226" s="552"/>
      <c r="AC226" s="552"/>
      <c r="AD226" s="552"/>
      <c r="AE226" s="552"/>
      <c r="AF226" s="552"/>
      <c r="AG226" s="552"/>
      <c r="AH226" s="552"/>
      <c r="AI226" s="552"/>
      <c r="AJ226" s="552"/>
      <c r="AK226" s="552"/>
      <c r="AL226" s="42"/>
      <c r="AM226" s="1482"/>
      <c r="AN226" s="1482"/>
      <c r="AO226" s="1482"/>
      <c r="AP226" s="1482"/>
      <c r="AQ226" s="1482"/>
      <c r="AR226" s="1482"/>
      <c r="AS226" s="1482"/>
      <c r="AT226" s="1482"/>
      <c r="AU226" s="1482"/>
      <c r="AV226" s="1482"/>
      <c r="AW226" s="1482"/>
      <c r="AX226" s="1482"/>
      <c r="AY226" s="1482"/>
      <c r="AZ226" s="1482"/>
      <c r="BA226" s="1483"/>
      <c r="BB226" s="1483"/>
      <c r="BC226" s="1483"/>
      <c r="BD226" s="1483"/>
      <c r="BE226" s="1483"/>
      <c r="BF226" s="1483"/>
      <c r="BG226" s="1483"/>
      <c r="BH226" s="1483"/>
      <c r="BI226" s="1483"/>
      <c r="BJ226" s="1483"/>
      <c r="BK226" s="1483"/>
      <c r="BL226" s="1483"/>
      <c r="BM226" s="1483"/>
      <c r="BN226" s="1483"/>
      <c r="BO226" s="1483"/>
      <c r="BP226" s="1483"/>
      <c r="BQ226" s="1483"/>
      <c r="BR226" s="1483"/>
      <c r="BS226" s="1483"/>
      <c r="BT226" s="1483"/>
      <c r="BU226" s="1483"/>
      <c r="BV226" s="1483"/>
      <c r="BW226" s="1483"/>
      <c r="BX226" s="1483"/>
      <c r="BY226" s="1483"/>
      <c r="BZ226" s="1483"/>
      <c r="CA226" s="1483"/>
      <c r="CB226" s="1483"/>
      <c r="CC226" s="1483"/>
      <c r="CD226" s="1483"/>
      <c r="CE226" s="1483"/>
      <c r="CF226" s="1483"/>
      <c r="CG226" s="1483"/>
      <c r="CH226" s="1483"/>
      <c r="CI226" s="560"/>
      <c r="CJ226" s="560"/>
      <c r="CK226" s="560"/>
      <c r="CL226" s="560"/>
      <c r="CM226" s="560"/>
      <c r="CN226" s="560"/>
      <c r="CO226" s="560"/>
      <c r="CP226" s="560"/>
      <c r="CQ226" s="560"/>
      <c r="CS226" s="233"/>
      <c r="CT226" s="233"/>
      <c r="CU226" s="30">
        <f>IF(Basisdaten!$B$15=Basisdaten!$D$2,CV226,CW226)</f>
        <v>0</v>
      </c>
      <c r="CV226" s="29"/>
      <c r="CW226" s="29"/>
      <c r="DK226" s="52"/>
    </row>
    <row r="227" spans="3:115" ht="14.25" hidden="1" customHeight="1">
      <c r="C227" s="1779">
        <f>IFERROR(L227,1)</f>
        <v>0</v>
      </c>
      <c r="D227" s="1632">
        <f t="shared" si="156"/>
        <v>0</v>
      </c>
      <c r="E227" s="1779">
        <f t="shared" si="156"/>
        <v>4</v>
      </c>
      <c r="F227" s="1783" t="str">
        <f t="shared" si="154"/>
        <v>MwSt</v>
      </c>
      <c r="G227" s="1791">
        <f t="shared" si="157"/>
        <v>0</v>
      </c>
      <c r="H227" s="1791">
        <f t="shared" si="155"/>
        <v>0</v>
      </c>
      <c r="I227" s="761">
        <f>I184*$E$184+I185*$E$185+I186*$E$186+I187*$E$187</f>
        <v>0</v>
      </c>
      <c r="J227" s="761">
        <f>J184*$E$184+J185*$E$185+J186*$E$186+J187*$E$187</f>
        <v>0</v>
      </c>
      <c r="K227" s="761">
        <f>K184*$E$184+K185*$E$185+K186*$E$186+K187*$E$187</f>
        <v>0</v>
      </c>
      <c r="L227" s="1867">
        <f>SUM(I227:K227)</f>
        <v>0</v>
      </c>
      <c r="T227" s="552"/>
      <c r="U227" s="1361" t="str">
        <f>U149</f>
        <v>Lohnsteuer</v>
      </c>
      <c r="V227" s="56"/>
      <c r="W227" s="1864">
        <f>AJK71</f>
        <v>0</v>
      </c>
      <c r="X227" s="1864">
        <f>AJ149</f>
        <v>0</v>
      </c>
      <c r="Y227" s="552"/>
      <c r="Z227" s="552"/>
      <c r="AA227" s="1268">
        <f>12*(AB184*Y183+Y185*AB186+Y187*AB188+Y189*AB190)</f>
        <v>0</v>
      </c>
      <c r="AB227" s="552"/>
      <c r="AC227" s="552"/>
      <c r="AD227" s="552"/>
      <c r="AE227" s="1268">
        <f>12*(AF184*AC183+AC185*AF186+AC187*AF188+AC189*AF190)</f>
        <v>0</v>
      </c>
      <c r="AF227" s="552"/>
      <c r="AG227" s="552"/>
      <c r="AH227" s="552"/>
      <c r="AI227" s="1268">
        <f>12*(AJ184*AG183+AG185*AJ186+AG187*AJ188+AG189*AJ190)</f>
        <v>0</v>
      </c>
      <c r="AJ227" s="552"/>
      <c r="AK227" s="613"/>
      <c r="AL227" s="42"/>
      <c r="AM227" s="1482"/>
      <c r="AN227" s="1482"/>
      <c r="AO227" s="1482"/>
      <c r="AP227" s="1482"/>
      <c r="AQ227" s="1482"/>
      <c r="AR227" s="1482"/>
      <c r="AS227" s="1482"/>
      <c r="AT227" s="1482"/>
      <c r="AU227" s="1482"/>
      <c r="AV227" s="1482"/>
      <c r="AW227" s="1482"/>
      <c r="AX227" s="1482"/>
      <c r="AY227" s="1482"/>
      <c r="AZ227" s="1482"/>
      <c r="BA227" s="1483"/>
      <c r="BB227" s="1483"/>
      <c r="BC227" s="1483"/>
      <c r="BD227" s="1483"/>
      <c r="BE227" s="1483"/>
      <c r="BF227" s="1483"/>
      <c r="BG227" s="1483"/>
      <c r="BH227" s="1483"/>
      <c r="BI227" s="1483"/>
      <c r="BJ227" s="1483"/>
      <c r="BK227" s="1483"/>
      <c r="BL227" s="1483"/>
      <c r="BM227" s="1483"/>
      <c r="BN227" s="1483"/>
      <c r="BO227" s="1483"/>
      <c r="BP227" s="1483"/>
      <c r="BQ227" s="1483"/>
      <c r="BR227" s="1483"/>
      <c r="BS227" s="1483"/>
      <c r="BT227" s="1483"/>
      <c r="BU227" s="1483"/>
      <c r="BV227" s="1483"/>
      <c r="BW227" s="1483"/>
      <c r="BX227" s="1483"/>
      <c r="BY227" s="1483"/>
      <c r="BZ227" s="1483"/>
      <c r="CA227" s="1483"/>
      <c r="CB227" s="1483"/>
      <c r="CC227" s="1483"/>
      <c r="CD227" s="1483"/>
      <c r="CE227" s="1483"/>
      <c r="CF227" s="1483"/>
      <c r="CG227" s="1483"/>
      <c r="CH227" s="1483"/>
      <c r="CI227" s="560"/>
      <c r="CJ227" s="560"/>
      <c r="CK227" s="560"/>
      <c r="CL227" s="560"/>
      <c r="CM227" s="560"/>
      <c r="CN227" s="560"/>
      <c r="CO227" s="560"/>
      <c r="CP227" s="560"/>
      <c r="CQ227" s="560"/>
      <c r="CS227" s="233"/>
      <c r="CT227" s="233"/>
      <c r="CU227" s="30"/>
      <c r="CV227" s="523"/>
      <c r="CW227" s="523"/>
      <c r="DK227" s="52"/>
    </row>
    <row r="228" spans="3:115" ht="14.25" hidden="1" customHeight="1">
      <c r="C228" s="1779">
        <f t="shared" ref="C228:C231" si="160">IFERROR(L228,1)</f>
        <v>0</v>
      </c>
      <c r="D228" s="1632">
        <f t="shared" si="156"/>
        <v>0</v>
      </c>
      <c r="E228" s="1779">
        <f t="shared" si="156"/>
        <v>5</v>
      </c>
      <c r="F228" s="1783" t="str">
        <f t="shared" si="154"/>
        <v>MwSt</v>
      </c>
      <c r="G228" s="1791">
        <f t="shared" si="157"/>
        <v>0</v>
      </c>
      <c r="H228" s="1791">
        <f t="shared" si="155"/>
        <v>0</v>
      </c>
      <c r="I228" s="761">
        <f>$E$190*I190+$E$191*I191+$E$192*I192+$E$193*I193</f>
        <v>0</v>
      </c>
      <c r="J228" s="761">
        <f>IF(J$158=Basisdaten!$Q$16,J190*$E190+J191*$E192+J192*$E191+J193*$E193,0)</f>
        <v>0</v>
      </c>
      <c r="K228" s="761">
        <f>IF(K$158=Basisdaten!$Q$16,K190*$E190+K191*$E192+K192*$E191+K193*$E193,0)</f>
        <v>0</v>
      </c>
      <c r="L228" s="1867">
        <f t="shared" si="159"/>
        <v>0</v>
      </c>
      <c r="T228" s="552"/>
      <c r="U228" s="552"/>
      <c r="V228" s="552"/>
      <c r="W228" s="552"/>
      <c r="X228" s="552"/>
      <c r="Y228" s="552"/>
      <c r="Z228" s="552"/>
      <c r="AA228" s="552"/>
      <c r="AB228" s="552"/>
      <c r="AC228" s="552"/>
      <c r="AD228" s="552"/>
      <c r="AE228" s="552"/>
      <c r="AF228" s="552"/>
      <c r="AG228" s="552"/>
      <c r="AH228" s="552"/>
      <c r="AI228" s="552"/>
      <c r="AJ228" s="552"/>
      <c r="AK228" s="613"/>
      <c r="AL228" s="42"/>
      <c r="AM228" s="1482"/>
      <c r="AN228" s="1482"/>
      <c r="AO228" s="1482"/>
      <c r="AP228" s="1482"/>
      <c r="AQ228" s="1482"/>
      <c r="AR228" s="1482"/>
      <c r="AS228" s="1482"/>
      <c r="AT228" s="1482"/>
      <c r="AU228" s="1482"/>
      <c r="AV228" s="1482"/>
      <c r="AW228" s="1482"/>
      <c r="AX228" s="1482"/>
      <c r="AY228" s="1482"/>
      <c r="AZ228" s="1482"/>
      <c r="BA228" s="1483"/>
      <c r="BB228" s="1483"/>
      <c r="BC228" s="1483"/>
      <c r="BD228" s="1483"/>
      <c r="BE228" s="1483"/>
      <c r="BF228" s="1483"/>
      <c r="BG228" s="1483"/>
      <c r="BH228" s="1483"/>
      <c r="BI228" s="1483"/>
      <c r="BJ228" s="1483"/>
      <c r="BK228" s="1483"/>
      <c r="BL228" s="1483"/>
      <c r="BM228" s="1483"/>
      <c r="BN228" s="1483"/>
      <c r="BO228" s="1483"/>
      <c r="BP228" s="1483"/>
      <c r="BQ228" s="1483"/>
      <c r="BR228" s="1483"/>
      <c r="BS228" s="1483"/>
      <c r="BT228" s="1483"/>
      <c r="BU228" s="1483"/>
      <c r="BV228" s="1483"/>
      <c r="BW228" s="1483"/>
      <c r="BX228" s="1483"/>
      <c r="BY228" s="1483"/>
      <c r="BZ228" s="1483"/>
      <c r="CA228" s="1483"/>
      <c r="CB228" s="1483"/>
      <c r="CC228" s="1483"/>
      <c r="CD228" s="1483"/>
      <c r="CE228" s="1483"/>
      <c r="CF228" s="1483"/>
      <c r="CG228" s="1483"/>
      <c r="CH228" s="1483"/>
      <c r="CI228" s="560"/>
      <c r="CJ228" s="560"/>
      <c r="CK228" s="560"/>
      <c r="CL228" s="560"/>
      <c r="CM228" s="560"/>
      <c r="CN228" s="560"/>
      <c r="CO228" s="560"/>
      <c r="CP228" s="560"/>
      <c r="CQ228" s="560"/>
      <c r="CS228" s="233"/>
      <c r="CT228" s="233"/>
      <c r="CU228" s="30"/>
      <c r="CV228" s="523"/>
      <c r="CW228" s="523"/>
      <c r="DK228" s="52"/>
    </row>
    <row r="229" spans="3:115" ht="14.25" hidden="1" customHeight="1">
      <c r="C229" s="1779">
        <f t="shared" si="160"/>
        <v>0</v>
      </c>
      <c r="D229" s="1632">
        <f t="shared" si="156"/>
        <v>0</v>
      </c>
      <c r="E229" s="1779">
        <f t="shared" si="156"/>
        <v>6</v>
      </c>
      <c r="F229" s="1783" t="str">
        <f t="shared" si="154"/>
        <v>MwSt</v>
      </c>
      <c r="G229" s="1791">
        <f t="shared" si="157"/>
        <v>0</v>
      </c>
      <c r="H229" s="1791">
        <f t="shared" si="155"/>
        <v>0</v>
      </c>
      <c r="I229" s="761">
        <f>I196*$E$196+I197*$E$197+I198*$E$198+I199*$E$199+I200*$E$200</f>
        <v>0</v>
      </c>
      <c r="J229" s="761">
        <f t="shared" ref="J229:K229" si="161">J196*$E$196+J197*$E$197+J198*$E$198+J199*$E$199+J200*$E$200</f>
        <v>0</v>
      </c>
      <c r="K229" s="761">
        <f t="shared" si="161"/>
        <v>0</v>
      </c>
      <c r="L229" s="1867">
        <f>SUM(I229:K229)</f>
        <v>0</v>
      </c>
      <c r="T229" s="552"/>
      <c r="U229" s="56"/>
      <c r="V229" s="56"/>
      <c r="X229" s="592"/>
      <c r="Y229" s="613"/>
      <c r="Z229" s="613"/>
      <c r="AB229" s="592"/>
      <c r="AC229" s="592"/>
      <c r="AD229" s="592"/>
      <c r="AE229" s="592"/>
      <c r="AF229" s="552"/>
      <c r="AG229" s="552"/>
      <c r="AH229" s="552"/>
      <c r="AI229" s="552"/>
      <c r="AJ229" s="552"/>
      <c r="AK229" s="613"/>
      <c r="AL229" s="42"/>
      <c r="AM229" s="1482"/>
      <c r="AN229" s="1482"/>
      <c r="AO229" s="1482"/>
      <c r="AP229" s="1482"/>
      <c r="AQ229" s="1482"/>
      <c r="AR229" s="1482"/>
      <c r="AS229" s="1482"/>
      <c r="AT229" s="1482"/>
      <c r="AU229" s="1482"/>
      <c r="AV229" s="1482"/>
      <c r="AW229" s="1482"/>
      <c r="AX229" s="1482"/>
      <c r="AY229" s="1482"/>
      <c r="AZ229" s="1482"/>
      <c r="BA229" s="1483"/>
      <c r="BB229" s="1483"/>
      <c r="BC229" s="1483"/>
      <c r="BD229" s="1483"/>
      <c r="BE229" s="1483"/>
      <c r="BF229" s="1483"/>
      <c r="BG229" s="1483"/>
      <c r="BH229" s="1483"/>
      <c r="BI229" s="1483"/>
      <c r="BJ229" s="1483"/>
      <c r="BK229" s="1483"/>
      <c r="BL229" s="1483"/>
      <c r="BM229" s="1483"/>
      <c r="BN229" s="1483"/>
      <c r="BO229" s="1483"/>
      <c r="BP229" s="1483"/>
      <c r="BQ229" s="1483"/>
      <c r="BR229" s="1483"/>
      <c r="BS229" s="1483"/>
      <c r="BT229" s="1483"/>
      <c r="BU229" s="1483"/>
      <c r="BV229" s="1483"/>
      <c r="BW229" s="1483"/>
      <c r="BX229" s="1483"/>
      <c r="BY229" s="1483"/>
      <c r="BZ229" s="1483"/>
      <c r="CA229" s="1483"/>
      <c r="CB229" s="1483"/>
      <c r="CC229" s="1483"/>
      <c r="CD229" s="1483"/>
      <c r="CE229" s="1483"/>
      <c r="CF229" s="1483"/>
      <c r="CG229" s="1483"/>
      <c r="CH229" s="1483"/>
      <c r="CI229" s="560"/>
      <c r="CJ229" s="560"/>
      <c r="CK229" s="560"/>
      <c r="CL229" s="560"/>
      <c r="CM229" s="560"/>
      <c r="CN229" s="560"/>
      <c r="CO229" s="560"/>
      <c r="CP229" s="560"/>
      <c r="CQ229" s="560"/>
      <c r="CS229" s="233"/>
      <c r="CT229" s="233"/>
      <c r="CU229" s="30"/>
      <c r="CV229" s="523"/>
      <c r="CW229" s="523"/>
      <c r="DK229" s="52"/>
    </row>
    <row r="230" spans="3:115" ht="14.25" hidden="1" customHeight="1">
      <c r="C230" s="1779">
        <f t="shared" si="160"/>
        <v>0</v>
      </c>
      <c r="D230" s="1632">
        <f t="shared" si="156"/>
        <v>0</v>
      </c>
      <c r="E230" s="1779">
        <f t="shared" si="156"/>
        <v>7</v>
      </c>
      <c r="F230" s="1783" t="str">
        <f t="shared" si="154"/>
        <v>MwSt</v>
      </c>
      <c r="G230" s="1791">
        <f t="shared" si="157"/>
        <v>0</v>
      </c>
      <c r="H230" s="1791">
        <f t="shared" si="155"/>
        <v>0</v>
      </c>
      <c r="I230" s="761">
        <f>IF($I$158=Basisdaten!$Q$16,I204*$E204+I205*$E205+I206*$E206+I207*$E207+I208*$E208+I203*$E203,0)</f>
        <v>0</v>
      </c>
      <c r="J230" s="761">
        <f>IF($I$158=Basisdaten!$Q$16,J204*$E204+J205*$E205+J206*$E206+J207*$E207+J208*$E208+J203*$E203,0)</f>
        <v>0</v>
      </c>
      <c r="K230" s="761">
        <f>IF($I$158=Basisdaten!$Q$16,K204*$E204+K205*$E205+K206*$E206+K207*$E207+K208*$E208+K203*$E203,0)</f>
        <v>0</v>
      </c>
      <c r="L230" s="1867">
        <f t="shared" si="159"/>
        <v>0</v>
      </c>
      <c r="T230" s="552"/>
      <c r="U230" s="56"/>
      <c r="V230" s="56"/>
      <c r="X230" s="592"/>
      <c r="Y230" s="613"/>
      <c r="Z230" s="613"/>
      <c r="AA230" s="592"/>
      <c r="AB230" s="592"/>
      <c r="AC230" s="592"/>
      <c r="AD230" s="592"/>
      <c r="AE230" s="592"/>
      <c r="AF230" s="592"/>
      <c r="AG230" s="592"/>
      <c r="AH230" s="592"/>
      <c r="AI230" s="592"/>
      <c r="AJ230" s="592"/>
      <c r="AK230" s="613"/>
      <c r="AL230" s="42"/>
      <c r="AM230" s="1482"/>
      <c r="AN230" s="1482"/>
      <c r="AO230" s="1482"/>
      <c r="AP230" s="1482"/>
      <c r="AQ230" s="1482"/>
      <c r="AR230" s="1482"/>
      <c r="AS230" s="1482"/>
      <c r="AT230" s="1482"/>
      <c r="AU230" s="1482"/>
      <c r="AV230" s="1482"/>
      <c r="AW230" s="1482"/>
      <c r="AX230" s="1482"/>
      <c r="AY230" s="1482"/>
      <c r="AZ230" s="1482"/>
      <c r="BA230" s="1483"/>
      <c r="BB230" s="1483"/>
      <c r="BC230" s="1483"/>
      <c r="BD230" s="1483"/>
      <c r="BE230" s="1483"/>
      <c r="BF230" s="1483"/>
      <c r="BG230" s="1483"/>
      <c r="BH230" s="1483"/>
      <c r="BI230" s="1483"/>
      <c r="BJ230" s="1483"/>
      <c r="BK230" s="1483"/>
      <c r="BL230" s="1483"/>
      <c r="BM230" s="1483"/>
      <c r="BN230" s="1483"/>
      <c r="BO230" s="1483"/>
      <c r="BP230" s="1483"/>
      <c r="BQ230" s="1483"/>
      <c r="BR230" s="1483"/>
      <c r="BS230" s="1483"/>
      <c r="BT230" s="1483"/>
      <c r="BU230" s="1483"/>
      <c r="BV230" s="1483"/>
      <c r="BW230" s="1483"/>
      <c r="BX230" s="1483"/>
      <c r="BY230" s="1483"/>
      <c r="BZ230" s="1483"/>
      <c r="CA230" s="1483"/>
      <c r="CB230" s="1483"/>
      <c r="CC230" s="1483"/>
      <c r="CD230" s="1483"/>
      <c r="CE230" s="1483"/>
      <c r="CF230" s="1483"/>
      <c r="CG230" s="1483"/>
      <c r="CH230" s="1483"/>
      <c r="CI230" s="560"/>
      <c r="CJ230" s="560"/>
      <c r="CK230" s="560"/>
      <c r="CL230" s="560"/>
      <c r="CM230" s="560"/>
      <c r="CN230" s="560"/>
      <c r="CO230" s="560"/>
      <c r="CP230" s="560"/>
      <c r="CQ230" s="560"/>
      <c r="CS230" s="233"/>
      <c r="CT230" s="233"/>
      <c r="CU230" s="30"/>
      <c r="CV230" s="523"/>
      <c r="CW230" s="523"/>
      <c r="DK230" s="52"/>
    </row>
    <row r="231" spans="3:115" ht="14.25" hidden="1" customHeight="1">
      <c r="C231" s="1779">
        <f t="shared" si="160"/>
        <v>0</v>
      </c>
      <c r="D231" s="1632">
        <f t="shared" si="156"/>
        <v>0</v>
      </c>
      <c r="E231" s="1779">
        <f t="shared" si="156"/>
        <v>8</v>
      </c>
      <c r="F231" s="1783" t="str">
        <f t="shared" si="154"/>
        <v>MwSt</v>
      </c>
      <c r="G231" s="1791">
        <f t="shared" si="157"/>
        <v>0</v>
      </c>
      <c r="H231" s="1791">
        <f t="shared" si="155"/>
        <v>0</v>
      </c>
      <c r="I231" s="761">
        <f>I211*$E$211+I212*$E$212+I213*$E$213</f>
        <v>0</v>
      </c>
      <c r="J231" s="761">
        <f>J211*$E$211+J212*$E$212+J213*$E$213</f>
        <v>0</v>
      </c>
      <c r="K231" s="761">
        <f>K211*$E$211+K212*$E$212+K213*$E$213</f>
        <v>0</v>
      </c>
      <c r="L231" s="1867">
        <f t="shared" si="159"/>
        <v>0</v>
      </c>
      <c r="T231" s="552"/>
      <c r="U231" s="56"/>
      <c r="V231" s="56"/>
      <c r="X231" s="592"/>
      <c r="Y231" s="613"/>
      <c r="Z231" s="613"/>
      <c r="AA231" s="592"/>
      <c r="AB231" s="592"/>
      <c r="AC231" s="592"/>
      <c r="AD231" s="592"/>
      <c r="AE231" s="592"/>
      <c r="AF231" s="592"/>
      <c r="AG231" s="592"/>
      <c r="AH231" s="592"/>
      <c r="AI231" s="592"/>
      <c r="AJ231" s="592"/>
      <c r="AK231" s="613"/>
      <c r="AL231" s="42"/>
      <c r="AM231" s="1482"/>
      <c r="AN231" s="1482"/>
      <c r="AO231" s="1482"/>
      <c r="AP231" s="1482"/>
      <c r="AQ231" s="1482"/>
      <c r="AR231" s="1482"/>
      <c r="AS231" s="1482"/>
      <c r="AT231" s="1482"/>
      <c r="AU231" s="1482"/>
      <c r="AV231" s="1482"/>
      <c r="AW231" s="1482"/>
      <c r="AX231" s="1482"/>
      <c r="AY231" s="1482"/>
      <c r="AZ231" s="1482"/>
      <c r="BA231" s="1483"/>
      <c r="BB231" s="1483"/>
      <c r="BC231" s="1483"/>
      <c r="BD231" s="1483"/>
      <c r="BE231" s="1483"/>
      <c r="BF231" s="1483"/>
      <c r="BG231" s="1483"/>
      <c r="BH231" s="1483"/>
      <c r="BI231" s="1483"/>
      <c r="BJ231" s="1483"/>
      <c r="BK231" s="1483"/>
      <c r="BL231" s="1483"/>
      <c r="BM231" s="1483"/>
      <c r="BN231" s="1483"/>
      <c r="BO231" s="1483"/>
      <c r="BP231" s="1483"/>
      <c r="BQ231" s="1483"/>
      <c r="BR231" s="1483"/>
      <c r="BS231" s="1483"/>
      <c r="BT231" s="1483"/>
      <c r="BU231" s="1483"/>
      <c r="BV231" s="1483"/>
      <c r="BW231" s="1483"/>
      <c r="BX231" s="1483"/>
      <c r="BY231" s="1483"/>
      <c r="BZ231" s="1483"/>
      <c r="CA231" s="1483"/>
      <c r="CB231" s="1483"/>
      <c r="CC231" s="1483"/>
      <c r="CD231" s="1483"/>
      <c r="CE231" s="1483"/>
      <c r="CF231" s="1483"/>
      <c r="CG231" s="1483"/>
      <c r="CH231" s="1483"/>
      <c r="CI231" s="560"/>
      <c r="CJ231" s="560"/>
      <c r="CK231" s="560"/>
      <c r="CL231" s="560"/>
      <c r="CM231" s="560"/>
      <c r="CN231" s="560"/>
      <c r="CO231" s="560"/>
      <c r="CP231" s="560"/>
      <c r="CQ231" s="560"/>
      <c r="CS231" s="233"/>
      <c r="CT231" s="233"/>
      <c r="CU231" s="30"/>
      <c r="CV231" s="523"/>
      <c r="CW231" s="523"/>
      <c r="DK231" s="52"/>
    </row>
    <row r="232" spans="3:115" ht="14.25" hidden="1" customHeight="1" thickBot="1">
      <c r="C232" s="1779">
        <f>IFERROR(L232,1)</f>
        <v>0</v>
      </c>
      <c r="D232" s="1632">
        <f t="shared" si="156"/>
        <v>0</v>
      </c>
      <c r="E232" s="1779">
        <f t="shared" si="156"/>
        <v>9</v>
      </c>
      <c r="F232" s="1792" t="s">
        <v>504</v>
      </c>
      <c r="G232" s="1791">
        <f t="shared" si="157"/>
        <v>0</v>
      </c>
      <c r="H232" s="1793">
        <f t="shared" si="155"/>
        <v>0</v>
      </c>
      <c r="I232" s="761">
        <f>$E$217*I217+$E$218*I218+$E$219*I219</f>
        <v>0</v>
      </c>
      <c r="J232" s="761">
        <f t="shared" ref="J232:K232" si="162">$E$217*J217+$E$218*J218+$E$219*J219</f>
        <v>0</v>
      </c>
      <c r="K232" s="761">
        <f t="shared" si="162"/>
        <v>0</v>
      </c>
      <c r="L232" s="1867">
        <f t="shared" si="159"/>
        <v>0</v>
      </c>
      <c r="T232" s="552"/>
      <c r="U232" s="56"/>
      <c r="V232" s="56"/>
      <c r="X232" s="592"/>
      <c r="Y232" s="613"/>
      <c r="Z232" s="613"/>
      <c r="AA232" s="592"/>
      <c r="AB232" s="592"/>
      <c r="AC232" s="592"/>
      <c r="AD232" s="592"/>
      <c r="AE232" s="592"/>
      <c r="AF232" s="592"/>
      <c r="AG232" s="592"/>
      <c r="AH232" s="592"/>
      <c r="AI232" s="592"/>
      <c r="AJ232" s="592"/>
      <c r="AK232" s="613"/>
      <c r="AL232" s="42"/>
      <c r="AM232" s="1482"/>
      <c r="AN232" s="1482"/>
      <c r="AO232" s="1482"/>
      <c r="AP232" s="1482"/>
      <c r="AQ232" s="1482"/>
      <c r="AR232" s="1482"/>
      <c r="AS232" s="1482"/>
      <c r="AT232" s="1482"/>
      <c r="AU232" s="1482"/>
      <c r="AV232" s="1482"/>
      <c r="AW232" s="1482"/>
      <c r="AX232" s="1482"/>
      <c r="AY232" s="1482"/>
      <c r="AZ232" s="1482"/>
      <c r="BA232" s="1483"/>
      <c r="BB232" s="1483"/>
      <c r="BC232" s="1483"/>
      <c r="BD232" s="1483"/>
      <c r="BE232" s="1483"/>
      <c r="BF232" s="1483"/>
      <c r="BG232" s="1483"/>
      <c r="BH232" s="1483"/>
      <c r="BI232" s="1483"/>
      <c r="BJ232" s="1483"/>
      <c r="BK232" s="1483"/>
      <c r="BL232" s="1483"/>
      <c r="BM232" s="1483"/>
      <c r="BN232" s="1483"/>
      <c r="BO232" s="1483"/>
      <c r="BP232" s="1483"/>
      <c r="BQ232" s="1483"/>
      <c r="BR232" s="1483"/>
      <c r="BS232" s="1483"/>
      <c r="BT232" s="1483"/>
      <c r="BU232" s="1483"/>
      <c r="BV232" s="1483"/>
      <c r="BW232" s="1483"/>
      <c r="BX232" s="1483"/>
      <c r="BY232" s="1483"/>
      <c r="BZ232" s="1483"/>
      <c r="CA232" s="1483"/>
      <c r="CB232" s="1483"/>
      <c r="CC232" s="1483"/>
      <c r="CD232" s="1483"/>
      <c r="CE232" s="1483"/>
      <c r="CF232" s="1483"/>
      <c r="CG232" s="1483"/>
      <c r="CH232" s="1483"/>
      <c r="CI232" s="560"/>
      <c r="CJ232" s="560"/>
      <c r="CK232" s="560"/>
      <c r="CL232" s="560"/>
      <c r="CM232" s="560"/>
      <c r="CN232" s="560"/>
      <c r="CO232" s="560"/>
      <c r="CP232" s="560"/>
      <c r="CQ232" s="560"/>
      <c r="CT232" s="233"/>
      <c r="CU232" s="30"/>
      <c r="CV232" s="523"/>
      <c r="CW232" s="523"/>
      <c r="DK232" s="52"/>
    </row>
    <row r="233" spans="3:115" ht="14.25" customHeight="1">
      <c r="C233" s="591"/>
      <c r="D233" s="695"/>
      <c r="E233" s="23"/>
      <c r="F233" s="1262" t="str">
        <f>F155</f>
        <v>MwSt gesamt</v>
      </c>
      <c r="G233" s="1263">
        <f>G232+G231+G230+G229+G228+G227+G226+G225+G224</f>
        <v>0</v>
      </c>
      <c r="H233" s="1263">
        <f>H232+H231+H230+H229+H228+H227+H226+H225+H224</f>
        <v>0</v>
      </c>
      <c r="I233" s="1264">
        <f>SUM(I224:I232)</f>
        <v>0</v>
      </c>
      <c r="J233" s="1264">
        <f t="shared" ref="J233:K233" si="163">SUM(J224:J232)</f>
        <v>0</v>
      </c>
      <c r="K233" s="1264">
        <f t="shared" si="163"/>
        <v>0</v>
      </c>
      <c r="L233" s="1191"/>
      <c r="M233" s="593"/>
      <c r="N233" s="593"/>
      <c r="O233" s="593"/>
      <c r="P233" s="593"/>
      <c r="Q233" s="593"/>
      <c r="R233" s="593"/>
      <c r="T233" s="552"/>
      <c r="W233" s="592"/>
      <c r="X233" s="592"/>
      <c r="Y233" s="592"/>
      <c r="Z233" s="592"/>
      <c r="AA233" s="592"/>
      <c r="AB233" s="592"/>
      <c r="AC233" s="592"/>
      <c r="AD233" s="592"/>
      <c r="AE233" s="592"/>
      <c r="AF233" s="592"/>
      <c r="AG233" s="592"/>
      <c r="AH233" s="592"/>
      <c r="AI233" s="592"/>
      <c r="AJ233" s="592"/>
      <c r="AK233" s="613"/>
      <c r="AL233" s="42"/>
      <c r="AM233" s="1482"/>
      <c r="AN233" s="1482"/>
      <c r="AO233" s="1482"/>
      <c r="AP233" s="1482"/>
      <c r="AQ233" s="1482"/>
      <c r="AR233" s="1482"/>
      <c r="AS233" s="1482"/>
      <c r="AT233" s="1482"/>
      <c r="AU233" s="1482"/>
      <c r="AV233" s="1482"/>
      <c r="AW233" s="1482"/>
      <c r="AX233" s="1482"/>
      <c r="AY233" s="1482"/>
      <c r="AZ233" s="1482"/>
      <c r="BA233" s="1483"/>
      <c r="BB233" s="1483"/>
      <c r="BC233" s="1483"/>
      <c r="BD233" s="1483"/>
      <c r="BE233" s="1483"/>
      <c r="BF233" s="1483"/>
      <c r="BG233" s="1483"/>
      <c r="BH233" s="1483"/>
      <c r="BI233" s="1483"/>
      <c r="BJ233" s="1483"/>
      <c r="BK233" s="1483"/>
      <c r="BL233" s="1483"/>
      <c r="BM233" s="1483"/>
      <c r="BN233" s="1483"/>
      <c r="BO233" s="1483"/>
      <c r="BP233" s="1483"/>
      <c r="BQ233" s="1483"/>
      <c r="BR233" s="1483"/>
      <c r="BS233" s="1483"/>
      <c r="BT233" s="1483"/>
      <c r="BU233" s="1483"/>
      <c r="BV233" s="1483"/>
      <c r="BW233" s="1483"/>
      <c r="BX233" s="1483"/>
      <c r="BY233" s="1483"/>
      <c r="BZ233" s="1483"/>
      <c r="CA233" s="1483"/>
      <c r="CB233" s="1483"/>
      <c r="CC233" s="1483"/>
      <c r="CD233" s="1483"/>
      <c r="CE233" s="1483"/>
      <c r="CF233" s="1483"/>
      <c r="CG233" s="1483"/>
      <c r="CH233" s="1483"/>
      <c r="CI233" s="560"/>
      <c r="CJ233" s="560"/>
      <c r="CK233" s="560"/>
      <c r="CL233" s="560"/>
      <c r="CM233" s="560"/>
      <c r="CN233" s="560"/>
      <c r="CO233" s="560"/>
      <c r="CP233" s="560"/>
      <c r="CQ233" s="560"/>
      <c r="CU233" s="30"/>
      <c r="CV233" s="38"/>
      <c r="CW233" s="30"/>
      <c r="DK233" s="52"/>
    </row>
    <row r="234" spans="3:115" s="53" customFormat="1">
      <c r="C234" s="65"/>
      <c r="D234" s="695"/>
      <c r="E234" s="65"/>
      <c r="F234" s="23"/>
      <c r="G234" s="61"/>
      <c r="H234" s="61"/>
      <c r="I234" s="61"/>
      <c r="J234" s="61"/>
      <c r="K234" s="61"/>
      <c r="L234" s="1192"/>
      <c r="M234" s="61"/>
      <c r="N234" s="61"/>
      <c r="O234" s="61"/>
      <c r="P234" s="61"/>
      <c r="Q234" s="61"/>
      <c r="R234" s="61"/>
      <c r="S234" s="61"/>
      <c r="T234" s="558"/>
      <c r="U234" s="25"/>
      <c r="V234" s="25"/>
      <c r="AJ234" s="298"/>
      <c r="AK234" s="372"/>
      <c r="AM234" s="1486"/>
      <c r="AN234" s="1486"/>
      <c r="AO234" s="1486"/>
      <c r="AP234" s="1486"/>
      <c r="AQ234" s="1486"/>
      <c r="AR234" s="1486"/>
      <c r="AS234" s="1486"/>
      <c r="AT234" s="1486"/>
      <c r="AU234" s="1486"/>
      <c r="AV234" s="1486"/>
      <c r="AW234" s="1486"/>
      <c r="AX234" s="1486"/>
      <c r="AY234" s="1486"/>
      <c r="AZ234" s="1486"/>
      <c r="BA234" s="1479"/>
      <c r="BB234" s="1479"/>
      <c r="BC234" s="1479"/>
      <c r="BD234" s="1479"/>
      <c r="BE234" s="1479"/>
      <c r="BF234" s="1479"/>
      <c r="BG234" s="1479"/>
      <c r="BH234" s="1479"/>
      <c r="BI234" s="1479"/>
      <c r="BJ234" s="1479"/>
      <c r="BK234" s="1479"/>
      <c r="BL234" s="1479"/>
      <c r="BM234" s="1479"/>
      <c r="BN234" s="1479"/>
      <c r="BO234" s="1479"/>
      <c r="BP234" s="1479"/>
      <c r="BQ234" s="1479"/>
      <c r="BR234" s="1479"/>
      <c r="BS234" s="1479"/>
      <c r="BT234" s="1479"/>
      <c r="BU234" s="1479"/>
      <c r="BV234" s="1479"/>
      <c r="BW234" s="1479"/>
      <c r="BX234" s="1479"/>
      <c r="BY234" s="1479"/>
      <c r="BZ234" s="1479"/>
      <c r="CA234" s="1479"/>
      <c r="CB234" s="1479"/>
      <c r="CC234" s="1479"/>
      <c r="CD234" s="1479"/>
      <c r="CE234" s="1479"/>
      <c r="CF234" s="1479"/>
      <c r="CG234" s="1479"/>
      <c r="CH234" s="1479"/>
      <c r="CI234" s="31"/>
      <c r="CJ234" s="31"/>
      <c r="CK234" s="31"/>
      <c r="CL234" s="31"/>
      <c r="CM234" s="31"/>
      <c r="CN234" s="31"/>
      <c r="CO234" s="31"/>
      <c r="CP234" s="31"/>
      <c r="CQ234" s="31"/>
      <c r="CS234" s="29"/>
      <c r="CT234" s="29"/>
      <c r="CU234" s="30"/>
      <c r="CV234" s="522"/>
      <c r="CW234" s="30"/>
      <c r="CX234" s="211"/>
      <c r="CY234" s="211"/>
      <c r="CZ234" s="211"/>
      <c r="DA234" s="211"/>
      <c r="DB234" s="211"/>
      <c r="DC234" s="211"/>
      <c r="DD234" s="211"/>
      <c r="DE234" s="211"/>
      <c r="DF234" s="235"/>
      <c r="DG234" s="235"/>
      <c r="DH234" s="235"/>
      <c r="DI234" s="235"/>
      <c r="DJ234" s="235"/>
    </row>
    <row r="235" spans="3:115" s="53" customFormat="1">
      <c r="C235" s="65"/>
      <c r="D235" s="695"/>
      <c r="F235" s="66"/>
      <c r="G235" s="61"/>
      <c r="H235" s="61"/>
      <c r="I235" s="61"/>
      <c r="J235" s="61"/>
      <c r="K235" s="61"/>
      <c r="L235" s="61"/>
      <c r="M235" s="61"/>
      <c r="N235" s="61"/>
      <c r="O235" s="61"/>
      <c r="P235" s="61"/>
      <c r="Q235" s="61"/>
      <c r="R235" s="61"/>
      <c r="S235" s="61"/>
      <c r="T235" s="558"/>
      <c r="U235" s="25"/>
      <c r="V235" s="25"/>
      <c r="AJ235" s="298"/>
      <c r="AK235" s="372"/>
      <c r="AM235" s="1486"/>
      <c r="AN235" s="1486"/>
      <c r="AO235" s="1486"/>
      <c r="AP235" s="1486"/>
      <c r="AQ235" s="1486"/>
      <c r="AR235" s="1486"/>
      <c r="AS235" s="1486"/>
      <c r="AT235" s="1486"/>
      <c r="AU235" s="1486"/>
      <c r="AV235" s="1486"/>
      <c r="AW235" s="1486"/>
      <c r="AX235" s="1486"/>
      <c r="AY235" s="1486"/>
      <c r="AZ235" s="1486"/>
      <c r="BA235" s="1479"/>
      <c r="BB235" s="1479"/>
      <c r="BC235" s="1479"/>
      <c r="BD235" s="1479"/>
      <c r="BE235" s="1479"/>
      <c r="BF235" s="1479"/>
      <c r="BG235" s="1479"/>
      <c r="BH235" s="1479"/>
      <c r="BI235" s="1479"/>
      <c r="BJ235" s="1479"/>
      <c r="BK235" s="1479"/>
      <c r="BL235" s="1479"/>
      <c r="BM235" s="1479"/>
      <c r="BN235" s="1479"/>
      <c r="BO235" s="1479"/>
      <c r="BP235" s="1479"/>
      <c r="BQ235" s="1479"/>
      <c r="BR235" s="1479"/>
      <c r="BS235" s="1479"/>
      <c r="BT235" s="1479"/>
      <c r="BU235" s="1479"/>
      <c r="BV235" s="1479"/>
      <c r="BW235" s="1479"/>
      <c r="BX235" s="1479"/>
      <c r="BY235" s="1479"/>
      <c r="BZ235" s="1479"/>
      <c r="CA235" s="1479"/>
      <c r="CB235" s="1479"/>
      <c r="CC235" s="1479"/>
      <c r="CD235" s="1479"/>
      <c r="CE235" s="1479"/>
      <c r="CF235" s="1479"/>
      <c r="CG235" s="1479"/>
      <c r="CH235" s="1479"/>
      <c r="CI235" s="31"/>
      <c r="CJ235" s="31"/>
      <c r="CK235" s="31"/>
      <c r="CL235" s="31"/>
      <c r="CM235" s="31"/>
      <c r="CN235" s="31"/>
      <c r="CO235" s="31"/>
      <c r="CP235" s="31"/>
      <c r="CQ235" s="31"/>
      <c r="CS235" s="29"/>
      <c r="CT235" s="29"/>
      <c r="CU235" s="30"/>
      <c r="CV235" s="522"/>
      <c r="CW235" s="30"/>
      <c r="CX235" s="211"/>
      <c r="CY235" s="211"/>
      <c r="CZ235" s="211"/>
      <c r="DA235" s="211"/>
      <c r="DB235" s="211"/>
      <c r="DC235" s="211"/>
      <c r="DD235" s="211"/>
      <c r="DE235" s="211"/>
      <c r="DF235" s="235"/>
      <c r="DG235" s="235"/>
      <c r="DH235" s="235"/>
      <c r="DI235" s="235"/>
      <c r="DJ235" s="235"/>
    </row>
    <row r="236" spans="3:115" s="53" customFormat="1">
      <c r="C236" s="65"/>
      <c r="D236" s="695"/>
      <c r="F236" s="66"/>
      <c r="G236" s="61"/>
      <c r="H236" s="61"/>
      <c r="I236" s="61"/>
      <c r="J236" s="61"/>
      <c r="K236" s="61"/>
      <c r="L236" s="61"/>
      <c r="M236" s="61"/>
      <c r="N236" s="61"/>
      <c r="O236" s="61"/>
      <c r="P236" s="61"/>
      <c r="Q236" s="61"/>
      <c r="R236" s="61"/>
      <c r="S236" s="61"/>
      <c r="T236" s="558"/>
      <c r="U236" s="25"/>
      <c r="V236" s="25"/>
      <c r="AJ236" s="298"/>
      <c r="AK236" s="372"/>
      <c r="AM236" s="1486"/>
      <c r="AN236" s="1486"/>
      <c r="AO236" s="1486"/>
      <c r="AP236" s="1486"/>
      <c r="AQ236" s="1486"/>
      <c r="AR236" s="1486"/>
      <c r="AS236" s="1486"/>
      <c r="AT236" s="1486"/>
      <c r="AU236" s="1486"/>
      <c r="AV236" s="1486"/>
      <c r="AW236" s="1486"/>
      <c r="AX236" s="1486"/>
      <c r="AY236" s="1486"/>
      <c r="AZ236" s="1486"/>
      <c r="BA236" s="1479"/>
      <c r="BB236" s="1479"/>
      <c r="BC236" s="1479"/>
      <c r="BD236" s="1479"/>
      <c r="BE236" s="1479"/>
      <c r="BF236" s="1479"/>
      <c r="BG236" s="1479"/>
      <c r="BH236" s="1479"/>
      <c r="BI236" s="1479"/>
      <c r="BJ236" s="1479"/>
      <c r="BK236" s="1479"/>
      <c r="BL236" s="1479"/>
      <c r="BM236" s="1479"/>
      <c r="BN236" s="1479"/>
      <c r="BO236" s="1479"/>
      <c r="BP236" s="1479"/>
      <c r="BQ236" s="1479"/>
      <c r="BR236" s="1479"/>
      <c r="BS236" s="1479"/>
      <c r="BT236" s="1479"/>
      <c r="BU236" s="1479"/>
      <c r="BV236" s="1479"/>
      <c r="BW236" s="1479"/>
      <c r="BX236" s="1479"/>
      <c r="BY236" s="1479"/>
      <c r="BZ236" s="1479"/>
      <c r="CA236" s="1479"/>
      <c r="CB236" s="1479"/>
      <c r="CC236" s="1479"/>
      <c r="CD236" s="1479"/>
      <c r="CE236" s="1479"/>
      <c r="CF236" s="1479"/>
      <c r="CG236" s="1479"/>
      <c r="CH236" s="1479"/>
      <c r="CI236" s="31"/>
      <c r="CJ236" s="31"/>
      <c r="CK236" s="31"/>
      <c r="CL236" s="31"/>
      <c r="CM236" s="31"/>
      <c r="CN236" s="31"/>
      <c r="CO236" s="31"/>
      <c r="CP236" s="31"/>
      <c r="CQ236" s="31"/>
      <c r="CS236" s="29"/>
      <c r="CT236" s="29"/>
      <c r="CU236" s="30"/>
      <c r="CV236" s="522"/>
      <c r="CW236" s="30"/>
      <c r="CX236" s="211"/>
      <c r="CY236" s="211"/>
      <c r="CZ236" s="211"/>
      <c r="DA236" s="211"/>
      <c r="DB236" s="211"/>
      <c r="DC236" s="211"/>
      <c r="DD236" s="211"/>
      <c r="DE236" s="211"/>
      <c r="DF236" s="235"/>
      <c r="DG236" s="235"/>
      <c r="DH236" s="235"/>
      <c r="DI236" s="235"/>
      <c r="DJ236" s="235"/>
    </row>
    <row r="237" spans="3:115" s="53" customFormat="1">
      <c r="C237" s="65"/>
      <c r="D237" s="695"/>
      <c r="F237" s="66"/>
      <c r="G237" s="61"/>
      <c r="H237" s="61"/>
      <c r="I237" s="61"/>
      <c r="J237" s="61"/>
      <c r="K237" s="61"/>
      <c r="L237" s="61"/>
      <c r="M237" s="61"/>
      <c r="N237" s="61"/>
      <c r="O237" s="61"/>
      <c r="P237" s="61"/>
      <c r="Q237" s="61"/>
      <c r="R237" s="61"/>
      <c r="S237" s="61"/>
      <c r="T237" s="558"/>
      <c r="U237" s="25"/>
      <c r="V237" s="25"/>
      <c r="AJ237" s="298"/>
      <c r="AK237" s="372"/>
      <c r="AM237" s="1486"/>
      <c r="AN237" s="1486"/>
      <c r="AO237" s="1486"/>
      <c r="AP237" s="1486"/>
      <c r="AQ237" s="1486"/>
      <c r="AR237" s="1486"/>
      <c r="AS237" s="1486"/>
      <c r="AT237" s="1486"/>
      <c r="AU237" s="1486"/>
      <c r="AV237" s="1486"/>
      <c r="AW237" s="1486"/>
      <c r="AX237" s="1486"/>
      <c r="AY237" s="1486"/>
      <c r="AZ237" s="1486"/>
      <c r="BA237" s="1479"/>
      <c r="BB237" s="1479"/>
      <c r="BC237" s="1479"/>
      <c r="BD237" s="1479"/>
      <c r="BE237" s="1479"/>
      <c r="BF237" s="1479"/>
      <c r="BG237" s="1479"/>
      <c r="BH237" s="1479"/>
      <c r="BI237" s="1479"/>
      <c r="BJ237" s="1479"/>
      <c r="BK237" s="1479"/>
      <c r="BL237" s="1479"/>
      <c r="BM237" s="1479"/>
      <c r="BN237" s="1479"/>
      <c r="BO237" s="1479"/>
      <c r="BP237" s="1479"/>
      <c r="BQ237" s="1479"/>
      <c r="BR237" s="1479"/>
      <c r="BS237" s="1479"/>
      <c r="BT237" s="1479"/>
      <c r="BU237" s="1479"/>
      <c r="BV237" s="1479"/>
      <c r="BW237" s="1479"/>
      <c r="BX237" s="1479"/>
      <c r="BY237" s="1479"/>
      <c r="BZ237" s="1479"/>
      <c r="CA237" s="1479"/>
      <c r="CB237" s="1479"/>
      <c r="CC237" s="1479"/>
      <c r="CD237" s="1479"/>
      <c r="CE237" s="1479"/>
      <c r="CF237" s="1479"/>
      <c r="CG237" s="1479"/>
      <c r="CH237" s="1479"/>
      <c r="CI237" s="31"/>
      <c r="CJ237" s="31"/>
      <c r="CK237" s="31"/>
      <c r="CL237" s="31"/>
      <c r="CM237" s="31"/>
      <c r="CN237" s="31"/>
      <c r="CO237" s="31"/>
      <c r="CP237" s="31"/>
      <c r="CQ237" s="31"/>
      <c r="CS237" s="29"/>
      <c r="CT237" s="29"/>
      <c r="CX237" s="211"/>
      <c r="CY237" s="211"/>
      <c r="CZ237" s="211"/>
      <c r="DA237" s="211"/>
      <c r="DB237" s="211"/>
      <c r="DC237" s="211"/>
      <c r="DD237" s="211"/>
      <c r="DE237" s="211"/>
      <c r="DF237" s="235"/>
      <c r="DG237" s="235"/>
      <c r="DH237" s="235"/>
      <c r="DI237" s="235"/>
      <c r="DJ237" s="235"/>
    </row>
    <row r="238" spans="3:115" s="25" customFormat="1" ht="15" customHeight="1">
      <c r="C238" s="29"/>
      <c r="D238" s="695"/>
      <c r="E238" s="38"/>
      <c r="F238" s="66"/>
      <c r="G238" s="61"/>
      <c r="H238" s="67"/>
      <c r="I238" s="67"/>
      <c r="J238" s="67"/>
      <c r="K238" s="67"/>
      <c r="L238" s="67"/>
      <c r="M238" s="67"/>
      <c r="N238" s="67"/>
      <c r="O238" s="67"/>
      <c r="P238" s="67"/>
      <c r="Q238" s="67"/>
      <c r="R238" s="67"/>
      <c r="S238" s="67"/>
      <c r="T238" s="566"/>
      <c r="AJ238" s="1215"/>
      <c r="AK238" s="1142"/>
      <c r="AM238" s="42"/>
      <c r="AN238" s="42"/>
      <c r="AO238" s="42"/>
      <c r="AP238" s="42"/>
      <c r="AQ238" s="42"/>
      <c r="AR238" s="42"/>
      <c r="AS238" s="42"/>
      <c r="AT238" s="42"/>
      <c r="AU238" s="42"/>
      <c r="AV238" s="42"/>
      <c r="AW238" s="42"/>
      <c r="AX238" s="42"/>
      <c r="AY238" s="42"/>
      <c r="AZ238" s="42"/>
      <c r="BA238" s="42"/>
      <c r="BB238" s="42"/>
      <c r="BC238" s="42"/>
      <c r="BD238" s="42"/>
      <c r="BE238" s="42"/>
      <c r="BF238" s="42"/>
      <c r="BG238" s="42"/>
      <c r="BH238" s="42"/>
      <c r="BI238" s="42"/>
      <c r="BJ238" s="42"/>
      <c r="BK238" s="42"/>
      <c r="BL238" s="42"/>
      <c r="BM238" s="42"/>
      <c r="BN238" s="42"/>
      <c r="BO238" s="42"/>
      <c r="BP238" s="42"/>
      <c r="BQ238" s="42"/>
      <c r="BR238" s="42"/>
      <c r="BS238" s="42"/>
      <c r="BT238" s="42"/>
      <c r="BU238" s="42"/>
      <c r="BV238" s="42"/>
      <c r="BW238" s="42"/>
      <c r="BX238" s="42"/>
      <c r="BY238" s="42"/>
      <c r="BZ238" s="42"/>
      <c r="CA238" s="42"/>
      <c r="CB238" s="42"/>
      <c r="CC238" s="42"/>
      <c r="CD238" s="42"/>
      <c r="CE238" s="42"/>
      <c r="CF238" s="42"/>
      <c r="CG238" s="42"/>
      <c r="CH238" s="42"/>
      <c r="CS238" s="29"/>
      <c r="CT238" s="29"/>
      <c r="CU238" s="30"/>
      <c r="CV238" s="30"/>
      <c r="CW238" s="30"/>
      <c r="CX238" s="29"/>
      <c r="CY238" s="29"/>
      <c r="CZ238" s="29"/>
      <c r="DA238" s="29"/>
      <c r="DB238" s="29"/>
      <c r="DC238" s="29"/>
      <c r="DD238" s="29"/>
      <c r="DE238" s="29"/>
    </row>
    <row r="239" spans="3:115" s="25" customFormat="1" ht="15" customHeight="1">
      <c r="C239" s="29"/>
      <c r="D239" s="695"/>
      <c r="E239" s="38"/>
      <c r="F239" s="66"/>
      <c r="G239" s="61"/>
      <c r="H239" s="67"/>
      <c r="I239" s="67"/>
      <c r="J239" s="67"/>
      <c r="K239" s="67"/>
      <c r="L239" s="67"/>
      <c r="M239" s="67"/>
      <c r="N239" s="67"/>
      <c r="O239" s="67"/>
      <c r="P239" s="67"/>
      <c r="Q239" s="67"/>
      <c r="R239" s="67"/>
      <c r="S239" s="67"/>
      <c r="T239" s="566"/>
      <c r="AJ239" s="1215"/>
      <c r="AK239" s="1142"/>
      <c r="AM239" s="42"/>
      <c r="AN239" s="42"/>
      <c r="AO239" s="42"/>
      <c r="AP239" s="42"/>
      <c r="AQ239" s="42"/>
      <c r="AR239" s="42"/>
      <c r="AS239" s="42"/>
      <c r="AT239" s="42"/>
      <c r="AU239" s="42"/>
      <c r="AV239" s="42"/>
      <c r="AW239" s="42"/>
      <c r="AX239" s="42"/>
      <c r="AY239" s="42"/>
      <c r="AZ239" s="42"/>
      <c r="BA239" s="42"/>
      <c r="BB239" s="42"/>
      <c r="BC239" s="42"/>
      <c r="BD239" s="42"/>
      <c r="BE239" s="42"/>
      <c r="BF239" s="42"/>
      <c r="BG239" s="42"/>
      <c r="BH239" s="42"/>
      <c r="BI239" s="42"/>
      <c r="BJ239" s="42"/>
      <c r="BK239" s="42"/>
      <c r="BL239" s="42"/>
      <c r="BM239" s="42"/>
      <c r="BN239" s="42"/>
      <c r="BO239" s="42"/>
      <c r="BP239" s="42"/>
      <c r="BQ239" s="42"/>
      <c r="BR239" s="42"/>
      <c r="BS239" s="42"/>
      <c r="BT239" s="42"/>
      <c r="BU239" s="42"/>
      <c r="BV239" s="42"/>
      <c r="BW239" s="42"/>
      <c r="BX239" s="42"/>
      <c r="BY239" s="42"/>
      <c r="BZ239" s="42"/>
      <c r="CA239" s="42"/>
      <c r="CB239" s="42"/>
      <c r="CC239" s="42"/>
      <c r="CD239" s="42"/>
      <c r="CE239" s="42"/>
      <c r="CF239" s="42"/>
      <c r="CG239" s="42"/>
      <c r="CH239" s="42"/>
      <c r="CS239" s="29" t="str">
        <f>IF($G$2=-1,"   ┌   MwSt-Satz der jeweiligen Kostenart","")</f>
        <v/>
      </c>
      <c r="CT239" s="29" t="str">
        <f>IF($G$2=-1,"   ┌   VAT for Cost Type","")</f>
        <v/>
      </c>
      <c r="CU239" s="30"/>
      <c r="CV239" s="30"/>
      <c r="CW239" s="30"/>
      <c r="CX239" s="29"/>
      <c r="CY239" s="29"/>
      <c r="CZ239" s="29"/>
      <c r="DA239" s="29"/>
      <c r="DB239" s="29"/>
      <c r="DC239" s="29"/>
      <c r="DD239" s="29"/>
      <c r="DE239" s="29"/>
    </row>
    <row r="240" spans="3:115" ht="15.75" customHeight="1">
      <c r="C240" s="29"/>
      <c r="D240" s="695"/>
      <c r="E240" s="54"/>
      <c r="F240" s="66"/>
      <c r="G240" s="61"/>
      <c r="H240" s="54"/>
      <c r="I240" s="54"/>
      <c r="J240" s="54"/>
      <c r="K240" s="54"/>
      <c r="L240" s="54"/>
      <c r="M240" s="54"/>
      <c r="N240" s="54"/>
      <c r="O240" s="54"/>
      <c r="P240" s="54"/>
      <c r="Q240" s="54"/>
      <c r="R240" s="54"/>
      <c r="S240" s="54"/>
      <c r="T240" s="1259"/>
      <c r="U240" s="25"/>
      <c r="V240" s="25"/>
      <c r="W240" s="25"/>
      <c r="X240" s="25"/>
      <c r="Y240" s="25"/>
      <c r="Z240" s="25"/>
      <c r="AA240" s="25"/>
      <c r="AB240" s="25"/>
      <c r="AC240" s="25"/>
      <c r="AD240" s="25"/>
      <c r="AE240" s="25"/>
      <c r="AF240" s="25"/>
      <c r="AG240" s="25"/>
      <c r="AH240" s="25"/>
      <c r="AI240" s="25"/>
      <c r="AJ240" s="1215"/>
      <c r="AK240" s="1142"/>
      <c r="AL240" s="25"/>
      <c r="CG240" s="42"/>
      <c r="CH240" s="42"/>
      <c r="CI240" s="25"/>
      <c r="CJ240" s="25"/>
      <c r="CK240" s="25"/>
      <c r="CL240" s="25"/>
      <c r="CM240" s="25"/>
      <c r="CN240" s="25"/>
      <c r="CO240" s="25"/>
      <c r="CP240" s="25"/>
      <c r="CQ240" s="25"/>
      <c r="CU240" s="30"/>
      <c r="CV240" s="30"/>
      <c r="CW240" s="30"/>
      <c r="CX240" s="29"/>
      <c r="CY240" s="29"/>
      <c r="CZ240" s="29"/>
      <c r="DA240" s="29"/>
      <c r="DB240" s="29"/>
      <c r="DC240" s="29"/>
      <c r="DD240" s="29"/>
      <c r="DE240" s="29"/>
      <c r="DF240" s="29"/>
      <c r="DG240" s="29"/>
      <c r="DH240" s="29"/>
      <c r="DI240" s="29"/>
      <c r="DJ240" s="29"/>
    </row>
    <row r="241" spans="3:114" ht="15" customHeight="1">
      <c r="C241" s="29"/>
      <c r="D241" s="695"/>
      <c r="E241" s="561"/>
      <c r="F241" s="66"/>
      <c r="G241" s="61"/>
      <c r="T241" s="566"/>
      <c r="U241" s="25"/>
      <c r="V241" s="25"/>
      <c r="W241" s="25"/>
      <c r="X241" s="25"/>
      <c r="Y241" s="25"/>
      <c r="Z241" s="25"/>
      <c r="AA241" s="25"/>
      <c r="AB241" s="25"/>
      <c r="AC241" s="25"/>
      <c r="AD241" s="25"/>
      <c r="AE241" s="25"/>
      <c r="AF241" s="25"/>
      <c r="AG241" s="25"/>
      <c r="AH241" s="25"/>
      <c r="AI241" s="25"/>
      <c r="AJ241" s="1215"/>
      <c r="AK241" s="1142"/>
      <c r="AL241" s="25"/>
      <c r="CG241" s="42"/>
      <c r="CH241" s="42"/>
      <c r="CI241" s="25"/>
      <c r="CJ241" s="25"/>
      <c r="CK241" s="25"/>
      <c r="CL241" s="25"/>
      <c r="CM241" s="25"/>
      <c r="CN241" s="25"/>
      <c r="CO241" s="25"/>
      <c r="CP241" s="25"/>
      <c r="CQ241" s="25"/>
      <c r="CR241" s="25"/>
      <c r="CS241" s="25"/>
      <c r="CT241" s="25"/>
      <c r="CV241" s="38"/>
      <c r="CW241" s="29"/>
      <c r="CX241" s="29"/>
      <c r="CY241" s="29"/>
      <c r="CZ241" s="29"/>
      <c r="DA241" s="29"/>
      <c r="DB241" s="29"/>
      <c r="DC241" s="29"/>
      <c r="DD241" s="29"/>
      <c r="DE241" s="29"/>
      <c r="DF241" s="29"/>
      <c r="DG241" s="29"/>
      <c r="DH241" s="29"/>
      <c r="DI241" s="29"/>
      <c r="DJ241" s="29"/>
    </row>
    <row r="242" spans="3:114" ht="14.25" customHeight="1">
      <c r="C242" s="29"/>
      <c r="D242" s="695"/>
      <c r="E242" s="562"/>
      <c r="F242" s="66"/>
      <c r="G242" s="61"/>
      <c r="H242" s="563"/>
      <c r="I242" s="563"/>
      <c r="J242" s="563"/>
      <c r="K242" s="563"/>
      <c r="L242" s="563"/>
      <c r="M242" s="563"/>
      <c r="N242" s="563"/>
      <c r="O242" s="563"/>
      <c r="P242" s="563"/>
      <c r="Q242" s="563"/>
      <c r="R242" s="563"/>
      <c r="S242" s="563"/>
      <c r="T242" s="566"/>
      <c r="U242" s="25"/>
      <c r="V242" s="25"/>
      <c r="W242" s="25"/>
      <c r="X242" s="25"/>
      <c r="Y242" s="25"/>
      <c r="Z242" s="25"/>
      <c r="AA242" s="25"/>
      <c r="AB242" s="25"/>
      <c r="AC242" s="25"/>
      <c r="AD242" s="25"/>
      <c r="AE242" s="25"/>
      <c r="AF242" s="25"/>
      <c r="AG242" s="25"/>
      <c r="AH242" s="25"/>
      <c r="AI242" s="25"/>
      <c r="AJ242" s="1215"/>
      <c r="AK242" s="1142"/>
      <c r="AL242" s="25"/>
      <c r="CG242" s="42"/>
      <c r="CH242" s="42"/>
      <c r="CI242" s="25"/>
      <c r="CJ242" s="25"/>
      <c r="CK242" s="25"/>
      <c r="CL242" s="25"/>
      <c r="CM242" s="25"/>
      <c r="CN242" s="25"/>
      <c r="CO242" s="25"/>
      <c r="CP242" s="25"/>
      <c r="CQ242" s="25"/>
      <c r="CS242" s="229"/>
      <c r="CV242" s="38"/>
      <c r="CW242" s="38"/>
      <c r="CX242" s="29"/>
      <c r="CY242" s="29"/>
      <c r="CZ242" s="29"/>
      <c r="DA242" s="29"/>
      <c r="DB242" s="29"/>
      <c r="DC242" s="29"/>
      <c r="DD242" s="29"/>
      <c r="DE242" s="29"/>
      <c r="DF242" s="29"/>
      <c r="DG242" s="29"/>
      <c r="DH242" s="29"/>
      <c r="DI242" s="29"/>
      <c r="DJ242" s="29"/>
    </row>
    <row r="243" spans="3:114" ht="14.25" customHeight="1">
      <c r="C243" s="29"/>
      <c r="D243" s="695"/>
      <c r="E243" s="562"/>
      <c r="F243" s="66"/>
      <c r="G243" s="61"/>
      <c r="H243" s="563"/>
      <c r="I243" s="563"/>
      <c r="J243" s="563"/>
      <c r="K243" s="563"/>
      <c r="L243" s="563"/>
      <c r="M243" s="563"/>
      <c r="N243" s="563"/>
      <c r="O243" s="563"/>
      <c r="P243" s="563"/>
      <c r="Q243" s="563"/>
      <c r="R243" s="563"/>
      <c r="S243" s="563"/>
      <c r="T243" s="566"/>
      <c r="U243" s="25"/>
      <c r="V243" s="25"/>
      <c r="W243" s="25"/>
      <c r="X243" s="25"/>
      <c r="Y243" s="25"/>
      <c r="Z243" s="25"/>
      <c r="AA243" s="25"/>
      <c r="AB243" s="25"/>
      <c r="AC243" s="25"/>
      <c r="AD243" s="25"/>
      <c r="AE243" s="25"/>
      <c r="AF243" s="25"/>
      <c r="AG243" s="25"/>
      <c r="AH243" s="25"/>
      <c r="AI243" s="25"/>
      <c r="AJ243" s="1215"/>
      <c r="AK243" s="1142"/>
      <c r="AL243" s="25"/>
      <c r="CG243" s="42"/>
      <c r="CH243" s="42"/>
      <c r="CI243" s="25"/>
      <c r="CJ243" s="25"/>
      <c r="CK243" s="25"/>
      <c r="CL243" s="25"/>
      <c r="CM243" s="25"/>
      <c r="CN243" s="25"/>
      <c r="CO243" s="25"/>
      <c r="CP243" s="25"/>
      <c r="CQ243" s="25"/>
      <c r="CS243" s="227"/>
      <c r="CV243" s="29"/>
      <c r="CW243" s="29"/>
      <c r="CX243" s="29"/>
      <c r="CY243" s="29"/>
      <c r="CZ243" s="29"/>
      <c r="DA243" s="29"/>
      <c r="DB243" s="29"/>
      <c r="DC243" s="29"/>
      <c r="DD243" s="29"/>
      <c r="DE243" s="29"/>
      <c r="DF243" s="29"/>
      <c r="DG243" s="29"/>
      <c r="DH243" s="29"/>
      <c r="DI243" s="29"/>
      <c r="DJ243" s="29"/>
    </row>
    <row r="244" spans="3:114" ht="14.25" customHeight="1">
      <c r="C244" s="29"/>
      <c r="D244" s="695"/>
      <c r="E244" s="562"/>
      <c r="F244" s="66"/>
      <c r="G244" s="61"/>
      <c r="H244" s="563"/>
      <c r="I244" s="563"/>
      <c r="J244" s="563"/>
      <c r="K244" s="563"/>
      <c r="L244" s="563"/>
      <c r="M244" s="563"/>
      <c r="N244" s="563"/>
      <c r="O244" s="563"/>
      <c r="P244" s="563"/>
      <c r="Q244" s="563"/>
      <c r="R244" s="563"/>
      <c r="S244" s="563"/>
      <c r="T244" s="566"/>
      <c r="U244" s="25"/>
      <c r="V244" s="25"/>
      <c r="W244" s="25"/>
      <c r="X244" s="25"/>
      <c r="Y244" s="25"/>
      <c r="Z244" s="25"/>
      <c r="AA244" s="25"/>
      <c r="AB244" s="25"/>
      <c r="AC244" s="25"/>
      <c r="AD244" s="25"/>
      <c r="AE244" s="25"/>
      <c r="AF244" s="25"/>
      <c r="AG244" s="25"/>
      <c r="AH244" s="25"/>
      <c r="AI244" s="25"/>
      <c r="AJ244" s="1215"/>
      <c r="AK244" s="1142"/>
      <c r="AL244" s="25"/>
      <c r="CG244" s="42"/>
      <c r="CH244" s="42"/>
      <c r="CI244" s="25"/>
      <c r="CJ244" s="25"/>
      <c r="CK244" s="25"/>
      <c r="CL244" s="25"/>
      <c r="CM244" s="25"/>
      <c r="CN244" s="25"/>
      <c r="CO244" s="25"/>
      <c r="CP244" s="25"/>
      <c r="CQ244" s="25"/>
      <c r="CV244" s="38"/>
      <c r="CW244" s="38"/>
      <c r="CX244" s="29"/>
      <c r="CY244" s="29"/>
      <c r="CZ244" s="29"/>
      <c r="DA244" s="29"/>
      <c r="DB244" s="29"/>
      <c r="DC244" s="29"/>
      <c r="DD244" s="29"/>
      <c r="DE244" s="29"/>
      <c r="DF244" s="29"/>
      <c r="DG244" s="29"/>
      <c r="DH244" s="29"/>
      <c r="DI244" s="29"/>
      <c r="DJ244" s="29"/>
    </row>
    <row r="245" spans="3:114" ht="14.25" customHeight="1">
      <c r="C245" s="29"/>
      <c r="D245" s="695"/>
      <c r="E245" s="562"/>
      <c r="F245" s="66"/>
      <c r="G245" s="61"/>
      <c r="H245" s="563"/>
      <c r="I245" s="563"/>
      <c r="J245" s="563"/>
      <c r="K245" s="563"/>
      <c r="L245" s="563"/>
      <c r="M245" s="563"/>
      <c r="N245" s="563"/>
      <c r="O245" s="563"/>
      <c r="P245" s="563"/>
      <c r="Q245" s="563"/>
      <c r="R245" s="563"/>
      <c r="S245" s="563"/>
      <c r="T245" s="566"/>
      <c r="U245" s="25"/>
      <c r="V245" s="25"/>
      <c r="W245" s="25"/>
      <c r="X245" s="25"/>
      <c r="Y245" s="25"/>
      <c r="Z245" s="25"/>
      <c r="AA245" s="25"/>
      <c r="AB245" s="25"/>
      <c r="AC245" s="25"/>
      <c r="AD245" s="25"/>
      <c r="AE245" s="25"/>
      <c r="AF245" s="25"/>
      <c r="AG245" s="25"/>
      <c r="AH245" s="25"/>
      <c r="AI245" s="25"/>
      <c r="AJ245" s="1215"/>
      <c r="AK245" s="1142"/>
      <c r="AL245" s="25"/>
      <c r="CG245" s="42"/>
      <c r="CH245" s="42"/>
      <c r="CI245" s="25"/>
      <c r="CJ245" s="25"/>
      <c r="CK245" s="25"/>
      <c r="CL245" s="25"/>
      <c r="CM245" s="25"/>
      <c r="CN245" s="25"/>
      <c r="CO245" s="25"/>
      <c r="CP245" s="25"/>
      <c r="CQ245" s="25"/>
      <c r="CV245" s="38"/>
      <c r="CW245" s="38"/>
      <c r="CX245" s="29"/>
      <c r="CY245" s="29"/>
      <c r="CZ245" s="29"/>
      <c r="DA245" s="29"/>
      <c r="DB245" s="29"/>
      <c r="DC245" s="29"/>
      <c r="DD245" s="29"/>
      <c r="DE245" s="29"/>
      <c r="DF245" s="29"/>
      <c r="DG245" s="29"/>
      <c r="DH245" s="29"/>
      <c r="DI245" s="29"/>
      <c r="DJ245" s="29"/>
    </row>
    <row r="246" spans="3:114" ht="14.25" customHeight="1">
      <c r="C246" s="29"/>
      <c r="D246" s="695"/>
      <c r="E246" s="562"/>
      <c r="F246" s="1246"/>
      <c r="G246" s="1245"/>
      <c r="H246" s="1245"/>
      <c r="I246" s="1245"/>
      <c r="J246" s="1245"/>
      <c r="K246" s="1245"/>
      <c r="L246" s="563"/>
      <c r="M246" s="563"/>
      <c r="N246" s="563"/>
      <c r="O246" s="563"/>
      <c r="P246" s="563"/>
      <c r="Q246" s="563"/>
      <c r="R246" s="310"/>
      <c r="S246" s="563"/>
      <c r="T246" s="566"/>
      <c r="U246" s="25"/>
      <c r="V246" s="25"/>
      <c r="W246" s="310"/>
      <c r="X246" s="9"/>
      <c r="Y246" s="9"/>
      <c r="Z246" s="9"/>
      <c r="AA246" s="9"/>
      <c r="AB246" s="9"/>
      <c r="AC246" s="9"/>
      <c r="AD246" s="9"/>
      <c r="AE246" s="25"/>
      <c r="AF246" s="25"/>
      <c r="AG246" s="25"/>
      <c r="AH246" s="25"/>
      <c r="AI246" s="25"/>
      <c r="AJ246" s="1215"/>
      <c r="AK246" s="1142"/>
      <c r="AL246" s="25"/>
      <c r="CG246" s="42"/>
      <c r="CH246" s="42"/>
      <c r="CI246" s="25"/>
      <c r="CJ246" s="25"/>
      <c r="CK246" s="25"/>
      <c r="CL246" s="25"/>
      <c r="CM246" s="25"/>
      <c r="CN246" s="25"/>
      <c r="CO246" s="25"/>
      <c r="CP246" s="25"/>
      <c r="CQ246" s="25"/>
      <c r="CV246" s="38"/>
      <c r="CW246" s="38"/>
      <c r="CX246" s="29"/>
      <c r="CY246" s="29"/>
      <c r="CZ246" s="29"/>
      <c r="DA246" s="29"/>
      <c r="DB246" s="29"/>
      <c r="DC246" s="29"/>
      <c r="DD246" s="29"/>
      <c r="DE246" s="29"/>
      <c r="DF246" s="29"/>
      <c r="DG246" s="29"/>
      <c r="DH246" s="29"/>
      <c r="DI246" s="29"/>
      <c r="DJ246" s="29"/>
    </row>
    <row r="247" spans="3:114" ht="14.25" customHeight="1">
      <c r="C247" s="29"/>
      <c r="D247" s="695"/>
      <c r="E247" s="562"/>
      <c r="F247" s="1246"/>
      <c r="G247" s="1245"/>
      <c r="H247" s="1245"/>
      <c r="I247" s="1245"/>
      <c r="J247" s="1245"/>
      <c r="K247" s="1245"/>
      <c r="L247" s="563"/>
      <c r="M247" s="563"/>
      <c r="N247" s="563"/>
      <c r="O247" s="563"/>
      <c r="P247" s="563"/>
      <c r="Q247" s="563"/>
      <c r="R247" s="310"/>
      <c r="S247" s="563"/>
      <c r="T247" s="566"/>
      <c r="U247" s="25"/>
      <c r="V247" s="25"/>
      <c r="W247" s="310"/>
      <c r="Y247" s="9"/>
      <c r="Z247" s="9"/>
      <c r="AA247" s="9"/>
      <c r="AB247" s="9"/>
      <c r="AC247" s="9"/>
      <c r="AD247" s="9"/>
      <c r="AE247" s="25"/>
      <c r="AF247" s="25"/>
      <c r="AG247" s="25"/>
      <c r="AH247" s="25"/>
      <c r="AI247" s="25"/>
      <c r="AJ247" s="1215"/>
      <c r="AK247" s="1142"/>
      <c r="AL247" s="25"/>
      <c r="CG247" s="42"/>
      <c r="CH247" s="42"/>
      <c r="CI247" s="25"/>
      <c r="CJ247" s="25"/>
      <c r="CK247" s="25"/>
      <c r="CL247" s="25"/>
      <c r="CM247" s="25"/>
      <c r="CN247" s="25"/>
      <c r="CO247" s="25"/>
      <c r="CP247" s="25"/>
      <c r="CQ247" s="25"/>
      <c r="CV247" s="38"/>
      <c r="CW247" s="38"/>
      <c r="CX247" s="29"/>
      <c r="CY247" s="29"/>
      <c r="CZ247" s="29"/>
      <c r="DA247" s="29"/>
      <c r="DB247" s="29"/>
      <c r="DC247" s="29"/>
      <c r="DD247" s="29"/>
      <c r="DE247" s="29"/>
      <c r="DF247" s="29"/>
      <c r="DG247" s="29"/>
      <c r="DH247" s="29"/>
      <c r="DI247" s="29"/>
      <c r="DJ247" s="29"/>
    </row>
    <row r="248" spans="3:114" ht="14.25" customHeight="1">
      <c r="C248" s="29"/>
      <c r="D248" s="695"/>
      <c r="E248" s="564"/>
      <c r="F248" s="1246"/>
      <c r="G248" s="1245"/>
      <c r="H248" s="1245"/>
      <c r="I248" s="1245"/>
      <c r="J248" s="1245"/>
      <c r="K248" s="1245"/>
      <c r="L248" s="563"/>
      <c r="M248" s="563"/>
      <c r="N248" s="563"/>
      <c r="O248" s="563"/>
      <c r="P248" s="563"/>
      <c r="Q248" s="563"/>
      <c r="R248" s="563"/>
      <c r="S248" s="563"/>
      <c r="T248" s="566"/>
      <c r="U248" s="25"/>
      <c r="V248" s="25"/>
      <c r="W248" s="310"/>
      <c r="X248" s="9"/>
      <c r="Y248" s="9"/>
      <c r="Z248" s="9"/>
      <c r="AA248" s="9"/>
      <c r="AB248" s="9"/>
      <c r="AC248" s="9"/>
      <c r="AD248" s="9"/>
      <c r="AE248" s="25"/>
      <c r="AF248" s="25"/>
      <c r="AG248" s="25"/>
      <c r="AH248" s="25"/>
      <c r="AI248" s="25"/>
      <c r="AJ248" s="1215"/>
      <c r="AK248" s="1142"/>
      <c r="AL248" s="565"/>
      <c r="CG248" s="42"/>
      <c r="CH248" s="42"/>
      <c r="CI248" s="25"/>
      <c r="CJ248" s="25"/>
      <c r="CK248" s="25"/>
      <c r="CL248" s="25"/>
      <c r="CM248" s="25"/>
      <c r="CN248" s="25"/>
      <c r="CO248" s="25"/>
      <c r="CP248" s="25"/>
      <c r="CQ248" s="25"/>
      <c r="CV248" s="38"/>
      <c r="CW248" s="38"/>
      <c r="CX248" s="29"/>
      <c r="CY248" s="29"/>
      <c r="CZ248" s="29"/>
      <c r="DA248" s="29"/>
      <c r="DB248" s="29"/>
      <c r="DC248" s="29"/>
      <c r="DD248" s="29"/>
      <c r="DE248" s="29"/>
      <c r="DF248" s="29"/>
      <c r="DG248" s="29"/>
      <c r="DH248" s="29"/>
      <c r="DI248" s="29"/>
      <c r="DJ248" s="29"/>
    </row>
    <row r="249" spans="3:114" ht="14.25" customHeight="1">
      <c r="C249" s="29"/>
      <c r="D249" s="695"/>
      <c r="E249" s="61"/>
      <c r="F249" s="1245"/>
      <c r="G249" s="1245"/>
      <c r="H249" s="1245"/>
      <c r="I249" s="1245"/>
      <c r="J249" s="1245"/>
      <c r="K249" s="1245"/>
      <c r="L249" s="566"/>
      <c r="M249" s="566"/>
      <c r="N249" s="566"/>
      <c r="O249" s="566"/>
      <c r="P249" s="566"/>
      <c r="Q249" s="566"/>
      <c r="R249" s="566"/>
      <c r="S249" s="566"/>
      <c r="T249" s="566"/>
      <c r="U249" s="25"/>
      <c r="V249" s="25"/>
      <c r="W249" s="310"/>
      <c r="X249" s="9"/>
      <c r="Y249" s="9"/>
      <c r="Z249" s="9"/>
      <c r="AA249" s="9"/>
      <c r="AB249" s="9"/>
      <c r="AC249" s="9"/>
      <c r="AD249" s="9"/>
      <c r="AE249" s="25"/>
      <c r="AF249" s="25"/>
      <c r="AG249" s="25"/>
      <c r="AH249" s="25"/>
      <c r="AI249" s="25"/>
      <c r="AJ249" s="1215"/>
      <c r="AK249" s="1142"/>
      <c r="AL249" s="565"/>
      <c r="CV249" s="38"/>
      <c r="CW249" s="38"/>
      <c r="CX249" s="29"/>
      <c r="CY249" s="29"/>
      <c r="CZ249" s="29"/>
      <c r="DA249" s="29"/>
      <c r="DB249" s="29"/>
      <c r="DC249" s="29"/>
      <c r="DD249" s="29"/>
      <c r="DE249" s="29"/>
      <c r="DF249" s="29"/>
      <c r="DG249" s="29"/>
      <c r="DH249" s="29"/>
      <c r="DI249" s="29"/>
      <c r="DJ249" s="29"/>
    </row>
    <row r="250" spans="3:114" ht="14.25" customHeight="1">
      <c r="C250" s="29"/>
      <c r="D250" s="695"/>
      <c r="E250" s="61"/>
      <c r="F250" s="1245"/>
      <c r="G250" s="1245"/>
      <c r="H250" s="1245"/>
      <c r="I250" s="1245"/>
      <c r="J250" s="1245"/>
      <c r="K250" s="1245"/>
      <c r="L250" s="563"/>
      <c r="M250" s="563"/>
      <c r="N250" s="563"/>
      <c r="O250" s="563"/>
      <c r="P250" s="563"/>
      <c r="Q250" s="563"/>
      <c r="R250" s="563"/>
      <c r="S250" s="563"/>
      <c r="T250" s="566"/>
      <c r="U250" s="25"/>
      <c r="V250" s="25"/>
      <c r="W250" s="310"/>
      <c r="X250" s="9"/>
      <c r="Y250" s="9"/>
      <c r="Z250" s="9"/>
      <c r="AA250" s="9"/>
      <c r="AB250" s="9"/>
      <c r="AC250" s="9"/>
      <c r="AD250" s="9"/>
      <c r="AE250" s="25"/>
      <c r="AF250" s="25"/>
      <c r="AG250" s="25"/>
      <c r="AH250" s="25"/>
      <c r="AI250" s="25"/>
      <c r="AJ250" s="1215"/>
      <c r="AK250" s="1142"/>
      <c r="AL250" s="565"/>
      <c r="CV250" s="38"/>
      <c r="CW250" s="38"/>
      <c r="CX250" s="29"/>
      <c r="CY250" s="29"/>
      <c r="CZ250" s="29"/>
      <c r="DA250" s="29"/>
      <c r="DB250" s="29"/>
      <c r="DC250" s="29"/>
      <c r="DD250" s="29"/>
      <c r="DE250" s="29"/>
      <c r="DF250" s="29"/>
      <c r="DG250" s="29"/>
      <c r="DH250" s="29"/>
      <c r="DI250" s="29"/>
      <c r="DJ250" s="29"/>
    </row>
    <row r="251" spans="3:114" ht="14.25" customHeight="1">
      <c r="C251" s="29"/>
      <c r="D251" s="695"/>
      <c r="E251" s="61"/>
      <c r="F251" s="1245"/>
      <c r="G251" s="1245"/>
      <c r="H251" s="1245"/>
      <c r="I251" s="1245"/>
      <c r="J251" s="1245"/>
      <c r="K251" s="1245"/>
      <c r="L251" s="563"/>
      <c r="M251" s="563"/>
      <c r="N251" s="563"/>
      <c r="O251" s="563"/>
      <c r="P251" s="563"/>
      <c r="Q251" s="563"/>
      <c r="R251" s="563"/>
      <c r="S251" s="563"/>
      <c r="T251" s="566"/>
      <c r="U251" s="1215"/>
      <c r="V251" s="1215"/>
      <c r="W251" s="310"/>
      <c r="X251" s="9"/>
      <c r="Y251" s="9"/>
      <c r="Z251" s="9"/>
      <c r="AA251" s="9"/>
      <c r="AB251" s="9"/>
      <c r="AC251" s="9"/>
      <c r="AD251" s="9"/>
      <c r="AE251" s="25"/>
      <c r="AF251" s="25"/>
      <c r="AG251" s="25"/>
      <c r="AH251" s="25"/>
      <c r="AI251" s="25"/>
      <c r="AJ251" s="1215"/>
      <c r="AK251" s="1142"/>
      <c r="AL251" s="565"/>
      <c r="CV251" s="38"/>
      <c r="CW251" s="38"/>
      <c r="CX251" s="29"/>
      <c r="CY251" s="29"/>
      <c r="CZ251" s="29"/>
      <c r="DA251" s="29"/>
      <c r="DB251" s="29"/>
      <c r="DC251" s="29"/>
      <c r="DD251" s="29"/>
      <c r="DE251" s="29"/>
      <c r="DF251" s="29"/>
      <c r="DG251" s="29"/>
      <c r="DH251" s="29"/>
      <c r="DI251" s="29"/>
      <c r="DJ251" s="29"/>
    </row>
    <row r="252" spans="3:114" ht="14.25" customHeight="1">
      <c r="C252" s="29"/>
      <c r="D252" s="695"/>
      <c r="E252" s="61"/>
      <c r="F252" s="1245"/>
      <c r="G252" s="1245"/>
      <c r="H252" s="1245"/>
      <c r="I252" s="1245"/>
      <c r="J252" s="1245"/>
      <c r="K252" s="1245"/>
      <c r="L252" s="563"/>
      <c r="M252" s="563"/>
      <c r="N252" s="563"/>
      <c r="O252" s="563"/>
      <c r="P252" s="563"/>
      <c r="Q252" s="563"/>
      <c r="R252" s="563"/>
      <c r="S252" s="563"/>
      <c r="T252" s="566"/>
      <c r="U252" s="25"/>
      <c r="V252" s="25"/>
      <c r="W252" s="310"/>
      <c r="X252" s="9"/>
      <c r="Y252" s="9"/>
      <c r="Z252" s="9"/>
      <c r="AA252" s="9"/>
      <c r="AB252" s="9"/>
      <c r="AC252" s="9"/>
      <c r="AD252" s="9"/>
      <c r="AE252" s="25"/>
      <c r="AF252" s="25"/>
      <c r="AG252" s="25"/>
      <c r="AH252" s="25"/>
      <c r="AI252" s="25"/>
      <c r="AJ252" s="1215"/>
      <c r="AK252" s="1142"/>
      <c r="AL252" s="565"/>
      <c r="CS252" s="227"/>
      <c r="CV252" s="38"/>
      <c r="CW252" s="38"/>
      <c r="CX252" s="29"/>
      <c r="CY252" s="29"/>
      <c r="CZ252" s="29"/>
      <c r="DA252" s="29"/>
      <c r="DB252" s="29"/>
      <c r="DC252" s="29"/>
      <c r="DD252" s="29"/>
      <c r="DE252" s="29"/>
      <c r="DF252" s="29"/>
      <c r="DG252" s="29"/>
      <c r="DH252" s="29"/>
      <c r="DI252" s="29"/>
      <c r="DJ252" s="29"/>
    </row>
    <row r="253" spans="3:114" ht="14.25" customHeight="1">
      <c r="C253" s="29"/>
      <c r="D253" s="695"/>
      <c r="E253" s="61"/>
      <c r="F253" s="1245"/>
      <c r="G253" s="1245"/>
      <c r="H253" s="1245"/>
      <c r="I253" s="1245"/>
      <c r="J253" s="1245"/>
      <c r="K253" s="1245"/>
      <c r="L253" s="563"/>
      <c r="M253" s="563"/>
      <c r="N253" s="563"/>
      <c r="O253" s="563"/>
      <c r="P253" s="563"/>
      <c r="Q253" s="563"/>
      <c r="R253" s="563"/>
      <c r="S253" s="563"/>
      <c r="T253" s="566"/>
      <c r="U253" s="25"/>
      <c r="V253" s="25"/>
      <c r="W253" s="1141"/>
      <c r="X253" s="9"/>
      <c r="Y253" s="1141"/>
      <c r="Z253" s="9"/>
      <c r="AA253" s="9"/>
      <c r="AB253" s="9"/>
      <c r="AC253" s="9"/>
      <c r="AD253" s="9"/>
      <c r="AE253" s="25"/>
      <c r="AF253" s="25"/>
      <c r="AG253" s="25"/>
      <c r="AH253" s="25"/>
      <c r="AI253" s="25"/>
      <c r="AJ253" s="1215"/>
      <c r="AK253" s="1142"/>
      <c r="AL253" s="565"/>
      <c r="CV253" s="38"/>
      <c r="CW253" s="38"/>
      <c r="CX253" s="29"/>
      <c r="CY253" s="29"/>
      <c r="CZ253" s="29"/>
      <c r="DA253" s="29"/>
      <c r="DB253" s="29"/>
      <c r="DC253" s="29"/>
      <c r="DD253" s="29"/>
      <c r="DE253" s="29"/>
      <c r="DF253" s="29"/>
      <c r="DG253" s="29"/>
      <c r="DH253" s="29"/>
      <c r="DI253" s="29"/>
      <c r="DJ253" s="29"/>
    </row>
    <row r="254" spans="3:114" ht="13.8" customHeight="1">
      <c r="C254" s="29"/>
      <c r="D254" s="695"/>
      <c r="E254" s="562"/>
      <c r="F254" s="1246"/>
      <c r="G254" s="1245"/>
      <c r="H254" s="1245"/>
      <c r="I254" s="1245"/>
      <c r="J254" s="1245"/>
      <c r="K254" s="1245"/>
      <c r="L254" s="310"/>
      <c r="M254" s="310"/>
      <c r="N254" s="310"/>
      <c r="O254" s="310"/>
      <c r="P254" s="310"/>
      <c r="Q254" s="310"/>
      <c r="R254" s="310"/>
      <c r="S254" s="310"/>
      <c r="T254" s="566"/>
      <c r="U254" s="25"/>
      <c r="V254" s="25"/>
      <c r="W254" s="310"/>
      <c r="X254" s="9"/>
      <c r="Y254" s="310"/>
      <c r="Z254" s="9"/>
      <c r="AA254" s="9"/>
      <c r="AB254" s="9"/>
      <c r="AC254" s="9"/>
      <c r="AD254" s="9"/>
      <c r="AE254" s="25"/>
      <c r="AF254" s="25"/>
      <c r="AG254" s="25"/>
      <c r="AH254" s="25"/>
      <c r="AI254" s="25"/>
      <c r="AJ254" s="1215"/>
      <c r="AK254" s="1142"/>
      <c r="AL254" s="565"/>
      <c r="CV254" s="38"/>
      <c r="CW254" s="38"/>
      <c r="CX254" s="29"/>
      <c r="CY254" s="29"/>
      <c r="CZ254" s="29"/>
      <c r="DA254" s="29"/>
      <c r="DB254" s="29"/>
      <c r="DC254" s="29"/>
      <c r="DD254" s="29"/>
      <c r="DE254" s="29"/>
      <c r="DF254" s="29"/>
      <c r="DG254" s="29"/>
      <c r="DH254" s="29"/>
      <c r="DI254" s="29"/>
      <c r="DJ254" s="29"/>
    </row>
    <row r="255" spans="3:114" ht="14.25" customHeight="1">
      <c r="C255" s="29"/>
      <c r="D255" s="695"/>
      <c r="E255" s="562"/>
      <c r="F255" s="1246"/>
      <c r="G255" s="1245"/>
      <c r="H255" s="1245"/>
      <c r="I255" s="1245"/>
      <c r="J255" s="1245"/>
      <c r="K255" s="1245"/>
      <c r="L255" s="563"/>
      <c r="M255" s="563"/>
      <c r="N255" s="563"/>
      <c r="O255" s="563"/>
      <c r="P255" s="563"/>
      <c r="Q255" s="563"/>
      <c r="R255" s="563"/>
      <c r="S255" s="563"/>
      <c r="T255" s="566"/>
      <c r="U255" s="25"/>
      <c r="V255" s="25"/>
      <c r="W255" s="310"/>
      <c r="X255" s="9"/>
      <c r="Y255" s="9"/>
      <c r="Z255" s="9"/>
      <c r="AA255" s="9"/>
      <c r="AB255" s="9"/>
      <c r="AC255" s="9"/>
      <c r="AE255" s="25"/>
      <c r="AF255" s="25"/>
      <c r="AG255" s="25"/>
      <c r="AH255" s="25"/>
      <c r="AI255" s="25"/>
      <c r="AJ255" s="1215"/>
      <c r="AK255" s="1142"/>
      <c r="AL255" s="25"/>
      <c r="CV255" s="38"/>
      <c r="CW255" s="38"/>
      <c r="CX255" s="29"/>
      <c r="CY255" s="29"/>
      <c r="CZ255" s="29"/>
      <c r="DA255" s="29"/>
      <c r="DB255" s="29"/>
      <c r="DC255" s="29"/>
      <c r="DD255" s="29"/>
      <c r="DE255" s="29"/>
      <c r="DF255" s="29"/>
      <c r="DG255" s="29"/>
      <c r="DH255" s="29"/>
      <c r="DI255" s="29"/>
      <c r="DJ255" s="29"/>
    </row>
    <row r="256" spans="3:114" ht="14.25" customHeight="1">
      <c r="C256" s="29"/>
      <c r="D256" s="695"/>
      <c r="E256" s="562"/>
      <c r="F256" s="1246"/>
      <c r="G256" s="1245"/>
      <c r="H256" s="1245"/>
      <c r="I256" s="1245"/>
      <c r="J256" s="1245"/>
      <c r="K256" s="1245"/>
      <c r="L256" s="310"/>
      <c r="M256" s="310"/>
      <c r="N256" s="310"/>
      <c r="O256" s="310"/>
      <c r="P256" s="310"/>
      <c r="Q256" s="310"/>
      <c r="R256" s="310"/>
      <c r="S256" s="310"/>
      <c r="T256" s="566"/>
      <c r="U256" s="25"/>
      <c r="V256" s="25"/>
      <c r="W256" s="310"/>
      <c r="X256" s="9"/>
      <c r="Y256" s="310"/>
      <c r="Z256" s="9"/>
      <c r="AA256" s="310"/>
      <c r="AB256" s="9"/>
      <c r="AC256" s="310"/>
      <c r="AD256" s="9"/>
      <c r="AE256" s="25"/>
      <c r="AF256" s="25"/>
      <c r="AG256" s="25"/>
      <c r="AH256" s="25"/>
      <c r="AI256" s="25"/>
      <c r="AJ256" s="1215"/>
      <c r="AK256" s="1142"/>
      <c r="AL256" s="25"/>
      <c r="CV256" s="38"/>
      <c r="CW256" s="38"/>
      <c r="CX256" s="29"/>
      <c r="CY256" s="29"/>
      <c r="CZ256" s="29"/>
      <c r="DA256" s="29"/>
      <c r="DB256" s="29"/>
      <c r="DC256" s="29"/>
      <c r="DD256" s="29"/>
      <c r="DE256" s="29"/>
      <c r="DF256" s="29"/>
      <c r="DG256" s="29"/>
      <c r="DH256" s="29"/>
      <c r="DI256" s="29"/>
      <c r="DJ256" s="29"/>
    </row>
    <row r="257" spans="3:114" ht="14.25" customHeight="1">
      <c r="C257" s="29"/>
      <c r="D257" s="695"/>
      <c r="E257" s="562"/>
      <c r="F257" s="1246"/>
      <c r="G257" s="1245"/>
      <c r="H257" s="1245"/>
      <c r="I257" s="1245"/>
      <c r="J257" s="1245"/>
      <c r="K257" s="1245"/>
      <c r="L257" s="310"/>
      <c r="M257" s="310"/>
      <c r="N257" s="310"/>
      <c r="O257" s="310"/>
      <c r="P257" s="310"/>
      <c r="Q257" s="310"/>
      <c r="R257" s="310"/>
      <c r="S257" s="310"/>
      <c r="T257" s="566"/>
      <c r="U257" s="25"/>
      <c r="V257" s="25"/>
      <c r="W257" s="310"/>
      <c r="X257" s="9"/>
      <c r="Y257" s="310"/>
      <c r="Z257" s="9"/>
      <c r="AA257" s="310"/>
      <c r="AB257" s="9"/>
      <c r="AC257" s="310"/>
      <c r="AD257" s="9"/>
      <c r="AE257" s="25"/>
      <c r="AF257" s="25"/>
      <c r="AG257" s="25"/>
      <c r="AH257" s="25"/>
      <c r="AI257" s="25"/>
      <c r="AJ257" s="1215"/>
      <c r="AK257" s="1142"/>
      <c r="AL257" s="25"/>
      <c r="CS257" s="227"/>
      <c r="CV257" s="38"/>
      <c r="CW257" s="38"/>
      <c r="CX257" s="29"/>
      <c r="CY257" s="29"/>
      <c r="CZ257" s="29"/>
      <c r="DA257" s="29"/>
      <c r="DB257" s="29"/>
      <c r="DC257" s="29"/>
      <c r="DD257" s="29"/>
      <c r="DE257" s="29"/>
      <c r="DF257" s="29"/>
      <c r="DG257" s="29"/>
      <c r="DH257" s="29"/>
      <c r="DI257" s="29"/>
      <c r="DJ257" s="29"/>
    </row>
    <row r="258" spans="3:114" ht="13.8" customHeight="1">
      <c r="C258" s="29"/>
      <c r="D258" s="695"/>
      <c r="E258" s="564"/>
      <c r="F258" s="1246"/>
      <c r="G258" s="1245"/>
      <c r="H258" s="1245"/>
      <c r="I258" s="1245"/>
      <c r="J258" s="1245"/>
      <c r="K258" s="1245"/>
      <c r="L258" s="310"/>
      <c r="M258" s="310"/>
      <c r="N258" s="310"/>
      <c r="O258" s="310"/>
      <c r="P258" s="310"/>
      <c r="Q258" s="310"/>
      <c r="R258" s="310"/>
      <c r="S258" s="310"/>
      <c r="T258" s="566"/>
      <c r="U258" s="25"/>
      <c r="V258" s="25"/>
      <c r="W258" s="310"/>
      <c r="X258" s="9"/>
      <c r="Y258" s="9"/>
      <c r="Z258" s="9"/>
      <c r="AA258" s="9"/>
      <c r="AB258" s="9"/>
      <c r="AC258" s="9"/>
      <c r="AD258" s="9"/>
      <c r="AE258" s="25"/>
      <c r="AF258" s="25"/>
      <c r="AG258" s="25"/>
      <c r="AH258" s="25"/>
      <c r="AI258" s="25"/>
      <c r="AJ258" s="1215"/>
      <c r="AK258" s="1142"/>
      <c r="AL258" s="25"/>
      <c r="CV258" s="38"/>
      <c r="CW258" s="38"/>
      <c r="CX258" s="29"/>
      <c r="CY258" s="29"/>
      <c r="CZ258" s="29"/>
      <c r="DA258" s="29"/>
      <c r="DB258" s="29"/>
      <c r="DC258" s="29"/>
      <c r="DD258" s="29"/>
      <c r="DE258" s="29"/>
      <c r="DF258" s="29"/>
      <c r="DG258" s="29"/>
      <c r="DH258" s="29"/>
      <c r="DI258" s="29"/>
      <c r="DJ258" s="29"/>
    </row>
    <row r="259" spans="3:114" ht="14.25" customHeight="1">
      <c r="C259" s="29"/>
      <c r="D259" s="695"/>
      <c r="E259" s="561"/>
      <c r="F259" s="1246"/>
      <c r="G259" s="1245"/>
      <c r="H259" s="1245"/>
      <c r="I259" s="1245"/>
      <c r="J259" s="1245"/>
      <c r="K259" s="1245"/>
      <c r="L259" s="1214"/>
      <c r="M259" s="1214"/>
      <c r="N259" s="1214"/>
      <c r="O259" s="1214"/>
      <c r="P259" s="1214"/>
      <c r="Q259" s="1214"/>
      <c r="R259" s="1214"/>
      <c r="S259" s="1214"/>
      <c r="T259" s="566"/>
      <c r="U259" s="25"/>
      <c r="V259" s="25"/>
      <c r="W259" s="310"/>
      <c r="X259" s="9"/>
      <c r="Y259" s="310"/>
      <c r="Z259" s="9"/>
      <c r="AA259" s="310"/>
      <c r="AB259" s="9"/>
      <c r="AC259" s="310"/>
      <c r="AD259" s="9"/>
      <c r="AE259" s="25"/>
      <c r="AF259" s="25"/>
      <c r="AG259" s="25"/>
      <c r="AH259" s="25"/>
      <c r="AI259" s="25"/>
      <c r="AJ259" s="1215"/>
      <c r="AK259" s="1142"/>
      <c r="AL259" s="25"/>
      <c r="CV259" s="38"/>
      <c r="CW259" s="38"/>
      <c r="CX259" s="29"/>
      <c r="CY259" s="29"/>
      <c r="CZ259" s="29"/>
      <c r="DA259" s="29"/>
      <c r="DB259" s="29"/>
      <c r="DC259" s="29"/>
      <c r="DD259" s="29"/>
      <c r="DE259" s="29"/>
      <c r="DF259" s="29"/>
      <c r="DG259" s="29"/>
      <c r="DH259" s="29"/>
      <c r="DI259" s="29"/>
      <c r="DJ259" s="29"/>
    </row>
    <row r="260" spans="3:114" ht="14.25" customHeight="1">
      <c r="C260" s="29"/>
      <c r="D260" s="695"/>
      <c r="E260" s="562"/>
      <c r="F260" s="1246"/>
      <c r="G260" s="1245"/>
      <c r="H260" s="1245"/>
      <c r="I260" s="1245"/>
      <c r="J260" s="1245"/>
      <c r="K260" s="1245"/>
      <c r="L260" s="310"/>
      <c r="M260" s="310"/>
      <c r="N260" s="310"/>
      <c r="O260" s="310"/>
      <c r="P260" s="310"/>
      <c r="Q260" s="310"/>
      <c r="R260" s="310"/>
      <c r="S260" s="310"/>
      <c r="T260" s="566"/>
      <c r="U260" s="25"/>
      <c r="V260" s="25"/>
      <c r="W260" s="310"/>
      <c r="X260" s="9"/>
      <c r="Y260" s="9"/>
      <c r="Z260" s="9"/>
      <c r="AA260" s="9"/>
      <c r="AB260" s="9"/>
      <c r="AC260" s="9"/>
      <c r="AD260" s="9"/>
      <c r="AE260" s="25"/>
      <c r="AF260" s="25"/>
      <c r="AG260" s="25"/>
      <c r="AH260" s="25"/>
      <c r="AI260" s="25"/>
      <c r="AJ260" s="1215"/>
      <c r="AK260" s="1142"/>
      <c r="AL260" s="25"/>
      <c r="CS260" s="227"/>
      <c r="CV260" s="38"/>
      <c r="CW260" s="38"/>
      <c r="CX260" s="29"/>
      <c r="CY260" s="29"/>
      <c r="CZ260" s="29"/>
      <c r="DA260" s="29"/>
      <c r="DB260" s="29"/>
      <c r="DC260" s="29"/>
      <c r="DD260" s="29"/>
      <c r="DE260" s="29"/>
      <c r="DF260" s="29"/>
      <c r="DG260" s="29"/>
      <c r="DH260" s="29"/>
      <c r="DI260" s="29"/>
      <c r="DJ260" s="29"/>
    </row>
    <row r="261" spans="3:114" ht="14.25" customHeight="1">
      <c r="C261" s="29"/>
      <c r="D261" s="695"/>
      <c r="E261" s="562"/>
      <c r="F261" s="1246"/>
      <c r="G261" s="1245"/>
      <c r="H261" s="1245"/>
      <c r="I261" s="1245"/>
      <c r="J261" s="1245"/>
      <c r="K261" s="1245"/>
      <c r="L261" s="310"/>
      <c r="M261" s="310"/>
      <c r="N261" s="310"/>
      <c r="O261" s="310"/>
      <c r="P261" s="310"/>
      <c r="Q261" s="310"/>
      <c r="R261" s="310"/>
      <c r="S261" s="310"/>
      <c r="T261" s="566"/>
      <c r="U261" s="25"/>
      <c r="V261" s="25"/>
      <c r="W261" s="1216"/>
      <c r="X261" s="1217"/>
      <c r="Y261" s="1216"/>
      <c r="Z261" s="1217"/>
      <c r="AA261" s="1216"/>
      <c r="AB261" s="1217"/>
      <c r="AC261" s="1216"/>
      <c r="AD261" s="9"/>
      <c r="AE261" s="25"/>
      <c r="AF261" s="25"/>
      <c r="AG261" s="25"/>
      <c r="AH261" s="25"/>
      <c r="AI261" s="25"/>
      <c r="AJ261" s="1215"/>
      <c r="AK261" s="1142"/>
      <c r="AL261" s="25"/>
      <c r="CV261" s="38"/>
      <c r="CW261" s="38"/>
      <c r="CX261" s="29"/>
      <c r="CY261" s="29"/>
      <c r="CZ261" s="29"/>
      <c r="DA261" s="29"/>
      <c r="DB261" s="29"/>
      <c r="DC261" s="29"/>
      <c r="DD261" s="29"/>
      <c r="DE261" s="29"/>
      <c r="DF261" s="29"/>
      <c r="DG261" s="29"/>
      <c r="DH261" s="29"/>
      <c r="DI261" s="29"/>
      <c r="DJ261" s="29"/>
    </row>
    <row r="262" spans="3:114" ht="14.25" customHeight="1">
      <c r="C262" s="29"/>
      <c r="D262" s="695"/>
      <c r="E262" s="564"/>
      <c r="F262" s="1246"/>
      <c r="G262" s="1245"/>
      <c r="H262" s="1245"/>
      <c r="I262" s="1245"/>
      <c r="J262" s="1245"/>
      <c r="K262" s="1245"/>
      <c r="L262" s="310"/>
      <c r="M262" s="310"/>
      <c r="N262" s="310"/>
      <c r="O262" s="310"/>
      <c r="P262" s="310"/>
      <c r="Q262" s="310"/>
      <c r="R262" s="310"/>
      <c r="S262" s="310"/>
      <c r="T262" s="566"/>
      <c r="U262" s="25"/>
      <c r="V262" s="25"/>
      <c r="W262" s="310"/>
      <c r="X262" s="9"/>
      <c r="Y262" s="9"/>
      <c r="Z262" s="9"/>
      <c r="AA262" s="9"/>
      <c r="AB262" s="9"/>
      <c r="AC262" s="9"/>
      <c r="AD262" s="9"/>
      <c r="AE262" s="25"/>
      <c r="AF262" s="25"/>
      <c r="AG262" s="25"/>
      <c r="AH262" s="25"/>
      <c r="AI262" s="25"/>
      <c r="AJ262" s="1215"/>
      <c r="AK262" s="1142"/>
      <c r="AL262" s="25"/>
      <c r="CV262" s="38"/>
      <c r="CW262" s="38"/>
      <c r="CX262" s="29"/>
      <c r="CY262" s="29"/>
      <c r="CZ262" s="29"/>
      <c r="DA262" s="29"/>
      <c r="DB262" s="29"/>
      <c r="DC262" s="29"/>
      <c r="DD262" s="29"/>
      <c r="DE262" s="29"/>
      <c r="DF262" s="29"/>
      <c r="DG262" s="29"/>
      <c r="DH262" s="29"/>
      <c r="DI262" s="29"/>
      <c r="DJ262" s="29"/>
    </row>
    <row r="263" spans="3:114" ht="14.25" customHeight="1">
      <c r="C263" s="29"/>
      <c r="D263" s="695"/>
      <c r="E263" s="561"/>
      <c r="F263" s="1247"/>
      <c r="G263" s="1248"/>
      <c r="H263" s="1248"/>
      <c r="I263" s="1248"/>
      <c r="J263" s="1248"/>
      <c r="K263" s="1248"/>
      <c r="L263" s="1141"/>
      <c r="M263" s="1141"/>
      <c r="N263" s="1141"/>
      <c r="O263" s="1141"/>
      <c r="P263" s="1141"/>
      <c r="Q263" s="1141"/>
      <c r="R263" s="1141"/>
      <c r="S263" s="1141"/>
      <c r="T263" s="566"/>
      <c r="U263" s="25"/>
      <c r="V263" s="25"/>
      <c r="W263" s="1216"/>
      <c r="X263" s="1217"/>
      <c r="Y263" s="1216"/>
      <c r="Z263" s="9"/>
      <c r="AA263" s="9"/>
      <c r="AB263" s="9"/>
      <c r="AC263" s="9"/>
      <c r="AD263" s="9"/>
      <c r="AE263" s="25"/>
      <c r="AF263" s="25"/>
      <c r="AG263" s="25"/>
      <c r="AH263" s="25"/>
      <c r="AI263" s="25"/>
      <c r="AJ263" s="1215"/>
      <c r="AK263" s="1142"/>
      <c r="AL263" s="25"/>
      <c r="CV263" s="38"/>
      <c r="CW263" s="38"/>
      <c r="CX263" s="29"/>
      <c r="CY263" s="29"/>
      <c r="CZ263" s="29"/>
      <c r="DA263" s="29"/>
      <c r="DB263" s="29"/>
      <c r="DC263" s="29"/>
      <c r="DD263" s="29"/>
      <c r="DE263" s="29"/>
      <c r="DF263" s="29"/>
      <c r="DG263" s="29"/>
      <c r="DH263" s="29"/>
      <c r="DI263" s="29"/>
      <c r="DJ263" s="29"/>
    </row>
    <row r="264" spans="3:114" ht="14.25" customHeight="1">
      <c r="C264" s="29"/>
      <c r="D264" s="695"/>
      <c r="E264" s="562"/>
      <c r="F264" s="1249"/>
      <c r="G264" s="1245"/>
      <c r="H264" s="1245"/>
      <c r="I264" s="1245"/>
      <c r="J264" s="1245"/>
      <c r="K264" s="1245"/>
      <c r="L264" s="310"/>
      <c r="M264" s="310"/>
      <c r="N264" s="310"/>
      <c r="O264" s="310"/>
      <c r="P264" s="310"/>
      <c r="Q264" s="310"/>
      <c r="R264" s="310"/>
      <c r="S264" s="310"/>
      <c r="T264" s="566"/>
      <c r="U264" s="25"/>
      <c r="V264" s="25"/>
      <c r="W264" s="310"/>
      <c r="X264" s="9"/>
      <c r="Y264" s="9"/>
      <c r="Z264" s="9"/>
      <c r="AA264" s="9"/>
      <c r="AB264" s="9"/>
      <c r="AC264" s="9"/>
      <c r="AD264" s="9"/>
      <c r="AE264" s="25"/>
      <c r="AF264" s="25"/>
      <c r="AG264" s="25"/>
      <c r="AH264" s="25"/>
      <c r="AI264" s="25"/>
      <c r="AJ264" s="1215"/>
      <c r="AK264" s="1142"/>
      <c r="AL264" s="25"/>
      <c r="CV264" s="38"/>
      <c r="CW264" s="38"/>
      <c r="CX264" s="29"/>
      <c r="CY264" s="29"/>
      <c r="CZ264" s="29"/>
      <c r="DA264" s="29"/>
      <c r="DB264" s="29"/>
      <c r="DC264" s="29"/>
      <c r="DD264" s="29"/>
      <c r="DE264" s="29"/>
      <c r="DF264" s="29"/>
      <c r="DG264" s="29"/>
      <c r="DH264" s="29"/>
      <c r="DI264" s="29"/>
      <c r="DJ264" s="29"/>
    </row>
    <row r="265" spans="3:114" ht="14.25" customHeight="1">
      <c r="C265" s="29"/>
      <c r="D265" s="695"/>
      <c r="E265" s="695"/>
      <c r="F265" s="1250"/>
      <c r="G265" s="1245"/>
      <c r="H265" s="1245"/>
      <c r="I265" s="1245"/>
      <c r="J265" s="1245"/>
      <c r="K265" s="1245"/>
      <c r="L265" s="310"/>
      <c r="M265" s="310"/>
      <c r="N265" s="310"/>
      <c r="O265" s="310"/>
      <c r="P265" s="310"/>
      <c r="Q265" s="310"/>
      <c r="R265" s="310"/>
      <c r="S265" s="310"/>
      <c r="T265" s="566"/>
      <c r="U265" s="25"/>
      <c r="V265" s="25"/>
      <c r="W265" s="310"/>
      <c r="X265" s="9"/>
      <c r="Y265" s="9"/>
      <c r="Z265" s="9"/>
      <c r="AA265" s="9"/>
      <c r="AB265" s="9"/>
      <c r="AC265" s="9"/>
      <c r="AD265" s="9"/>
      <c r="AE265" s="25"/>
      <c r="AF265" s="25"/>
      <c r="AG265" s="25"/>
      <c r="AH265" s="25"/>
      <c r="AI265" s="25"/>
      <c r="AJ265" s="1215"/>
      <c r="AK265" s="1142"/>
      <c r="AL265" s="25"/>
      <c r="CV265" s="38"/>
      <c r="CW265" s="38"/>
      <c r="CX265" s="29"/>
      <c r="CY265" s="29"/>
      <c r="CZ265" s="29"/>
      <c r="DA265" s="29"/>
      <c r="DB265" s="29"/>
      <c r="DC265" s="29"/>
      <c r="DD265" s="29"/>
      <c r="DE265" s="29"/>
      <c r="DF265" s="29"/>
      <c r="DG265" s="29"/>
      <c r="DH265" s="29"/>
      <c r="DI265" s="29"/>
      <c r="DJ265" s="29"/>
    </row>
    <row r="266" spans="3:114" ht="14.25" customHeight="1">
      <c r="C266" s="29"/>
      <c r="D266" s="695"/>
      <c r="E266" s="562"/>
      <c r="F266" s="1246"/>
      <c r="G266" s="1245"/>
      <c r="H266" s="1245"/>
      <c r="I266" s="1245"/>
      <c r="J266" s="1245"/>
      <c r="K266" s="1245"/>
      <c r="L266" s="310"/>
      <c r="M266" s="310"/>
      <c r="N266" s="310"/>
      <c r="O266" s="310"/>
      <c r="P266" s="310"/>
      <c r="Q266" s="310"/>
      <c r="R266" s="310"/>
      <c r="S266" s="310"/>
      <c r="T266" s="566"/>
      <c r="U266" s="25"/>
      <c r="V266" s="25"/>
      <c r="W266" s="310"/>
      <c r="X266" s="1217"/>
      <c r="Y266" s="1216"/>
      <c r="Z266" s="1217"/>
      <c r="AA266" s="9"/>
      <c r="AB266" s="9"/>
      <c r="AC266" s="9"/>
      <c r="AD266" s="9"/>
      <c r="AE266" s="25"/>
      <c r="AF266" s="25"/>
      <c r="AG266" s="25"/>
      <c r="AH266" s="25"/>
      <c r="AI266" s="25"/>
      <c r="AJ266" s="1215"/>
      <c r="AK266" s="1142"/>
      <c r="AL266" s="25"/>
      <c r="CS266" s="227"/>
      <c r="CV266" s="38"/>
      <c r="CW266" s="38"/>
      <c r="CX266" s="29"/>
      <c r="CY266" s="29"/>
      <c r="CZ266" s="29"/>
      <c r="DA266" s="29"/>
      <c r="DB266" s="29"/>
      <c r="DC266" s="29"/>
      <c r="DD266" s="29"/>
      <c r="DE266" s="29"/>
      <c r="DF266" s="29"/>
      <c r="DG266" s="29"/>
      <c r="DH266" s="29"/>
      <c r="DI266" s="29"/>
      <c r="DJ266" s="29"/>
    </row>
    <row r="267" spans="3:114" ht="14.25" customHeight="1">
      <c r="C267" s="29"/>
      <c r="D267" s="695"/>
      <c r="E267" s="562"/>
      <c r="F267" s="1246"/>
      <c r="G267" s="1245"/>
      <c r="H267" s="1245"/>
      <c r="I267" s="1245"/>
      <c r="J267" s="1245"/>
      <c r="K267" s="1245"/>
      <c r="L267" s="310"/>
      <c r="M267" s="310"/>
      <c r="N267" s="310"/>
      <c r="O267" s="310"/>
      <c r="P267" s="310"/>
      <c r="Q267" s="310"/>
      <c r="R267" s="310"/>
      <c r="S267" s="310"/>
      <c r="T267" s="566"/>
      <c r="U267" s="25"/>
      <c r="V267" s="25"/>
      <c r="W267" s="310"/>
      <c r="X267" s="9"/>
      <c r="Y267" s="9"/>
      <c r="Z267" s="9"/>
      <c r="AA267" s="9"/>
      <c r="AB267" s="9"/>
      <c r="AC267" s="9"/>
      <c r="AD267" s="9"/>
      <c r="AE267" s="25"/>
      <c r="AF267" s="25"/>
      <c r="AG267" s="25"/>
      <c r="AH267" s="25"/>
      <c r="AI267" s="25"/>
      <c r="AJ267" s="1215"/>
      <c r="AK267" s="1142"/>
      <c r="AL267" s="25"/>
      <c r="CV267" s="38"/>
      <c r="CW267" s="38"/>
      <c r="CX267" s="29"/>
      <c r="CY267" s="29"/>
      <c r="CZ267" s="29"/>
      <c r="DA267" s="29"/>
      <c r="DB267" s="29"/>
      <c r="DC267" s="29"/>
      <c r="DD267" s="29"/>
      <c r="DE267" s="29"/>
      <c r="DF267" s="29"/>
      <c r="DG267" s="29"/>
      <c r="DH267" s="29"/>
      <c r="DI267" s="29"/>
      <c r="DJ267" s="29"/>
    </row>
    <row r="268" spans="3:114" ht="14.25" customHeight="1">
      <c r="C268" s="29"/>
      <c r="D268" s="695"/>
      <c r="E268" s="564"/>
      <c r="F268" s="1250"/>
      <c r="G268" s="1245"/>
      <c r="H268" s="1245"/>
      <c r="I268" s="1245"/>
      <c r="J268" s="1245"/>
      <c r="K268" s="1245"/>
      <c r="L268" s="310"/>
      <c r="M268" s="310"/>
      <c r="N268" s="310"/>
      <c r="O268" s="310"/>
      <c r="P268" s="310"/>
      <c r="Q268" s="310"/>
      <c r="R268" s="310"/>
      <c r="S268" s="310"/>
      <c r="T268" s="566"/>
      <c r="U268" s="25"/>
      <c r="V268" s="25"/>
      <c r="W268" s="310"/>
      <c r="X268" s="9"/>
      <c r="Y268" s="9"/>
      <c r="Z268" s="9"/>
      <c r="AA268" s="9"/>
      <c r="AB268" s="9"/>
      <c r="AC268" s="9"/>
      <c r="AD268" s="9"/>
      <c r="AE268" s="25"/>
      <c r="AF268" s="25"/>
      <c r="AG268" s="25"/>
      <c r="AH268" s="25"/>
      <c r="AI268" s="25"/>
      <c r="AJ268" s="1215"/>
      <c r="AK268" s="1142"/>
      <c r="AL268" s="25"/>
      <c r="CV268" s="38"/>
      <c r="CW268" s="38"/>
      <c r="CX268" s="29"/>
      <c r="CY268" s="29"/>
      <c r="CZ268" s="29"/>
      <c r="DA268" s="29"/>
      <c r="DB268" s="29"/>
      <c r="DC268" s="29"/>
      <c r="DD268" s="29"/>
      <c r="DE268" s="29"/>
      <c r="DF268" s="29"/>
      <c r="DG268" s="29"/>
      <c r="DH268" s="29"/>
      <c r="DI268" s="29"/>
      <c r="DJ268" s="29"/>
    </row>
    <row r="269" spans="3:114" ht="14.25" customHeight="1">
      <c r="C269" s="29"/>
      <c r="D269" s="695"/>
      <c r="E269" s="561"/>
      <c r="F269" s="695"/>
      <c r="G269" s="61"/>
      <c r="H269" s="61"/>
      <c r="I269" s="61"/>
      <c r="J269" s="61"/>
      <c r="K269" s="61"/>
      <c r="L269" s="1141"/>
      <c r="M269" s="1141"/>
      <c r="N269" s="1141"/>
      <c r="O269" s="1141"/>
      <c r="P269" s="1141"/>
      <c r="Q269" s="1141"/>
      <c r="R269" s="1141"/>
      <c r="S269" s="1141"/>
      <c r="T269" s="566"/>
      <c r="U269" s="25"/>
      <c r="V269" s="25"/>
      <c r="W269" s="310"/>
      <c r="X269" s="9"/>
      <c r="Y269" s="9"/>
      <c r="Z269" s="9"/>
      <c r="AA269" s="9"/>
      <c r="AB269" s="9"/>
      <c r="AC269" s="9"/>
      <c r="AD269" s="9"/>
      <c r="AE269" s="25"/>
      <c r="AF269" s="25"/>
      <c r="AG269" s="25"/>
      <c r="AH269" s="25"/>
      <c r="AI269" s="25"/>
      <c r="AJ269" s="1215"/>
      <c r="AK269" s="1142"/>
      <c r="AL269" s="25"/>
      <c r="CV269" s="38"/>
      <c r="CW269" s="38"/>
      <c r="CX269" s="29"/>
      <c r="CY269" s="29"/>
      <c r="CZ269" s="29"/>
      <c r="DA269" s="29"/>
      <c r="DB269" s="29"/>
      <c r="DC269" s="29"/>
      <c r="DD269" s="29"/>
      <c r="DE269" s="29"/>
      <c r="DF269" s="29"/>
      <c r="DG269" s="29"/>
      <c r="DH269" s="29"/>
      <c r="DI269" s="29"/>
      <c r="DJ269" s="29"/>
    </row>
    <row r="270" spans="3:114" ht="14.25" customHeight="1">
      <c r="C270" s="29"/>
      <c r="D270" s="695"/>
      <c r="E270" s="562"/>
      <c r="F270" s="695"/>
      <c r="G270" s="61"/>
      <c r="H270" s="61"/>
      <c r="I270" s="61"/>
      <c r="J270" s="61"/>
      <c r="K270" s="61"/>
      <c r="L270" s="310"/>
      <c r="M270" s="310"/>
      <c r="N270" s="310"/>
      <c r="O270" s="310"/>
      <c r="P270" s="310"/>
      <c r="Q270" s="310"/>
      <c r="R270" s="310"/>
      <c r="S270" s="310"/>
      <c r="T270" s="566"/>
      <c r="U270" s="25"/>
      <c r="V270" s="25"/>
      <c r="W270" s="310"/>
      <c r="X270" s="9"/>
      <c r="Y270" s="9"/>
      <c r="Z270" s="9"/>
      <c r="AA270" s="9"/>
      <c r="AB270" s="9"/>
      <c r="AC270" s="9"/>
      <c r="AD270" s="9"/>
      <c r="AE270" s="25"/>
      <c r="AF270" s="25"/>
      <c r="AG270" s="25"/>
      <c r="AH270" s="25"/>
      <c r="AI270" s="25"/>
      <c r="AJ270" s="1215"/>
      <c r="AK270" s="1142"/>
      <c r="AL270" s="25"/>
      <c r="CS270" s="227"/>
      <c r="CV270" s="38"/>
      <c r="CW270" s="38"/>
      <c r="CX270" s="29"/>
      <c r="CY270" s="29"/>
      <c r="CZ270" s="29"/>
      <c r="DA270" s="29"/>
      <c r="DB270" s="29"/>
      <c r="DC270" s="29"/>
      <c r="DD270" s="29"/>
      <c r="DE270" s="29"/>
      <c r="DF270" s="29"/>
      <c r="DG270" s="29"/>
      <c r="DH270" s="29"/>
      <c r="DI270" s="29"/>
      <c r="DJ270" s="29"/>
    </row>
    <row r="271" spans="3:114" ht="14.25" customHeight="1">
      <c r="C271" s="29"/>
      <c r="D271" s="695"/>
      <c r="E271" s="562"/>
      <c r="F271" s="695"/>
      <c r="G271" s="61"/>
      <c r="H271" s="61"/>
      <c r="I271" s="61"/>
      <c r="J271" s="61"/>
      <c r="K271" s="61"/>
      <c r="L271" s="310"/>
      <c r="M271" s="310"/>
      <c r="N271" s="310"/>
      <c r="O271" s="310"/>
      <c r="P271" s="310"/>
      <c r="Q271" s="310"/>
      <c r="R271" s="310"/>
      <c r="S271" s="310"/>
      <c r="T271" s="566"/>
      <c r="U271" s="25"/>
      <c r="V271" s="25"/>
      <c r="W271" s="25"/>
      <c r="X271" s="25"/>
      <c r="Y271" s="25"/>
      <c r="Z271" s="25"/>
      <c r="AA271" s="25"/>
      <c r="AB271" s="25"/>
      <c r="AC271" s="25"/>
      <c r="AD271" s="25"/>
      <c r="AE271" s="25"/>
      <c r="AF271" s="25"/>
      <c r="AG271" s="25"/>
      <c r="AH271" s="25"/>
      <c r="AI271" s="25"/>
      <c r="AJ271" s="1215"/>
      <c r="AK271" s="1142"/>
      <c r="AL271" s="25"/>
      <c r="CV271" s="38"/>
      <c r="CW271" s="38"/>
      <c r="CX271" s="29"/>
      <c r="CY271" s="29"/>
      <c r="CZ271" s="29"/>
      <c r="DA271" s="29"/>
      <c r="DB271" s="29"/>
      <c r="DC271" s="29"/>
      <c r="DD271" s="29"/>
      <c r="DE271" s="29"/>
      <c r="DF271" s="29"/>
      <c r="DG271" s="29"/>
      <c r="DH271" s="29"/>
      <c r="DI271" s="29"/>
      <c r="DJ271" s="29"/>
    </row>
    <row r="272" spans="3:114" ht="14.25" customHeight="1">
      <c r="C272" s="29"/>
      <c r="D272" s="695"/>
      <c r="E272" s="562"/>
      <c r="F272" s="695"/>
      <c r="G272" s="61"/>
      <c r="H272" s="61"/>
      <c r="I272" s="61"/>
      <c r="J272" s="61"/>
      <c r="K272" s="61"/>
      <c r="L272" s="310"/>
      <c r="M272" s="310"/>
      <c r="N272" s="310"/>
      <c r="O272" s="310"/>
      <c r="P272" s="310"/>
      <c r="Q272" s="310"/>
      <c r="R272" s="310"/>
      <c r="S272" s="310"/>
      <c r="T272" s="566"/>
      <c r="U272" s="25"/>
      <c r="V272" s="25"/>
      <c r="W272" s="25"/>
      <c r="X272" s="25"/>
      <c r="Y272" s="25"/>
      <c r="Z272" s="25"/>
      <c r="AA272" s="25"/>
      <c r="AB272" s="25"/>
      <c r="AC272" s="25"/>
      <c r="AD272" s="25"/>
      <c r="AE272" s="25"/>
      <c r="AF272" s="25"/>
      <c r="AG272" s="25"/>
      <c r="AH272" s="25"/>
      <c r="AI272" s="25"/>
      <c r="AJ272" s="1215"/>
      <c r="AK272" s="1142"/>
      <c r="AL272" s="25"/>
      <c r="CV272" s="38"/>
      <c r="CW272" s="38"/>
      <c r="CX272" s="29"/>
      <c r="CY272" s="29"/>
      <c r="CZ272" s="29"/>
      <c r="DA272" s="29"/>
      <c r="DB272" s="29"/>
      <c r="DC272" s="29"/>
      <c r="DD272" s="29"/>
      <c r="DE272" s="29"/>
      <c r="DF272" s="29"/>
      <c r="DG272" s="29"/>
      <c r="DH272" s="29"/>
      <c r="DI272" s="29"/>
      <c r="DJ272" s="29"/>
    </row>
    <row r="273" spans="3:114" ht="14.25" customHeight="1">
      <c r="C273" s="29"/>
      <c r="D273" s="695"/>
      <c r="E273" s="562"/>
      <c r="F273" s="695"/>
      <c r="G273" s="61"/>
      <c r="H273" s="61"/>
      <c r="I273" s="61"/>
      <c r="J273" s="61"/>
      <c r="K273" s="61"/>
      <c r="L273" s="310"/>
      <c r="M273" s="310"/>
      <c r="N273" s="310"/>
      <c r="O273" s="310"/>
      <c r="P273" s="310"/>
      <c r="Q273" s="310"/>
      <c r="R273" s="310"/>
      <c r="S273" s="310"/>
      <c r="T273" s="566"/>
      <c r="U273" s="25"/>
      <c r="V273" s="25"/>
      <c r="W273" s="25"/>
      <c r="X273" s="25"/>
      <c r="Y273" s="25"/>
      <c r="Z273" s="25"/>
      <c r="AA273" s="25"/>
      <c r="AB273" s="25"/>
      <c r="AC273" s="25"/>
      <c r="AD273" s="25"/>
      <c r="AE273" s="25"/>
      <c r="AF273" s="25"/>
      <c r="AG273" s="25"/>
      <c r="AH273" s="25"/>
      <c r="AI273" s="25"/>
      <c r="AJ273" s="1215"/>
      <c r="AK273" s="1142"/>
      <c r="AL273" s="25"/>
      <c r="CV273" s="38"/>
      <c r="CW273" s="38"/>
      <c r="CX273" s="29"/>
      <c r="CY273" s="29"/>
      <c r="CZ273" s="29"/>
      <c r="DA273" s="29"/>
      <c r="DB273" s="29"/>
      <c r="DC273" s="29"/>
      <c r="DD273" s="29"/>
      <c r="DE273" s="29"/>
      <c r="DF273" s="29"/>
      <c r="DG273" s="29"/>
      <c r="DH273" s="29"/>
      <c r="DI273" s="29"/>
      <c r="DJ273" s="29"/>
    </row>
    <row r="274" spans="3:114" ht="14.25" customHeight="1">
      <c r="C274" s="29"/>
      <c r="D274" s="29"/>
      <c r="E274" s="564"/>
      <c r="F274" s="695"/>
      <c r="G274" s="61"/>
      <c r="H274" s="61"/>
      <c r="I274" s="61"/>
      <c r="J274" s="61"/>
      <c r="K274" s="61"/>
      <c r="L274" s="310"/>
      <c r="M274" s="310"/>
      <c r="N274" s="310"/>
      <c r="O274" s="310"/>
      <c r="P274" s="310"/>
      <c r="Q274" s="310"/>
      <c r="R274" s="310"/>
      <c r="S274" s="310"/>
      <c r="T274" s="566"/>
      <c r="U274" s="25"/>
      <c r="V274" s="25"/>
      <c r="W274" s="25"/>
      <c r="X274" s="25"/>
      <c r="Y274" s="25"/>
      <c r="Z274" s="25"/>
      <c r="AA274" s="25"/>
      <c r="AB274" s="25"/>
      <c r="AC274" s="25"/>
      <c r="AD274" s="25"/>
      <c r="AE274" s="25"/>
      <c r="AF274" s="25"/>
      <c r="AG274" s="25"/>
      <c r="AH274" s="25"/>
      <c r="AI274" s="25"/>
      <c r="AJ274" s="1215"/>
      <c r="AK274" s="1142"/>
      <c r="AL274" s="25"/>
      <c r="CS274" s="227"/>
      <c r="CV274" s="38"/>
      <c r="CW274" s="38"/>
      <c r="CX274" s="29"/>
      <c r="CY274" s="29"/>
      <c r="CZ274" s="29"/>
      <c r="DA274" s="29"/>
      <c r="DB274" s="29"/>
      <c r="DC274" s="29"/>
      <c r="DD274" s="29"/>
      <c r="DE274" s="29"/>
      <c r="DF274" s="29"/>
      <c r="DG274" s="29"/>
      <c r="DH274" s="29"/>
      <c r="DI274" s="29"/>
      <c r="DJ274" s="29"/>
    </row>
    <row r="275" spans="3:114" ht="14.25" customHeight="1">
      <c r="C275" s="29"/>
      <c r="D275" s="29"/>
      <c r="E275" s="561"/>
      <c r="F275" s="695"/>
      <c r="G275" s="61"/>
      <c r="H275" s="61"/>
      <c r="I275" s="61"/>
      <c r="J275" s="61"/>
      <c r="K275" s="61"/>
      <c r="L275" s="1141"/>
      <c r="M275" s="1141"/>
      <c r="N275" s="1141"/>
      <c r="O275" s="1141"/>
      <c r="P275" s="1141"/>
      <c r="Q275" s="1141"/>
      <c r="R275" s="1141"/>
      <c r="S275" s="1141"/>
      <c r="T275" s="566"/>
      <c r="U275" s="25"/>
      <c r="V275" s="25"/>
      <c r="W275" s="25"/>
      <c r="X275" s="25"/>
      <c r="Y275" s="25"/>
      <c r="Z275" s="25"/>
      <c r="AA275" s="25"/>
      <c r="AB275" s="25"/>
      <c r="AC275" s="25"/>
      <c r="AD275" s="25"/>
      <c r="AE275" s="25"/>
      <c r="AF275" s="25"/>
      <c r="AG275" s="25"/>
      <c r="AH275" s="25"/>
      <c r="AI275" s="25"/>
      <c r="AJ275" s="1215"/>
      <c r="AK275" s="1142"/>
      <c r="AL275" s="25"/>
      <c r="CS275" s="227"/>
      <c r="CV275" s="38"/>
      <c r="CW275" s="38"/>
      <c r="CX275" s="29"/>
      <c r="CY275" s="29"/>
      <c r="CZ275" s="29"/>
      <c r="DA275" s="29"/>
      <c r="DB275" s="29"/>
      <c r="DC275" s="29"/>
      <c r="DD275" s="29"/>
      <c r="DE275" s="29"/>
      <c r="DF275" s="29"/>
      <c r="DG275" s="29"/>
      <c r="DH275" s="29"/>
      <c r="DI275" s="29"/>
      <c r="DJ275" s="29"/>
    </row>
    <row r="276" spans="3:114" ht="14.25" customHeight="1">
      <c r="C276" s="29"/>
      <c r="D276" s="29"/>
      <c r="E276" s="562"/>
      <c r="F276" s="695"/>
      <c r="G276" s="61"/>
      <c r="H276" s="61"/>
      <c r="I276" s="61"/>
      <c r="J276" s="61"/>
      <c r="K276" s="61"/>
      <c r="L276" s="563"/>
      <c r="M276" s="563"/>
      <c r="N276" s="563"/>
      <c r="O276" s="563"/>
      <c r="P276" s="563"/>
      <c r="Q276" s="563"/>
      <c r="R276" s="563"/>
      <c r="S276" s="563"/>
      <c r="T276" s="566"/>
      <c r="U276" s="25"/>
      <c r="V276" s="25"/>
      <c r="W276" s="25"/>
      <c r="X276" s="25"/>
      <c r="Y276" s="25"/>
      <c r="Z276" s="25"/>
      <c r="AA276" s="25"/>
      <c r="AB276" s="25"/>
      <c r="AC276" s="25"/>
      <c r="AD276" s="25"/>
      <c r="AE276" s="25"/>
      <c r="AF276" s="25"/>
      <c r="AG276" s="25"/>
      <c r="AH276" s="25"/>
      <c r="AI276" s="25"/>
      <c r="AJ276" s="1215"/>
      <c r="AK276" s="1142"/>
      <c r="AL276" s="25"/>
      <c r="CS276" s="227"/>
      <c r="CV276" s="38"/>
      <c r="CW276" s="38"/>
      <c r="CX276" s="29"/>
      <c r="CY276" s="29"/>
      <c r="CZ276" s="29"/>
      <c r="DA276" s="29"/>
      <c r="DB276" s="29"/>
      <c r="DC276" s="29"/>
      <c r="DD276" s="29"/>
      <c r="DE276" s="29"/>
      <c r="DF276" s="29"/>
      <c r="DG276" s="29"/>
      <c r="DH276" s="29"/>
      <c r="DI276" s="29"/>
      <c r="DJ276" s="29"/>
    </row>
    <row r="277" spans="3:114" ht="14.25" customHeight="1">
      <c r="C277" s="29"/>
      <c r="D277" s="29"/>
      <c r="E277" s="562"/>
      <c r="F277" s="695"/>
      <c r="G277" s="61"/>
      <c r="H277" s="61"/>
      <c r="I277" s="61"/>
      <c r="J277" s="61"/>
      <c r="K277" s="61"/>
      <c r="L277" s="563"/>
      <c r="M277" s="563"/>
      <c r="N277" s="563"/>
      <c r="O277" s="563"/>
      <c r="P277" s="563"/>
      <c r="Q277" s="563"/>
      <c r="R277" s="563"/>
      <c r="S277" s="563"/>
      <c r="T277" s="566"/>
      <c r="U277" s="25"/>
      <c r="V277" s="25"/>
      <c r="W277" s="25"/>
      <c r="X277" s="25"/>
      <c r="Y277" s="25"/>
      <c r="Z277" s="25"/>
      <c r="AA277" s="25"/>
      <c r="AB277" s="25"/>
      <c r="AC277" s="25"/>
      <c r="AD277" s="25"/>
      <c r="AE277" s="25"/>
      <c r="AF277" s="25"/>
      <c r="AG277" s="25"/>
      <c r="AH277" s="25"/>
      <c r="AI277" s="25"/>
      <c r="AJ277" s="1215"/>
      <c r="AK277" s="1142"/>
      <c r="AL277" s="25"/>
      <c r="CS277" s="227"/>
      <c r="CV277" s="38"/>
      <c r="CW277" s="38"/>
      <c r="CX277" s="29"/>
      <c r="CY277" s="29"/>
      <c r="CZ277" s="29"/>
      <c r="DA277" s="29"/>
      <c r="DB277" s="29"/>
      <c r="DC277" s="29"/>
      <c r="DD277" s="29"/>
      <c r="DE277" s="29"/>
      <c r="DF277" s="29"/>
      <c r="DG277" s="29"/>
      <c r="DH277" s="29"/>
      <c r="DI277" s="29"/>
      <c r="DJ277" s="29"/>
    </row>
    <row r="278" spans="3:114" ht="14.25" customHeight="1">
      <c r="C278" s="29"/>
      <c r="D278" s="29"/>
      <c r="E278" s="562"/>
      <c r="F278" s="695"/>
      <c r="G278" s="61"/>
      <c r="H278" s="61"/>
      <c r="I278" s="61"/>
      <c r="J278" s="61"/>
      <c r="K278" s="61"/>
      <c r="L278" s="563"/>
      <c r="M278" s="563"/>
      <c r="N278" s="563"/>
      <c r="O278" s="563"/>
      <c r="P278" s="563"/>
      <c r="Q278" s="563"/>
      <c r="R278" s="563"/>
      <c r="S278" s="563"/>
      <c r="T278" s="566"/>
      <c r="U278" s="25"/>
      <c r="V278" s="25"/>
      <c r="W278" s="25"/>
      <c r="X278" s="25"/>
      <c r="Y278" s="25"/>
      <c r="Z278" s="25"/>
      <c r="AA278" s="25"/>
      <c r="AB278" s="25"/>
      <c r="AC278" s="25"/>
      <c r="AD278" s="25"/>
      <c r="AE278" s="25"/>
      <c r="AF278" s="25"/>
      <c r="AG278" s="25"/>
      <c r="AH278" s="25"/>
      <c r="AI278" s="25"/>
      <c r="AJ278" s="1215"/>
      <c r="AK278" s="1142"/>
      <c r="AL278" s="25"/>
      <c r="CS278" s="227"/>
      <c r="CV278" s="38"/>
      <c r="CW278" s="38"/>
      <c r="CX278" s="29"/>
      <c r="CY278" s="29"/>
      <c r="CZ278" s="29"/>
      <c r="DA278" s="29"/>
      <c r="DB278" s="29"/>
      <c r="DC278" s="29"/>
      <c r="DD278" s="29"/>
      <c r="DE278" s="29"/>
      <c r="DF278" s="29"/>
      <c r="DG278" s="29"/>
      <c r="DH278" s="29"/>
      <c r="DI278" s="29"/>
      <c r="DJ278" s="29"/>
    </row>
    <row r="279" spans="3:114" ht="14.25" customHeight="1">
      <c r="C279" s="29"/>
      <c r="D279" s="29"/>
      <c r="E279" s="562"/>
      <c r="F279" s="695"/>
      <c r="G279" s="61"/>
      <c r="H279" s="61"/>
      <c r="I279" s="61"/>
      <c r="J279" s="61"/>
      <c r="K279" s="61"/>
      <c r="L279" s="563"/>
      <c r="M279" s="563"/>
      <c r="N279" s="563"/>
      <c r="O279" s="563"/>
      <c r="P279" s="563"/>
      <c r="Q279" s="563"/>
      <c r="R279" s="563"/>
      <c r="S279" s="563"/>
      <c r="T279" s="566"/>
      <c r="U279" s="25"/>
      <c r="V279" s="25"/>
      <c r="W279" s="25"/>
      <c r="X279" s="25"/>
      <c r="Y279" s="25"/>
      <c r="Z279" s="25"/>
      <c r="AA279" s="25"/>
      <c r="AB279" s="25"/>
      <c r="AC279" s="25"/>
      <c r="AD279" s="25"/>
      <c r="AE279" s="25"/>
      <c r="AF279" s="25"/>
      <c r="AG279" s="25"/>
      <c r="AH279" s="25"/>
      <c r="AI279" s="25"/>
      <c r="AJ279" s="1215"/>
      <c r="AK279" s="1142"/>
      <c r="AL279" s="25"/>
      <c r="CS279" s="227"/>
      <c r="CV279" s="38"/>
      <c r="CW279" s="38"/>
      <c r="CX279" s="29"/>
      <c r="CY279" s="29"/>
      <c r="CZ279" s="29"/>
      <c r="DA279" s="29"/>
      <c r="DB279" s="29"/>
      <c r="DC279" s="29"/>
      <c r="DD279" s="29"/>
      <c r="DE279" s="29"/>
      <c r="DF279" s="29"/>
      <c r="DG279" s="29"/>
      <c r="DH279" s="29"/>
      <c r="DI279" s="29"/>
      <c r="DJ279" s="29"/>
    </row>
    <row r="280" spans="3:114" ht="14.25" customHeight="1">
      <c r="C280" s="29"/>
      <c r="D280" s="29"/>
      <c r="E280" s="562"/>
      <c r="F280" s="695"/>
      <c r="G280" s="61"/>
      <c r="H280" s="61"/>
      <c r="I280" s="61"/>
      <c r="J280" s="61"/>
      <c r="K280" s="61"/>
      <c r="L280" s="563"/>
      <c r="M280" s="563"/>
      <c r="N280" s="563"/>
      <c r="O280" s="563"/>
      <c r="P280" s="563"/>
      <c r="Q280" s="563"/>
      <c r="R280" s="563"/>
      <c r="S280" s="563"/>
      <c r="T280" s="566"/>
      <c r="U280" s="25"/>
      <c r="V280" s="25"/>
      <c r="W280" s="25"/>
      <c r="X280" s="25"/>
      <c r="Y280" s="25"/>
      <c r="Z280" s="25"/>
      <c r="AA280" s="25"/>
      <c r="AB280" s="25"/>
      <c r="AC280" s="25"/>
      <c r="AD280" s="25"/>
      <c r="AE280" s="25"/>
      <c r="AF280" s="25"/>
      <c r="AG280" s="25"/>
      <c r="AH280" s="25"/>
      <c r="AI280" s="25"/>
      <c r="AJ280" s="1215"/>
      <c r="AK280" s="1142"/>
      <c r="AL280" s="25"/>
      <c r="CS280" s="227"/>
      <c r="CV280" s="38"/>
      <c r="CW280" s="38"/>
      <c r="CX280" s="29"/>
      <c r="CY280" s="29"/>
      <c r="CZ280" s="29"/>
      <c r="DA280" s="29"/>
      <c r="DB280" s="29"/>
      <c r="DC280" s="29"/>
      <c r="DD280" s="29"/>
      <c r="DE280" s="29"/>
      <c r="DF280" s="29"/>
      <c r="DG280" s="29"/>
      <c r="DH280" s="29"/>
      <c r="DI280" s="29"/>
      <c r="DJ280" s="29"/>
    </row>
    <row r="281" spans="3:114" ht="14.25" customHeight="1">
      <c r="C281" s="29"/>
      <c r="D281" s="29"/>
      <c r="E281" s="564"/>
      <c r="F281" s="695"/>
      <c r="G281" s="61"/>
      <c r="H281" s="61"/>
      <c r="I281" s="61"/>
      <c r="J281" s="61"/>
      <c r="K281" s="61"/>
      <c r="L281" s="563"/>
      <c r="M281" s="563"/>
      <c r="N281" s="563"/>
      <c r="O281" s="563"/>
      <c r="P281" s="563"/>
      <c r="Q281" s="563"/>
      <c r="R281" s="563"/>
      <c r="S281" s="563"/>
      <c r="T281" s="566"/>
      <c r="U281" s="25"/>
      <c r="V281" s="25"/>
      <c r="W281" s="25"/>
      <c r="X281" s="25"/>
      <c r="Y281" s="25"/>
      <c r="Z281" s="25"/>
      <c r="AA281" s="25"/>
      <c r="AB281" s="25"/>
      <c r="AC281" s="25"/>
      <c r="AD281" s="25"/>
      <c r="AE281" s="25"/>
      <c r="AF281" s="25"/>
      <c r="AG281" s="25"/>
      <c r="AH281" s="25"/>
      <c r="AI281" s="25"/>
      <c r="AJ281" s="1215"/>
      <c r="AK281" s="1142"/>
      <c r="AL281" s="25"/>
      <c r="CS281" s="227"/>
      <c r="CV281" s="38"/>
      <c r="CW281" s="38"/>
      <c r="CX281" s="29"/>
      <c r="CY281" s="29"/>
      <c r="CZ281" s="29"/>
      <c r="DA281" s="29"/>
      <c r="DB281" s="29"/>
      <c r="DC281" s="29"/>
      <c r="DD281" s="29"/>
      <c r="DE281" s="29"/>
      <c r="DF281" s="29"/>
      <c r="DG281" s="29"/>
      <c r="DH281" s="29"/>
      <c r="DI281" s="29"/>
      <c r="DJ281" s="29"/>
    </row>
    <row r="282" spans="3:114" ht="14.25" customHeight="1">
      <c r="C282" s="29"/>
      <c r="D282" s="29"/>
      <c r="E282" s="561"/>
      <c r="F282" s="695"/>
      <c r="G282" s="61"/>
      <c r="H282" s="61"/>
      <c r="I282" s="61"/>
      <c r="J282" s="61"/>
      <c r="K282" s="61"/>
      <c r="L282" s="566"/>
      <c r="M282" s="566"/>
      <c r="N282" s="566"/>
      <c r="O282" s="566"/>
      <c r="P282" s="566"/>
      <c r="Q282" s="566"/>
      <c r="R282" s="566"/>
      <c r="S282" s="566"/>
      <c r="T282" s="566"/>
      <c r="U282" s="25"/>
      <c r="V282" s="25"/>
      <c r="W282" s="25"/>
      <c r="X282" s="25"/>
      <c r="Y282" s="25"/>
      <c r="Z282" s="25"/>
      <c r="AA282" s="25"/>
      <c r="AB282" s="25"/>
      <c r="AC282" s="25"/>
      <c r="AD282" s="25"/>
      <c r="AE282" s="25"/>
      <c r="AF282" s="25"/>
      <c r="AG282" s="25"/>
      <c r="AH282" s="25"/>
      <c r="AI282" s="25"/>
      <c r="AJ282" s="1215"/>
      <c r="AK282" s="1142"/>
      <c r="AL282" s="25"/>
      <c r="CS282" s="227"/>
      <c r="CV282" s="38"/>
      <c r="CW282" s="38"/>
      <c r="CX282" s="29"/>
      <c r="CY282" s="29"/>
      <c r="CZ282" s="29"/>
      <c r="DA282" s="29"/>
      <c r="DB282" s="29"/>
      <c r="DC282" s="29"/>
      <c r="DD282" s="29"/>
      <c r="DE282" s="29"/>
      <c r="DF282" s="29"/>
      <c r="DG282" s="29"/>
      <c r="DH282" s="29"/>
      <c r="DI282" s="29"/>
      <c r="DJ282" s="29"/>
    </row>
    <row r="283" spans="3:114" ht="14.25" customHeight="1">
      <c r="C283" s="29"/>
      <c r="D283" s="29"/>
      <c r="E283" s="562"/>
      <c r="G283" s="61"/>
      <c r="H283" s="563"/>
      <c r="I283" s="563"/>
      <c r="J283" s="563"/>
      <c r="K283" s="563"/>
      <c r="L283" s="563"/>
      <c r="M283" s="563"/>
      <c r="N283" s="563"/>
      <c r="O283" s="563"/>
      <c r="P283" s="563"/>
      <c r="Q283" s="563"/>
      <c r="R283" s="563"/>
      <c r="S283" s="563"/>
      <c r="T283" s="566"/>
      <c r="U283" s="25"/>
      <c r="V283" s="25"/>
      <c r="W283" s="25"/>
      <c r="X283" s="25"/>
      <c r="Y283" s="25"/>
      <c r="Z283" s="25"/>
      <c r="AA283" s="25"/>
      <c r="AB283" s="25"/>
      <c r="AC283" s="25"/>
      <c r="AD283" s="25"/>
      <c r="AE283" s="25"/>
      <c r="AF283" s="25"/>
      <c r="AG283" s="25"/>
      <c r="AH283" s="25"/>
      <c r="AI283" s="25"/>
      <c r="AJ283" s="1215"/>
      <c r="AK283" s="1142"/>
      <c r="AL283" s="25"/>
      <c r="CS283" s="227"/>
      <c r="CV283" s="38"/>
      <c r="CW283" s="38"/>
      <c r="CX283" s="29"/>
      <c r="CY283" s="29"/>
      <c r="CZ283" s="29"/>
      <c r="DA283" s="29"/>
      <c r="DB283" s="29"/>
      <c r="DC283" s="29"/>
      <c r="DD283" s="29"/>
      <c r="DE283" s="29"/>
      <c r="DF283" s="29"/>
      <c r="DG283" s="29"/>
      <c r="DH283" s="29"/>
      <c r="DI283" s="29"/>
      <c r="DJ283" s="29"/>
    </row>
    <row r="284" spans="3:114" ht="14.25" customHeight="1">
      <c r="C284" s="29"/>
      <c r="D284" s="29"/>
      <c r="E284" s="562"/>
      <c r="G284" s="61"/>
      <c r="H284" s="563"/>
      <c r="I284" s="563"/>
      <c r="J284" s="563"/>
      <c r="K284" s="563"/>
      <c r="L284" s="563"/>
      <c r="M284" s="563"/>
      <c r="N284" s="563"/>
      <c r="O284" s="563"/>
      <c r="P284" s="563"/>
      <c r="Q284" s="563"/>
      <c r="R284" s="563"/>
      <c r="S284" s="563"/>
      <c r="T284" s="566"/>
      <c r="U284" s="25"/>
      <c r="V284" s="25"/>
      <c r="W284" s="25"/>
      <c r="X284" s="25"/>
      <c r="Y284" s="25"/>
      <c r="Z284" s="25"/>
      <c r="AA284" s="25"/>
      <c r="AB284" s="25"/>
      <c r="AC284" s="25"/>
      <c r="AD284" s="25"/>
      <c r="AE284" s="25"/>
      <c r="AF284" s="25"/>
      <c r="AG284" s="25"/>
      <c r="AH284" s="25"/>
      <c r="AI284" s="25"/>
      <c r="AJ284" s="1215"/>
      <c r="AK284" s="1142"/>
      <c r="AL284" s="25"/>
      <c r="CS284" s="227"/>
      <c r="CV284" s="38"/>
      <c r="CW284" s="38"/>
      <c r="CX284" s="29"/>
      <c r="CY284" s="29"/>
      <c r="CZ284" s="29"/>
      <c r="DA284" s="29"/>
      <c r="DB284" s="29"/>
      <c r="DC284" s="29"/>
      <c r="DD284" s="29"/>
      <c r="DE284" s="29"/>
      <c r="DF284" s="29"/>
      <c r="DG284" s="29"/>
      <c r="DH284" s="29"/>
      <c r="DI284" s="29"/>
      <c r="DJ284" s="29"/>
    </row>
    <row r="285" spans="3:114" ht="14.25" customHeight="1">
      <c r="C285" s="29"/>
      <c r="D285" s="29"/>
      <c r="E285" s="562"/>
      <c r="G285" s="61"/>
      <c r="H285" s="563"/>
      <c r="I285" s="563"/>
      <c r="J285" s="563"/>
      <c r="K285" s="563"/>
      <c r="L285" s="563"/>
      <c r="M285" s="563"/>
      <c r="N285" s="563"/>
      <c r="O285" s="563"/>
      <c r="P285" s="563"/>
      <c r="Q285" s="563"/>
      <c r="R285" s="563"/>
      <c r="S285" s="563"/>
      <c r="T285" s="566"/>
      <c r="U285" s="25"/>
      <c r="V285" s="25"/>
      <c r="W285" s="25"/>
      <c r="X285" s="25"/>
      <c r="Y285" s="25"/>
      <c r="Z285" s="25"/>
      <c r="AA285" s="25"/>
      <c r="AB285" s="25"/>
      <c r="AC285" s="25"/>
      <c r="AD285" s="25"/>
      <c r="AE285" s="25"/>
      <c r="AF285" s="25"/>
      <c r="AG285" s="25"/>
      <c r="AH285" s="25"/>
      <c r="AI285" s="25"/>
      <c r="AJ285" s="1215"/>
      <c r="AK285" s="1142"/>
      <c r="AL285" s="25"/>
      <c r="CS285" s="227"/>
      <c r="CV285" s="38"/>
      <c r="CW285" s="38"/>
      <c r="CX285" s="29"/>
      <c r="CY285" s="29"/>
      <c r="CZ285" s="29"/>
      <c r="DA285" s="29"/>
      <c r="DB285" s="29"/>
      <c r="DC285" s="29"/>
      <c r="DD285" s="29"/>
      <c r="DE285" s="29"/>
      <c r="DF285" s="29"/>
      <c r="DG285" s="29"/>
      <c r="DH285" s="29"/>
      <c r="DI285" s="29"/>
      <c r="DJ285" s="29"/>
    </row>
    <row r="286" spans="3:114" ht="14.25" customHeight="1">
      <c r="C286" s="29"/>
      <c r="D286" s="29"/>
      <c r="E286" s="562"/>
      <c r="G286" s="563"/>
      <c r="H286" s="563"/>
      <c r="I286" s="563"/>
      <c r="J286" s="563"/>
      <c r="K286" s="563"/>
      <c r="L286" s="563"/>
      <c r="M286" s="563"/>
      <c r="N286" s="563"/>
      <c r="O286" s="563"/>
      <c r="P286" s="563"/>
      <c r="Q286" s="563"/>
      <c r="R286" s="563"/>
      <c r="S286" s="563"/>
      <c r="T286" s="566"/>
      <c r="U286" s="25"/>
      <c r="V286" s="25"/>
      <c r="W286" s="25"/>
      <c r="X286" s="25"/>
      <c r="Y286" s="25"/>
      <c r="Z286" s="25"/>
      <c r="AA286" s="25"/>
      <c r="AB286" s="25"/>
      <c r="AC286" s="25"/>
      <c r="AD286" s="25"/>
      <c r="AE286" s="25"/>
      <c r="AF286" s="25"/>
      <c r="AG286" s="25"/>
      <c r="AH286" s="25"/>
      <c r="AI286" s="25"/>
      <c r="AJ286" s="1215"/>
      <c r="AK286" s="1142"/>
      <c r="AL286" s="25"/>
      <c r="CS286" s="227"/>
      <c r="CV286" s="38"/>
      <c r="CW286" s="38"/>
      <c r="CX286" s="29"/>
      <c r="CY286" s="29"/>
      <c r="CZ286" s="29"/>
      <c r="DA286" s="29"/>
      <c r="DB286" s="29"/>
      <c r="DC286" s="29"/>
      <c r="DD286" s="29"/>
      <c r="DE286" s="29"/>
      <c r="DF286" s="29"/>
      <c r="DG286" s="29"/>
      <c r="DH286" s="29"/>
      <c r="DI286" s="29"/>
      <c r="DJ286" s="29"/>
    </row>
    <row r="287" spans="3:114" ht="14.25" customHeight="1">
      <c r="C287" s="29"/>
      <c r="D287" s="29"/>
      <c r="E287" s="562"/>
      <c r="G287" s="563"/>
      <c r="H287" s="563"/>
      <c r="I287" s="563"/>
      <c r="J287" s="563"/>
      <c r="K287" s="563"/>
      <c r="L287" s="563"/>
      <c r="M287" s="563"/>
      <c r="N287" s="563"/>
      <c r="O287" s="563"/>
      <c r="P287" s="563"/>
      <c r="Q287" s="563"/>
      <c r="R287" s="563"/>
      <c r="S287" s="563"/>
      <c r="T287" s="566"/>
      <c r="U287" s="25"/>
      <c r="V287" s="25"/>
      <c r="W287" s="25"/>
      <c r="X287" s="25"/>
      <c r="Y287" s="25"/>
      <c r="Z287" s="25"/>
      <c r="AA287" s="25"/>
      <c r="AB287" s="25"/>
      <c r="AC287" s="25"/>
      <c r="AD287" s="25"/>
      <c r="AE287" s="25"/>
      <c r="AF287" s="25"/>
      <c r="AG287" s="25"/>
      <c r="AH287" s="25"/>
      <c r="AI287" s="25"/>
      <c r="AJ287" s="1215"/>
      <c r="AK287" s="1142"/>
      <c r="AL287" s="25"/>
      <c r="CS287" s="227"/>
      <c r="CV287" s="38"/>
      <c r="CW287" s="38"/>
      <c r="CX287" s="29"/>
      <c r="CY287" s="29"/>
      <c r="CZ287" s="29"/>
      <c r="DA287" s="29"/>
      <c r="DB287" s="29"/>
      <c r="DC287" s="29"/>
      <c r="DD287" s="29"/>
      <c r="DE287" s="29"/>
      <c r="DF287" s="29"/>
      <c r="DG287" s="29"/>
      <c r="DH287" s="29"/>
      <c r="DI287" s="29"/>
      <c r="DJ287" s="29"/>
    </row>
    <row r="288" spans="3:114" ht="14.25" customHeight="1">
      <c r="C288" s="29"/>
      <c r="D288" s="29"/>
      <c r="E288" s="562"/>
      <c r="G288" s="563"/>
      <c r="H288" s="563"/>
      <c r="I288" s="563"/>
      <c r="J288" s="563"/>
      <c r="K288" s="563"/>
      <c r="L288" s="563"/>
      <c r="M288" s="563"/>
      <c r="N288" s="563"/>
      <c r="O288" s="563"/>
      <c r="P288" s="563"/>
      <c r="Q288" s="563"/>
      <c r="R288" s="563"/>
      <c r="S288" s="563"/>
      <c r="T288" s="566"/>
      <c r="U288" s="25"/>
      <c r="V288" s="25"/>
      <c r="W288" s="25"/>
      <c r="X288" s="25"/>
      <c r="Y288" s="25"/>
      <c r="Z288" s="25"/>
      <c r="AA288" s="25"/>
      <c r="AB288" s="25"/>
      <c r="AC288" s="25"/>
      <c r="AD288" s="25"/>
      <c r="AE288" s="25"/>
      <c r="AF288" s="25"/>
      <c r="AG288" s="25"/>
      <c r="AH288" s="25"/>
      <c r="AI288" s="25"/>
      <c r="AJ288" s="1215"/>
      <c r="AK288" s="1142"/>
      <c r="AL288" s="25"/>
      <c r="CS288" s="227"/>
      <c r="CV288" s="38"/>
      <c r="CW288" s="38"/>
      <c r="CX288" s="29"/>
      <c r="CY288" s="29"/>
      <c r="CZ288" s="29"/>
      <c r="DA288" s="29"/>
      <c r="DB288" s="29"/>
      <c r="DC288" s="29"/>
      <c r="DD288" s="29"/>
      <c r="DE288" s="29"/>
      <c r="DF288" s="29"/>
      <c r="DG288" s="29"/>
      <c r="DH288" s="29"/>
      <c r="DI288" s="29"/>
      <c r="DJ288" s="29"/>
    </row>
    <row r="289" spans="3:114" ht="14.25" customHeight="1">
      <c r="C289" s="29"/>
      <c r="D289" s="29"/>
      <c r="E289" s="564"/>
      <c r="G289" s="563"/>
      <c r="H289" s="563"/>
      <c r="I289" s="563"/>
      <c r="J289" s="563"/>
      <c r="K289" s="563"/>
      <c r="L289" s="563"/>
      <c r="M289" s="563"/>
      <c r="N289" s="563"/>
      <c r="O289" s="563"/>
      <c r="P289" s="563"/>
      <c r="Q289" s="563"/>
      <c r="R289" s="563"/>
      <c r="S289" s="563"/>
      <c r="T289" s="566"/>
      <c r="U289" s="25"/>
      <c r="V289" s="25"/>
      <c r="W289" s="25"/>
      <c r="X289" s="25"/>
      <c r="Y289" s="25"/>
      <c r="Z289" s="25"/>
      <c r="AA289" s="25"/>
      <c r="AB289" s="25"/>
      <c r="AC289" s="25"/>
      <c r="AD289" s="25"/>
      <c r="AE289" s="25"/>
      <c r="AF289" s="25"/>
      <c r="AG289" s="25"/>
      <c r="AH289" s="25"/>
      <c r="AI289" s="25"/>
      <c r="AJ289" s="1215"/>
      <c r="AK289" s="1142"/>
      <c r="AL289" s="25"/>
      <c r="CS289" s="227"/>
      <c r="CV289" s="38"/>
      <c r="CW289" s="38"/>
      <c r="CX289" s="29"/>
      <c r="CY289" s="29"/>
      <c r="CZ289" s="29"/>
      <c r="DA289" s="29"/>
      <c r="DB289" s="29"/>
      <c r="DC289" s="29"/>
      <c r="DD289" s="29"/>
      <c r="DE289" s="29"/>
      <c r="DF289" s="29"/>
      <c r="DG289" s="29"/>
      <c r="DH289" s="29"/>
      <c r="DI289" s="29"/>
      <c r="DJ289" s="29"/>
    </row>
    <row r="290" spans="3:114" ht="14.25" customHeight="1">
      <c r="C290" s="29"/>
      <c r="D290" s="29"/>
      <c r="E290" s="561"/>
      <c r="G290" s="566"/>
      <c r="H290" s="566"/>
      <c r="I290" s="566"/>
      <c r="J290" s="566"/>
      <c r="K290" s="566"/>
      <c r="L290" s="566"/>
      <c r="M290" s="566"/>
      <c r="N290" s="566"/>
      <c r="O290" s="566"/>
      <c r="P290" s="566"/>
      <c r="Q290" s="566"/>
      <c r="R290" s="566"/>
      <c r="S290" s="566"/>
      <c r="T290" s="566"/>
      <c r="U290" s="25"/>
      <c r="V290" s="25"/>
      <c r="W290" s="25"/>
      <c r="X290" s="25"/>
      <c r="Y290" s="25"/>
      <c r="Z290" s="25"/>
      <c r="AA290" s="25"/>
      <c r="AB290" s="25"/>
      <c r="AC290" s="25"/>
      <c r="AD290" s="25"/>
      <c r="AE290" s="25"/>
      <c r="AF290" s="25"/>
      <c r="AG290" s="25"/>
      <c r="AH290" s="25"/>
      <c r="AI290" s="25"/>
      <c r="AJ290" s="1215"/>
      <c r="AK290" s="1142"/>
      <c r="AL290" s="25"/>
      <c r="CS290" s="227"/>
      <c r="CV290" s="38"/>
      <c r="CW290" s="38"/>
      <c r="CX290" s="29"/>
      <c r="CY290" s="29"/>
      <c r="CZ290" s="29"/>
      <c r="DA290" s="29"/>
      <c r="DB290" s="29"/>
      <c r="DC290" s="29"/>
      <c r="DD290" s="29"/>
      <c r="DE290" s="29"/>
      <c r="DF290" s="29"/>
      <c r="DG290" s="29"/>
      <c r="DH290" s="29"/>
      <c r="DI290" s="29"/>
      <c r="DJ290" s="29"/>
    </row>
    <row r="291" spans="3:114" ht="14.25" customHeight="1">
      <c r="C291" s="29"/>
      <c r="D291" s="29"/>
      <c r="E291" s="562"/>
      <c r="G291" s="563"/>
      <c r="H291" s="563"/>
      <c r="I291" s="563"/>
      <c r="J291" s="563"/>
      <c r="K291" s="563"/>
      <c r="L291" s="563"/>
      <c r="M291" s="563"/>
      <c r="N291" s="563"/>
      <c r="O291" s="563"/>
      <c r="P291" s="563"/>
      <c r="Q291" s="563"/>
      <c r="R291" s="563"/>
      <c r="S291" s="563"/>
      <c r="T291" s="566"/>
      <c r="U291" s="25"/>
      <c r="V291" s="25"/>
      <c r="W291" s="25"/>
      <c r="X291" s="25"/>
      <c r="Y291" s="25"/>
      <c r="Z291" s="25"/>
      <c r="AA291" s="25"/>
      <c r="AB291" s="25"/>
      <c r="AC291" s="25"/>
      <c r="AD291" s="25"/>
      <c r="AE291" s="25"/>
      <c r="AF291" s="25"/>
      <c r="AG291" s="25"/>
      <c r="AH291" s="25"/>
      <c r="AI291" s="25"/>
      <c r="AJ291" s="1215"/>
      <c r="AK291" s="1142"/>
      <c r="AL291" s="25"/>
      <c r="CV291" s="38"/>
      <c r="CW291" s="38"/>
      <c r="CX291" s="29"/>
      <c r="CY291" s="29"/>
      <c r="CZ291" s="29"/>
      <c r="DA291" s="29"/>
      <c r="DB291" s="29"/>
      <c r="DC291" s="29"/>
      <c r="DD291" s="29"/>
      <c r="DE291" s="29"/>
      <c r="DF291" s="29"/>
      <c r="DG291" s="29"/>
      <c r="DH291" s="29"/>
      <c r="DI291" s="29"/>
      <c r="DJ291" s="29"/>
    </row>
    <row r="292" spans="3:114" ht="14.25" customHeight="1">
      <c r="C292" s="29"/>
      <c r="D292" s="29"/>
      <c r="E292" s="562"/>
      <c r="G292" s="563"/>
      <c r="H292" s="563"/>
      <c r="I292" s="563"/>
      <c r="J292" s="563"/>
      <c r="K292" s="563"/>
      <c r="L292" s="563"/>
      <c r="M292" s="563"/>
      <c r="N292" s="563"/>
      <c r="O292" s="563"/>
      <c r="P292" s="563"/>
      <c r="Q292" s="563"/>
      <c r="R292" s="563"/>
      <c r="S292" s="563"/>
      <c r="T292" s="566"/>
      <c r="U292" s="25"/>
      <c r="V292" s="25"/>
      <c r="W292" s="25"/>
      <c r="X292" s="25"/>
      <c r="Y292" s="25"/>
      <c r="Z292" s="25"/>
      <c r="AA292" s="25"/>
      <c r="AB292" s="25"/>
      <c r="AC292" s="25"/>
      <c r="AD292" s="25"/>
      <c r="AE292" s="25"/>
      <c r="AF292" s="25"/>
      <c r="AG292" s="25"/>
      <c r="AH292" s="25"/>
      <c r="AI292" s="25"/>
      <c r="AJ292" s="1215"/>
      <c r="AK292" s="1142"/>
      <c r="AL292" s="25"/>
      <c r="CV292" s="38"/>
      <c r="CW292" s="38"/>
      <c r="CX292" s="29"/>
      <c r="CY292" s="29"/>
      <c r="CZ292" s="29"/>
      <c r="DA292" s="29"/>
      <c r="DB292" s="29"/>
      <c r="DC292" s="29"/>
      <c r="DD292" s="29"/>
      <c r="DE292" s="29"/>
      <c r="DF292" s="29"/>
      <c r="DG292" s="29"/>
      <c r="DH292" s="29"/>
      <c r="DI292" s="29"/>
      <c r="DJ292" s="29"/>
    </row>
    <row r="293" spans="3:114" ht="14.25" customHeight="1">
      <c r="C293" s="29"/>
      <c r="D293" s="29"/>
      <c r="E293" s="562"/>
      <c r="G293" s="563"/>
      <c r="H293" s="563"/>
      <c r="I293" s="563"/>
      <c r="J293" s="563"/>
      <c r="K293" s="563"/>
      <c r="L293" s="563"/>
      <c r="M293" s="563"/>
      <c r="N293" s="563"/>
      <c r="O293" s="563"/>
      <c r="P293" s="563"/>
      <c r="Q293" s="563"/>
      <c r="R293" s="563"/>
      <c r="S293" s="563"/>
      <c r="T293" s="566"/>
      <c r="U293" s="25"/>
      <c r="V293" s="25"/>
      <c r="W293" s="25"/>
      <c r="X293" s="25"/>
      <c r="Y293" s="25"/>
      <c r="Z293" s="25"/>
      <c r="AA293" s="25"/>
      <c r="AB293" s="25"/>
      <c r="AC293" s="25"/>
      <c r="AD293" s="25"/>
      <c r="AE293" s="25"/>
      <c r="AF293" s="25"/>
      <c r="AG293" s="25"/>
      <c r="AH293" s="25"/>
      <c r="AI293" s="25"/>
      <c r="AJ293" s="1215"/>
      <c r="AK293" s="1142"/>
      <c r="AL293" s="25"/>
      <c r="CV293" s="38"/>
      <c r="CW293" s="38"/>
      <c r="CX293" s="29"/>
      <c r="CY293" s="29"/>
      <c r="CZ293" s="29"/>
      <c r="DA293" s="29"/>
      <c r="DB293" s="29"/>
      <c r="DC293" s="29"/>
      <c r="DD293" s="29"/>
      <c r="DE293" s="29"/>
      <c r="DF293" s="29"/>
      <c r="DG293" s="29"/>
      <c r="DH293" s="29"/>
      <c r="DI293" s="29"/>
      <c r="DJ293" s="29"/>
    </row>
    <row r="294" spans="3:114" ht="14.25" customHeight="1">
      <c r="C294" s="29"/>
      <c r="D294" s="29"/>
      <c r="E294" s="564"/>
      <c r="G294" s="563"/>
      <c r="H294" s="563"/>
      <c r="I294" s="563"/>
      <c r="J294" s="563"/>
      <c r="K294" s="563"/>
      <c r="L294" s="563"/>
      <c r="M294" s="563"/>
      <c r="N294" s="563"/>
      <c r="O294" s="563"/>
      <c r="P294" s="563"/>
      <c r="Q294" s="563"/>
      <c r="R294" s="563"/>
      <c r="S294" s="563"/>
      <c r="T294" s="566"/>
      <c r="U294" s="25"/>
      <c r="V294" s="25"/>
      <c r="W294" s="25"/>
      <c r="X294" s="25"/>
      <c r="Y294" s="25"/>
      <c r="Z294" s="25"/>
      <c r="AA294" s="25"/>
      <c r="AB294" s="25"/>
      <c r="AC294" s="25"/>
      <c r="AD294" s="25"/>
      <c r="AE294" s="25"/>
      <c r="AF294" s="25"/>
      <c r="AG294" s="25"/>
      <c r="AH294" s="25"/>
      <c r="AI294" s="25"/>
      <c r="AJ294" s="1215"/>
      <c r="AK294" s="1142"/>
      <c r="AL294" s="25"/>
      <c r="CV294" s="38"/>
      <c r="CW294" s="38"/>
      <c r="CX294" s="29"/>
      <c r="CY294" s="29"/>
      <c r="CZ294" s="29"/>
      <c r="DA294" s="29"/>
      <c r="DB294" s="29"/>
      <c r="DC294" s="29"/>
      <c r="DD294" s="29"/>
      <c r="DE294" s="29"/>
      <c r="DF294" s="29"/>
      <c r="DG294" s="29"/>
      <c r="DH294" s="29"/>
      <c r="DI294" s="29"/>
      <c r="DJ294" s="29"/>
    </row>
    <row r="295" spans="3:114" ht="14.25" customHeight="1">
      <c r="C295" s="29"/>
      <c r="D295" s="29"/>
      <c r="E295" s="561"/>
      <c r="G295" s="566"/>
      <c r="H295" s="566"/>
      <c r="I295" s="566"/>
      <c r="J295" s="566"/>
      <c r="K295" s="566"/>
      <c r="L295" s="566"/>
      <c r="M295" s="566"/>
      <c r="N295" s="566"/>
      <c r="O295" s="566"/>
      <c r="P295" s="566"/>
      <c r="Q295" s="566"/>
      <c r="R295" s="566"/>
      <c r="S295" s="566"/>
      <c r="T295" s="566"/>
      <c r="U295" s="25"/>
      <c r="V295" s="25"/>
      <c r="W295" s="25"/>
      <c r="X295" s="25"/>
      <c r="Y295" s="25"/>
      <c r="Z295" s="25"/>
      <c r="AA295" s="25"/>
      <c r="AB295" s="25"/>
      <c r="AC295" s="25"/>
      <c r="AD295" s="25"/>
      <c r="AE295" s="25"/>
      <c r="AF295" s="25"/>
      <c r="AG295" s="25"/>
      <c r="AH295" s="25"/>
      <c r="AI295" s="25"/>
      <c r="AJ295" s="1215"/>
      <c r="AK295" s="1142"/>
      <c r="AL295" s="25"/>
      <c r="CV295" s="38"/>
      <c r="CW295" s="38"/>
      <c r="CX295" s="29"/>
      <c r="CY295" s="29"/>
      <c r="CZ295" s="29"/>
      <c r="DA295" s="29"/>
      <c r="DB295" s="29"/>
      <c r="DC295" s="29"/>
      <c r="DD295" s="29"/>
      <c r="DE295" s="29"/>
      <c r="DF295" s="29"/>
      <c r="DG295" s="29"/>
      <c r="DH295" s="29"/>
      <c r="DI295" s="29"/>
      <c r="DJ295" s="29"/>
    </row>
    <row r="296" spans="3:114" ht="14.25" customHeight="1">
      <c r="C296" s="29"/>
      <c r="D296" s="29"/>
      <c r="E296" s="562"/>
      <c r="G296" s="563"/>
      <c r="H296" s="563"/>
      <c r="I296" s="563"/>
      <c r="J296" s="563"/>
      <c r="K296" s="563"/>
      <c r="L296" s="563"/>
      <c r="M296" s="563"/>
      <c r="N296" s="563"/>
      <c r="O296" s="563"/>
      <c r="P296" s="563"/>
      <c r="Q296" s="563"/>
      <c r="R296" s="563"/>
      <c r="S296" s="566"/>
      <c r="T296" s="566"/>
      <c r="U296" s="25"/>
      <c r="V296" s="25"/>
      <c r="W296" s="25"/>
      <c r="X296" s="25"/>
      <c r="Y296" s="25"/>
      <c r="Z296" s="25"/>
      <c r="AA296" s="25"/>
      <c r="AB296" s="25"/>
      <c r="AC296" s="25"/>
      <c r="AD296" s="25"/>
      <c r="AE296" s="25"/>
      <c r="AF296" s="25"/>
      <c r="AG296" s="25"/>
      <c r="AH296" s="25"/>
      <c r="AI296" s="25"/>
      <c r="AJ296" s="1215"/>
      <c r="AK296" s="1142"/>
      <c r="AL296" s="25"/>
      <c r="CV296" s="38"/>
      <c r="CW296" s="38"/>
      <c r="CX296" s="29"/>
      <c r="CY296" s="29"/>
      <c r="CZ296" s="29"/>
      <c r="DA296" s="29"/>
      <c r="DB296" s="29"/>
      <c r="DC296" s="29"/>
      <c r="DD296" s="29"/>
      <c r="DE296" s="29"/>
      <c r="DF296" s="29"/>
      <c r="DG296" s="29"/>
      <c r="DH296" s="29"/>
      <c r="DI296" s="29"/>
      <c r="DJ296" s="29"/>
    </row>
    <row r="297" spans="3:114" ht="14.25" customHeight="1">
      <c r="C297" s="29"/>
      <c r="D297" s="29"/>
      <c r="E297" s="562"/>
      <c r="G297" s="563"/>
      <c r="H297" s="563"/>
      <c r="I297" s="563"/>
      <c r="J297" s="563"/>
      <c r="K297" s="563"/>
      <c r="L297" s="563"/>
      <c r="M297" s="563"/>
      <c r="N297" s="563"/>
      <c r="O297" s="563"/>
      <c r="P297" s="563"/>
      <c r="Q297" s="563"/>
      <c r="R297" s="563"/>
      <c r="S297" s="563"/>
      <c r="T297" s="566"/>
      <c r="U297" s="25"/>
      <c r="V297" s="25"/>
      <c r="W297" s="25"/>
      <c r="X297" s="25"/>
      <c r="Y297" s="25"/>
      <c r="Z297" s="25"/>
      <c r="AA297" s="25"/>
      <c r="AB297" s="25"/>
      <c r="AC297" s="25"/>
      <c r="AD297" s="25"/>
      <c r="AE297" s="25"/>
      <c r="AF297" s="25"/>
      <c r="AG297" s="25"/>
      <c r="AH297" s="25"/>
      <c r="AI297" s="25"/>
      <c r="AJ297" s="1215"/>
      <c r="AK297" s="1142"/>
      <c r="AL297" s="25"/>
      <c r="CS297" s="227"/>
      <c r="CV297" s="38"/>
      <c r="CW297" s="38"/>
      <c r="CX297" s="29"/>
      <c r="CY297" s="29"/>
      <c r="CZ297" s="29"/>
      <c r="DA297" s="29"/>
      <c r="DB297" s="29"/>
      <c r="DC297" s="29"/>
      <c r="DD297" s="29"/>
      <c r="DE297" s="29"/>
      <c r="DF297" s="29"/>
      <c r="DG297" s="29"/>
      <c r="DH297" s="29"/>
      <c r="DI297" s="29"/>
      <c r="DJ297" s="29"/>
    </row>
    <row r="298" spans="3:114" ht="14.25" customHeight="1">
      <c r="C298" s="29"/>
      <c r="D298" s="29"/>
      <c r="E298" s="562"/>
      <c r="G298" s="563"/>
      <c r="H298" s="563"/>
      <c r="I298" s="563"/>
      <c r="J298" s="563"/>
      <c r="K298" s="563"/>
      <c r="L298" s="563"/>
      <c r="M298" s="563"/>
      <c r="N298" s="563"/>
      <c r="O298" s="563"/>
      <c r="P298" s="563"/>
      <c r="Q298" s="563"/>
      <c r="R298" s="563"/>
      <c r="S298" s="563"/>
      <c r="T298" s="566"/>
      <c r="U298" s="25"/>
      <c r="V298" s="25"/>
      <c r="W298" s="25"/>
      <c r="X298" s="25"/>
      <c r="Y298" s="25"/>
      <c r="Z298" s="25"/>
      <c r="AA298" s="25"/>
      <c r="AB298" s="25"/>
      <c r="AC298" s="25"/>
      <c r="AD298" s="25"/>
      <c r="AE298" s="25"/>
      <c r="AF298" s="25"/>
      <c r="AG298" s="25"/>
      <c r="AH298" s="25"/>
      <c r="AI298" s="25"/>
      <c r="AJ298" s="1215"/>
      <c r="AK298" s="1142"/>
      <c r="AL298" s="25"/>
      <c r="CV298" s="38"/>
      <c r="CW298" s="38"/>
      <c r="CX298" s="29"/>
      <c r="CY298" s="29"/>
      <c r="CZ298" s="29"/>
      <c r="DA298" s="29"/>
      <c r="DB298" s="29"/>
      <c r="DC298" s="29"/>
      <c r="DD298" s="29"/>
      <c r="DE298" s="29"/>
      <c r="DF298" s="29"/>
      <c r="DG298" s="29"/>
      <c r="DH298" s="29"/>
      <c r="DI298" s="29"/>
      <c r="DJ298" s="29"/>
    </row>
    <row r="299" spans="3:114" ht="14.25" customHeight="1">
      <c r="C299" s="29"/>
      <c r="D299" s="29"/>
      <c r="E299" s="562"/>
      <c r="G299" s="563"/>
      <c r="H299" s="563"/>
      <c r="I299" s="563"/>
      <c r="J299" s="563"/>
      <c r="K299" s="563"/>
      <c r="L299" s="563"/>
      <c r="M299" s="563"/>
      <c r="N299" s="563"/>
      <c r="O299" s="563"/>
      <c r="P299" s="563"/>
      <c r="Q299" s="563"/>
      <c r="R299" s="563"/>
      <c r="S299" s="563"/>
      <c r="T299" s="566"/>
      <c r="U299" s="25"/>
      <c r="V299" s="25"/>
      <c r="W299" s="25"/>
      <c r="X299" s="25"/>
      <c r="Y299" s="25"/>
      <c r="Z299" s="25"/>
      <c r="AA299" s="25"/>
      <c r="AB299" s="25"/>
      <c r="AC299" s="25"/>
      <c r="AD299" s="25"/>
      <c r="AE299" s="25"/>
      <c r="AF299" s="25"/>
      <c r="AG299" s="25"/>
      <c r="AH299" s="25"/>
      <c r="AI299" s="25"/>
      <c r="AJ299" s="1215"/>
      <c r="AK299" s="1142"/>
      <c r="AL299" s="25"/>
      <c r="CV299" s="38"/>
      <c r="CW299" s="38"/>
      <c r="CX299" s="29"/>
      <c r="CY299" s="29"/>
      <c r="CZ299" s="29"/>
      <c r="DA299" s="29"/>
      <c r="DB299" s="29"/>
      <c r="DC299" s="29"/>
      <c r="DD299" s="29"/>
      <c r="DE299" s="29"/>
      <c r="DF299" s="29"/>
      <c r="DG299" s="29"/>
      <c r="DH299" s="29"/>
      <c r="DI299" s="29"/>
      <c r="DJ299" s="29"/>
    </row>
    <row r="300" spans="3:114" ht="14.25" customHeight="1">
      <c r="C300" s="29"/>
      <c r="D300" s="29"/>
      <c r="E300" s="562"/>
      <c r="G300" s="563"/>
      <c r="H300" s="563"/>
      <c r="I300" s="563"/>
      <c r="J300" s="563"/>
      <c r="K300" s="563"/>
      <c r="L300" s="563"/>
      <c r="M300" s="563"/>
      <c r="N300" s="563"/>
      <c r="O300" s="563"/>
      <c r="P300" s="563"/>
      <c r="Q300" s="563"/>
      <c r="R300" s="563"/>
      <c r="S300" s="563"/>
      <c r="T300" s="566"/>
      <c r="U300" s="25"/>
      <c r="V300" s="25"/>
      <c r="W300" s="25"/>
      <c r="X300" s="25"/>
      <c r="Y300" s="25"/>
      <c r="Z300" s="25"/>
      <c r="AA300" s="25"/>
      <c r="AB300" s="25"/>
      <c r="AC300" s="25"/>
      <c r="AD300" s="25"/>
      <c r="AE300" s="25"/>
      <c r="AF300" s="25"/>
      <c r="AG300" s="25"/>
      <c r="AH300" s="25"/>
      <c r="AI300" s="25"/>
      <c r="AJ300" s="1215"/>
      <c r="AK300" s="1142"/>
      <c r="AL300" s="25"/>
      <c r="CV300" s="38"/>
      <c r="CW300" s="38"/>
      <c r="CX300" s="29"/>
      <c r="CY300" s="29"/>
      <c r="CZ300" s="29"/>
      <c r="DA300" s="29"/>
      <c r="DB300" s="29"/>
      <c r="DC300" s="29"/>
      <c r="DD300" s="29"/>
      <c r="DE300" s="29"/>
      <c r="DF300" s="29"/>
      <c r="DG300" s="29"/>
      <c r="DH300" s="29"/>
      <c r="DI300" s="29"/>
      <c r="DJ300" s="29"/>
    </row>
    <row r="301" spans="3:114" ht="15" customHeight="1">
      <c r="C301" s="29"/>
      <c r="D301" s="29"/>
      <c r="E301" s="564"/>
      <c r="G301" s="563"/>
      <c r="H301" s="563"/>
      <c r="I301" s="563"/>
      <c r="J301" s="563"/>
      <c r="K301" s="563"/>
      <c r="L301" s="563"/>
      <c r="M301" s="563"/>
      <c r="N301" s="563"/>
      <c r="O301" s="563"/>
      <c r="P301" s="563"/>
      <c r="Q301" s="563"/>
      <c r="R301" s="563"/>
      <c r="S301" s="563"/>
      <c r="T301" s="566"/>
      <c r="U301" s="25"/>
      <c r="V301" s="25"/>
      <c r="W301" s="25"/>
      <c r="X301" s="25"/>
      <c r="Y301" s="25"/>
      <c r="Z301" s="25"/>
      <c r="AA301" s="25"/>
      <c r="AB301" s="25"/>
      <c r="AC301" s="25"/>
      <c r="AD301" s="25"/>
      <c r="AE301" s="25"/>
      <c r="AF301" s="25"/>
      <c r="AG301" s="25"/>
      <c r="AH301" s="25"/>
      <c r="AI301" s="25"/>
      <c r="AJ301" s="1215"/>
      <c r="AK301" s="1142"/>
      <c r="AL301" s="25"/>
      <c r="CV301" s="38"/>
      <c r="CW301" s="38"/>
      <c r="CX301" s="29"/>
      <c r="CY301" s="29"/>
      <c r="CZ301" s="29"/>
      <c r="DA301" s="29"/>
      <c r="DB301" s="29"/>
      <c r="DC301" s="29"/>
      <c r="DD301" s="29"/>
      <c r="DE301" s="29"/>
      <c r="DF301" s="29"/>
      <c r="DG301" s="29"/>
      <c r="DH301" s="29"/>
      <c r="DI301" s="29"/>
      <c r="DJ301" s="29"/>
    </row>
    <row r="302" spans="3:114" ht="15" customHeight="1">
      <c r="C302" s="29"/>
      <c r="D302" s="29"/>
      <c r="E302" s="569"/>
      <c r="F302" s="30"/>
      <c r="G302" s="563"/>
      <c r="H302" s="563"/>
      <c r="I302" s="563"/>
      <c r="J302" s="563"/>
      <c r="K302" s="563"/>
      <c r="L302" s="563"/>
      <c r="M302" s="563"/>
      <c r="N302" s="563"/>
      <c r="O302" s="563"/>
      <c r="P302" s="563"/>
      <c r="Q302" s="563"/>
      <c r="R302" s="563"/>
      <c r="S302" s="563"/>
      <c r="T302" s="572"/>
      <c r="U302" s="25"/>
      <c r="V302" s="25"/>
      <c r="W302" s="25"/>
      <c r="X302" s="25"/>
      <c r="Y302" s="25"/>
      <c r="Z302" s="25"/>
      <c r="AA302" s="25"/>
      <c r="AB302" s="25"/>
      <c r="AC302" s="25"/>
      <c r="AD302" s="25"/>
      <c r="AE302" s="25"/>
      <c r="AF302" s="25"/>
      <c r="AG302" s="25"/>
      <c r="AH302" s="25"/>
      <c r="AI302" s="25"/>
      <c r="AJ302" s="1215"/>
      <c r="AK302" s="1142"/>
      <c r="AL302" s="25"/>
      <c r="CV302" s="38"/>
      <c r="CW302" s="38"/>
      <c r="CX302" s="29"/>
      <c r="CY302" s="29"/>
      <c r="CZ302" s="29"/>
      <c r="DA302" s="29"/>
      <c r="DB302" s="29"/>
      <c r="DC302" s="29"/>
      <c r="DD302" s="29"/>
      <c r="DE302" s="29"/>
      <c r="DF302" s="29"/>
      <c r="DG302" s="29"/>
      <c r="DH302" s="29"/>
      <c r="DI302" s="29"/>
      <c r="DJ302" s="29"/>
    </row>
    <row r="303" spans="3:114" ht="15" customHeight="1">
      <c r="C303" s="56"/>
      <c r="D303" s="56"/>
      <c r="E303" s="561"/>
      <c r="F303" s="570"/>
      <c r="G303" s="566"/>
      <c r="H303" s="566"/>
      <c r="I303" s="566"/>
      <c r="J303" s="566"/>
      <c r="K303" s="566"/>
      <c r="L303" s="566"/>
      <c r="M303" s="566"/>
      <c r="N303" s="566"/>
      <c r="O303" s="566"/>
      <c r="P303" s="566"/>
      <c r="Q303" s="566"/>
      <c r="R303" s="566"/>
      <c r="S303" s="566"/>
      <c r="T303" s="566"/>
      <c r="U303" s="25"/>
      <c r="V303" s="25"/>
      <c r="W303" s="25"/>
      <c r="X303" s="25"/>
      <c r="Y303" s="25"/>
      <c r="Z303" s="25"/>
      <c r="AA303" s="25"/>
      <c r="AB303" s="25"/>
      <c r="AC303" s="25"/>
      <c r="AD303" s="25"/>
      <c r="AE303" s="25"/>
      <c r="AF303" s="25"/>
      <c r="AG303" s="25"/>
      <c r="AH303" s="25"/>
      <c r="AI303" s="25"/>
      <c r="AJ303" s="1215"/>
      <c r="AK303" s="1142"/>
      <c r="AL303" s="25"/>
      <c r="CV303" s="38"/>
      <c r="CW303" s="38"/>
      <c r="CX303" s="29"/>
      <c r="CY303" s="29"/>
      <c r="CZ303" s="29"/>
      <c r="DA303" s="29"/>
      <c r="DB303" s="29"/>
      <c r="DC303" s="29"/>
      <c r="DD303" s="29"/>
      <c r="DE303" s="29"/>
      <c r="DF303" s="29"/>
      <c r="DG303" s="29"/>
      <c r="DH303" s="29"/>
      <c r="DI303" s="29"/>
      <c r="DJ303" s="29"/>
    </row>
    <row r="304" spans="3:114" ht="15.75" customHeight="1">
      <c r="C304" s="29"/>
      <c r="D304" s="29"/>
      <c r="E304" s="571"/>
      <c r="F304" s="30"/>
      <c r="G304" s="572"/>
      <c r="H304" s="572"/>
      <c r="I304" s="572"/>
      <c r="J304" s="572"/>
      <c r="K304" s="572"/>
      <c r="L304" s="572"/>
      <c r="M304" s="572"/>
      <c r="N304" s="572"/>
      <c r="O304" s="572"/>
      <c r="P304" s="572"/>
      <c r="Q304" s="572"/>
      <c r="R304" s="572"/>
      <c r="S304" s="572"/>
      <c r="T304" s="572"/>
      <c r="U304" s="25"/>
      <c r="V304" s="25"/>
      <c r="W304" s="25"/>
      <c r="X304" s="25"/>
      <c r="Y304" s="25"/>
      <c r="Z304" s="25"/>
      <c r="AA304" s="25"/>
      <c r="AB304" s="25"/>
      <c r="AC304" s="25"/>
      <c r="AD304" s="25"/>
      <c r="AE304" s="25"/>
      <c r="AF304" s="25"/>
      <c r="AG304" s="25"/>
      <c r="AH304" s="25"/>
      <c r="AI304" s="25"/>
      <c r="AJ304" s="1215"/>
      <c r="AK304" s="1142"/>
      <c r="AL304" s="25"/>
      <c r="CS304" s="573"/>
      <c r="CV304" s="38"/>
      <c r="CW304" s="38"/>
      <c r="CX304" s="29"/>
      <c r="CY304" s="29"/>
      <c r="CZ304" s="29"/>
      <c r="DA304" s="29"/>
      <c r="DB304" s="29"/>
      <c r="DC304" s="29"/>
      <c r="DD304" s="29"/>
      <c r="DE304" s="29"/>
      <c r="DF304" s="29"/>
      <c r="DG304" s="29"/>
      <c r="DH304" s="29"/>
      <c r="DI304" s="29"/>
      <c r="DJ304" s="29"/>
    </row>
    <row r="305" spans="3:109" s="25" customFormat="1" ht="14.25" customHeight="1">
      <c r="C305" s="29"/>
      <c r="D305" s="29"/>
      <c r="E305" s="29"/>
      <c r="F305" s="574"/>
      <c r="G305" s="67"/>
      <c r="H305" s="67"/>
      <c r="I305" s="67"/>
      <c r="J305" s="67"/>
      <c r="K305" s="67"/>
      <c r="L305" s="67"/>
      <c r="M305" s="67"/>
      <c r="N305" s="67"/>
      <c r="O305" s="67"/>
      <c r="P305" s="67"/>
      <c r="Q305" s="67"/>
      <c r="R305" s="67"/>
      <c r="S305" s="67"/>
      <c r="T305" s="566"/>
      <c r="AJ305" s="1215"/>
      <c r="AK305" s="1142"/>
      <c r="AM305" s="42"/>
      <c r="AN305" s="42"/>
      <c r="AO305" s="42"/>
      <c r="AP305" s="42"/>
      <c r="AQ305" s="42"/>
      <c r="AR305" s="42"/>
      <c r="AS305" s="42"/>
      <c r="AT305" s="42"/>
      <c r="AU305" s="42"/>
      <c r="AV305" s="42"/>
      <c r="AW305" s="42"/>
      <c r="AX305" s="42"/>
      <c r="AY305" s="42"/>
      <c r="AZ305" s="42"/>
      <c r="BA305" s="42"/>
      <c r="BB305" s="42"/>
      <c r="BC305" s="42"/>
      <c r="BD305" s="42"/>
      <c r="BE305" s="42"/>
      <c r="BF305" s="42"/>
      <c r="BG305" s="42"/>
      <c r="BH305" s="42"/>
      <c r="BI305" s="42"/>
      <c r="BJ305" s="42"/>
      <c r="BK305" s="42"/>
      <c r="BL305" s="42"/>
      <c r="BM305" s="42"/>
      <c r="BN305" s="42"/>
      <c r="BO305" s="42"/>
      <c r="BP305" s="42"/>
      <c r="BQ305" s="42"/>
      <c r="BR305" s="42"/>
      <c r="BS305" s="42"/>
      <c r="BT305" s="42"/>
      <c r="BU305" s="42"/>
      <c r="BV305" s="42"/>
      <c r="BW305" s="42"/>
      <c r="BX305" s="42"/>
      <c r="BY305" s="42"/>
      <c r="BZ305" s="42"/>
      <c r="CA305" s="42"/>
      <c r="CB305" s="42"/>
      <c r="CC305" s="42"/>
      <c r="CD305" s="42"/>
      <c r="CE305" s="42"/>
      <c r="CF305" s="42"/>
      <c r="CG305" s="42"/>
      <c r="CH305" s="42"/>
      <c r="CS305" s="570"/>
      <c r="CT305" s="29"/>
      <c r="CU305" s="29"/>
      <c r="CV305" s="38"/>
      <c r="CW305" s="38"/>
      <c r="CX305" s="29"/>
      <c r="CY305" s="29"/>
      <c r="CZ305" s="29"/>
      <c r="DA305" s="29"/>
      <c r="DB305" s="29"/>
      <c r="DC305" s="29"/>
      <c r="DD305" s="29"/>
      <c r="DE305" s="29"/>
    </row>
    <row r="306" spans="3:109" s="25" customFormat="1">
      <c r="G306" s="57"/>
      <c r="H306" s="57"/>
      <c r="I306" s="57"/>
      <c r="J306" s="57"/>
      <c r="K306" s="57"/>
      <c r="L306" s="57"/>
      <c r="M306" s="57"/>
      <c r="N306" s="57"/>
      <c r="O306" s="57"/>
      <c r="P306" s="57"/>
      <c r="Q306" s="57"/>
      <c r="R306" s="57"/>
      <c r="S306" s="57"/>
      <c r="T306" s="67"/>
      <c r="AJ306" s="1215"/>
      <c r="AK306" s="1142"/>
      <c r="AM306" s="42"/>
      <c r="AN306" s="42"/>
      <c r="AO306" s="42"/>
      <c r="AP306" s="42"/>
      <c r="AQ306" s="42"/>
      <c r="AR306" s="42"/>
      <c r="AS306" s="42"/>
      <c r="AT306" s="42"/>
      <c r="AU306" s="42"/>
      <c r="AV306" s="42"/>
      <c r="AW306" s="42"/>
      <c r="AX306" s="42"/>
      <c r="AY306" s="42"/>
      <c r="AZ306" s="42"/>
      <c r="BA306" s="42"/>
      <c r="BB306" s="42"/>
      <c r="BC306" s="42"/>
      <c r="BD306" s="42"/>
      <c r="BE306" s="42"/>
      <c r="BF306" s="42"/>
      <c r="BG306" s="42"/>
      <c r="BH306" s="42"/>
      <c r="BI306" s="42"/>
      <c r="BJ306" s="42"/>
      <c r="BK306" s="42"/>
      <c r="BL306" s="42"/>
      <c r="BM306" s="42"/>
      <c r="BN306" s="42"/>
      <c r="BO306" s="42"/>
      <c r="BP306" s="42"/>
      <c r="BQ306" s="42"/>
      <c r="BR306" s="42"/>
      <c r="BS306" s="42"/>
      <c r="BT306" s="42"/>
      <c r="BU306" s="42"/>
      <c r="BV306" s="42"/>
      <c r="BW306" s="42"/>
      <c r="BX306" s="42"/>
      <c r="BY306" s="42"/>
      <c r="BZ306" s="42"/>
      <c r="CA306" s="42"/>
      <c r="CB306" s="42"/>
      <c r="CC306" s="42"/>
      <c r="CD306" s="42"/>
      <c r="CE306" s="42"/>
      <c r="CF306" s="42"/>
      <c r="CG306" s="42"/>
      <c r="CH306" s="42"/>
      <c r="CS306" s="29"/>
      <c r="CV306" s="38"/>
      <c r="CW306" s="38"/>
    </row>
    <row r="307" spans="3:109" s="25" customFormat="1">
      <c r="G307" s="57"/>
      <c r="H307" s="57"/>
      <c r="I307" s="57"/>
      <c r="J307" s="57"/>
      <c r="K307" s="57"/>
      <c r="L307" s="57"/>
      <c r="M307" s="57"/>
      <c r="N307" s="57"/>
      <c r="O307" s="57"/>
      <c r="P307" s="57"/>
      <c r="Q307" s="57"/>
      <c r="R307" s="57"/>
      <c r="S307" s="57"/>
      <c r="T307" s="67"/>
      <c r="AJ307" s="1215"/>
      <c r="AK307" s="1142"/>
      <c r="AM307" s="42"/>
      <c r="AN307" s="42"/>
      <c r="AO307" s="42"/>
      <c r="AP307" s="42"/>
      <c r="AQ307" s="42"/>
      <c r="AR307" s="42"/>
      <c r="AS307" s="42"/>
      <c r="AT307" s="42"/>
      <c r="AU307" s="42"/>
      <c r="AV307" s="42"/>
      <c r="AW307" s="42"/>
      <c r="AX307" s="42"/>
      <c r="AY307" s="42"/>
      <c r="AZ307" s="42"/>
      <c r="BA307" s="42"/>
      <c r="BB307" s="42"/>
      <c r="BC307" s="42"/>
      <c r="BD307" s="42"/>
      <c r="BE307" s="42"/>
      <c r="BF307" s="42"/>
      <c r="BG307" s="42"/>
      <c r="BH307" s="42"/>
      <c r="BI307" s="42"/>
      <c r="BJ307" s="42"/>
      <c r="BK307" s="42"/>
      <c r="BL307" s="42"/>
      <c r="BM307" s="42"/>
      <c r="BN307" s="42"/>
      <c r="BO307" s="42"/>
      <c r="BP307" s="42"/>
      <c r="BQ307" s="42"/>
      <c r="BR307" s="42"/>
      <c r="BS307" s="42"/>
      <c r="BT307" s="42"/>
      <c r="BU307" s="42"/>
      <c r="BV307" s="42"/>
      <c r="BW307" s="42"/>
      <c r="BX307" s="42"/>
      <c r="BY307" s="42"/>
      <c r="BZ307" s="42"/>
      <c r="CA307" s="42"/>
      <c r="CB307" s="42"/>
      <c r="CC307" s="42"/>
      <c r="CD307" s="42"/>
      <c r="CE307" s="42"/>
      <c r="CF307" s="42"/>
      <c r="CG307" s="42"/>
      <c r="CH307" s="42"/>
      <c r="CS307" s="29"/>
      <c r="CV307" s="38"/>
      <c r="CW307" s="38"/>
    </row>
    <row r="308" spans="3:109" s="25" customFormat="1">
      <c r="G308" s="57"/>
      <c r="H308" s="57"/>
      <c r="I308" s="57"/>
      <c r="J308" s="57"/>
      <c r="K308" s="57"/>
      <c r="L308" s="57"/>
      <c r="M308" s="57"/>
      <c r="N308" s="57"/>
      <c r="O308" s="57"/>
      <c r="P308" s="57"/>
      <c r="Q308" s="57"/>
      <c r="R308" s="57"/>
      <c r="S308" s="57"/>
      <c r="T308" s="67"/>
      <c r="AJ308" s="1215"/>
      <c r="AK308" s="1142"/>
      <c r="AM308" s="42"/>
      <c r="AN308" s="42"/>
      <c r="AO308" s="42"/>
      <c r="AP308" s="42"/>
      <c r="AQ308" s="42"/>
      <c r="AR308" s="42"/>
      <c r="AS308" s="42"/>
      <c r="AT308" s="42"/>
      <c r="AU308" s="42"/>
      <c r="AV308" s="42"/>
      <c r="AW308" s="42"/>
      <c r="AX308" s="42"/>
      <c r="AY308" s="42"/>
      <c r="AZ308" s="42"/>
      <c r="BA308" s="42"/>
      <c r="BB308" s="42"/>
      <c r="BC308" s="42"/>
      <c r="BD308" s="42"/>
      <c r="BE308" s="42"/>
      <c r="BF308" s="42"/>
      <c r="BG308" s="42"/>
      <c r="BH308" s="42"/>
      <c r="BI308" s="42"/>
      <c r="BJ308" s="42"/>
      <c r="BK308" s="42"/>
      <c r="BL308" s="42"/>
      <c r="BM308" s="42"/>
      <c r="BN308" s="42"/>
      <c r="BO308" s="42"/>
      <c r="BP308" s="42"/>
      <c r="BQ308" s="42"/>
      <c r="BR308" s="42"/>
      <c r="BS308" s="42"/>
      <c r="BT308" s="42"/>
      <c r="BU308" s="42"/>
      <c r="BV308" s="42"/>
      <c r="BW308" s="42"/>
      <c r="BX308" s="42"/>
      <c r="BY308" s="42"/>
      <c r="BZ308" s="42"/>
      <c r="CA308" s="42"/>
      <c r="CB308" s="42"/>
      <c r="CC308" s="42"/>
      <c r="CD308" s="42"/>
      <c r="CE308" s="42"/>
      <c r="CF308" s="42"/>
      <c r="CG308" s="42"/>
      <c r="CH308" s="42"/>
      <c r="CS308" s="29"/>
      <c r="CV308" s="38"/>
      <c r="CW308" s="38"/>
    </row>
    <row r="309" spans="3:109" s="25" customFormat="1">
      <c r="G309" s="57"/>
      <c r="H309" s="57"/>
      <c r="I309" s="57"/>
      <c r="J309" s="57"/>
      <c r="K309" s="57"/>
      <c r="L309" s="57"/>
      <c r="M309" s="57"/>
      <c r="N309" s="57"/>
      <c r="O309" s="57"/>
      <c r="P309" s="57"/>
      <c r="Q309" s="57"/>
      <c r="R309" s="57"/>
      <c r="S309" s="57"/>
      <c r="T309" s="67"/>
      <c r="AJ309" s="1215"/>
      <c r="AK309" s="1142"/>
      <c r="AM309" s="42"/>
      <c r="AN309" s="42"/>
      <c r="AO309" s="42"/>
      <c r="AP309" s="42"/>
      <c r="AQ309" s="42"/>
      <c r="AR309" s="42"/>
      <c r="AS309" s="42"/>
      <c r="AT309" s="42"/>
      <c r="AU309" s="42"/>
      <c r="AV309" s="42"/>
      <c r="AW309" s="42"/>
      <c r="AX309" s="42"/>
      <c r="AY309" s="42"/>
      <c r="AZ309" s="42"/>
      <c r="BA309" s="42"/>
      <c r="BB309" s="42"/>
      <c r="BC309" s="42"/>
      <c r="BD309" s="42"/>
      <c r="BE309" s="42"/>
      <c r="BF309" s="42"/>
      <c r="BG309" s="42"/>
      <c r="BH309" s="42"/>
      <c r="BI309" s="42"/>
      <c r="BJ309" s="42"/>
      <c r="BK309" s="42"/>
      <c r="BL309" s="42"/>
      <c r="BM309" s="42"/>
      <c r="BN309" s="42"/>
      <c r="BO309" s="42"/>
      <c r="BP309" s="42"/>
      <c r="BQ309" s="42"/>
      <c r="BR309" s="42"/>
      <c r="BS309" s="42"/>
      <c r="BT309" s="42"/>
      <c r="BU309" s="42"/>
      <c r="BV309" s="42"/>
      <c r="BW309" s="42"/>
      <c r="BX309" s="42"/>
      <c r="BY309" s="42"/>
      <c r="BZ309" s="42"/>
      <c r="CA309" s="42"/>
      <c r="CB309" s="42"/>
      <c r="CC309" s="42"/>
      <c r="CD309" s="42"/>
      <c r="CE309" s="42"/>
      <c r="CF309" s="42"/>
      <c r="CG309" s="42"/>
      <c r="CH309" s="42"/>
      <c r="CS309" s="29"/>
      <c r="CV309" s="38"/>
      <c r="CW309" s="38"/>
    </row>
    <row r="310" spans="3:109" s="25" customFormat="1">
      <c r="G310" s="57"/>
      <c r="H310" s="57"/>
      <c r="I310" s="57"/>
      <c r="J310" s="57"/>
      <c r="K310" s="57"/>
      <c r="L310" s="57"/>
      <c r="M310" s="57"/>
      <c r="N310" s="57"/>
      <c r="O310" s="57"/>
      <c r="P310" s="57"/>
      <c r="Q310" s="57"/>
      <c r="R310" s="57"/>
      <c r="S310" s="57"/>
      <c r="T310" s="67"/>
      <c r="AJ310" s="1215"/>
      <c r="AK310" s="1142"/>
      <c r="AM310" s="42"/>
      <c r="AN310" s="42"/>
      <c r="AO310" s="42"/>
      <c r="AP310" s="42"/>
      <c r="AQ310" s="42"/>
      <c r="AR310" s="42"/>
      <c r="AS310" s="42"/>
      <c r="AT310" s="42"/>
      <c r="AU310" s="42"/>
      <c r="AV310" s="42"/>
      <c r="AW310" s="42"/>
      <c r="AX310" s="42"/>
      <c r="AY310" s="42"/>
      <c r="AZ310" s="42"/>
      <c r="BA310" s="42"/>
      <c r="BB310" s="42"/>
      <c r="BC310" s="42"/>
      <c r="BD310" s="42"/>
      <c r="BE310" s="42"/>
      <c r="BF310" s="42"/>
      <c r="BG310" s="42"/>
      <c r="BH310" s="42"/>
      <c r="BI310" s="42"/>
      <c r="BJ310" s="42"/>
      <c r="BK310" s="42"/>
      <c r="BL310" s="42"/>
      <c r="BM310" s="42"/>
      <c r="BN310" s="42"/>
      <c r="BO310" s="42"/>
      <c r="BP310" s="42"/>
      <c r="BQ310" s="42"/>
      <c r="BR310" s="42"/>
      <c r="BS310" s="42"/>
      <c r="BT310" s="42"/>
      <c r="BU310" s="42"/>
      <c r="BV310" s="42"/>
      <c r="BW310" s="42"/>
      <c r="BX310" s="42"/>
      <c r="BY310" s="42"/>
      <c r="BZ310" s="42"/>
      <c r="CA310" s="42"/>
      <c r="CB310" s="42"/>
      <c r="CC310" s="42"/>
      <c r="CD310" s="42"/>
      <c r="CE310" s="42"/>
      <c r="CF310" s="42"/>
      <c r="CG310" s="42"/>
      <c r="CH310" s="42"/>
      <c r="CS310" s="29"/>
      <c r="CV310" s="38"/>
      <c r="CW310" s="38"/>
    </row>
    <row r="311" spans="3:109" s="25" customFormat="1">
      <c r="G311" s="57"/>
      <c r="H311" s="57"/>
      <c r="I311" s="57"/>
      <c r="J311" s="57"/>
      <c r="K311" s="57"/>
      <c r="L311" s="57"/>
      <c r="M311" s="57"/>
      <c r="N311" s="57"/>
      <c r="O311" s="57"/>
      <c r="P311" s="57"/>
      <c r="Q311" s="57"/>
      <c r="R311" s="57"/>
      <c r="S311" s="57"/>
      <c r="T311" s="67"/>
      <c r="AJ311" s="1215"/>
      <c r="AK311" s="1142"/>
      <c r="AM311" s="42"/>
      <c r="AN311" s="42"/>
      <c r="AO311" s="42"/>
      <c r="AP311" s="42"/>
      <c r="AQ311" s="42"/>
      <c r="AR311" s="42"/>
      <c r="AS311" s="42"/>
      <c r="AT311" s="42"/>
      <c r="AU311" s="42"/>
      <c r="AV311" s="42"/>
      <c r="AW311" s="42"/>
      <c r="AX311" s="42"/>
      <c r="AY311" s="42"/>
      <c r="AZ311" s="42"/>
      <c r="BA311" s="42"/>
      <c r="BB311" s="42"/>
      <c r="BC311" s="42"/>
      <c r="BD311" s="42"/>
      <c r="BE311" s="42"/>
      <c r="BF311" s="42"/>
      <c r="BG311" s="42"/>
      <c r="BH311" s="42"/>
      <c r="BI311" s="42"/>
      <c r="BJ311" s="42"/>
      <c r="BK311" s="42"/>
      <c r="BL311" s="42"/>
      <c r="BM311" s="42"/>
      <c r="BN311" s="42"/>
      <c r="BO311" s="42"/>
      <c r="BP311" s="42"/>
      <c r="BQ311" s="42"/>
      <c r="BR311" s="42"/>
      <c r="BS311" s="42"/>
      <c r="BT311" s="42"/>
      <c r="BU311" s="42"/>
      <c r="BV311" s="42"/>
      <c r="BW311" s="42"/>
      <c r="BX311" s="42"/>
      <c r="BY311" s="42"/>
      <c r="BZ311" s="42"/>
      <c r="CA311" s="42"/>
      <c r="CB311" s="42"/>
      <c r="CC311" s="42"/>
      <c r="CD311" s="42"/>
      <c r="CE311" s="42"/>
      <c r="CF311" s="42"/>
      <c r="CG311" s="42"/>
      <c r="CH311" s="42"/>
      <c r="CS311" s="29"/>
      <c r="CV311" s="38"/>
      <c r="CW311" s="38"/>
    </row>
    <row r="312" spans="3:109" s="25" customFormat="1">
      <c r="G312" s="57"/>
      <c r="H312" s="57"/>
      <c r="I312" s="57"/>
      <c r="J312" s="57"/>
      <c r="K312" s="57"/>
      <c r="L312" s="57"/>
      <c r="M312" s="57"/>
      <c r="N312" s="57"/>
      <c r="O312" s="57"/>
      <c r="P312" s="57"/>
      <c r="Q312" s="57"/>
      <c r="R312" s="57"/>
      <c r="S312" s="57"/>
      <c r="T312" s="67"/>
      <c r="AJ312" s="1215"/>
      <c r="AK312" s="1142"/>
      <c r="AM312" s="42"/>
      <c r="AN312" s="42"/>
      <c r="AO312" s="42"/>
      <c r="AP312" s="42"/>
      <c r="AQ312" s="42"/>
      <c r="AR312" s="42"/>
      <c r="AS312" s="42"/>
      <c r="AT312" s="42"/>
      <c r="AU312" s="42"/>
      <c r="AV312" s="42"/>
      <c r="AW312" s="42"/>
      <c r="AX312" s="42"/>
      <c r="AY312" s="42"/>
      <c r="AZ312" s="42"/>
      <c r="BA312" s="42"/>
      <c r="BB312" s="42"/>
      <c r="BC312" s="42"/>
      <c r="BD312" s="42"/>
      <c r="BE312" s="42"/>
      <c r="BF312" s="42"/>
      <c r="BG312" s="42"/>
      <c r="BH312" s="42"/>
      <c r="BI312" s="42"/>
      <c r="BJ312" s="42"/>
      <c r="BK312" s="42"/>
      <c r="BL312" s="42"/>
      <c r="BM312" s="42"/>
      <c r="BN312" s="42"/>
      <c r="BO312" s="42"/>
      <c r="BP312" s="42"/>
      <c r="BQ312" s="42"/>
      <c r="BR312" s="42"/>
      <c r="BS312" s="42"/>
      <c r="BT312" s="42"/>
      <c r="BU312" s="42"/>
      <c r="BV312" s="42"/>
      <c r="BW312" s="42"/>
      <c r="BX312" s="42"/>
      <c r="BY312" s="42"/>
      <c r="BZ312" s="42"/>
      <c r="CA312" s="42"/>
      <c r="CB312" s="42"/>
      <c r="CC312" s="42"/>
      <c r="CD312" s="42"/>
      <c r="CE312" s="42"/>
      <c r="CF312" s="42"/>
      <c r="CG312" s="42"/>
      <c r="CH312" s="42"/>
      <c r="CS312" s="29"/>
      <c r="CV312" s="38"/>
      <c r="CW312" s="38"/>
    </row>
    <row r="313" spans="3:109" s="25" customFormat="1">
      <c r="G313" s="57"/>
      <c r="H313" s="57"/>
      <c r="I313" s="57"/>
      <c r="J313" s="57"/>
      <c r="K313" s="57"/>
      <c r="L313" s="57"/>
      <c r="M313" s="57"/>
      <c r="N313" s="57"/>
      <c r="O313" s="57"/>
      <c r="P313" s="57"/>
      <c r="Q313" s="57"/>
      <c r="R313" s="57"/>
      <c r="S313" s="57"/>
      <c r="T313" s="67"/>
      <c r="AJ313" s="1215"/>
      <c r="AK313" s="1142"/>
      <c r="AM313" s="42"/>
      <c r="AN313" s="42"/>
      <c r="AO313" s="42"/>
      <c r="AP313" s="42"/>
      <c r="AQ313" s="42"/>
      <c r="AR313" s="42"/>
      <c r="AS313" s="42"/>
      <c r="AT313" s="42"/>
      <c r="AU313" s="42"/>
      <c r="AV313" s="42"/>
      <c r="AW313" s="42"/>
      <c r="AX313" s="42"/>
      <c r="AY313" s="42"/>
      <c r="AZ313" s="42"/>
      <c r="BA313" s="42"/>
      <c r="BB313" s="42"/>
      <c r="BC313" s="42"/>
      <c r="BD313" s="42"/>
      <c r="BE313" s="42"/>
      <c r="BF313" s="42"/>
      <c r="BG313" s="42"/>
      <c r="BH313" s="42"/>
      <c r="BI313" s="42"/>
      <c r="BJ313" s="42"/>
      <c r="BK313" s="42"/>
      <c r="BL313" s="42"/>
      <c r="BM313" s="42"/>
      <c r="BN313" s="42"/>
      <c r="BO313" s="42"/>
      <c r="BP313" s="42"/>
      <c r="BQ313" s="42"/>
      <c r="BR313" s="42"/>
      <c r="BS313" s="42"/>
      <c r="BT313" s="42"/>
      <c r="BU313" s="42"/>
      <c r="BV313" s="42"/>
      <c r="BW313" s="42"/>
      <c r="BX313" s="42"/>
      <c r="BY313" s="42"/>
      <c r="BZ313" s="42"/>
      <c r="CA313" s="42"/>
      <c r="CB313" s="42"/>
      <c r="CC313" s="42"/>
      <c r="CD313" s="42"/>
      <c r="CE313" s="42"/>
      <c r="CF313" s="42"/>
      <c r="CG313" s="42"/>
      <c r="CH313" s="42"/>
      <c r="CS313" s="29"/>
      <c r="CV313" s="38"/>
      <c r="CW313" s="38"/>
    </row>
    <row r="314" spans="3:109" s="25" customFormat="1">
      <c r="G314" s="57"/>
      <c r="H314" s="57"/>
      <c r="I314" s="57"/>
      <c r="J314" s="57"/>
      <c r="K314" s="57"/>
      <c r="L314" s="57"/>
      <c r="M314" s="57"/>
      <c r="N314" s="57"/>
      <c r="O314" s="57"/>
      <c r="P314" s="57"/>
      <c r="Q314" s="57"/>
      <c r="R314" s="57"/>
      <c r="S314" s="57"/>
      <c r="T314" s="67"/>
      <c r="AJ314" s="1215"/>
      <c r="AK314" s="1142"/>
      <c r="AM314" s="42"/>
      <c r="AN314" s="42"/>
      <c r="AO314" s="42"/>
      <c r="AP314" s="42"/>
      <c r="AQ314" s="42"/>
      <c r="AR314" s="42"/>
      <c r="AS314" s="42"/>
      <c r="AT314" s="42"/>
      <c r="AU314" s="42"/>
      <c r="AV314" s="42"/>
      <c r="AW314" s="42"/>
      <c r="AX314" s="42"/>
      <c r="AY314" s="42"/>
      <c r="AZ314" s="42"/>
      <c r="BA314" s="42"/>
      <c r="BB314" s="42"/>
      <c r="BC314" s="42"/>
      <c r="BD314" s="42"/>
      <c r="BE314" s="42"/>
      <c r="BF314" s="42"/>
      <c r="BG314" s="42"/>
      <c r="BH314" s="42"/>
      <c r="BI314" s="42"/>
      <c r="BJ314" s="42"/>
      <c r="BK314" s="42"/>
      <c r="BL314" s="42"/>
      <c r="BM314" s="42"/>
      <c r="BN314" s="42"/>
      <c r="BO314" s="42"/>
      <c r="BP314" s="42"/>
      <c r="BQ314" s="42"/>
      <c r="BR314" s="42"/>
      <c r="BS314" s="42"/>
      <c r="BT314" s="42"/>
      <c r="BU314" s="42"/>
      <c r="BV314" s="42"/>
      <c r="BW314" s="42"/>
      <c r="BX314" s="42"/>
      <c r="BY314" s="42"/>
      <c r="BZ314" s="42"/>
      <c r="CA314" s="42"/>
      <c r="CB314" s="42"/>
      <c r="CC314" s="42"/>
      <c r="CD314" s="42"/>
      <c r="CE314" s="42"/>
      <c r="CF314" s="42"/>
      <c r="CG314" s="42"/>
      <c r="CH314" s="42"/>
      <c r="CS314" s="29"/>
      <c r="CV314" s="38"/>
      <c r="CW314" s="38"/>
    </row>
    <row r="315" spans="3:109" s="25" customFormat="1">
      <c r="G315" s="57"/>
      <c r="H315" s="57"/>
      <c r="I315" s="57"/>
      <c r="J315" s="57"/>
      <c r="K315" s="57"/>
      <c r="L315" s="57"/>
      <c r="M315" s="57"/>
      <c r="N315" s="57"/>
      <c r="O315" s="57"/>
      <c r="P315" s="57"/>
      <c r="Q315" s="57"/>
      <c r="R315" s="57"/>
      <c r="S315" s="57"/>
      <c r="T315" s="67"/>
      <c r="AJ315" s="1215"/>
      <c r="AK315" s="1142"/>
      <c r="AM315" s="42"/>
      <c r="AN315" s="42"/>
      <c r="AO315" s="42"/>
      <c r="AP315" s="42"/>
      <c r="AQ315" s="42"/>
      <c r="AR315" s="42"/>
      <c r="AS315" s="42"/>
      <c r="AT315" s="42"/>
      <c r="AU315" s="42"/>
      <c r="AV315" s="42"/>
      <c r="AW315" s="42"/>
      <c r="AX315" s="42"/>
      <c r="AY315" s="42"/>
      <c r="AZ315" s="42"/>
      <c r="BA315" s="42"/>
      <c r="BB315" s="42"/>
      <c r="BC315" s="42"/>
      <c r="BD315" s="42"/>
      <c r="BE315" s="42"/>
      <c r="BF315" s="42"/>
      <c r="BG315" s="42"/>
      <c r="BH315" s="42"/>
      <c r="BI315" s="42"/>
      <c r="BJ315" s="42"/>
      <c r="BK315" s="42"/>
      <c r="BL315" s="42"/>
      <c r="BM315" s="42"/>
      <c r="BN315" s="42"/>
      <c r="BO315" s="42"/>
      <c r="BP315" s="42"/>
      <c r="BQ315" s="42"/>
      <c r="BR315" s="42"/>
      <c r="BS315" s="42"/>
      <c r="BT315" s="42"/>
      <c r="BU315" s="42"/>
      <c r="BV315" s="42"/>
      <c r="BW315" s="42"/>
      <c r="BX315" s="42"/>
      <c r="BY315" s="42"/>
      <c r="BZ315" s="42"/>
      <c r="CA315" s="42"/>
      <c r="CB315" s="42"/>
      <c r="CC315" s="42"/>
      <c r="CD315" s="42"/>
      <c r="CE315" s="42"/>
      <c r="CF315" s="42"/>
      <c r="CG315" s="42"/>
      <c r="CH315" s="42"/>
      <c r="CS315" s="29"/>
      <c r="CV315" s="38"/>
      <c r="CW315" s="38"/>
    </row>
    <row r="316" spans="3:109" s="25" customFormat="1">
      <c r="G316" s="57"/>
      <c r="H316" s="57"/>
      <c r="I316" s="57"/>
      <c r="J316" s="57"/>
      <c r="K316" s="57"/>
      <c r="L316" s="57"/>
      <c r="M316" s="57"/>
      <c r="N316" s="57"/>
      <c r="O316" s="57"/>
      <c r="P316" s="57"/>
      <c r="Q316" s="57"/>
      <c r="R316" s="57"/>
      <c r="S316" s="57"/>
      <c r="T316" s="67"/>
      <c r="AJ316" s="1215"/>
      <c r="AK316" s="1142"/>
      <c r="AM316" s="42"/>
      <c r="AN316" s="42"/>
      <c r="AO316" s="42"/>
      <c r="AP316" s="42"/>
      <c r="AQ316" s="42"/>
      <c r="AR316" s="42"/>
      <c r="AS316" s="42"/>
      <c r="AT316" s="42"/>
      <c r="AU316" s="42"/>
      <c r="AV316" s="42"/>
      <c r="AW316" s="42"/>
      <c r="AX316" s="42"/>
      <c r="AY316" s="42"/>
      <c r="AZ316" s="42"/>
      <c r="BA316" s="42"/>
      <c r="BB316" s="42"/>
      <c r="BC316" s="42"/>
      <c r="BD316" s="42"/>
      <c r="BE316" s="42"/>
      <c r="BF316" s="42"/>
      <c r="BG316" s="42"/>
      <c r="BH316" s="42"/>
      <c r="BI316" s="42"/>
      <c r="BJ316" s="42"/>
      <c r="BK316" s="42"/>
      <c r="BL316" s="42"/>
      <c r="BM316" s="42"/>
      <c r="BN316" s="42"/>
      <c r="BO316" s="42"/>
      <c r="BP316" s="42"/>
      <c r="BQ316" s="42"/>
      <c r="BR316" s="42"/>
      <c r="BS316" s="42"/>
      <c r="BT316" s="42"/>
      <c r="BU316" s="42"/>
      <c r="BV316" s="42"/>
      <c r="BW316" s="42"/>
      <c r="BX316" s="42"/>
      <c r="BY316" s="42"/>
      <c r="BZ316" s="42"/>
      <c r="CA316" s="42"/>
      <c r="CB316" s="42"/>
      <c r="CC316" s="42"/>
      <c r="CD316" s="42"/>
      <c r="CE316" s="42"/>
      <c r="CF316" s="42"/>
      <c r="CG316" s="42"/>
      <c r="CH316" s="42"/>
      <c r="CS316" s="29"/>
      <c r="CV316" s="38"/>
      <c r="CW316" s="38"/>
    </row>
    <row r="317" spans="3:109" s="25" customFormat="1">
      <c r="G317" s="57"/>
      <c r="H317" s="57"/>
      <c r="I317" s="57"/>
      <c r="J317" s="57"/>
      <c r="K317" s="57"/>
      <c r="L317" s="57"/>
      <c r="M317" s="57"/>
      <c r="N317" s="57"/>
      <c r="O317" s="57"/>
      <c r="P317" s="57"/>
      <c r="Q317" s="57"/>
      <c r="R317" s="57"/>
      <c r="S317" s="57"/>
      <c r="T317" s="67"/>
      <c r="AJ317" s="1215"/>
      <c r="AK317" s="1142"/>
      <c r="AM317" s="42"/>
      <c r="AN317" s="42"/>
      <c r="AO317" s="42"/>
      <c r="AP317" s="42"/>
      <c r="AQ317" s="42"/>
      <c r="AR317" s="42"/>
      <c r="AS317" s="42"/>
      <c r="AT317" s="42"/>
      <c r="AU317" s="42"/>
      <c r="AV317" s="42"/>
      <c r="AW317" s="42"/>
      <c r="AX317" s="42"/>
      <c r="AY317" s="42"/>
      <c r="AZ317" s="42"/>
      <c r="BA317" s="42"/>
      <c r="BB317" s="42"/>
      <c r="BC317" s="42"/>
      <c r="BD317" s="42"/>
      <c r="BE317" s="42"/>
      <c r="BF317" s="42"/>
      <c r="BG317" s="42"/>
      <c r="BH317" s="42"/>
      <c r="BI317" s="42"/>
      <c r="BJ317" s="42"/>
      <c r="BK317" s="42"/>
      <c r="BL317" s="42"/>
      <c r="BM317" s="42"/>
      <c r="BN317" s="42"/>
      <c r="BO317" s="42"/>
      <c r="BP317" s="42"/>
      <c r="BQ317" s="42"/>
      <c r="BR317" s="42"/>
      <c r="BS317" s="42"/>
      <c r="BT317" s="42"/>
      <c r="BU317" s="42"/>
      <c r="BV317" s="42"/>
      <c r="BW317" s="42"/>
      <c r="BX317" s="42"/>
      <c r="BY317" s="42"/>
      <c r="BZ317" s="42"/>
      <c r="CA317" s="42"/>
      <c r="CB317" s="42"/>
      <c r="CC317" s="42"/>
      <c r="CD317" s="42"/>
      <c r="CE317" s="42"/>
      <c r="CF317" s="42"/>
      <c r="CG317" s="42"/>
      <c r="CH317" s="42"/>
      <c r="CS317" s="29"/>
      <c r="CV317" s="38"/>
      <c r="CW317" s="38"/>
    </row>
    <row r="318" spans="3:109" s="25" customFormat="1">
      <c r="G318" s="57"/>
      <c r="H318" s="57"/>
      <c r="I318" s="57"/>
      <c r="J318" s="57"/>
      <c r="K318" s="57"/>
      <c r="L318" s="57"/>
      <c r="M318" s="57"/>
      <c r="N318" s="57"/>
      <c r="O318" s="57"/>
      <c r="P318" s="57"/>
      <c r="Q318" s="57"/>
      <c r="R318" s="57"/>
      <c r="S318" s="57"/>
      <c r="T318" s="67"/>
      <c r="AJ318" s="1215"/>
      <c r="AK318" s="1142"/>
      <c r="AM318" s="42"/>
      <c r="AN318" s="42"/>
      <c r="AO318" s="42"/>
      <c r="AP318" s="42"/>
      <c r="AQ318" s="42"/>
      <c r="AR318" s="42"/>
      <c r="AS318" s="42"/>
      <c r="AT318" s="42"/>
      <c r="AU318" s="42"/>
      <c r="AV318" s="42"/>
      <c r="AW318" s="42"/>
      <c r="AX318" s="42"/>
      <c r="AY318" s="42"/>
      <c r="AZ318" s="42"/>
      <c r="BA318" s="42"/>
      <c r="BB318" s="42"/>
      <c r="BC318" s="42"/>
      <c r="BD318" s="42"/>
      <c r="BE318" s="42"/>
      <c r="BF318" s="42"/>
      <c r="BG318" s="42"/>
      <c r="BH318" s="42"/>
      <c r="BI318" s="42"/>
      <c r="BJ318" s="42"/>
      <c r="BK318" s="42"/>
      <c r="BL318" s="42"/>
      <c r="BM318" s="42"/>
      <c r="BN318" s="42"/>
      <c r="BO318" s="42"/>
      <c r="BP318" s="42"/>
      <c r="BQ318" s="42"/>
      <c r="BR318" s="42"/>
      <c r="BS318" s="42"/>
      <c r="BT318" s="42"/>
      <c r="BU318" s="42"/>
      <c r="BV318" s="42"/>
      <c r="BW318" s="42"/>
      <c r="BX318" s="42"/>
      <c r="BY318" s="42"/>
      <c r="BZ318" s="42"/>
      <c r="CA318" s="42"/>
      <c r="CB318" s="42"/>
      <c r="CC318" s="42"/>
      <c r="CD318" s="42"/>
      <c r="CE318" s="42"/>
      <c r="CF318" s="42"/>
      <c r="CG318" s="42"/>
      <c r="CH318" s="42"/>
      <c r="CS318" s="29"/>
      <c r="CV318" s="38"/>
      <c r="CW318" s="38"/>
    </row>
    <row r="319" spans="3:109" s="25" customFormat="1">
      <c r="G319" s="57"/>
      <c r="H319" s="57"/>
      <c r="I319" s="57"/>
      <c r="J319" s="57"/>
      <c r="K319" s="57"/>
      <c r="L319" s="57"/>
      <c r="M319" s="57"/>
      <c r="N319" s="57"/>
      <c r="O319" s="57"/>
      <c r="P319" s="57"/>
      <c r="Q319" s="57"/>
      <c r="R319" s="57"/>
      <c r="S319" s="57"/>
      <c r="T319" s="67"/>
      <c r="AJ319" s="1215"/>
      <c r="AK319" s="1142"/>
      <c r="AM319" s="42"/>
      <c r="AN319" s="42"/>
      <c r="AO319" s="42"/>
      <c r="AP319" s="42"/>
      <c r="AQ319" s="42"/>
      <c r="AR319" s="42"/>
      <c r="AS319" s="42"/>
      <c r="AT319" s="42"/>
      <c r="AU319" s="42"/>
      <c r="AV319" s="42"/>
      <c r="AW319" s="42"/>
      <c r="AX319" s="42"/>
      <c r="AY319" s="42"/>
      <c r="AZ319" s="42"/>
      <c r="BA319" s="42"/>
      <c r="BB319" s="42"/>
      <c r="BC319" s="42"/>
      <c r="BD319" s="42"/>
      <c r="BE319" s="42"/>
      <c r="BF319" s="42"/>
      <c r="BG319" s="42"/>
      <c r="BH319" s="42"/>
      <c r="BI319" s="42"/>
      <c r="BJ319" s="42"/>
      <c r="BK319" s="42"/>
      <c r="BL319" s="42"/>
      <c r="BM319" s="42"/>
      <c r="BN319" s="42"/>
      <c r="BO319" s="42"/>
      <c r="BP319" s="42"/>
      <c r="BQ319" s="42"/>
      <c r="BR319" s="42"/>
      <c r="BS319" s="42"/>
      <c r="BT319" s="42"/>
      <c r="BU319" s="42"/>
      <c r="BV319" s="42"/>
      <c r="BW319" s="42"/>
      <c r="BX319" s="42"/>
      <c r="BY319" s="42"/>
      <c r="BZ319" s="42"/>
      <c r="CA319" s="42"/>
      <c r="CB319" s="42"/>
      <c r="CC319" s="42"/>
      <c r="CD319" s="42"/>
      <c r="CE319" s="42"/>
      <c r="CF319" s="42"/>
      <c r="CG319" s="42"/>
      <c r="CH319" s="42"/>
      <c r="CS319" s="29"/>
      <c r="CV319" s="38"/>
      <c r="CW319" s="38"/>
    </row>
    <row r="320" spans="3:109" s="25" customFormat="1">
      <c r="G320" s="57"/>
      <c r="H320" s="57"/>
      <c r="I320" s="57"/>
      <c r="J320" s="57"/>
      <c r="K320" s="57"/>
      <c r="L320" s="57"/>
      <c r="M320" s="57"/>
      <c r="N320" s="57"/>
      <c r="O320" s="57"/>
      <c r="P320" s="57"/>
      <c r="Q320" s="57"/>
      <c r="R320" s="57"/>
      <c r="S320" s="57"/>
      <c r="T320" s="67"/>
      <c r="AJ320" s="1215"/>
      <c r="AK320" s="1142"/>
      <c r="AM320" s="42"/>
      <c r="AN320" s="42"/>
      <c r="AO320" s="42"/>
      <c r="AP320" s="42"/>
      <c r="AQ320" s="42"/>
      <c r="AR320" s="42"/>
      <c r="AS320" s="42"/>
      <c r="AT320" s="42"/>
      <c r="AU320" s="42"/>
      <c r="AV320" s="42"/>
      <c r="AW320" s="42"/>
      <c r="AX320" s="42"/>
      <c r="AY320" s="42"/>
      <c r="AZ320" s="42"/>
      <c r="BA320" s="42"/>
      <c r="BB320" s="42"/>
      <c r="BC320" s="42"/>
      <c r="BD320" s="42"/>
      <c r="BE320" s="42"/>
      <c r="BF320" s="42"/>
      <c r="BG320" s="42"/>
      <c r="BH320" s="42"/>
      <c r="BI320" s="42"/>
      <c r="BJ320" s="42"/>
      <c r="BK320" s="42"/>
      <c r="BL320" s="42"/>
      <c r="BM320" s="42"/>
      <c r="BN320" s="42"/>
      <c r="BO320" s="42"/>
      <c r="BP320" s="42"/>
      <c r="BQ320" s="42"/>
      <c r="BR320" s="42"/>
      <c r="BS320" s="42"/>
      <c r="BT320" s="42"/>
      <c r="BU320" s="42"/>
      <c r="BV320" s="42"/>
      <c r="BW320" s="42"/>
      <c r="BX320" s="42"/>
      <c r="BY320" s="42"/>
      <c r="BZ320" s="42"/>
      <c r="CA320" s="42"/>
      <c r="CB320" s="42"/>
      <c r="CC320" s="42"/>
      <c r="CD320" s="42"/>
      <c r="CE320" s="42"/>
      <c r="CF320" s="42"/>
      <c r="CG320" s="42"/>
      <c r="CH320" s="42"/>
      <c r="CS320" s="29"/>
      <c r="CV320" s="38"/>
      <c r="CW320" s="38"/>
    </row>
    <row r="321" spans="7:109" s="25" customFormat="1">
      <c r="G321" s="57"/>
      <c r="H321" s="57"/>
      <c r="I321" s="57"/>
      <c r="J321" s="57"/>
      <c r="K321" s="57"/>
      <c r="L321" s="57"/>
      <c r="M321" s="57"/>
      <c r="N321" s="57"/>
      <c r="O321" s="57"/>
      <c r="P321" s="57"/>
      <c r="Q321" s="57"/>
      <c r="R321" s="57"/>
      <c r="S321" s="57"/>
      <c r="T321" s="67"/>
      <c r="AJ321" s="1215"/>
      <c r="AK321" s="1142"/>
      <c r="AM321" s="42"/>
      <c r="AN321" s="42"/>
      <c r="AO321" s="42"/>
      <c r="AP321" s="42"/>
      <c r="AQ321" s="42"/>
      <c r="AR321" s="42"/>
      <c r="AS321" s="42"/>
      <c r="AT321" s="42"/>
      <c r="AU321" s="42"/>
      <c r="AV321" s="42"/>
      <c r="AW321" s="42"/>
      <c r="AX321" s="42"/>
      <c r="AY321" s="42"/>
      <c r="AZ321" s="42"/>
      <c r="BA321" s="42"/>
      <c r="BB321" s="42"/>
      <c r="BC321" s="42"/>
      <c r="BD321" s="42"/>
      <c r="BE321" s="42"/>
      <c r="BF321" s="42"/>
      <c r="BG321" s="42"/>
      <c r="BH321" s="42"/>
      <c r="BI321" s="42"/>
      <c r="BJ321" s="42"/>
      <c r="BK321" s="42"/>
      <c r="BL321" s="42"/>
      <c r="BM321" s="42"/>
      <c r="BN321" s="42"/>
      <c r="BO321" s="42"/>
      <c r="BP321" s="42"/>
      <c r="BQ321" s="42"/>
      <c r="BR321" s="42"/>
      <c r="BS321" s="42"/>
      <c r="BT321" s="42"/>
      <c r="BU321" s="42"/>
      <c r="BV321" s="42"/>
      <c r="BW321" s="42"/>
      <c r="BX321" s="42"/>
      <c r="BY321" s="42"/>
      <c r="BZ321" s="42"/>
      <c r="CA321" s="42"/>
      <c r="CB321" s="42"/>
      <c r="CC321" s="42"/>
      <c r="CD321" s="42"/>
      <c r="CE321" s="42"/>
      <c r="CF321" s="42"/>
      <c r="CG321" s="42"/>
      <c r="CH321" s="42"/>
      <c r="CS321" s="29"/>
      <c r="CV321" s="38"/>
      <c r="CW321" s="38"/>
    </row>
    <row r="322" spans="7:109" s="25" customFormat="1">
      <c r="G322" s="57"/>
      <c r="H322" s="57"/>
      <c r="I322" s="57"/>
      <c r="J322" s="57"/>
      <c r="K322" s="57"/>
      <c r="L322" s="57"/>
      <c r="M322" s="57"/>
      <c r="N322" s="57"/>
      <c r="O322" s="57"/>
      <c r="P322" s="57"/>
      <c r="Q322" s="57"/>
      <c r="R322" s="57"/>
      <c r="S322" s="57"/>
      <c r="T322" s="67"/>
      <c r="AJ322" s="1215"/>
      <c r="AK322" s="1142"/>
      <c r="AM322" s="42"/>
      <c r="AN322" s="42"/>
      <c r="AO322" s="42"/>
      <c r="AP322" s="42"/>
      <c r="AQ322" s="42"/>
      <c r="AR322" s="42"/>
      <c r="AS322" s="42"/>
      <c r="AT322" s="42"/>
      <c r="AU322" s="42"/>
      <c r="AV322" s="42"/>
      <c r="AW322" s="42"/>
      <c r="AX322" s="42"/>
      <c r="AY322" s="42"/>
      <c r="AZ322" s="42"/>
      <c r="BA322" s="42"/>
      <c r="BB322" s="42"/>
      <c r="BC322" s="42"/>
      <c r="BD322" s="42"/>
      <c r="BE322" s="42"/>
      <c r="BF322" s="42"/>
      <c r="BG322" s="42"/>
      <c r="BH322" s="42"/>
      <c r="BI322" s="42"/>
      <c r="BJ322" s="42"/>
      <c r="BK322" s="42"/>
      <c r="BL322" s="42"/>
      <c r="BM322" s="42"/>
      <c r="BN322" s="42"/>
      <c r="BO322" s="42"/>
      <c r="BP322" s="42"/>
      <c r="BQ322" s="42"/>
      <c r="BR322" s="42"/>
      <c r="BS322" s="42"/>
      <c r="BT322" s="42"/>
      <c r="BU322" s="42"/>
      <c r="BV322" s="42"/>
      <c r="BW322" s="42"/>
      <c r="BX322" s="42"/>
      <c r="BY322" s="42"/>
      <c r="BZ322" s="42"/>
      <c r="CA322" s="42"/>
      <c r="CB322" s="42"/>
      <c r="CC322" s="42"/>
      <c r="CD322" s="42"/>
      <c r="CE322" s="42"/>
      <c r="CF322" s="42"/>
      <c r="CG322" s="42"/>
      <c r="CH322" s="42"/>
      <c r="CS322" s="29"/>
      <c r="CV322" s="38"/>
      <c r="CW322" s="38"/>
    </row>
    <row r="323" spans="7:109" s="25" customFormat="1">
      <c r="G323" s="57"/>
      <c r="H323" s="57"/>
      <c r="I323" s="57"/>
      <c r="J323" s="57"/>
      <c r="K323" s="57"/>
      <c r="L323" s="57"/>
      <c r="M323" s="57"/>
      <c r="N323" s="57"/>
      <c r="O323" s="57"/>
      <c r="P323" s="57"/>
      <c r="Q323" s="57"/>
      <c r="R323" s="57"/>
      <c r="S323" s="57"/>
      <c r="T323" s="67"/>
      <c r="AJ323" s="1215"/>
      <c r="AK323" s="1142"/>
      <c r="AM323" s="42"/>
      <c r="AN323" s="42"/>
      <c r="AO323" s="42"/>
      <c r="AP323" s="42"/>
      <c r="AQ323" s="42"/>
      <c r="AR323" s="42"/>
      <c r="AS323" s="42"/>
      <c r="AT323" s="42"/>
      <c r="AU323" s="42"/>
      <c r="AV323" s="42"/>
      <c r="AW323" s="42"/>
      <c r="AX323" s="42"/>
      <c r="AY323" s="42"/>
      <c r="AZ323" s="42"/>
      <c r="BA323" s="42"/>
      <c r="BB323" s="42"/>
      <c r="BC323" s="42"/>
      <c r="BD323" s="42"/>
      <c r="BE323" s="42"/>
      <c r="BF323" s="42"/>
      <c r="BG323" s="42"/>
      <c r="BH323" s="42"/>
      <c r="BI323" s="42"/>
      <c r="BJ323" s="42"/>
      <c r="BK323" s="42"/>
      <c r="BL323" s="42"/>
      <c r="BM323" s="42"/>
      <c r="BN323" s="42"/>
      <c r="BO323" s="42"/>
      <c r="BP323" s="42"/>
      <c r="BQ323" s="42"/>
      <c r="BR323" s="42"/>
      <c r="BS323" s="42"/>
      <c r="BT323" s="42"/>
      <c r="BU323" s="42"/>
      <c r="BV323" s="42"/>
      <c r="BW323" s="42"/>
      <c r="BX323" s="42"/>
      <c r="BY323" s="42"/>
      <c r="BZ323" s="42"/>
      <c r="CA323" s="42"/>
      <c r="CB323" s="42"/>
      <c r="CC323" s="42"/>
      <c r="CD323" s="42"/>
      <c r="CE323" s="42"/>
      <c r="CF323" s="42"/>
      <c r="CG323" s="42"/>
      <c r="CH323" s="42"/>
      <c r="CS323" s="29"/>
      <c r="CV323" s="38"/>
      <c r="CW323" s="38"/>
    </row>
    <row r="324" spans="7:109" s="25" customFormat="1">
      <c r="G324" s="57"/>
      <c r="H324" s="57"/>
      <c r="I324" s="57"/>
      <c r="J324" s="57"/>
      <c r="K324" s="57"/>
      <c r="L324" s="57"/>
      <c r="M324" s="57"/>
      <c r="N324" s="57"/>
      <c r="O324" s="57"/>
      <c r="P324" s="57"/>
      <c r="Q324" s="57"/>
      <c r="R324" s="57"/>
      <c r="S324" s="57"/>
      <c r="T324" s="67"/>
      <c r="AJ324" s="1215"/>
      <c r="AK324" s="1142"/>
      <c r="AM324" s="42"/>
      <c r="AN324" s="42"/>
      <c r="AO324" s="42"/>
      <c r="AP324" s="42"/>
      <c r="AQ324" s="42"/>
      <c r="AR324" s="42"/>
      <c r="AS324" s="42"/>
      <c r="AT324" s="42"/>
      <c r="AU324" s="42"/>
      <c r="AV324" s="42"/>
      <c r="AW324" s="42"/>
      <c r="AX324" s="42"/>
      <c r="AY324" s="42"/>
      <c r="AZ324" s="42"/>
      <c r="BA324" s="42"/>
      <c r="BB324" s="42"/>
      <c r="BC324" s="42"/>
      <c r="BD324" s="42"/>
      <c r="BE324" s="42"/>
      <c r="BF324" s="42"/>
      <c r="BG324" s="42"/>
      <c r="BH324" s="42"/>
      <c r="BI324" s="42"/>
      <c r="BJ324" s="42"/>
      <c r="BK324" s="42"/>
      <c r="BL324" s="42"/>
      <c r="BM324" s="42"/>
      <c r="BN324" s="42"/>
      <c r="BO324" s="42"/>
      <c r="BP324" s="42"/>
      <c r="BQ324" s="42"/>
      <c r="BR324" s="42"/>
      <c r="BS324" s="42"/>
      <c r="BT324" s="42"/>
      <c r="BU324" s="42"/>
      <c r="BV324" s="42"/>
      <c r="BW324" s="42"/>
      <c r="BX324" s="42"/>
      <c r="BY324" s="42"/>
      <c r="BZ324" s="42"/>
      <c r="CA324" s="42"/>
      <c r="CB324" s="42"/>
      <c r="CC324" s="42"/>
      <c r="CD324" s="42"/>
      <c r="CE324" s="42"/>
      <c r="CF324" s="42"/>
      <c r="CG324" s="42"/>
      <c r="CH324" s="42"/>
      <c r="CS324" s="29"/>
      <c r="CV324" s="38"/>
      <c r="CW324" s="38"/>
    </row>
    <row r="325" spans="7:109" s="25" customFormat="1">
      <c r="G325" s="57"/>
      <c r="H325" s="57"/>
      <c r="I325" s="57"/>
      <c r="J325" s="57"/>
      <c r="K325" s="57"/>
      <c r="L325" s="57"/>
      <c r="M325" s="57"/>
      <c r="N325" s="57"/>
      <c r="O325" s="57"/>
      <c r="P325" s="57"/>
      <c r="Q325" s="57"/>
      <c r="R325" s="57"/>
      <c r="S325" s="57"/>
      <c r="T325" s="67"/>
      <c r="AJ325" s="1215"/>
      <c r="AK325" s="1142"/>
      <c r="AM325" s="42"/>
      <c r="AN325" s="42"/>
      <c r="AO325" s="42"/>
      <c r="AP325" s="42"/>
      <c r="AQ325" s="42"/>
      <c r="AR325" s="42"/>
      <c r="AS325" s="42"/>
      <c r="AT325" s="42"/>
      <c r="AU325" s="42"/>
      <c r="AV325" s="42"/>
      <c r="AW325" s="42"/>
      <c r="AX325" s="42"/>
      <c r="AY325" s="42"/>
      <c r="AZ325" s="42"/>
      <c r="BA325" s="42"/>
      <c r="BB325" s="42"/>
      <c r="BC325" s="42"/>
      <c r="BD325" s="42"/>
      <c r="BE325" s="42"/>
      <c r="BF325" s="42"/>
      <c r="BG325" s="42"/>
      <c r="BH325" s="42"/>
      <c r="BI325" s="42"/>
      <c r="BJ325" s="42"/>
      <c r="BK325" s="42"/>
      <c r="BL325" s="42"/>
      <c r="BM325" s="42"/>
      <c r="BN325" s="42"/>
      <c r="BO325" s="42"/>
      <c r="BP325" s="42"/>
      <c r="BQ325" s="42"/>
      <c r="BR325" s="42"/>
      <c r="BS325" s="42"/>
      <c r="BT325" s="42"/>
      <c r="BU325" s="42"/>
      <c r="BV325" s="42"/>
      <c r="BW325" s="42"/>
      <c r="BX325" s="42"/>
      <c r="BY325" s="42"/>
      <c r="BZ325" s="42"/>
      <c r="CA325" s="42"/>
      <c r="CB325" s="42"/>
      <c r="CC325" s="42"/>
      <c r="CD325" s="42"/>
      <c r="CE325" s="42"/>
      <c r="CF325" s="42"/>
      <c r="CG325" s="42"/>
      <c r="CH325" s="42"/>
      <c r="CS325" s="29"/>
      <c r="CV325" s="38"/>
      <c r="CW325" s="38"/>
    </row>
    <row r="326" spans="7:109" s="25" customFormat="1">
      <c r="G326" s="57"/>
      <c r="H326" s="57"/>
      <c r="I326" s="57"/>
      <c r="J326" s="57"/>
      <c r="K326" s="57"/>
      <c r="L326" s="57"/>
      <c r="M326" s="57"/>
      <c r="N326" s="57"/>
      <c r="O326" s="57"/>
      <c r="P326" s="57"/>
      <c r="Q326" s="57"/>
      <c r="R326" s="57"/>
      <c r="S326" s="57"/>
      <c r="T326" s="67"/>
      <c r="AJ326" s="1215"/>
      <c r="AK326" s="1142"/>
      <c r="AM326" s="42"/>
      <c r="AN326" s="42"/>
      <c r="AO326" s="42"/>
      <c r="AP326" s="42"/>
      <c r="AQ326" s="42"/>
      <c r="AR326" s="42"/>
      <c r="AS326" s="42"/>
      <c r="AT326" s="42"/>
      <c r="AU326" s="42"/>
      <c r="AV326" s="42"/>
      <c r="AW326" s="42"/>
      <c r="AX326" s="42"/>
      <c r="AY326" s="42"/>
      <c r="AZ326" s="42"/>
      <c r="BA326" s="42"/>
      <c r="BB326" s="42"/>
      <c r="BC326" s="42"/>
      <c r="BD326" s="42"/>
      <c r="BE326" s="42"/>
      <c r="BF326" s="42"/>
      <c r="BG326" s="42"/>
      <c r="BH326" s="42"/>
      <c r="BI326" s="42"/>
      <c r="BJ326" s="42"/>
      <c r="BK326" s="42"/>
      <c r="BL326" s="42"/>
      <c r="BM326" s="42"/>
      <c r="BN326" s="42"/>
      <c r="BO326" s="42"/>
      <c r="BP326" s="42"/>
      <c r="BQ326" s="42"/>
      <c r="BR326" s="42"/>
      <c r="BS326" s="42"/>
      <c r="BT326" s="42"/>
      <c r="BU326" s="42"/>
      <c r="BV326" s="42"/>
      <c r="BW326" s="42"/>
      <c r="BX326" s="42"/>
      <c r="BY326" s="42"/>
      <c r="BZ326" s="42"/>
      <c r="CA326" s="42"/>
      <c r="CB326" s="42"/>
      <c r="CC326" s="42"/>
      <c r="CD326" s="42"/>
      <c r="CE326" s="42"/>
      <c r="CF326" s="42"/>
      <c r="CG326" s="42"/>
      <c r="CH326" s="42"/>
      <c r="CS326" s="29"/>
      <c r="CV326" s="38"/>
      <c r="CW326" s="38"/>
    </row>
    <row r="327" spans="7:109" s="25" customFormat="1">
      <c r="G327" s="57"/>
      <c r="H327" s="57"/>
      <c r="I327" s="57"/>
      <c r="J327" s="57"/>
      <c r="K327" s="57"/>
      <c r="L327" s="57"/>
      <c r="M327" s="57"/>
      <c r="N327" s="57"/>
      <c r="O327" s="57"/>
      <c r="P327" s="57"/>
      <c r="Q327" s="57"/>
      <c r="R327" s="57"/>
      <c r="S327" s="57"/>
      <c r="T327" s="67"/>
      <c r="AJ327" s="1215"/>
      <c r="AK327" s="1142"/>
      <c r="AM327" s="42"/>
      <c r="AN327" s="42"/>
      <c r="AO327" s="42"/>
      <c r="AP327" s="42"/>
      <c r="AQ327" s="42"/>
      <c r="AR327" s="42"/>
      <c r="AS327" s="42"/>
      <c r="AT327" s="42"/>
      <c r="AU327" s="42"/>
      <c r="AV327" s="42"/>
      <c r="AW327" s="42"/>
      <c r="AX327" s="42"/>
      <c r="AY327" s="42"/>
      <c r="AZ327" s="42"/>
      <c r="BA327" s="42"/>
      <c r="BB327" s="42"/>
      <c r="BC327" s="42"/>
      <c r="BD327" s="42"/>
      <c r="BE327" s="42"/>
      <c r="BF327" s="42"/>
      <c r="BG327" s="42"/>
      <c r="BH327" s="42"/>
      <c r="BI327" s="42"/>
      <c r="BJ327" s="42"/>
      <c r="BK327" s="42"/>
      <c r="BL327" s="42"/>
      <c r="BM327" s="42"/>
      <c r="BN327" s="42"/>
      <c r="BO327" s="42"/>
      <c r="BP327" s="42"/>
      <c r="BQ327" s="42"/>
      <c r="BR327" s="42"/>
      <c r="BS327" s="42"/>
      <c r="BT327" s="42"/>
      <c r="BU327" s="42"/>
      <c r="BV327" s="42"/>
      <c r="BW327" s="42"/>
      <c r="BX327" s="42"/>
      <c r="BY327" s="42"/>
      <c r="BZ327" s="42"/>
      <c r="CA327" s="42"/>
      <c r="CB327" s="42"/>
      <c r="CC327" s="42"/>
      <c r="CD327" s="42"/>
      <c r="CE327" s="42"/>
      <c r="CF327" s="42"/>
      <c r="CG327" s="42"/>
      <c r="CH327" s="42"/>
      <c r="CS327" s="29"/>
      <c r="CV327" s="38"/>
      <c r="CW327" s="38"/>
    </row>
    <row r="328" spans="7:109" s="25" customFormat="1">
      <c r="G328" s="57"/>
      <c r="H328" s="57"/>
      <c r="I328" s="57"/>
      <c r="J328" s="57"/>
      <c r="K328" s="57"/>
      <c r="L328" s="57"/>
      <c r="M328" s="57"/>
      <c r="N328" s="57"/>
      <c r="O328" s="57"/>
      <c r="P328" s="57"/>
      <c r="Q328" s="57"/>
      <c r="R328" s="57"/>
      <c r="S328" s="57"/>
      <c r="T328" s="67"/>
      <c r="AJ328" s="1215"/>
      <c r="AK328" s="1142"/>
      <c r="AM328" s="42"/>
      <c r="AN328" s="42"/>
      <c r="AO328" s="42"/>
      <c r="AP328" s="42"/>
      <c r="AQ328" s="42"/>
      <c r="AR328" s="42"/>
      <c r="AS328" s="42"/>
      <c r="AT328" s="42"/>
      <c r="AU328" s="42"/>
      <c r="AV328" s="42"/>
      <c r="AW328" s="42"/>
      <c r="AX328" s="42"/>
      <c r="AY328" s="42"/>
      <c r="AZ328" s="42"/>
      <c r="BA328" s="42"/>
      <c r="BB328" s="42"/>
      <c r="BC328" s="42"/>
      <c r="BD328" s="42"/>
      <c r="BE328" s="42"/>
      <c r="BF328" s="42"/>
      <c r="BG328" s="42"/>
      <c r="BH328" s="42"/>
      <c r="BI328" s="42"/>
      <c r="BJ328" s="42"/>
      <c r="BK328" s="42"/>
      <c r="BL328" s="42"/>
      <c r="BM328" s="42"/>
      <c r="BN328" s="42"/>
      <c r="BO328" s="42"/>
      <c r="BP328" s="42"/>
      <c r="BQ328" s="42"/>
      <c r="BR328" s="42"/>
      <c r="BS328" s="42"/>
      <c r="BT328" s="42"/>
      <c r="BU328" s="42"/>
      <c r="BV328" s="42"/>
      <c r="BW328" s="42"/>
      <c r="BX328" s="42"/>
      <c r="BY328" s="42"/>
      <c r="BZ328" s="42"/>
      <c r="CA328" s="42"/>
      <c r="CB328" s="42"/>
      <c r="CC328" s="42"/>
      <c r="CD328" s="42"/>
      <c r="CE328" s="42"/>
      <c r="CF328" s="42"/>
      <c r="CG328" s="42"/>
      <c r="CH328" s="42"/>
      <c r="CS328" s="29"/>
      <c r="CV328" s="38"/>
      <c r="CW328" s="38"/>
    </row>
    <row r="329" spans="7:109" s="25" customFormat="1">
      <c r="G329" s="57"/>
      <c r="H329" s="57"/>
      <c r="I329" s="57"/>
      <c r="J329" s="57"/>
      <c r="K329" s="57"/>
      <c r="L329" s="57"/>
      <c r="M329" s="57"/>
      <c r="N329" s="57"/>
      <c r="O329" s="57"/>
      <c r="P329" s="57"/>
      <c r="Q329" s="57"/>
      <c r="R329" s="57"/>
      <c r="S329" s="57"/>
      <c r="T329" s="67"/>
      <c r="AJ329" s="1215"/>
      <c r="AK329" s="1142"/>
      <c r="AM329" s="42"/>
      <c r="AN329" s="42"/>
      <c r="AO329" s="42"/>
      <c r="AP329" s="42"/>
      <c r="AQ329" s="42"/>
      <c r="AR329" s="42"/>
      <c r="AS329" s="42"/>
      <c r="AT329" s="42"/>
      <c r="AU329" s="42"/>
      <c r="AV329" s="42"/>
      <c r="AW329" s="42"/>
      <c r="AX329" s="42"/>
      <c r="AY329" s="42"/>
      <c r="AZ329" s="42"/>
      <c r="BA329" s="42"/>
      <c r="BB329" s="42"/>
      <c r="BC329" s="42"/>
      <c r="BD329" s="42"/>
      <c r="BE329" s="42"/>
      <c r="BF329" s="42"/>
      <c r="BG329" s="42"/>
      <c r="BH329" s="42"/>
      <c r="BI329" s="42"/>
      <c r="BJ329" s="42"/>
      <c r="BK329" s="42"/>
      <c r="BL329" s="42"/>
      <c r="BM329" s="42"/>
      <c r="BN329" s="42"/>
      <c r="BO329" s="42"/>
      <c r="BP329" s="42"/>
      <c r="BQ329" s="42"/>
      <c r="BR329" s="42"/>
      <c r="BS329" s="42"/>
      <c r="BT329" s="42"/>
      <c r="BU329" s="42"/>
      <c r="BV329" s="42"/>
      <c r="BW329" s="42"/>
      <c r="BX329" s="42"/>
      <c r="BY329" s="42"/>
      <c r="BZ329" s="42"/>
      <c r="CA329" s="42"/>
      <c r="CB329" s="42"/>
      <c r="CC329" s="42"/>
      <c r="CD329" s="42"/>
      <c r="CE329" s="42"/>
      <c r="CF329" s="42"/>
      <c r="CG329" s="42"/>
      <c r="CH329" s="42"/>
      <c r="CS329" s="29"/>
      <c r="CV329" s="38"/>
      <c r="CW329" s="38"/>
    </row>
    <row r="330" spans="7:109" s="25" customFormat="1">
      <c r="G330" s="57"/>
      <c r="H330" s="57"/>
      <c r="I330" s="57"/>
      <c r="J330" s="57"/>
      <c r="K330" s="57"/>
      <c r="L330" s="57"/>
      <c r="M330" s="57"/>
      <c r="N330" s="57"/>
      <c r="O330" s="57"/>
      <c r="P330" s="57"/>
      <c r="Q330" s="57"/>
      <c r="R330" s="57"/>
      <c r="S330" s="57"/>
      <c r="T330" s="67"/>
      <c r="AJ330" s="1215"/>
      <c r="AK330" s="1142"/>
      <c r="AM330" s="42"/>
      <c r="AN330" s="42"/>
      <c r="AO330" s="42"/>
      <c r="AP330" s="42"/>
      <c r="AQ330" s="42"/>
      <c r="AR330" s="42"/>
      <c r="AS330" s="42"/>
      <c r="AT330" s="42"/>
      <c r="AU330" s="42"/>
      <c r="AV330" s="42"/>
      <c r="AW330" s="42"/>
      <c r="AX330" s="42"/>
      <c r="AY330" s="42"/>
      <c r="AZ330" s="42"/>
      <c r="BA330" s="42"/>
      <c r="BB330" s="42"/>
      <c r="BC330" s="42"/>
      <c r="BD330" s="42"/>
      <c r="BE330" s="42"/>
      <c r="BF330" s="42"/>
      <c r="BG330" s="42"/>
      <c r="BH330" s="42"/>
      <c r="BI330" s="42"/>
      <c r="BJ330" s="42"/>
      <c r="BK330" s="42"/>
      <c r="BL330" s="42"/>
      <c r="BM330" s="42"/>
      <c r="BN330" s="42"/>
      <c r="BO330" s="42"/>
      <c r="BP330" s="42"/>
      <c r="BQ330" s="42"/>
      <c r="BR330" s="42"/>
      <c r="BS330" s="42"/>
      <c r="BT330" s="42"/>
      <c r="BU330" s="42"/>
      <c r="BV330" s="42"/>
      <c r="BW330" s="42"/>
      <c r="BX330" s="42"/>
      <c r="BY330" s="42"/>
      <c r="BZ330" s="42"/>
      <c r="CA330" s="42"/>
      <c r="CB330" s="42"/>
      <c r="CC330" s="42"/>
      <c r="CD330" s="42"/>
      <c r="CE330" s="42"/>
      <c r="CF330" s="42"/>
      <c r="CG330" s="42"/>
      <c r="CH330" s="42"/>
      <c r="CS330" s="29"/>
      <c r="CV330" s="38"/>
      <c r="CW330" s="38"/>
    </row>
    <row r="331" spans="7:109" s="25" customFormat="1">
      <c r="G331" s="57"/>
      <c r="H331" s="57"/>
      <c r="I331" s="57"/>
      <c r="J331" s="57"/>
      <c r="K331" s="57"/>
      <c r="L331" s="57"/>
      <c r="M331" s="57"/>
      <c r="N331" s="57"/>
      <c r="O331" s="57"/>
      <c r="P331" s="57"/>
      <c r="Q331" s="57"/>
      <c r="R331" s="57"/>
      <c r="S331" s="57"/>
      <c r="T331" s="67"/>
      <c r="AJ331" s="1215"/>
      <c r="AK331" s="1142"/>
      <c r="AM331" s="42"/>
      <c r="AN331" s="42"/>
      <c r="AO331" s="42"/>
      <c r="AP331" s="42"/>
      <c r="AQ331" s="42"/>
      <c r="AR331" s="42"/>
      <c r="AS331" s="42"/>
      <c r="AT331" s="42"/>
      <c r="AU331" s="42"/>
      <c r="AV331" s="42"/>
      <c r="AW331" s="42"/>
      <c r="AX331" s="42"/>
      <c r="AY331" s="42"/>
      <c r="AZ331" s="42"/>
      <c r="BA331" s="42"/>
      <c r="BB331" s="42"/>
      <c r="BC331" s="42"/>
      <c r="BD331" s="42"/>
      <c r="BE331" s="42"/>
      <c r="BF331" s="42"/>
      <c r="BG331" s="42"/>
      <c r="BH331" s="42"/>
      <c r="BI331" s="42"/>
      <c r="BJ331" s="42"/>
      <c r="BK331" s="42"/>
      <c r="BL331" s="42"/>
      <c r="BM331" s="42"/>
      <c r="BN331" s="42"/>
      <c r="BO331" s="42"/>
      <c r="BP331" s="42"/>
      <c r="BQ331" s="42"/>
      <c r="BR331" s="42"/>
      <c r="BS331" s="42"/>
      <c r="BT331" s="42"/>
      <c r="BU331" s="42"/>
      <c r="BV331" s="42"/>
      <c r="BW331" s="42"/>
      <c r="BX331" s="42"/>
      <c r="BY331" s="42"/>
      <c r="BZ331" s="42"/>
      <c r="CA331" s="42"/>
      <c r="CB331" s="42"/>
      <c r="CC331" s="42"/>
      <c r="CD331" s="42"/>
      <c r="CE331" s="42"/>
      <c r="CF331" s="42"/>
      <c r="CG331" s="42"/>
      <c r="CH331" s="42"/>
      <c r="CS331" s="29"/>
      <c r="CV331" s="38"/>
      <c r="CW331" s="38"/>
    </row>
    <row r="332" spans="7:109" s="25" customFormat="1">
      <c r="G332" s="57"/>
      <c r="H332" s="57"/>
      <c r="I332" s="57"/>
      <c r="J332" s="57"/>
      <c r="K332" s="57"/>
      <c r="L332" s="57"/>
      <c r="M332" s="57"/>
      <c r="N332" s="57"/>
      <c r="O332" s="57"/>
      <c r="P332" s="57"/>
      <c r="Q332" s="57"/>
      <c r="R332" s="57"/>
      <c r="S332" s="57"/>
      <c r="T332" s="67"/>
      <c r="U332" s="29"/>
      <c r="V332" s="29"/>
      <c r="AJ332" s="1215"/>
      <c r="AK332" s="1142"/>
      <c r="AM332" s="42"/>
      <c r="AN332" s="42"/>
      <c r="AO332" s="42"/>
      <c r="AP332" s="42"/>
      <c r="AQ332" s="42"/>
      <c r="AR332" s="42"/>
      <c r="AS332" s="42"/>
      <c r="AT332" s="42"/>
      <c r="AU332" s="42"/>
      <c r="AV332" s="42"/>
      <c r="AW332" s="42"/>
      <c r="AX332" s="42"/>
      <c r="AY332" s="42"/>
      <c r="AZ332" s="42"/>
      <c r="BA332" s="42"/>
      <c r="BB332" s="42"/>
      <c r="BC332" s="42"/>
      <c r="BD332" s="42"/>
      <c r="BE332" s="42"/>
      <c r="BF332" s="42"/>
      <c r="BG332" s="42"/>
      <c r="BH332" s="42"/>
      <c r="BI332" s="42"/>
      <c r="BJ332" s="42"/>
      <c r="BK332" s="42"/>
      <c r="BL332" s="42"/>
      <c r="BM332" s="42"/>
      <c r="BN332" s="42"/>
      <c r="BO332" s="42"/>
      <c r="BP332" s="42"/>
      <c r="BQ332" s="42"/>
      <c r="BR332" s="42"/>
      <c r="BS332" s="42"/>
      <c r="BT332" s="42"/>
      <c r="BU332" s="42"/>
      <c r="BV332" s="42"/>
      <c r="BW332" s="42"/>
      <c r="BX332" s="42"/>
      <c r="BY332" s="42"/>
      <c r="BZ332" s="42"/>
      <c r="CA332" s="42"/>
      <c r="CB332" s="42"/>
      <c r="CC332" s="42"/>
      <c r="CD332" s="42"/>
      <c r="CE332" s="42"/>
      <c r="CF332" s="42"/>
      <c r="CG332" s="42"/>
      <c r="CH332" s="42"/>
      <c r="CS332" s="29"/>
      <c r="CT332" s="29"/>
      <c r="CU332" s="29"/>
      <c r="CV332" s="38"/>
      <c r="CW332" s="38"/>
      <c r="CX332" s="29"/>
      <c r="CY332" s="29"/>
      <c r="CZ332" s="29"/>
      <c r="DA332" s="29"/>
      <c r="DB332" s="29"/>
      <c r="DC332" s="29"/>
      <c r="DD332" s="29"/>
      <c r="DE332" s="29"/>
    </row>
    <row r="333" spans="7:109" s="25" customFormat="1">
      <c r="G333" s="57"/>
      <c r="H333" s="57"/>
      <c r="I333" s="57"/>
      <c r="J333" s="57"/>
      <c r="K333" s="57"/>
      <c r="L333" s="57"/>
      <c r="M333" s="57"/>
      <c r="N333" s="57"/>
      <c r="O333" s="57"/>
      <c r="P333" s="57"/>
      <c r="Q333" s="57"/>
      <c r="R333" s="57"/>
      <c r="S333" s="57"/>
      <c r="T333" s="67"/>
      <c r="U333" s="29"/>
      <c r="V333" s="29"/>
      <c r="AJ333" s="1215"/>
      <c r="AK333" s="1142"/>
      <c r="AM333" s="42"/>
      <c r="AN333" s="42"/>
      <c r="AO333" s="42"/>
      <c r="AP333" s="42"/>
      <c r="AQ333" s="42"/>
      <c r="AR333" s="42"/>
      <c r="AS333" s="42"/>
      <c r="AT333" s="42"/>
      <c r="AU333" s="42"/>
      <c r="AV333" s="42"/>
      <c r="AW333" s="42"/>
      <c r="AX333" s="42"/>
      <c r="AY333" s="42"/>
      <c r="AZ333" s="42"/>
      <c r="BA333" s="42"/>
      <c r="BB333" s="42"/>
      <c r="BC333" s="42"/>
      <c r="BD333" s="42"/>
      <c r="BE333" s="42"/>
      <c r="BF333" s="42"/>
      <c r="BG333" s="42"/>
      <c r="BH333" s="42"/>
      <c r="BI333" s="42"/>
      <c r="BJ333" s="42"/>
      <c r="BK333" s="42"/>
      <c r="BL333" s="42"/>
      <c r="BM333" s="42"/>
      <c r="BN333" s="42"/>
      <c r="BO333" s="42"/>
      <c r="BP333" s="42"/>
      <c r="BQ333" s="42"/>
      <c r="BR333" s="42"/>
      <c r="BS333" s="42"/>
      <c r="BT333" s="42"/>
      <c r="BU333" s="42"/>
      <c r="BV333" s="42"/>
      <c r="BW333" s="42"/>
      <c r="BX333" s="42"/>
      <c r="BY333" s="42"/>
      <c r="BZ333" s="42"/>
      <c r="CA333" s="42"/>
      <c r="CB333" s="42"/>
      <c r="CC333" s="42"/>
      <c r="CD333" s="42"/>
      <c r="CE333" s="42"/>
      <c r="CF333" s="42"/>
      <c r="CG333" s="42"/>
      <c r="CH333" s="42"/>
      <c r="CS333" s="29"/>
      <c r="CT333" s="29"/>
      <c r="CU333" s="29"/>
      <c r="CV333" s="38"/>
      <c r="CW333" s="38"/>
      <c r="CX333" s="29"/>
      <c r="CY333" s="29"/>
      <c r="CZ333" s="29"/>
      <c r="DA333" s="29"/>
      <c r="DB333" s="29"/>
      <c r="DC333" s="29"/>
      <c r="DD333" s="29"/>
      <c r="DE333" s="29"/>
    </row>
    <row r="334" spans="7:109" s="25" customFormat="1">
      <c r="G334" s="57"/>
      <c r="H334" s="57"/>
      <c r="I334" s="57"/>
      <c r="J334" s="57"/>
      <c r="K334" s="57"/>
      <c r="L334" s="57"/>
      <c r="M334" s="57"/>
      <c r="N334" s="57"/>
      <c r="O334" s="57"/>
      <c r="P334" s="57"/>
      <c r="Q334" s="57"/>
      <c r="R334" s="57"/>
      <c r="S334" s="57"/>
      <c r="T334" s="67"/>
      <c r="U334" s="29"/>
      <c r="V334" s="29"/>
      <c r="AJ334" s="1215"/>
      <c r="AK334" s="1142"/>
      <c r="AM334" s="42"/>
      <c r="AN334" s="42"/>
      <c r="AO334" s="42"/>
      <c r="AP334" s="42"/>
      <c r="AQ334" s="42"/>
      <c r="AR334" s="42"/>
      <c r="AS334" s="42"/>
      <c r="AT334" s="42"/>
      <c r="AU334" s="42"/>
      <c r="AV334" s="42"/>
      <c r="AW334" s="42"/>
      <c r="AX334" s="42"/>
      <c r="AY334" s="42"/>
      <c r="AZ334" s="42"/>
      <c r="BA334" s="42"/>
      <c r="BB334" s="42"/>
      <c r="BC334" s="42"/>
      <c r="BD334" s="42"/>
      <c r="BE334" s="42"/>
      <c r="BF334" s="42"/>
      <c r="BG334" s="42"/>
      <c r="BH334" s="42"/>
      <c r="BI334" s="42"/>
      <c r="BJ334" s="42"/>
      <c r="BK334" s="42"/>
      <c r="BL334" s="42"/>
      <c r="BM334" s="42"/>
      <c r="BN334" s="42"/>
      <c r="BO334" s="42"/>
      <c r="BP334" s="42"/>
      <c r="BQ334" s="42"/>
      <c r="BR334" s="42"/>
      <c r="BS334" s="42"/>
      <c r="BT334" s="42"/>
      <c r="BU334" s="42"/>
      <c r="BV334" s="42"/>
      <c r="BW334" s="42"/>
      <c r="BX334" s="42"/>
      <c r="BY334" s="42"/>
      <c r="BZ334" s="42"/>
      <c r="CA334" s="42"/>
      <c r="CB334" s="42"/>
      <c r="CC334" s="42"/>
      <c r="CD334" s="42"/>
      <c r="CE334" s="42"/>
      <c r="CF334" s="42"/>
      <c r="CG334" s="42"/>
      <c r="CH334" s="42"/>
      <c r="CS334" s="29"/>
      <c r="CT334" s="29"/>
      <c r="CU334" s="29"/>
      <c r="CV334" s="38"/>
      <c r="CW334" s="38"/>
      <c r="CX334" s="29"/>
      <c r="CY334" s="29"/>
      <c r="CZ334" s="29"/>
      <c r="DA334" s="29"/>
      <c r="DB334" s="29"/>
      <c r="DC334" s="29"/>
      <c r="DD334" s="29"/>
      <c r="DE334" s="29"/>
    </row>
    <row r="335" spans="7:109" s="25" customFormat="1">
      <c r="G335" s="57"/>
      <c r="H335" s="57"/>
      <c r="I335" s="57"/>
      <c r="J335" s="57"/>
      <c r="K335" s="57"/>
      <c r="L335" s="57"/>
      <c r="M335" s="57"/>
      <c r="N335" s="57"/>
      <c r="O335" s="57"/>
      <c r="P335" s="57"/>
      <c r="Q335" s="57"/>
      <c r="R335" s="57"/>
      <c r="S335" s="57"/>
      <c r="T335" s="67"/>
      <c r="U335" s="29"/>
      <c r="V335" s="29"/>
      <c r="AJ335" s="1215"/>
      <c r="AK335" s="1142"/>
      <c r="AM335" s="42"/>
      <c r="AN335" s="42"/>
      <c r="AO335" s="42"/>
      <c r="AP335" s="42"/>
      <c r="AQ335" s="42"/>
      <c r="AR335" s="42"/>
      <c r="AS335" s="42"/>
      <c r="AT335" s="42"/>
      <c r="AU335" s="42"/>
      <c r="AV335" s="42"/>
      <c r="AW335" s="42"/>
      <c r="AX335" s="42"/>
      <c r="AY335" s="42"/>
      <c r="AZ335" s="42"/>
      <c r="BA335" s="42"/>
      <c r="BB335" s="42"/>
      <c r="BC335" s="42"/>
      <c r="BD335" s="42"/>
      <c r="BE335" s="42"/>
      <c r="BF335" s="42"/>
      <c r="BG335" s="42"/>
      <c r="BH335" s="42"/>
      <c r="BI335" s="42"/>
      <c r="BJ335" s="42"/>
      <c r="BK335" s="42"/>
      <c r="BL335" s="42"/>
      <c r="BM335" s="42"/>
      <c r="BN335" s="42"/>
      <c r="BO335" s="42"/>
      <c r="BP335" s="42"/>
      <c r="BQ335" s="42"/>
      <c r="BR335" s="42"/>
      <c r="BS335" s="42"/>
      <c r="BT335" s="42"/>
      <c r="BU335" s="42"/>
      <c r="BV335" s="42"/>
      <c r="BW335" s="42"/>
      <c r="BX335" s="42"/>
      <c r="BY335" s="42"/>
      <c r="BZ335" s="42"/>
      <c r="CA335" s="42"/>
      <c r="CB335" s="42"/>
      <c r="CC335" s="42"/>
      <c r="CD335" s="42"/>
      <c r="CE335" s="42"/>
      <c r="CF335" s="42"/>
      <c r="CG335" s="42"/>
      <c r="CH335" s="42"/>
      <c r="CS335" s="29"/>
      <c r="CT335" s="29"/>
      <c r="CU335" s="29"/>
      <c r="CV335" s="38"/>
      <c r="CW335" s="38"/>
      <c r="CX335" s="29"/>
      <c r="CY335" s="29"/>
      <c r="CZ335" s="29"/>
      <c r="DA335" s="29"/>
      <c r="DB335" s="29"/>
      <c r="DC335" s="29"/>
      <c r="DD335" s="29"/>
      <c r="DE335" s="29"/>
    </row>
    <row r="336" spans="7:109" s="25" customFormat="1">
      <c r="G336" s="57"/>
      <c r="H336" s="57"/>
      <c r="I336" s="57"/>
      <c r="J336" s="57"/>
      <c r="K336" s="57"/>
      <c r="L336" s="57"/>
      <c r="M336" s="57"/>
      <c r="N336" s="57"/>
      <c r="O336" s="57"/>
      <c r="P336" s="57"/>
      <c r="Q336" s="57"/>
      <c r="R336" s="57"/>
      <c r="S336" s="57"/>
      <c r="T336" s="67"/>
      <c r="U336" s="29"/>
      <c r="V336" s="29"/>
      <c r="AJ336" s="1215"/>
      <c r="AK336" s="1142"/>
      <c r="AM336" s="42"/>
      <c r="AN336" s="42"/>
      <c r="AO336" s="42"/>
      <c r="AP336" s="42"/>
      <c r="AQ336" s="42"/>
      <c r="AR336" s="42"/>
      <c r="AS336" s="42"/>
      <c r="AT336" s="42"/>
      <c r="AU336" s="42"/>
      <c r="AV336" s="42"/>
      <c r="AW336" s="42"/>
      <c r="AX336" s="42"/>
      <c r="AY336" s="42"/>
      <c r="AZ336" s="42"/>
      <c r="BA336" s="42"/>
      <c r="BB336" s="42"/>
      <c r="BC336" s="42"/>
      <c r="BD336" s="42"/>
      <c r="BE336" s="42"/>
      <c r="BF336" s="42"/>
      <c r="BG336" s="42"/>
      <c r="BH336" s="42"/>
      <c r="BI336" s="42"/>
      <c r="BJ336" s="42"/>
      <c r="BK336" s="42"/>
      <c r="BL336" s="42"/>
      <c r="BM336" s="42"/>
      <c r="BN336" s="42"/>
      <c r="BO336" s="42"/>
      <c r="BP336" s="42"/>
      <c r="BQ336" s="42"/>
      <c r="BR336" s="42"/>
      <c r="BS336" s="42"/>
      <c r="BT336" s="42"/>
      <c r="BU336" s="42"/>
      <c r="BV336" s="42"/>
      <c r="BW336" s="42"/>
      <c r="BX336" s="42"/>
      <c r="BY336" s="42"/>
      <c r="BZ336" s="42"/>
      <c r="CA336" s="42"/>
      <c r="CB336" s="42"/>
      <c r="CC336" s="42"/>
      <c r="CD336" s="42"/>
      <c r="CE336" s="42"/>
      <c r="CF336" s="42"/>
      <c r="CG336" s="42"/>
      <c r="CH336" s="42"/>
      <c r="CS336" s="29"/>
      <c r="CT336" s="29"/>
      <c r="CU336" s="29"/>
      <c r="CV336" s="38"/>
      <c r="CW336" s="38"/>
      <c r="CX336" s="29"/>
      <c r="CY336" s="29"/>
      <c r="CZ336" s="29"/>
      <c r="DA336" s="29"/>
      <c r="DB336" s="29"/>
      <c r="DC336" s="29"/>
      <c r="DD336" s="29"/>
      <c r="DE336" s="29"/>
    </row>
    <row r="337" spans="3:114" s="25" customFormat="1">
      <c r="G337" s="57"/>
      <c r="H337" s="57"/>
      <c r="I337" s="57"/>
      <c r="J337" s="57"/>
      <c r="K337" s="57"/>
      <c r="L337" s="57"/>
      <c r="M337" s="57"/>
      <c r="N337" s="57"/>
      <c r="O337" s="57"/>
      <c r="P337" s="57"/>
      <c r="Q337" s="57"/>
      <c r="R337" s="57"/>
      <c r="S337" s="57"/>
      <c r="T337" s="67"/>
      <c r="U337" s="29"/>
      <c r="V337" s="29"/>
      <c r="AJ337" s="1215"/>
      <c r="AK337" s="1142"/>
      <c r="AM337" s="42"/>
      <c r="AN337" s="42"/>
      <c r="AO337" s="42"/>
      <c r="AP337" s="42"/>
      <c r="AQ337" s="42"/>
      <c r="AR337" s="42"/>
      <c r="AS337" s="42"/>
      <c r="AT337" s="42"/>
      <c r="AU337" s="42"/>
      <c r="AV337" s="42"/>
      <c r="AW337" s="42"/>
      <c r="AX337" s="42"/>
      <c r="AY337" s="42"/>
      <c r="AZ337" s="42"/>
      <c r="BA337" s="42"/>
      <c r="BB337" s="42"/>
      <c r="BC337" s="42"/>
      <c r="BD337" s="42"/>
      <c r="BE337" s="42"/>
      <c r="BF337" s="42"/>
      <c r="BG337" s="42"/>
      <c r="BH337" s="42"/>
      <c r="BI337" s="42"/>
      <c r="BJ337" s="42"/>
      <c r="BK337" s="42"/>
      <c r="BL337" s="42"/>
      <c r="BM337" s="42"/>
      <c r="BN337" s="42"/>
      <c r="BO337" s="42"/>
      <c r="BP337" s="42"/>
      <c r="BQ337" s="42"/>
      <c r="BR337" s="42"/>
      <c r="BS337" s="42"/>
      <c r="BT337" s="42"/>
      <c r="BU337" s="42"/>
      <c r="BV337" s="42"/>
      <c r="BW337" s="42"/>
      <c r="BX337" s="42"/>
      <c r="BY337" s="42"/>
      <c r="BZ337" s="42"/>
      <c r="CA337" s="42"/>
      <c r="CB337" s="42"/>
      <c r="CC337" s="42"/>
      <c r="CD337" s="42"/>
      <c r="CE337" s="42"/>
      <c r="CF337" s="42"/>
      <c r="CG337" s="42"/>
      <c r="CH337" s="42"/>
      <c r="CS337" s="29"/>
      <c r="CT337" s="29"/>
      <c r="CU337" s="29"/>
      <c r="CV337" s="38"/>
      <c r="CW337" s="38"/>
      <c r="CX337" s="29"/>
      <c r="CY337" s="29"/>
      <c r="CZ337" s="29"/>
      <c r="DA337" s="29"/>
      <c r="DB337" s="29"/>
      <c r="DC337" s="29"/>
      <c r="DD337" s="29"/>
      <c r="DE337" s="29"/>
    </row>
    <row r="338" spans="3:114" s="25" customFormat="1">
      <c r="G338" s="57"/>
      <c r="H338" s="57"/>
      <c r="I338" s="57"/>
      <c r="J338" s="57"/>
      <c r="K338" s="57"/>
      <c r="L338" s="57"/>
      <c r="M338" s="57"/>
      <c r="N338" s="57"/>
      <c r="O338" s="57"/>
      <c r="P338" s="57"/>
      <c r="Q338" s="57"/>
      <c r="R338" s="57"/>
      <c r="S338" s="57"/>
      <c r="T338" s="67"/>
      <c r="U338" s="29"/>
      <c r="V338" s="29"/>
      <c r="AJ338" s="1215"/>
      <c r="AK338" s="1142"/>
      <c r="AM338" s="42"/>
      <c r="AN338" s="42"/>
      <c r="AO338" s="42"/>
      <c r="AP338" s="42"/>
      <c r="AQ338" s="42"/>
      <c r="AR338" s="42"/>
      <c r="AS338" s="42"/>
      <c r="AT338" s="42"/>
      <c r="AU338" s="42"/>
      <c r="AV338" s="42"/>
      <c r="AW338" s="42"/>
      <c r="AX338" s="42"/>
      <c r="AY338" s="42"/>
      <c r="AZ338" s="42"/>
      <c r="BA338" s="42"/>
      <c r="BB338" s="42"/>
      <c r="BC338" s="42"/>
      <c r="BD338" s="42"/>
      <c r="BE338" s="42"/>
      <c r="BF338" s="42"/>
      <c r="BG338" s="42"/>
      <c r="BH338" s="42"/>
      <c r="BI338" s="42"/>
      <c r="BJ338" s="42"/>
      <c r="BK338" s="42"/>
      <c r="BL338" s="42"/>
      <c r="BM338" s="42"/>
      <c r="BN338" s="42"/>
      <c r="BO338" s="42"/>
      <c r="BP338" s="42"/>
      <c r="BQ338" s="42"/>
      <c r="BR338" s="42"/>
      <c r="BS338" s="42"/>
      <c r="BT338" s="42"/>
      <c r="BU338" s="42"/>
      <c r="BV338" s="42"/>
      <c r="BW338" s="42"/>
      <c r="BX338" s="42"/>
      <c r="BY338" s="42"/>
      <c r="BZ338" s="42"/>
      <c r="CA338" s="42"/>
      <c r="CB338" s="42"/>
      <c r="CC338" s="42"/>
      <c r="CD338" s="42"/>
      <c r="CE338" s="42"/>
      <c r="CF338" s="42"/>
      <c r="CG338" s="42"/>
      <c r="CH338" s="42"/>
      <c r="CS338" s="29"/>
      <c r="CT338" s="29"/>
      <c r="CU338" s="29"/>
      <c r="CV338" s="38"/>
      <c r="CW338" s="38"/>
      <c r="CX338" s="29"/>
      <c r="CY338" s="29"/>
      <c r="CZ338" s="29"/>
      <c r="DA338" s="29"/>
      <c r="DB338" s="29"/>
      <c r="DC338" s="29"/>
      <c r="DD338" s="29"/>
      <c r="DE338" s="29"/>
    </row>
    <row r="339" spans="3:114" s="25" customFormat="1">
      <c r="G339" s="57"/>
      <c r="H339" s="57"/>
      <c r="I339" s="57"/>
      <c r="J339" s="57"/>
      <c r="K339" s="57"/>
      <c r="L339" s="57"/>
      <c r="M339" s="57"/>
      <c r="N339" s="57"/>
      <c r="O339" s="57"/>
      <c r="P339" s="57"/>
      <c r="Q339" s="57"/>
      <c r="R339" s="57"/>
      <c r="S339" s="57"/>
      <c r="T339" s="67"/>
      <c r="U339" s="29"/>
      <c r="V339" s="29"/>
      <c r="AJ339" s="1215"/>
      <c r="AK339" s="1142"/>
      <c r="AM339" s="42"/>
      <c r="AN339" s="42"/>
      <c r="AO339" s="42"/>
      <c r="AP339" s="42"/>
      <c r="AQ339" s="42"/>
      <c r="AR339" s="42"/>
      <c r="AS339" s="42"/>
      <c r="AT339" s="42"/>
      <c r="AU339" s="42"/>
      <c r="AV339" s="42"/>
      <c r="AW339" s="42"/>
      <c r="AX339" s="42"/>
      <c r="AY339" s="42"/>
      <c r="AZ339" s="42"/>
      <c r="BA339" s="42"/>
      <c r="BB339" s="42"/>
      <c r="BC339" s="42"/>
      <c r="BD339" s="42"/>
      <c r="BE339" s="42"/>
      <c r="BF339" s="42"/>
      <c r="BG339" s="42"/>
      <c r="BH339" s="42"/>
      <c r="BI339" s="42"/>
      <c r="BJ339" s="42"/>
      <c r="BK339" s="42"/>
      <c r="BL339" s="42"/>
      <c r="BM339" s="42"/>
      <c r="BN339" s="42"/>
      <c r="BO339" s="42"/>
      <c r="BP339" s="42"/>
      <c r="BQ339" s="42"/>
      <c r="BR339" s="42"/>
      <c r="BS339" s="42"/>
      <c r="BT339" s="42"/>
      <c r="BU339" s="42"/>
      <c r="BV339" s="42"/>
      <c r="BW339" s="42"/>
      <c r="BX339" s="42"/>
      <c r="BY339" s="42"/>
      <c r="BZ339" s="42"/>
      <c r="CA339" s="42"/>
      <c r="CB339" s="42"/>
      <c r="CC339" s="42"/>
      <c r="CD339" s="42"/>
      <c r="CE339" s="42"/>
      <c r="CF339" s="42"/>
      <c r="CG339" s="42"/>
      <c r="CH339" s="42"/>
      <c r="CS339" s="29"/>
      <c r="CT339" s="29"/>
      <c r="CU339" s="29"/>
      <c r="CV339" s="38"/>
      <c r="CW339" s="38"/>
      <c r="CX339" s="29"/>
      <c r="CY339" s="29"/>
      <c r="CZ339" s="29"/>
      <c r="DA339" s="29"/>
      <c r="DB339" s="29"/>
      <c r="DC339" s="29"/>
      <c r="DD339" s="29"/>
      <c r="DE339" s="29"/>
    </row>
    <row r="340" spans="3:114" s="25" customFormat="1">
      <c r="G340" s="57"/>
      <c r="H340" s="57"/>
      <c r="I340" s="57"/>
      <c r="J340" s="57"/>
      <c r="K340" s="57"/>
      <c r="L340" s="57"/>
      <c r="M340" s="57"/>
      <c r="N340" s="57"/>
      <c r="O340" s="57"/>
      <c r="P340" s="57"/>
      <c r="Q340" s="57"/>
      <c r="R340" s="57"/>
      <c r="S340" s="57"/>
      <c r="T340" s="67"/>
      <c r="U340" s="29"/>
      <c r="V340" s="29"/>
      <c r="AJ340" s="1215"/>
      <c r="AK340" s="1142"/>
      <c r="AM340" s="42"/>
      <c r="AN340" s="42"/>
      <c r="AO340" s="42"/>
      <c r="AP340" s="42"/>
      <c r="AQ340" s="42"/>
      <c r="AR340" s="42"/>
      <c r="AS340" s="42"/>
      <c r="AT340" s="42"/>
      <c r="AU340" s="42"/>
      <c r="AV340" s="42"/>
      <c r="AW340" s="42"/>
      <c r="AX340" s="42"/>
      <c r="AY340" s="42"/>
      <c r="AZ340" s="42"/>
      <c r="BA340" s="42"/>
      <c r="BB340" s="42"/>
      <c r="BC340" s="42"/>
      <c r="BD340" s="42"/>
      <c r="BE340" s="42"/>
      <c r="BF340" s="42"/>
      <c r="BG340" s="42"/>
      <c r="BH340" s="42"/>
      <c r="BI340" s="42"/>
      <c r="BJ340" s="42"/>
      <c r="BK340" s="42"/>
      <c r="BL340" s="42"/>
      <c r="BM340" s="42"/>
      <c r="BN340" s="42"/>
      <c r="BO340" s="42"/>
      <c r="BP340" s="42"/>
      <c r="BQ340" s="42"/>
      <c r="BR340" s="42"/>
      <c r="BS340" s="42"/>
      <c r="BT340" s="42"/>
      <c r="BU340" s="42"/>
      <c r="BV340" s="42"/>
      <c r="BW340" s="42"/>
      <c r="BX340" s="42"/>
      <c r="BY340" s="42"/>
      <c r="BZ340" s="42"/>
      <c r="CA340" s="42"/>
      <c r="CB340" s="42"/>
      <c r="CC340" s="42"/>
      <c r="CD340" s="42"/>
      <c r="CE340" s="42"/>
      <c r="CF340" s="42"/>
      <c r="CG340" s="42"/>
      <c r="CH340" s="42"/>
      <c r="CS340" s="29"/>
      <c r="CT340" s="29"/>
      <c r="CU340" s="29"/>
      <c r="CV340" s="38"/>
      <c r="CW340" s="38"/>
      <c r="CX340" s="29"/>
      <c r="CY340" s="29"/>
      <c r="CZ340" s="29"/>
      <c r="DA340" s="29"/>
      <c r="DB340" s="29"/>
      <c r="DC340" s="29"/>
      <c r="DD340" s="29"/>
      <c r="DE340" s="29"/>
    </row>
    <row r="341" spans="3:114" s="25" customFormat="1">
      <c r="G341" s="57"/>
      <c r="H341" s="57"/>
      <c r="I341" s="57"/>
      <c r="J341" s="57"/>
      <c r="K341" s="57"/>
      <c r="L341" s="57"/>
      <c r="M341" s="57"/>
      <c r="N341" s="57"/>
      <c r="O341" s="57"/>
      <c r="P341" s="57"/>
      <c r="Q341" s="57"/>
      <c r="R341" s="57"/>
      <c r="S341" s="57"/>
      <c r="T341" s="67"/>
      <c r="U341" s="29"/>
      <c r="V341" s="29"/>
      <c r="AJ341" s="1215"/>
      <c r="AK341" s="1142"/>
      <c r="AM341" s="42"/>
      <c r="AN341" s="42"/>
      <c r="AO341" s="42"/>
      <c r="AP341" s="42"/>
      <c r="AQ341" s="42"/>
      <c r="AR341" s="42"/>
      <c r="AS341" s="42"/>
      <c r="AT341" s="42"/>
      <c r="AU341" s="42"/>
      <c r="AV341" s="42"/>
      <c r="AW341" s="42"/>
      <c r="AX341" s="42"/>
      <c r="AY341" s="42"/>
      <c r="AZ341" s="42"/>
      <c r="BA341" s="42"/>
      <c r="BB341" s="42"/>
      <c r="BC341" s="42"/>
      <c r="BD341" s="42"/>
      <c r="BE341" s="42"/>
      <c r="BF341" s="42"/>
      <c r="BG341" s="42"/>
      <c r="BH341" s="42"/>
      <c r="BI341" s="42"/>
      <c r="BJ341" s="42"/>
      <c r="BK341" s="42"/>
      <c r="BL341" s="42"/>
      <c r="BM341" s="42"/>
      <c r="BN341" s="42"/>
      <c r="BO341" s="42"/>
      <c r="BP341" s="42"/>
      <c r="BQ341" s="42"/>
      <c r="BR341" s="42"/>
      <c r="BS341" s="42"/>
      <c r="BT341" s="42"/>
      <c r="BU341" s="42"/>
      <c r="BV341" s="42"/>
      <c r="BW341" s="42"/>
      <c r="BX341" s="42"/>
      <c r="BY341" s="42"/>
      <c r="BZ341" s="42"/>
      <c r="CA341" s="42"/>
      <c r="CB341" s="42"/>
      <c r="CC341" s="42"/>
      <c r="CD341" s="42"/>
      <c r="CE341" s="42"/>
      <c r="CF341" s="42"/>
      <c r="CG341" s="42"/>
      <c r="CH341" s="42"/>
      <c r="CS341" s="29"/>
      <c r="CT341" s="29"/>
      <c r="CU341" s="29"/>
      <c r="CV341" s="38"/>
      <c r="CW341" s="38"/>
      <c r="CX341" s="29"/>
      <c r="CY341" s="29"/>
      <c r="CZ341" s="29"/>
      <c r="DA341" s="29"/>
      <c r="DB341" s="29"/>
      <c r="DC341" s="29"/>
      <c r="DD341" s="29"/>
      <c r="DE341" s="29"/>
    </row>
    <row r="342" spans="3:114" s="25" customFormat="1">
      <c r="G342" s="57"/>
      <c r="H342" s="57"/>
      <c r="I342" s="57"/>
      <c r="J342" s="57"/>
      <c r="K342" s="57"/>
      <c r="L342" s="57"/>
      <c r="M342" s="57"/>
      <c r="N342" s="57"/>
      <c r="O342" s="57"/>
      <c r="P342" s="57"/>
      <c r="Q342" s="57"/>
      <c r="R342" s="57"/>
      <c r="S342" s="57"/>
      <c r="T342" s="67"/>
      <c r="U342" s="29"/>
      <c r="V342" s="29"/>
      <c r="AJ342" s="1215"/>
      <c r="AK342" s="11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42"/>
      <c r="BU342" s="42"/>
      <c r="BV342" s="42"/>
      <c r="BW342" s="42"/>
      <c r="BX342" s="42"/>
      <c r="BY342" s="42"/>
      <c r="BZ342" s="42"/>
      <c r="CA342" s="42"/>
      <c r="CB342" s="42"/>
      <c r="CC342" s="42"/>
      <c r="CD342" s="42"/>
      <c r="CE342" s="42"/>
      <c r="CF342" s="42"/>
      <c r="CG342" s="42"/>
      <c r="CH342" s="42"/>
      <c r="CS342" s="29"/>
      <c r="CT342" s="29"/>
      <c r="CU342" s="29"/>
      <c r="CV342" s="38"/>
      <c r="CW342" s="38"/>
      <c r="CX342" s="29"/>
      <c r="CY342" s="29"/>
      <c r="CZ342" s="29"/>
      <c r="DA342" s="29"/>
      <c r="DB342" s="29"/>
      <c r="DC342" s="29"/>
      <c r="DD342" s="29"/>
      <c r="DE342" s="29"/>
    </row>
    <row r="343" spans="3:114" s="25" customFormat="1">
      <c r="G343" s="57"/>
      <c r="H343" s="57"/>
      <c r="I343" s="57"/>
      <c r="J343" s="57"/>
      <c r="K343" s="57"/>
      <c r="L343" s="57"/>
      <c r="M343" s="57"/>
      <c r="N343" s="57"/>
      <c r="O343" s="57"/>
      <c r="P343" s="57"/>
      <c r="Q343" s="57"/>
      <c r="R343" s="57"/>
      <c r="S343" s="57"/>
      <c r="T343" s="67"/>
      <c r="U343" s="29"/>
      <c r="V343" s="29"/>
      <c r="AJ343" s="1215"/>
      <c r="AK343" s="11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42"/>
      <c r="BU343" s="42"/>
      <c r="BV343" s="42"/>
      <c r="BW343" s="42"/>
      <c r="BX343" s="42"/>
      <c r="BY343" s="42"/>
      <c r="BZ343" s="42"/>
      <c r="CA343" s="42"/>
      <c r="CB343" s="42"/>
      <c r="CC343" s="42"/>
      <c r="CD343" s="42"/>
      <c r="CE343" s="42"/>
      <c r="CF343" s="42"/>
      <c r="CG343" s="42"/>
      <c r="CH343" s="42"/>
      <c r="CS343" s="29"/>
      <c r="CT343" s="29"/>
      <c r="CU343" s="29"/>
      <c r="CV343" s="38"/>
      <c r="CW343" s="38"/>
      <c r="CX343" s="29"/>
      <c r="CY343" s="29"/>
      <c r="CZ343" s="29"/>
      <c r="DA343" s="29"/>
      <c r="DB343" s="29"/>
      <c r="DC343" s="29"/>
      <c r="DD343" s="29"/>
      <c r="DE343" s="29"/>
    </row>
    <row r="344" spans="3:114" s="25" customFormat="1">
      <c r="G344" s="57"/>
      <c r="H344" s="57"/>
      <c r="I344" s="57"/>
      <c r="J344" s="57"/>
      <c r="K344" s="57"/>
      <c r="L344" s="57"/>
      <c r="M344" s="57"/>
      <c r="N344" s="57"/>
      <c r="O344" s="57"/>
      <c r="P344" s="57"/>
      <c r="Q344" s="57"/>
      <c r="R344" s="57"/>
      <c r="S344" s="57"/>
      <c r="T344" s="67"/>
      <c r="U344" s="29"/>
      <c r="V344" s="29"/>
      <c r="AJ344" s="1215"/>
      <c r="AK344" s="1142"/>
      <c r="AM344" s="42"/>
      <c r="AN344" s="42"/>
      <c r="AO344" s="42"/>
      <c r="AP344" s="42"/>
      <c r="AQ344" s="42"/>
      <c r="AR344" s="42"/>
      <c r="AS344" s="42"/>
      <c r="AT344" s="42"/>
      <c r="AU344" s="42"/>
      <c r="AV344" s="42"/>
      <c r="AW344" s="42"/>
      <c r="AX344" s="42"/>
      <c r="AY344" s="42"/>
      <c r="AZ344" s="42"/>
      <c r="BA344" s="42"/>
      <c r="BB344" s="42"/>
      <c r="BC344" s="42"/>
      <c r="BD344" s="42"/>
      <c r="BE344" s="42"/>
      <c r="BF344" s="42"/>
      <c r="BG344" s="42"/>
      <c r="BH344" s="42"/>
      <c r="BI344" s="42"/>
      <c r="BJ344" s="42"/>
      <c r="BK344" s="42"/>
      <c r="BL344" s="42"/>
      <c r="BM344" s="42"/>
      <c r="BN344" s="42"/>
      <c r="BO344" s="42"/>
      <c r="BP344" s="42"/>
      <c r="BQ344" s="42"/>
      <c r="BR344" s="42"/>
      <c r="BS344" s="42"/>
      <c r="BT344" s="42"/>
      <c r="BU344" s="42"/>
      <c r="BV344" s="42"/>
      <c r="BW344" s="42"/>
      <c r="BX344" s="42"/>
      <c r="BY344" s="42"/>
      <c r="BZ344" s="42"/>
      <c r="CA344" s="42"/>
      <c r="CB344" s="42"/>
      <c r="CC344" s="42"/>
      <c r="CD344" s="42"/>
      <c r="CE344" s="42"/>
      <c r="CF344" s="42"/>
      <c r="CG344" s="42"/>
      <c r="CH344" s="42"/>
      <c r="CS344" s="29"/>
      <c r="CT344" s="29"/>
      <c r="CU344" s="29"/>
      <c r="CV344" s="38"/>
      <c r="CW344" s="38"/>
      <c r="CX344" s="29"/>
      <c r="CY344" s="29"/>
      <c r="CZ344" s="29"/>
      <c r="DA344" s="29"/>
      <c r="DB344" s="29"/>
      <c r="DC344" s="29"/>
      <c r="DD344" s="29"/>
      <c r="DE344" s="29"/>
    </row>
    <row r="345" spans="3:114" s="25" customFormat="1">
      <c r="G345" s="57"/>
      <c r="H345" s="57"/>
      <c r="I345" s="57"/>
      <c r="J345" s="57"/>
      <c r="K345" s="57"/>
      <c r="L345" s="57"/>
      <c r="M345" s="57"/>
      <c r="N345" s="57"/>
      <c r="O345" s="57"/>
      <c r="P345" s="57"/>
      <c r="Q345" s="57"/>
      <c r="R345" s="57"/>
      <c r="S345" s="57"/>
      <c r="T345" s="67"/>
      <c r="U345" s="29"/>
      <c r="V345" s="29"/>
      <c r="AJ345" s="1215"/>
      <c r="AK345" s="11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42"/>
      <c r="BU345" s="42"/>
      <c r="BV345" s="42"/>
      <c r="BW345" s="42"/>
      <c r="BX345" s="42"/>
      <c r="BY345" s="42"/>
      <c r="BZ345" s="42"/>
      <c r="CA345" s="42"/>
      <c r="CB345" s="42"/>
      <c r="CC345" s="42"/>
      <c r="CD345" s="42"/>
      <c r="CE345" s="42"/>
      <c r="CF345" s="42"/>
      <c r="CG345" s="42"/>
      <c r="CH345" s="42"/>
      <c r="CS345" s="29"/>
      <c r="CT345" s="29"/>
      <c r="CU345" s="29"/>
      <c r="CV345" s="38"/>
      <c r="CW345" s="38"/>
      <c r="CX345" s="29"/>
      <c r="CY345" s="29"/>
      <c r="CZ345" s="29"/>
      <c r="DA345" s="29"/>
      <c r="DB345" s="29"/>
      <c r="DC345" s="29"/>
      <c r="DD345" s="29"/>
      <c r="DE345" s="29"/>
    </row>
    <row r="346" spans="3:114" s="25" customFormat="1">
      <c r="G346" s="57"/>
      <c r="H346" s="57"/>
      <c r="I346" s="57"/>
      <c r="J346" s="57"/>
      <c r="K346" s="57"/>
      <c r="L346" s="57"/>
      <c r="M346" s="57"/>
      <c r="N346" s="57"/>
      <c r="O346" s="57"/>
      <c r="P346" s="57"/>
      <c r="Q346" s="57"/>
      <c r="R346" s="57"/>
      <c r="S346" s="57"/>
      <c r="T346" s="67"/>
      <c r="U346" s="29"/>
      <c r="V346" s="29"/>
      <c r="AJ346" s="1215"/>
      <c r="AK346" s="11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42"/>
      <c r="BU346" s="42"/>
      <c r="BV346" s="42"/>
      <c r="BW346" s="42"/>
      <c r="BX346" s="42"/>
      <c r="BY346" s="42"/>
      <c r="BZ346" s="42"/>
      <c r="CA346" s="42"/>
      <c r="CB346" s="42"/>
      <c r="CC346" s="42"/>
      <c r="CD346" s="42"/>
      <c r="CE346" s="42"/>
      <c r="CF346" s="42"/>
      <c r="CG346" s="42"/>
      <c r="CH346" s="42"/>
      <c r="CS346" s="29"/>
      <c r="CT346" s="29"/>
      <c r="CU346" s="29"/>
      <c r="CV346" s="38"/>
      <c r="CW346" s="38"/>
      <c r="CX346" s="29"/>
      <c r="CY346" s="29"/>
      <c r="CZ346" s="29"/>
      <c r="DA346" s="29"/>
      <c r="DB346" s="29"/>
      <c r="DC346" s="29"/>
      <c r="DD346" s="29"/>
      <c r="DE346" s="29"/>
    </row>
    <row r="347" spans="3:114" s="25" customFormat="1">
      <c r="G347" s="57"/>
      <c r="H347" s="57"/>
      <c r="I347" s="57"/>
      <c r="J347" s="57"/>
      <c r="K347" s="57"/>
      <c r="L347" s="57"/>
      <c r="M347" s="57"/>
      <c r="N347" s="57"/>
      <c r="O347" s="57"/>
      <c r="P347" s="57"/>
      <c r="Q347" s="57"/>
      <c r="R347" s="57"/>
      <c r="S347" s="57"/>
      <c r="T347" s="67"/>
      <c r="U347" s="29"/>
      <c r="V347" s="29"/>
      <c r="AJ347" s="1215"/>
      <c r="AK347" s="1142"/>
      <c r="AM347" s="42"/>
      <c r="AN347" s="42"/>
      <c r="AO347" s="42"/>
      <c r="AP347" s="42"/>
      <c r="AQ347" s="42"/>
      <c r="AR347" s="42"/>
      <c r="AS347" s="42"/>
      <c r="AT347" s="42"/>
      <c r="AU347" s="42"/>
      <c r="AV347" s="42"/>
      <c r="AW347" s="42"/>
      <c r="AX347" s="42"/>
      <c r="AY347" s="42"/>
      <c r="AZ347" s="42"/>
      <c r="BA347" s="42"/>
      <c r="BB347" s="42"/>
      <c r="BC347" s="42"/>
      <c r="BD347" s="42"/>
      <c r="BE347" s="42"/>
      <c r="BF347" s="42"/>
      <c r="BG347" s="42"/>
      <c r="BH347" s="42"/>
      <c r="BI347" s="42"/>
      <c r="BJ347" s="42"/>
      <c r="BK347" s="42"/>
      <c r="BL347" s="42"/>
      <c r="BM347" s="42"/>
      <c r="BN347" s="42"/>
      <c r="BO347" s="42"/>
      <c r="BP347" s="42"/>
      <c r="BQ347" s="42"/>
      <c r="BR347" s="42"/>
      <c r="BS347" s="42"/>
      <c r="BT347" s="42"/>
      <c r="BU347" s="42"/>
      <c r="BV347" s="42"/>
      <c r="BW347" s="42"/>
      <c r="BX347" s="42"/>
      <c r="BY347" s="42"/>
      <c r="BZ347" s="42"/>
      <c r="CA347" s="42"/>
      <c r="CB347" s="42"/>
      <c r="CC347" s="42"/>
      <c r="CD347" s="42"/>
      <c r="CE347" s="42"/>
      <c r="CF347" s="42"/>
      <c r="CG347" s="42"/>
      <c r="CH347" s="42"/>
      <c r="CS347" s="29"/>
      <c r="CT347" s="29"/>
      <c r="CU347" s="29"/>
      <c r="CV347" s="38"/>
      <c r="CW347" s="38"/>
      <c r="CX347" s="29"/>
      <c r="CY347" s="29"/>
      <c r="CZ347" s="29"/>
      <c r="DA347" s="29"/>
      <c r="DB347" s="29"/>
      <c r="DC347" s="29"/>
      <c r="DD347" s="29"/>
      <c r="DE347" s="29"/>
    </row>
    <row r="348" spans="3:114" s="25" customFormat="1">
      <c r="G348" s="57"/>
      <c r="H348" s="57"/>
      <c r="I348" s="57"/>
      <c r="J348" s="57"/>
      <c r="K348" s="57"/>
      <c r="L348" s="57"/>
      <c r="M348" s="57"/>
      <c r="N348" s="57"/>
      <c r="O348" s="57"/>
      <c r="P348" s="57"/>
      <c r="Q348" s="57"/>
      <c r="R348" s="57"/>
      <c r="S348" s="57"/>
      <c r="T348" s="67"/>
      <c r="U348" s="29"/>
      <c r="V348" s="29"/>
      <c r="AJ348" s="1215"/>
      <c r="AK348" s="11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42"/>
      <c r="BU348" s="42"/>
      <c r="BV348" s="42"/>
      <c r="BW348" s="42"/>
      <c r="BX348" s="42"/>
      <c r="BY348" s="42"/>
      <c r="BZ348" s="42"/>
      <c r="CA348" s="42"/>
      <c r="CB348" s="42"/>
      <c r="CC348" s="42"/>
      <c r="CD348" s="42"/>
      <c r="CE348" s="42"/>
      <c r="CF348" s="42"/>
      <c r="CG348" s="42"/>
      <c r="CH348" s="42"/>
      <c r="CS348" s="29"/>
      <c r="CT348" s="29"/>
      <c r="CU348" s="29"/>
      <c r="CV348" s="38"/>
      <c r="CW348" s="38"/>
      <c r="CX348" s="29"/>
      <c r="CY348" s="29"/>
      <c r="CZ348" s="29"/>
      <c r="DA348" s="29"/>
      <c r="DB348" s="29"/>
      <c r="DC348" s="29"/>
      <c r="DD348" s="29"/>
      <c r="DE348" s="29"/>
    </row>
    <row r="349" spans="3:114" s="25" customFormat="1">
      <c r="G349" s="57"/>
      <c r="H349" s="57"/>
      <c r="I349" s="57"/>
      <c r="J349" s="57"/>
      <c r="K349" s="57"/>
      <c r="L349" s="57"/>
      <c r="M349" s="57"/>
      <c r="N349" s="57"/>
      <c r="O349" s="57"/>
      <c r="P349" s="57"/>
      <c r="Q349" s="57"/>
      <c r="R349" s="57"/>
      <c r="S349" s="57"/>
      <c r="T349" s="67"/>
      <c r="U349" s="29"/>
      <c r="V349" s="29"/>
      <c r="AJ349" s="1215"/>
      <c r="AK349" s="11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42"/>
      <c r="BU349" s="42"/>
      <c r="BV349" s="42"/>
      <c r="BW349" s="42"/>
      <c r="BX349" s="42"/>
      <c r="BY349" s="42"/>
      <c r="BZ349" s="42"/>
      <c r="CA349" s="42"/>
      <c r="CB349" s="42"/>
      <c r="CC349" s="42"/>
      <c r="CD349" s="42"/>
      <c r="CE349" s="42"/>
      <c r="CF349" s="42"/>
      <c r="CG349" s="42"/>
      <c r="CH349" s="42"/>
      <c r="CS349" s="29"/>
      <c r="CT349" s="29"/>
      <c r="CU349" s="29"/>
      <c r="CV349" s="38"/>
      <c r="CW349" s="38"/>
      <c r="CX349" s="29"/>
      <c r="CY349" s="29"/>
      <c r="CZ349" s="29"/>
      <c r="DA349" s="29"/>
      <c r="DB349" s="29"/>
      <c r="DC349" s="29"/>
      <c r="DD349" s="29"/>
      <c r="DE349" s="29"/>
    </row>
    <row r="350" spans="3:114" s="25" customFormat="1">
      <c r="C350" s="24"/>
      <c r="D350" s="24"/>
      <c r="G350" s="57"/>
      <c r="H350" s="57"/>
      <c r="I350" s="57"/>
      <c r="J350" s="57"/>
      <c r="K350" s="57"/>
      <c r="L350" s="57"/>
      <c r="M350" s="57"/>
      <c r="N350" s="57"/>
      <c r="O350" s="57"/>
      <c r="P350" s="57"/>
      <c r="Q350" s="57"/>
      <c r="R350" s="57"/>
      <c r="S350" s="57"/>
      <c r="T350" s="559"/>
      <c r="U350" s="29"/>
      <c r="V350" s="29"/>
      <c r="AJ350" s="1215"/>
      <c r="AK350" s="1142"/>
      <c r="AM350" s="42"/>
      <c r="AN350" s="42"/>
      <c r="AO350" s="42"/>
      <c r="AP350" s="42"/>
      <c r="AQ350" s="42"/>
      <c r="AR350" s="42"/>
      <c r="AS350" s="42"/>
      <c r="AT350" s="42"/>
      <c r="AU350" s="42"/>
      <c r="AV350" s="42"/>
      <c r="AW350" s="42"/>
      <c r="AX350" s="42"/>
      <c r="AY350" s="42"/>
      <c r="AZ350" s="42"/>
      <c r="BA350" s="42"/>
      <c r="BB350" s="42"/>
      <c r="BC350" s="42"/>
      <c r="BD350" s="42"/>
      <c r="BE350" s="42"/>
      <c r="BF350" s="42"/>
      <c r="BG350" s="42"/>
      <c r="BH350" s="42"/>
      <c r="BI350" s="42"/>
      <c r="BJ350" s="42"/>
      <c r="BK350" s="42"/>
      <c r="BL350" s="42"/>
      <c r="BM350" s="42"/>
      <c r="BN350" s="42"/>
      <c r="BO350" s="42"/>
      <c r="BP350" s="42"/>
      <c r="BQ350" s="42"/>
      <c r="BR350" s="42"/>
      <c r="BS350" s="42"/>
      <c r="BT350" s="42"/>
      <c r="BU350" s="42"/>
      <c r="BV350" s="42"/>
      <c r="BW350" s="42"/>
      <c r="BX350" s="42"/>
      <c r="BY350" s="42"/>
      <c r="BZ350" s="42"/>
      <c r="CA350" s="42"/>
      <c r="CB350" s="42"/>
      <c r="CC350" s="42"/>
      <c r="CD350" s="42"/>
      <c r="CE350" s="42"/>
      <c r="CF350" s="42"/>
      <c r="CG350" s="42"/>
      <c r="CH350" s="42"/>
      <c r="CS350" s="29"/>
      <c r="CT350" s="29"/>
      <c r="CU350" s="29"/>
      <c r="CV350" s="522"/>
      <c r="CW350" s="522"/>
      <c r="CX350" s="211"/>
      <c r="CY350" s="211"/>
      <c r="CZ350" s="211"/>
      <c r="DA350" s="211"/>
      <c r="DB350" s="211"/>
      <c r="DC350" s="211"/>
      <c r="DD350" s="211"/>
      <c r="DE350" s="211"/>
      <c r="DF350" s="60"/>
      <c r="DG350" s="60"/>
      <c r="DH350" s="60"/>
      <c r="DI350" s="60"/>
      <c r="DJ350" s="60"/>
    </row>
    <row r="351" spans="3:114" s="25" customFormat="1">
      <c r="C351" s="24"/>
      <c r="D351" s="24"/>
      <c r="G351" s="57"/>
      <c r="H351" s="57"/>
      <c r="I351" s="57"/>
      <c r="J351" s="57"/>
      <c r="K351" s="57"/>
      <c r="L351" s="57"/>
      <c r="M351" s="57"/>
      <c r="N351" s="57"/>
      <c r="O351" s="57"/>
      <c r="P351" s="57"/>
      <c r="Q351" s="57"/>
      <c r="R351" s="57"/>
      <c r="S351" s="57"/>
      <c r="T351" s="559"/>
      <c r="U351" s="29"/>
      <c r="V351" s="29"/>
      <c r="AJ351" s="1215"/>
      <c r="AK351" s="1142"/>
      <c r="AM351" s="42"/>
      <c r="AN351" s="42"/>
      <c r="AO351" s="42"/>
      <c r="AP351" s="42"/>
      <c r="AQ351" s="42"/>
      <c r="AR351" s="42"/>
      <c r="AS351" s="42"/>
      <c r="AT351" s="42"/>
      <c r="AU351" s="42"/>
      <c r="AV351" s="42"/>
      <c r="AW351" s="42"/>
      <c r="AX351" s="42"/>
      <c r="AY351" s="42"/>
      <c r="AZ351" s="42"/>
      <c r="BA351" s="42"/>
      <c r="BB351" s="42"/>
      <c r="BC351" s="42"/>
      <c r="BD351" s="42"/>
      <c r="BE351" s="42"/>
      <c r="BF351" s="42"/>
      <c r="BG351" s="42"/>
      <c r="BH351" s="42"/>
      <c r="BI351" s="42"/>
      <c r="BJ351" s="42"/>
      <c r="BK351" s="42"/>
      <c r="BL351" s="42"/>
      <c r="BM351" s="42"/>
      <c r="BN351" s="42"/>
      <c r="BO351" s="42"/>
      <c r="BP351" s="42"/>
      <c r="BQ351" s="42"/>
      <c r="BR351" s="42"/>
      <c r="BS351" s="42"/>
      <c r="BT351" s="42"/>
      <c r="BU351" s="42"/>
      <c r="BV351" s="42"/>
      <c r="BW351" s="42"/>
      <c r="BX351" s="42"/>
      <c r="BY351" s="42"/>
      <c r="BZ351" s="42"/>
      <c r="CA351" s="42"/>
      <c r="CB351" s="42"/>
      <c r="CC351" s="42"/>
      <c r="CD351" s="42"/>
      <c r="CE351" s="42"/>
      <c r="CF351" s="42"/>
      <c r="CG351" s="42"/>
      <c r="CH351" s="42"/>
      <c r="CS351" s="29"/>
      <c r="CT351" s="29"/>
      <c r="CU351" s="29"/>
      <c r="CV351" s="522"/>
      <c r="CW351" s="522"/>
      <c r="CX351" s="211"/>
      <c r="CY351" s="211"/>
      <c r="CZ351" s="211"/>
      <c r="DA351" s="211"/>
      <c r="DB351" s="211"/>
      <c r="DC351" s="211"/>
      <c r="DD351" s="211"/>
      <c r="DE351" s="211"/>
      <c r="DF351" s="60"/>
      <c r="DG351" s="60"/>
      <c r="DH351" s="60"/>
      <c r="DI351" s="60"/>
      <c r="DJ351" s="60"/>
    </row>
    <row r="352" spans="3:114" s="25" customFormat="1">
      <c r="C352" s="24"/>
      <c r="D352" s="24"/>
      <c r="G352" s="57"/>
      <c r="H352" s="57"/>
      <c r="I352" s="57"/>
      <c r="J352" s="57"/>
      <c r="K352" s="57"/>
      <c r="L352" s="57"/>
      <c r="M352" s="57"/>
      <c r="N352" s="57"/>
      <c r="O352" s="57"/>
      <c r="P352" s="57"/>
      <c r="Q352" s="57"/>
      <c r="R352" s="57"/>
      <c r="S352" s="57"/>
      <c r="T352" s="559"/>
      <c r="U352" s="29"/>
      <c r="V352" s="29"/>
      <c r="AJ352" s="1215"/>
      <c r="AK352" s="1142"/>
      <c r="AM352" s="42"/>
      <c r="AN352" s="42"/>
      <c r="AO352" s="42"/>
      <c r="AP352" s="42"/>
      <c r="AQ352" s="42"/>
      <c r="AR352" s="42"/>
      <c r="AS352" s="42"/>
      <c r="AT352" s="42"/>
      <c r="AU352" s="42"/>
      <c r="AV352" s="42"/>
      <c r="AW352" s="42"/>
      <c r="AX352" s="42"/>
      <c r="AY352" s="42"/>
      <c r="AZ352" s="42"/>
      <c r="BA352" s="42"/>
      <c r="BB352" s="42"/>
      <c r="BC352" s="42"/>
      <c r="BD352" s="42"/>
      <c r="BE352" s="42"/>
      <c r="BF352" s="42"/>
      <c r="BG352" s="42"/>
      <c r="BH352" s="42"/>
      <c r="BI352" s="42"/>
      <c r="BJ352" s="42"/>
      <c r="BK352" s="42"/>
      <c r="BL352" s="42"/>
      <c r="BM352" s="42"/>
      <c r="BN352" s="42"/>
      <c r="BO352" s="42"/>
      <c r="BP352" s="42"/>
      <c r="BQ352" s="42"/>
      <c r="BR352" s="42"/>
      <c r="BS352" s="42"/>
      <c r="BT352" s="42"/>
      <c r="BU352" s="42"/>
      <c r="BV352" s="42"/>
      <c r="BW352" s="42"/>
      <c r="BX352" s="42"/>
      <c r="BY352" s="42"/>
      <c r="BZ352" s="42"/>
      <c r="CA352" s="42"/>
      <c r="CB352" s="42"/>
      <c r="CC352" s="42"/>
      <c r="CD352" s="42"/>
      <c r="CE352" s="42"/>
      <c r="CF352" s="42"/>
      <c r="CG352" s="42"/>
      <c r="CH352" s="42"/>
      <c r="CS352" s="29"/>
      <c r="CT352" s="29"/>
      <c r="CU352" s="29"/>
      <c r="CV352" s="522"/>
      <c r="CW352" s="522"/>
      <c r="CX352" s="211"/>
      <c r="CY352" s="211"/>
      <c r="CZ352" s="211"/>
      <c r="DA352" s="211"/>
      <c r="DB352" s="211"/>
      <c r="DC352" s="211"/>
      <c r="DD352" s="211"/>
      <c r="DE352" s="211"/>
      <c r="DF352" s="60"/>
      <c r="DG352" s="60"/>
      <c r="DH352" s="60"/>
      <c r="DI352" s="60"/>
      <c r="DJ352" s="60"/>
    </row>
    <row r="353" spans="3:114" s="25" customFormat="1">
      <c r="C353" s="24"/>
      <c r="D353" s="24"/>
      <c r="G353" s="57"/>
      <c r="H353" s="57"/>
      <c r="I353" s="57"/>
      <c r="J353" s="57"/>
      <c r="K353" s="57"/>
      <c r="L353" s="57"/>
      <c r="M353" s="57"/>
      <c r="N353" s="57"/>
      <c r="O353" s="57"/>
      <c r="P353" s="57"/>
      <c r="Q353" s="57"/>
      <c r="R353" s="57"/>
      <c r="S353" s="57"/>
      <c r="T353" s="559"/>
      <c r="U353" s="29"/>
      <c r="V353" s="29"/>
      <c r="AJ353" s="1215"/>
      <c r="AK353" s="1142"/>
      <c r="AM353" s="42"/>
      <c r="AN353" s="42"/>
      <c r="AO353" s="42"/>
      <c r="AP353" s="42"/>
      <c r="AQ353" s="42"/>
      <c r="AR353" s="42"/>
      <c r="AS353" s="42"/>
      <c r="AT353" s="42"/>
      <c r="AU353" s="42"/>
      <c r="AV353" s="42"/>
      <c r="AW353" s="42"/>
      <c r="AX353" s="42"/>
      <c r="AY353" s="42"/>
      <c r="AZ353" s="42"/>
      <c r="BA353" s="42"/>
      <c r="BB353" s="42"/>
      <c r="BC353" s="42"/>
      <c r="BD353" s="42"/>
      <c r="BE353" s="42"/>
      <c r="BF353" s="42"/>
      <c r="BG353" s="42"/>
      <c r="BH353" s="42"/>
      <c r="BI353" s="42"/>
      <c r="BJ353" s="42"/>
      <c r="BK353" s="42"/>
      <c r="BL353" s="42"/>
      <c r="BM353" s="42"/>
      <c r="BN353" s="42"/>
      <c r="BO353" s="42"/>
      <c r="BP353" s="42"/>
      <c r="BQ353" s="42"/>
      <c r="BR353" s="42"/>
      <c r="BS353" s="42"/>
      <c r="BT353" s="42"/>
      <c r="BU353" s="42"/>
      <c r="BV353" s="42"/>
      <c r="BW353" s="42"/>
      <c r="BX353" s="42"/>
      <c r="BY353" s="42"/>
      <c r="BZ353" s="42"/>
      <c r="CA353" s="42"/>
      <c r="CB353" s="42"/>
      <c r="CC353" s="42"/>
      <c r="CD353" s="42"/>
      <c r="CE353" s="42"/>
      <c r="CF353" s="42"/>
      <c r="CG353" s="42"/>
      <c r="CH353" s="42"/>
      <c r="CS353" s="29"/>
      <c r="CT353" s="29"/>
      <c r="CU353" s="29"/>
      <c r="CV353" s="522"/>
      <c r="CW353" s="522"/>
      <c r="CX353" s="211"/>
      <c r="CY353" s="211"/>
      <c r="CZ353" s="211"/>
      <c r="DA353" s="211"/>
      <c r="DB353" s="211"/>
      <c r="DC353" s="211"/>
      <c r="DD353" s="211"/>
      <c r="DE353" s="211"/>
      <c r="DF353" s="60"/>
      <c r="DG353" s="60"/>
      <c r="DH353" s="60"/>
      <c r="DI353" s="60"/>
      <c r="DJ353" s="60"/>
    </row>
    <row r="354" spans="3:114" s="25" customFormat="1">
      <c r="C354" s="24"/>
      <c r="D354" s="24"/>
      <c r="G354" s="57"/>
      <c r="H354" s="57"/>
      <c r="I354" s="57"/>
      <c r="J354" s="57"/>
      <c r="K354" s="57"/>
      <c r="L354" s="57"/>
      <c r="M354" s="57"/>
      <c r="N354" s="57"/>
      <c r="O354" s="57"/>
      <c r="P354" s="57"/>
      <c r="Q354" s="57"/>
      <c r="R354" s="57"/>
      <c r="S354" s="57"/>
      <c r="T354" s="559"/>
      <c r="U354" s="29"/>
      <c r="V354" s="29"/>
      <c r="AJ354" s="1215"/>
      <c r="AK354" s="1142"/>
      <c r="AM354" s="42"/>
      <c r="AN354" s="42"/>
      <c r="AO354" s="42"/>
      <c r="AP354" s="42"/>
      <c r="AQ354" s="42"/>
      <c r="AR354" s="42"/>
      <c r="AS354" s="42"/>
      <c r="AT354" s="42"/>
      <c r="AU354" s="42"/>
      <c r="AV354" s="42"/>
      <c r="AW354" s="42"/>
      <c r="AX354" s="42"/>
      <c r="AY354" s="42"/>
      <c r="AZ354" s="42"/>
      <c r="BA354" s="42"/>
      <c r="BB354" s="42"/>
      <c r="BC354" s="42"/>
      <c r="BD354" s="42"/>
      <c r="BE354" s="42"/>
      <c r="BF354" s="42"/>
      <c r="BG354" s="42"/>
      <c r="BH354" s="42"/>
      <c r="BI354" s="42"/>
      <c r="BJ354" s="42"/>
      <c r="BK354" s="42"/>
      <c r="BL354" s="42"/>
      <c r="BM354" s="42"/>
      <c r="BN354" s="42"/>
      <c r="BO354" s="42"/>
      <c r="BP354" s="42"/>
      <c r="BQ354" s="42"/>
      <c r="BR354" s="42"/>
      <c r="BS354" s="42"/>
      <c r="BT354" s="42"/>
      <c r="BU354" s="42"/>
      <c r="BV354" s="42"/>
      <c r="BW354" s="42"/>
      <c r="BX354" s="42"/>
      <c r="BY354" s="42"/>
      <c r="BZ354" s="42"/>
      <c r="CA354" s="42"/>
      <c r="CB354" s="42"/>
      <c r="CC354" s="42"/>
      <c r="CD354" s="42"/>
      <c r="CE354" s="42"/>
      <c r="CF354" s="42"/>
      <c r="CG354" s="42"/>
      <c r="CH354" s="42"/>
      <c r="CS354" s="29"/>
      <c r="CT354" s="29"/>
      <c r="CU354" s="29"/>
      <c r="CV354" s="522"/>
      <c r="CW354" s="522"/>
      <c r="CX354" s="211"/>
      <c r="CY354" s="211"/>
      <c r="CZ354" s="211"/>
      <c r="DA354" s="211"/>
      <c r="DB354" s="211"/>
      <c r="DC354" s="211"/>
      <c r="DD354" s="211"/>
      <c r="DE354" s="211"/>
      <c r="DF354" s="60"/>
      <c r="DG354" s="60"/>
      <c r="DH354" s="60"/>
      <c r="DI354" s="60"/>
      <c r="DJ354" s="60"/>
    </row>
    <row r="355" spans="3:114" s="25" customFormat="1">
      <c r="C355" s="24"/>
      <c r="D355" s="24"/>
      <c r="G355" s="57"/>
      <c r="H355" s="57"/>
      <c r="I355" s="57"/>
      <c r="J355" s="57"/>
      <c r="K355" s="57"/>
      <c r="L355" s="57"/>
      <c r="M355" s="57"/>
      <c r="N355" s="57"/>
      <c r="O355" s="57"/>
      <c r="P355" s="57"/>
      <c r="Q355" s="57"/>
      <c r="R355" s="57"/>
      <c r="S355" s="57"/>
      <c r="T355" s="559"/>
      <c r="U355" s="29"/>
      <c r="V355" s="29"/>
      <c r="AJ355" s="1215"/>
      <c r="AK355" s="1142"/>
      <c r="AM355" s="42"/>
      <c r="AN355" s="42"/>
      <c r="AO355" s="42"/>
      <c r="AP355" s="42"/>
      <c r="AQ355" s="42"/>
      <c r="AR355" s="42"/>
      <c r="AS355" s="42"/>
      <c r="AT355" s="42"/>
      <c r="AU355" s="42"/>
      <c r="AV355" s="42"/>
      <c r="AW355" s="42"/>
      <c r="AX355" s="42"/>
      <c r="AY355" s="42"/>
      <c r="AZ355" s="42"/>
      <c r="BA355" s="42"/>
      <c r="BB355" s="42"/>
      <c r="BC355" s="42"/>
      <c r="BD355" s="42"/>
      <c r="BE355" s="42"/>
      <c r="BF355" s="42"/>
      <c r="BG355" s="42"/>
      <c r="BH355" s="42"/>
      <c r="BI355" s="42"/>
      <c r="BJ355" s="42"/>
      <c r="BK355" s="42"/>
      <c r="BL355" s="42"/>
      <c r="BM355" s="42"/>
      <c r="BN355" s="42"/>
      <c r="BO355" s="42"/>
      <c r="BP355" s="42"/>
      <c r="BQ355" s="42"/>
      <c r="BR355" s="42"/>
      <c r="BS355" s="42"/>
      <c r="BT355" s="42"/>
      <c r="BU355" s="42"/>
      <c r="BV355" s="42"/>
      <c r="BW355" s="42"/>
      <c r="BX355" s="42"/>
      <c r="BY355" s="42"/>
      <c r="BZ355" s="42"/>
      <c r="CA355" s="42"/>
      <c r="CB355" s="42"/>
      <c r="CC355" s="42"/>
      <c r="CD355" s="42"/>
      <c r="CE355" s="42"/>
      <c r="CF355" s="42"/>
      <c r="CG355" s="42"/>
      <c r="CH355" s="42"/>
      <c r="CS355" s="29"/>
      <c r="CT355" s="29"/>
      <c r="CU355" s="29"/>
      <c r="CV355" s="522"/>
      <c r="CW355" s="522"/>
      <c r="CX355" s="211"/>
      <c r="CY355" s="211"/>
      <c r="CZ355" s="211"/>
      <c r="DA355" s="211"/>
      <c r="DB355" s="211"/>
      <c r="DC355" s="211"/>
      <c r="DD355" s="211"/>
      <c r="DE355" s="211"/>
      <c r="DF355" s="60"/>
      <c r="DG355" s="60"/>
      <c r="DH355" s="60"/>
      <c r="DI355" s="60"/>
      <c r="DJ355" s="60"/>
    </row>
    <row r="356" spans="3:114" s="25" customFormat="1">
      <c r="C356" s="24"/>
      <c r="D356" s="24"/>
      <c r="G356" s="57"/>
      <c r="H356" s="57"/>
      <c r="I356" s="57"/>
      <c r="J356" s="57"/>
      <c r="K356" s="57"/>
      <c r="L356" s="57"/>
      <c r="M356" s="57"/>
      <c r="N356" s="57"/>
      <c r="O356" s="57"/>
      <c r="P356" s="57"/>
      <c r="Q356" s="57"/>
      <c r="R356" s="57"/>
      <c r="S356" s="57"/>
      <c r="T356" s="559"/>
      <c r="U356" s="29"/>
      <c r="V356" s="29"/>
      <c r="AJ356" s="1215"/>
      <c r="AK356" s="1142"/>
      <c r="AM356" s="42"/>
      <c r="AN356" s="42"/>
      <c r="AO356" s="42"/>
      <c r="AP356" s="42"/>
      <c r="AQ356" s="42"/>
      <c r="AR356" s="42"/>
      <c r="AS356" s="42"/>
      <c r="AT356" s="42"/>
      <c r="AU356" s="42"/>
      <c r="AV356" s="42"/>
      <c r="AW356" s="42"/>
      <c r="AX356" s="42"/>
      <c r="AY356" s="42"/>
      <c r="AZ356" s="42"/>
      <c r="BA356" s="42"/>
      <c r="BB356" s="42"/>
      <c r="BC356" s="42"/>
      <c r="BD356" s="42"/>
      <c r="BE356" s="42"/>
      <c r="BF356" s="42"/>
      <c r="BG356" s="42"/>
      <c r="BH356" s="42"/>
      <c r="BI356" s="42"/>
      <c r="BJ356" s="42"/>
      <c r="BK356" s="42"/>
      <c r="BL356" s="42"/>
      <c r="BM356" s="42"/>
      <c r="BN356" s="42"/>
      <c r="BO356" s="42"/>
      <c r="BP356" s="42"/>
      <c r="BQ356" s="42"/>
      <c r="BR356" s="42"/>
      <c r="BS356" s="42"/>
      <c r="BT356" s="42"/>
      <c r="BU356" s="42"/>
      <c r="BV356" s="42"/>
      <c r="BW356" s="42"/>
      <c r="BX356" s="42"/>
      <c r="BY356" s="42"/>
      <c r="BZ356" s="42"/>
      <c r="CA356" s="42"/>
      <c r="CB356" s="42"/>
      <c r="CC356" s="42"/>
      <c r="CD356" s="42"/>
      <c r="CE356" s="42"/>
      <c r="CF356" s="42"/>
      <c r="CG356" s="42"/>
      <c r="CH356" s="42"/>
      <c r="CS356" s="29"/>
      <c r="CT356" s="29"/>
      <c r="CU356" s="29"/>
      <c r="CV356" s="522"/>
      <c r="CW356" s="522"/>
      <c r="CX356" s="211"/>
      <c r="CY356" s="211"/>
      <c r="CZ356" s="211"/>
      <c r="DA356" s="211"/>
      <c r="DB356" s="211"/>
      <c r="DC356" s="211"/>
      <c r="DD356" s="211"/>
      <c r="DE356" s="211"/>
      <c r="DF356" s="60"/>
      <c r="DG356" s="60"/>
      <c r="DH356" s="60"/>
      <c r="DI356" s="60"/>
      <c r="DJ356" s="60"/>
    </row>
    <row r="357" spans="3:114" s="25" customFormat="1">
      <c r="C357" s="24"/>
      <c r="D357" s="24"/>
      <c r="G357" s="57"/>
      <c r="H357" s="57"/>
      <c r="I357" s="57"/>
      <c r="J357" s="57"/>
      <c r="K357" s="57"/>
      <c r="L357" s="57"/>
      <c r="M357" s="57"/>
      <c r="N357" s="57"/>
      <c r="O357" s="57"/>
      <c r="P357" s="57"/>
      <c r="Q357" s="57"/>
      <c r="R357" s="57"/>
      <c r="S357" s="57"/>
      <c r="T357" s="559"/>
      <c r="U357" s="29"/>
      <c r="V357" s="29"/>
      <c r="AJ357" s="1215"/>
      <c r="AK357" s="1142"/>
      <c r="AM357" s="42"/>
      <c r="AN357" s="42"/>
      <c r="AO357" s="42"/>
      <c r="AP357" s="42"/>
      <c r="AQ357" s="42"/>
      <c r="AR357" s="42"/>
      <c r="AS357" s="42"/>
      <c r="AT357" s="42"/>
      <c r="AU357" s="42"/>
      <c r="AV357" s="42"/>
      <c r="AW357" s="42"/>
      <c r="AX357" s="42"/>
      <c r="AY357" s="42"/>
      <c r="AZ357" s="42"/>
      <c r="BA357" s="42"/>
      <c r="BB357" s="42"/>
      <c r="BC357" s="42"/>
      <c r="BD357" s="42"/>
      <c r="BE357" s="42"/>
      <c r="BF357" s="42"/>
      <c r="BG357" s="42"/>
      <c r="BH357" s="42"/>
      <c r="BI357" s="42"/>
      <c r="BJ357" s="42"/>
      <c r="BK357" s="42"/>
      <c r="BL357" s="42"/>
      <c r="BM357" s="42"/>
      <c r="BN357" s="42"/>
      <c r="BO357" s="42"/>
      <c r="BP357" s="42"/>
      <c r="BQ357" s="42"/>
      <c r="BR357" s="42"/>
      <c r="BS357" s="42"/>
      <c r="BT357" s="42"/>
      <c r="BU357" s="42"/>
      <c r="BV357" s="42"/>
      <c r="BW357" s="42"/>
      <c r="BX357" s="42"/>
      <c r="BY357" s="42"/>
      <c r="BZ357" s="42"/>
      <c r="CA357" s="42"/>
      <c r="CB357" s="42"/>
      <c r="CC357" s="42"/>
      <c r="CD357" s="42"/>
      <c r="CE357" s="42"/>
      <c r="CF357" s="42"/>
      <c r="CG357" s="42"/>
      <c r="CH357" s="42"/>
      <c r="CS357" s="29"/>
      <c r="CT357" s="29"/>
      <c r="CU357" s="29"/>
      <c r="CV357" s="522"/>
      <c r="CW357" s="522"/>
      <c r="CX357" s="211"/>
      <c r="CY357" s="211"/>
      <c r="CZ357" s="211"/>
      <c r="DA357" s="211"/>
      <c r="DB357" s="211"/>
      <c r="DC357" s="211"/>
      <c r="DD357" s="211"/>
      <c r="DE357" s="211"/>
      <c r="DF357" s="60"/>
      <c r="DG357" s="60"/>
      <c r="DH357" s="60"/>
      <c r="DI357" s="60"/>
      <c r="DJ357" s="60"/>
    </row>
    <row r="358" spans="3:114" s="25" customFormat="1">
      <c r="C358" s="24"/>
      <c r="D358" s="24"/>
      <c r="G358" s="57"/>
      <c r="H358" s="57"/>
      <c r="I358" s="57"/>
      <c r="J358" s="57"/>
      <c r="K358" s="57"/>
      <c r="L358" s="57"/>
      <c r="M358" s="57"/>
      <c r="N358" s="57"/>
      <c r="O358" s="57"/>
      <c r="P358" s="57"/>
      <c r="Q358" s="57"/>
      <c r="R358" s="57"/>
      <c r="S358" s="57"/>
      <c r="T358" s="559"/>
      <c r="U358" s="29"/>
      <c r="V358" s="29"/>
      <c r="AJ358" s="1215"/>
      <c r="AK358" s="11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42"/>
      <c r="BU358" s="42"/>
      <c r="BV358" s="42"/>
      <c r="BW358" s="42"/>
      <c r="BX358" s="42"/>
      <c r="BY358" s="42"/>
      <c r="BZ358" s="42"/>
      <c r="CA358" s="42"/>
      <c r="CB358" s="42"/>
      <c r="CC358" s="42"/>
      <c r="CD358" s="42"/>
      <c r="CE358" s="42"/>
      <c r="CF358" s="42"/>
      <c r="CG358" s="42"/>
      <c r="CH358" s="42"/>
      <c r="CS358" s="29"/>
      <c r="CT358" s="29"/>
      <c r="CU358" s="29"/>
      <c r="CV358" s="522"/>
      <c r="CW358" s="522"/>
      <c r="CX358" s="211"/>
      <c r="CY358" s="211"/>
      <c r="CZ358" s="211"/>
      <c r="DA358" s="211"/>
      <c r="DB358" s="211"/>
      <c r="DC358" s="211"/>
      <c r="DD358" s="211"/>
      <c r="DE358" s="211"/>
      <c r="DF358" s="60"/>
      <c r="DG358" s="60"/>
      <c r="DH358" s="60"/>
      <c r="DI358" s="60"/>
      <c r="DJ358" s="60"/>
    </row>
    <row r="359" spans="3:114" s="25" customFormat="1">
      <c r="C359" s="24"/>
      <c r="D359" s="24"/>
      <c r="G359" s="57"/>
      <c r="H359" s="57"/>
      <c r="I359" s="57"/>
      <c r="J359" s="57"/>
      <c r="K359" s="57"/>
      <c r="L359" s="57"/>
      <c r="M359" s="57"/>
      <c r="N359" s="57"/>
      <c r="O359" s="57"/>
      <c r="P359" s="57"/>
      <c r="Q359" s="57"/>
      <c r="R359" s="57"/>
      <c r="S359" s="57"/>
      <c r="T359" s="559"/>
      <c r="U359" s="29"/>
      <c r="V359" s="29"/>
      <c r="AJ359" s="1215"/>
      <c r="AK359" s="11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42"/>
      <c r="BU359" s="42"/>
      <c r="BV359" s="42"/>
      <c r="BW359" s="42"/>
      <c r="BX359" s="42"/>
      <c r="BY359" s="42"/>
      <c r="BZ359" s="42"/>
      <c r="CA359" s="42"/>
      <c r="CB359" s="42"/>
      <c r="CC359" s="42"/>
      <c r="CD359" s="42"/>
      <c r="CE359" s="42"/>
      <c r="CF359" s="42"/>
      <c r="CG359" s="42"/>
      <c r="CH359" s="42"/>
      <c r="CS359" s="29"/>
      <c r="CT359" s="29"/>
      <c r="CU359" s="29"/>
      <c r="CV359" s="522"/>
      <c r="CW359" s="522"/>
      <c r="CX359" s="211"/>
      <c r="CY359" s="211"/>
      <c r="CZ359" s="211"/>
      <c r="DA359" s="211"/>
      <c r="DB359" s="211"/>
      <c r="DC359" s="211"/>
      <c r="DD359" s="211"/>
      <c r="DE359" s="211"/>
      <c r="DF359" s="60"/>
      <c r="DG359" s="60"/>
      <c r="DH359" s="60"/>
      <c r="DI359" s="60"/>
      <c r="DJ359" s="60"/>
    </row>
    <row r="360" spans="3:114" s="25" customFormat="1">
      <c r="C360" s="24"/>
      <c r="D360" s="24"/>
      <c r="G360" s="57"/>
      <c r="H360" s="57"/>
      <c r="I360" s="57"/>
      <c r="J360" s="57"/>
      <c r="K360" s="57"/>
      <c r="L360" s="57"/>
      <c r="M360" s="57"/>
      <c r="N360" s="57"/>
      <c r="O360" s="57"/>
      <c r="P360" s="57"/>
      <c r="Q360" s="57"/>
      <c r="R360" s="57"/>
      <c r="S360" s="57"/>
      <c r="T360" s="559"/>
      <c r="U360" s="29"/>
      <c r="V360" s="29"/>
      <c r="AJ360" s="1215"/>
      <c r="AK360" s="1142"/>
      <c r="AM360" s="42"/>
      <c r="AN360" s="42"/>
      <c r="AO360" s="42"/>
      <c r="AP360" s="42"/>
      <c r="AQ360" s="42"/>
      <c r="AR360" s="42"/>
      <c r="AS360" s="42"/>
      <c r="AT360" s="42"/>
      <c r="AU360" s="42"/>
      <c r="AV360" s="42"/>
      <c r="AW360" s="42"/>
      <c r="AX360" s="42"/>
      <c r="AY360" s="42"/>
      <c r="AZ360" s="42"/>
      <c r="BA360" s="42"/>
      <c r="BB360" s="42"/>
      <c r="BC360" s="42"/>
      <c r="BD360" s="42"/>
      <c r="BE360" s="42"/>
      <c r="BF360" s="42"/>
      <c r="BG360" s="42"/>
      <c r="BH360" s="42"/>
      <c r="BI360" s="42"/>
      <c r="BJ360" s="42"/>
      <c r="BK360" s="42"/>
      <c r="BL360" s="42"/>
      <c r="BM360" s="42"/>
      <c r="BN360" s="42"/>
      <c r="BO360" s="42"/>
      <c r="BP360" s="42"/>
      <c r="BQ360" s="42"/>
      <c r="BR360" s="42"/>
      <c r="BS360" s="42"/>
      <c r="BT360" s="42"/>
      <c r="BU360" s="42"/>
      <c r="BV360" s="42"/>
      <c r="BW360" s="42"/>
      <c r="BX360" s="42"/>
      <c r="BY360" s="42"/>
      <c r="BZ360" s="42"/>
      <c r="CA360" s="42"/>
      <c r="CB360" s="42"/>
      <c r="CC360" s="42"/>
      <c r="CD360" s="42"/>
      <c r="CE360" s="42"/>
      <c r="CF360" s="42"/>
      <c r="CG360" s="42"/>
      <c r="CH360" s="42"/>
      <c r="CS360" s="29"/>
      <c r="CT360" s="29"/>
      <c r="CU360" s="29"/>
      <c r="CV360" s="522"/>
      <c r="CW360" s="522"/>
      <c r="CX360" s="211"/>
      <c r="CY360" s="211"/>
      <c r="CZ360" s="211"/>
      <c r="DA360" s="211"/>
      <c r="DB360" s="211"/>
      <c r="DC360" s="211"/>
      <c r="DD360" s="211"/>
      <c r="DE360" s="211"/>
      <c r="DF360" s="60"/>
      <c r="DG360" s="60"/>
      <c r="DH360" s="60"/>
      <c r="DI360" s="60"/>
      <c r="DJ360" s="60"/>
    </row>
    <row r="361" spans="3:114" s="25" customFormat="1">
      <c r="C361" s="24"/>
      <c r="D361" s="24"/>
      <c r="G361" s="57"/>
      <c r="H361" s="57"/>
      <c r="I361" s="57"/>
      <c r="J361" s="57"/>
      <c r="K361" s="57"/>
      <c r="L361" s="57"/>
      <c r="M361" s="57"/>
      <c r="N361" s="57"/>
      <c r="O361" s="57"/>
      <c r="P361" s="57"/>
      <c r="Q361" s="57"/>
      <c r="R361" s="57"/>
      <c r="S361" s="57"/>
      <c r="T361" s="559"/>
      <c r="U361" s="29"/>
      <c r="V361" s="29"/>
      <c r="AJ361" s="1215"/>
      <c r="AK361" s="1142"/>
      <c r="AM361" s="42"/>
      <c r="AN361" s="42"/>
      <c r="AO361" s="42"/>
      <c r="AP361" s="42"/>
      <c r="AQ361" s="42"/>
      <c r="AR361" s="42"/>
      <c r="AS361" s="42"/>
      <c r="AT361" s="42"/>
      <c r="AU361" s="42"/>
      <c r="AV361" s="42"/>
      <c r="AW361" s="42"/>
      <c r="AX361" s="42"/>
      <c r="AY361" s="42"/>
      <c r="AZ361" s="42"/>
      <c r="BA361" s="42"/>
      <c r="BB361" s="42"/>
      <c r="BC361" s="42"/>
      <c r="BD361" s="42"/>
      <c r="BE361" s="42"/>
      <c r="BF361" s="42"/>
      <c r="BG361" s="42"/>
      <c r="BH361" s="42"/>
      <c r="BI361" s="42"/>
      <c r="BJ361" s="42"/>
      <c r="BK361" s="42"/>
      <c r="BL361" s="42"/>
      <c r="BM361" s="42"/>
      <c r="BN361" s="42"/>
      <c r="BO361" s="42"/>
      <c r="BP361" s="42"/>
      <c r="BQ361" s="42"/>
      <c r="BR361" s="42"/>
      <c r="BS361" s="42"/>
      <c r="BT361" s="42"/>
      <c r="BU361" s="42"/>
      <c r="BV361" s="42"/>
      <c r="BW361" s="42"/>
      <c r="BX361" s="42"/>
      <c r="BY361" s="42"/>
      <c r="BZ361" s="42"/>
      <c r="CA361" s="42"/>
      <c r="CB361" s="42"/>
      <c r="CC361" s="42"/>
      <c r="CD361" s="42"/>
      <c r="CE361" s="42"/>
      <c r="CF361" s="42"/>
      <c r="CG361" s="42"/>
      <c r="CH361" s="42"/>
      <c r="CS361" s="29"/>
      <c r="CT361" s="29"/>
      <c r="CU361" s="29"/>
      <c r="CV361" s="522"/>
      <c r="CW361" s="522"/>
      <c r="CX361" s="211"/>
      <c r="CY361" s="211"/>
      <c r="CZ361" s="211"/>
      <c r="DA361" s="211"/>
      <c r="DB361" s="211"/>
      <c r="DC361" s="211"/>
      <c r="DD361" s="211"/>
      <c r="DE361" s="211"/>
      <c r="DF361" s="60"/>
      <c r="DG361" s="60"/>
      <c r="DH361" s="60"/>
      <c r="DI361" s="60"/>
      <c r="DJ361" s="60"/>
    </row>
    <row r="362" spans="3:114" s="25" customFormat="1">
      <c r="C362" s="24"/>
      <c r="D362" s="24"/>
      <c r="G362" s="57"/>
      <c r="H362" s="57"/>
      <c r="I362" s="57"/>
      <c r="J362" s="57"/>
      <c r="K362" s="57"/>
      <c r="L362" s="57"/>
      <c r="M362" s="57"/>
      <c r="N362" s="57"/>
      <c r="O362" s="57"/>
      <c r="P362" s="57"/>
      <c r="Q362" s="57"/>
      <c r="R362" s="57"/>
      <c r="S362" s="57"/>
      <c r="T362" s="559"/>
      <c r="U362" s="29"/>
      <c r="V362" s="29"/>
      <c r="AJ362" s="1215"/>
      <c r="AK362" s="1142"/>
      <c r="AM362" s="42"/>
      <c r="AN362" s="42"/>
      <c r="AO362" s="42"/>
      <c r="AP362" s="42"/>
      <c r="AQ362" s="42"/>
      <c r="AR362" s="42"/>
      <c r="AS362" s="42"/>
      <c r="AT362" s="42"/>
      <c r="AU362" s="42"/>
      <c r="AV362" s="42"/>
      <c r="AW362" s="42"/>
      <c r="AX362" s="42"/>
      <c r="AY362" s="42"/>
      <c r="AZ362" s="42"/>
      <c r="BA362" s="42"/>
      <c r="BB362" s="42"/>
      <c r="BC362" s="42"/>
      <c r="BD362" s="42"/>
      <c r="BE362" s="42"/>
      <c r="BF362" s="42"/>
      <c r="BG362" s="42"/>
      <c r="BH362" s="42"/>
      <c r="BI362" s="42"/>
      <c r="BJ362" s="42"/>
      <c r="BK362" s="42"/>
      <c r="BL362" s="42"/>
      <c r="BM362" s="42"/>
      <c r="BN362" s="42"/>
      <c r="BO362" s="42"/>
      <c r="BP362" s="42"/>
      <c r="BQ362" s="42"/>
      <c r="BR362" s="42"/>
      <c r="BS362" s="42"/>
      <c r="BT362" s="42"/>
      <c r="BU362" s="42"/>
      <c r="BV362" s="42"/>
      <c r="BW362" s="42"/>
      <c r="BX362" s="42"/>
      <c r="BY362" s="42"/>
      <c r="BZ362" s="42"/>
      <c r="CA362" s="42"/>
      <c r="CB362" s="42"/>
      <c r="CC362" s="42"/>
      <c r="CD362" s="42"/>
      <c r="CE362" s="42"/>
      <c r="CF362" s="42"/>
      <c r="CG362" s="42"/>
      <c r="CH362" s="42"/>
      <c r="CS362" s="29"/>
      <c r="CT362" s="29"/>
      <c r="CU362" s="29"/>
      <c r="CV362" s="522"/>
      <c r="CW362" s="522"/>
      <c r="CX362" s="211"/>
      <c r="CY362" s="211"/>
      <c r="CZ362" s="211"/>
      <c r="DA362" s="211"/>
      <c r="DB362" s="211"/>
      <c r="DC362" s="211"/>
      <c r="DD362" s="211"/>
      <c r="DE362" s="211"/>
      <c r="DF362" s="60"/>
      <c r="DG362" s="60"/>
      <c r="DH362" s="60"/>
      <c r="DI362" s="60"/>
      <c r="DJ362" s="60"/>
    </row>
    <row r="363" spans="3:114" s="25" customFormat="1">
      <c r="C363" s="24"/>
      <c r="D363" s="24"/>
      <c r="G363" s="57"/>
      <c r="H363" s="57"/>
      <c r="I363" s="57"/>
      <c r="J363" s="57"/>
      <c r="K363" s="57"/>
      <c r="L363" s="57"/>
      <c r="M363" s="57"/>
      <c r="N363" s="57"/>
      <c r="O363" s="57"/>
      <c r="P363" s="57"/>
      <c r="Q363" s="57"/>
      <c r="R363" s="57"/>
      <c r="S363" s="57"/>
      <c r="T363" s="559"/>
      <c r="U363" s="29"/>
      <c r="V363" s="29"/>
      <c r="AJ363" s="1215"/>
      <c r="AK363" s="1142"/>
      <c r="AM363" s="42"/>
      <c r="AN363" s="42"/>
      <c r="AO363" s="42"/>
      <c r="AP363" s="42"/>
      <c r="AQ363" s="42"/>
      <c r="AR363" s="42"/>
      <c r="AS363" s="42"/>
      <c r="AT363" s="42"/>
      <c r="AU363" s="42"/>
      <c r="AV363" s="42"/>
      <c r="AW363" s="42"/>
      <c r="AX363" s="42"/>
      <c r="AY363" s="42"/>
      <c r="AZ363" s="42"/>
      <c r="BA363" s="42"/>
      <c r="BB363" s="42"/>
      <c r="BC363" s="42"/>
      <c r="BD363" s="42"/>
      <c r="BE363" s="42"/>
      <c r="BF363" s="42"/>
      <c r="BG363" s="42"/>
      <c r="BH363" s="42"/>
      <c r="BI363" s="42"/>
      <c r="BJ363" s="42"/>
      <c r="BK363" s="42"/>
      <c r="BL363" s="42"/>
      <c r="BM363" s="42"/>
      <c r="BN363" s="42"/>
      <c r="BO363" s="42"/>
      <c r="BP363" s="42"/>
      <c r="BQ363" s="42"/>
      <c r="BR363" s="42"/>
      <c r="BS363" s="42"/>
      <c r="BT363" s="42"/>
      <c r="BU363" s="42"/>
      <c r="BV363" s="42"/>
      <c r="BW363" s="42"/>
      <c r="BX363" s="42"/>
      <c r="BY363" s="42"/>
      <c r="BZ363" s="42"/>
      <c r="CA363" s="42"/>
      <c r="CB363" s="42"/>
      <c r="CC363" s="42"/>
      <c r="CD363" s="42"/>
      <c r="CE363" s="42"/>
      <c r="CF363" s="42"/>
      <c r="CG363" s="42"/>
      <c r="CH363" s="42"/>
      <c r="CS363" s="29"/>
      <c r="CT363" s="29"/>
      <c r="CU363" s="29"/>
      <c r="CV363" s="522"/>
      <c r="CW363" s="522"/>
      <c r="CX363" s="211"/>
      <c r="CY363" s="211"/>
      <c r="CZ363" s="211"/>
      <c r="DA363" s="211"/>
      <c r="DB363" s="211"/>
      <c r="DC363" s="211"/>
      <c r="DD363" s="211"/>
      <c r="DE363" s="211"/>
      <c r="DF363" s="60"/>
      <c r="DG363" s="60"/>
      <c r="DH363" s="60"/>
      <c r="DI363" s="60"/>
      <c r="DJ363" s="60"/>
    </row>
    <row r="364" spans="3:114" s="25" customFormat="1">
      <c r="C364" s="24"/>
      <c r="D364" s="24"/>
      <c r="G364" s="57"/>
      <c r="H364" s="57"/>
      <c r="I364" s="57"/>
      <c r="J364" s="57"/>
      <c r="K364" s="57"/>
      <c r="L364" s="57"/>
      <c r="M364" s="57"/>
      <c r="N364" s="57"/>
      <c r="O364" s="57"/>
      <c r="P364" s="57"/>
      <c r="Q364" s="57"/>
      <c r="R364" s="57"/>
      <c r="S364" s="57"/>
      <c r="T364" s="559"/>
      <c r="U364" s="29"/>
      <c r="V364" s="29"/>
      <c r="AJ364" s="1215"/>
      <c r="AK364" s="1142"/>
      <c r="AM364" s="42"/>
      <c r="AN364" s="42"/>
      <c r="AO364" s="42"/>
      <c r="AP364" s="42"/>
      <c r="AQ364" s="42"/>
      <c r="AR364" s="42"/>
      <c r="AS364" s="42"/>
      <c r="AT364" s="42"/>
      <c r="AU364" s="42"/>
      <c r="AV364" s="42"/>
      <c r="AW364" s="42"/>
      <c r="AX364" s="42"/>
      <c r="AY364" s="42"/>
      <c r="AZ364" s="42"/>
      <c r="BA364" s="42"/>
      <c r="BB364" s="42"/>
      <c r="BC364" s="42"/>
      <c r="BD364" s="42"/>
      <c r="BE364" s="42"/>
      <c r="BF364" s="42"/>
      <c r="BG364" s="42"/>
      <c r="BH364" s="42"/>
      <c r="BI364" s="42"/>
      <c r="BJ364" s="42"/>
      <c r="BK364" s="42"/>
      <c r="BL364" s="42"/>
      <c r="BM364" s="42"/>
      <c r="BN364" s="42"/>
      <c r="BO364" s="42"/>
      <c r="BP364" s="42"/>
      <c r="BQ364" s="42"/>
      <c r="BR364" s="42"/>
      <c r="BS364" s="42"/>
      <c r="BT364" s="42"/>
      <c r="BU364" s="42"/>
      <c r="BV364" s="42"/>
      <c r="BW364" s="42"/>
      <c r="BX364" s="42"/>
      <c r="BY364" s="42"/>
      <c r="BZ364" s="42"/>
      <c r="CA364" s="42"/>
      <c r="CB364" s="42"/>
      <c r="CC364" s="42"/>
      <c r="CD364" s="42"/>
      <c r="CE364" s="42"/>
      <c r="CF364" s="42"/>
      <c r="CG364" s="42"/>
      <c r="CH364" s="42"/>
      <c r="CS364" s="29"/>
      <c r="CT364" s="29"/>
      <c r="CU364" s="29"/>
      <c r="CV364" s="522"/>
      <c r="CW364" s="522"/>
      <c r="CX364" s="211"/>
      <c r="CY364" s="211"/>
      <c r="CZ364" s="211"/>
      <c r="DA364" s="211"/>
      <c r="DB364" s="211"/>
      <c r="DC364" s="211"/>
      <c r="DD364" s="211"/>
      <c r="DE364" s="211"/>
      <c r="DF364" s="60"/>
      <c r="DG364" s="60"/>
      <c r="DH364" s="60"/>
      <c r="DI364" s="60"/>
      <c r="DJ364" s="60"/>
    </row>
    <row r="365" spans="3:114" s="25" customFormat="1">
      <c r="C365" s="24"/>
      <c r="D365" s="24"/>
      <c r="G365" s="57"/>
      <c r="H365" s="57"/>
      <c r="I365" s="57"/>
      <c r="J365" s="57"/>
      <c r="K365" s="57"/>
      <c r="L365" s="57"/>
      <c r="M365" s="57"/>
      <c r="N365" s="57"/>
      <c r="O365" s="57"/>
      <c r="P365" s="57"/>
      <c r="Q365" s="57"/>
      <c r="R365" s="57"/>
      <c r="S365" s="57"/>
      <c r="T365" s="559"/>
      <c r="U365" s="29"/>
      <c r="V365" s="29"/>
      <c r="AJ365" s="1215"/>
      <c r="AK365" s="1142"/>
      <c r="AM365" s="42"/>
      <c r="AN365" s="42"/>
      <c r="AO365" s="42"/>
      <c r="AP365" s="42"/>
      <c r="AQ365" s="42"/>
      <c r="AR365" s="42"/>
      <c r="AS365" s="42"/>
      <c r="AT365" s="42"/>
      <c r="AU365" s="42"/>
      <c r="AV365" s="42"/>
      <c r="AW365" s="42"/>
      <c r="AX365" s="42"/>
      <c r="AY365" s="42"/>
      <c r="AZ365" s="42"/>
      <c r="BA365" s="42"/>
      <c r="BB365" s="42"/>
      <c r="BC365" s="42"/>
      <c r="BD365" s="42"/>
      <c r="BE365" s="42"/>
      <c r="BF365" s="42"/>
      <c r="BG365" s="42"/>
      <c r="BH365" s="42"/>
      <c r="BI365" s="42"/>
      <c r="BJ365" s="42"/>
      <c r="BK365" s="42"/>
      <c r="BL365" s="42"/>
      <c r="BM365" s="42"/>
      <c r="BN365" s="42"/>
      <c r="BO365" s="42"/>
      <c r="BP365" s="42"/>
      <c r="BQ365" s="42"/>
      <c r="BR365" s="42"/>
      <c r="BS365" s="42"/>
      <c r="BT365" s="42"/>
      <c r="BU365" s="42"/>
      <c r="BV365" s="42"/>
      <c r="BW365" s="42"/>
      <c r="BX365" s="42"/>
      <c r="BY365" s="42"/>
      <c r="BZ365" s="42"/>
      <c r="CA365" s="42"/>
      <c r="CB365" s="42"/>
      <c r="CC365" s="42"/>
      <c r="CD365" s="42"/>
      <c r="CE365" s="42"/>
      <c r="CF365" s="42"/>
      <c r="CG365" s="42"/>
      <c r="CH365" s="42"/>
      <c r="CS365" s="29"/>
      <c r="CT365" s="29"/>
      <c r="CU365" s="29"/>
      <c r="CV365" s="522"/>
      <c r="CW365" s="522"/>
      <c r="CX365" s="211"/>
      <c r="CY365" s="211"/>
      <c r="CZ365" s="211"/>
      <c r="DA365" s="211"/>
      <c r="DB365" s="211"/>
      <c r="DC365" s="211"/>
      <c r="DD365" s="211"/>
      <c r="DE365" s="211"/>
      <c r="DF365" s="60"/>
      <c r="DG365" s="60"/>
      <c r="DH365" s="60"/>
      <c r="DI365" s="60"/>
      <c r="DJ365" s="60"/>
    </row>
    <row r="366" spans="3:114" s="25" customFormat="1">
      <c r="C366" s="24"/>
      <c r="D366" s="24"/>
      <c r="G366" s="57"/>
      <c r="H366" s="57"/>
      <c r="I366" s="57"/>
      <c r="J366" s="57"/>
      <c r="K366" s="57"/>
      <c r="L366" s="57"/>
      <c r="M366" s="57"/>
      <c r="N366" s="57"/>
      <c r="O366" s="57"/>
      <c r="P366" s="57"/>
      <c r="Q366" s="57"/>
      <c r="R366" s="57"/>
      <c r="S366" s="57"/>
      <c r="T366" s="559"/>
      <c r="U366" s="29"/>
      <c r="V366" s="29"/>
      <c r="AJ366" s="1215"/>
      <c r="AK366" s="1142"/>
      <c r="AM366" s="42"/>
      <c r="AN366" s="42"/>
      <c r="AO366" s="42"/>
      <c r="AP366" s="42"/>
      <c r="AQ366" s="42"/>
      <c r="AR366" s="42"/>
      <c r="AS366" s="42"/>
      <c r="AT366" s="42"/>
      <c r="AU366" s="42"/>
      <c r="AV366" s="42"/>
      <c r="AW366" s="42"/>
      <c r="AX366" s="42"/>
      <c r="AY366" s="42"/>
      <c r="AZ366" s="42"/>
      <c r="BA366" s="42"/>
      <c r="BB366" s="42"/>
      <c r="BC366" s="42"/>
      <c r="BD366" s="42"/>
      <c r="BE366" s="42"/>
      <c r="BF366" s="42"/>
      <c r="BG366" s="42"/>
      <c r="BH366" s="42"/>
      <c r="BI366" s="42"/>
      <c r="BJ366" s="42"/>
      <c r="BK366" s="42"/>
      <c r="BL366" s="42"/>
      <c r="BM366" s="42"/>
      <c r="BN366" s="42"/>
      <c r="BO366" s="42"/>
      <c r="BP366" s="42"/>
      <c r="BQ366" s="42"/>
      <c r="BR366" s="42"/>
      <c r="BS366" s="42"/>
      <c r="BT366" s="42"/>
      <c r="BU366" s="42"/>
      <c r="BV366" s="42"/>
      <c r="BW366" s="42"/>
      <c r="BX366" s="42"/>
      <c r="BY366" s="42"/>
      <c r="BZ366" s="42"/>
      <c r="CA366" s="42"/>
      <c r="CB366" s="42"/>
      <c r="CC366" s="42"/>
      <c r="CD366" s="42"/>
      <c r="CE366" s="42"/>
      <c r="CF366" s="42"/>
      <c r="CG366" s="42"/>
      <c r="CH366" s="42"/>
      <c r="CS366" s="29"/>
      <c r="CT366" s="29"/>
      <c r="CU366" s="29"/>
      <c r="CV366" s="522"/>
      <c r="CW366" s="522"/>
      <c r="CX366" s="211"/>
      <c r="CY366" s="211"/>
      <c r="CZ366" s="211"/>
      <c r="DA366" s="211"/>
      <c r="DB366" s="211"/>
      <c r="DC366" s="211"/>
      <c r="DD366" s="211"/>
      <c r="DE366" s="211"/>
      <c r="DF366" s="60"/>
      <c r="DG366" s="60"/>
      <c r="DH366" s="60"/>
      <c r="DI366" s="60"/>
      <c r="DJ366" s="60"/>
    </row>
    <row r="367" spans="3:114" s="25" customFormat="1">
      <c r="C367" s="24"/>
      <c r="D367" s="24"/>
      <c r="G367" s="57"/>
      <c r="H367" s="57"/>
      <c r="I367" s="57"/>
      <c r="J367" s="57"/>
      <c r="K367" s="57"/>
      <c r="L367" s="57"/>
      <c r="M367" s="57"/>
      <c r="N367" s="57"/>
      <c r="O367" s="57"/>
      <c r="P367" s="57"/>
      <c r="Q367" s="57"/>
      <c r="R367" s="57"/>
      <c r="S367" s="57"/>
      <c r="T367" s="559"/>
      <c r="U367" s="29"/>
      <c r="V367" s="29"/>
      <c r="AJ367" s="1215"/>
      <c r="AK367" s="1142"/>
      <c r="AM367" s="42"/>
      <c r="AN367" s="42"/>
      <c r="AO367" s="42"/>
      <c r="AP367" s="42"/>
      <c r="AQ367" s="42"/>
      <c r="AR367" s="42"/>
      <c r="AS367" s="42"/>
      <c r="AT367" s="42"/>
      <c r="AU367" s="42"/>
      <c r="AV367" s="42"/>
      <c r="AW367" s="42"/>
      <c r="AX367" s="42"/>
      <c r="AY367" s="42"/>
      <c r="AZ367" s="42"/>
      <c r="BA367" s="42"/>
      <c r="BB367" s="42"/>
      <c r="BC367" s="42"/>
      <c r="BD367" s="42"/>
      <c r="BE367" s="42"/>
      <c r="BF367" s="42"/>
      <c r="BG367" s="42"/>
      <c r="BH367" s="42"/>
      <c r="BI367" s="42"/>
      <c r="BJ367" s="42"/>
      <c r="BK367" s="42"/>
      <c r="BL367" s="42"/>
      <c r="BM367" s="42"/>
      <c r="BN367" s="42"/>
      <c r="BO367" s="42"/>
      <c r="BP367" s="42"/>
      <c r="BQ367" s="42"/>
      <c r="BR367" s="42"/>
      <c r="BS367" s="42"/>
      <c r="BT367" s="42"/>
      <c r="BU367" s="42"/>
      <c r="BV367" s="42"/>
      <c r="BW367" s="42"/>
      <c r="BX367" s="42"/>
      <c r="BY367" s="42"/>
      <c r="BZ367" s="42"/>
      <c r="CA367" s="42"/>
      <c r="CB367" s="42"/>
      <c r="CC367" s="42"/>
      <c r="CD367" s="42"/>
      <c r="CE367" s="42"/>
      <c r="CF367" s="42"/>
      <c r="CG367" s="42"/>
      <c r="CH367" s="42"/>
      <c r="CS367" s="29"/>
      <c r="CT367" s="29"/>
      <c r="CU367" s="29"/>
      <c r="CV367" s="522"/>
      <c r="CW367" s="522"/>
      <c r="CX367" s="211"/>
      <c r="CY367" s="211"/>
      <c r="CZ367" s="211"/>
      <c r="DA367" s="211"/>
      <c r="DB367" s="211"/>
      <c r="DC367" s="211"/>
      <c r="DD367" s="211"/>
      <c r="DE367" s="211"/>
      <c r="DF367" s="60"/>
      <c r="DG367" s="60"/>
      <c r="DH367" s="60"/>
      <c r="DI367" s="60"/>
      <c r="DJ367" s="60"/>
    </row>
    <row r="368" spans="3:114" s="25" customFormat="1">
      <c r="C368" s="24"/>
      <c r="D368" s="24"/>
      <c r="G368" s="57"/>
      <c r="H368" s="57"/>
      <c r="I368" s="57"/>
      <c r="J368" s="57"/>
      <c r="K368" s="57"/>
      <c r="L368" s="57"/>
      <c r="M368" s="57"/>
      <c r="N368" s="57"/>
      <c r="O368" s="57"/>
      <c r="P368" s="57"/>
      <c r="Q368" s="57"/>
      <c r="R368" s="57"/>
      <c r="S368" s="57"/>
      <c r="T368" s="559"/>
      <c r="U368" s="29"/>
      <c r="V368" s="29"/>
      <c r="AJ368" s="1215"/>
      <c r="AK368" s="1142"/>
      <c r="AM368" s="42"/>
      <c r="AN368" s="42"/>
      <c r="AO368" s="42"/>
      <c r="AP368" s="42"/>
      <c r="AQ368" s="42"/>
      <c r="AR368" s="42"/>
      <c r="AS368" s="42"/>
      <c r="AT368" s="42"/>
      <c r="AU368" s="42"/>
      <c r="AV368" s="42"/>
      <c r="AW368" s="42"/>
      <c r="AX368" s="42"/>
      <c r="AY368" s="42"/>
      <c r="AZ368" s="42"/>
      <c r="BA368" s="42"/>
      <c r="BB368" s="42"/>
      <c r="BC368" s="42"/>
      <c r="BD368" s="42"/>
      <c r="BE368" s="42"/>
      <c r="BF368" s="42"/>
      <c r="BG368" s="42"/>
      <c r="BH368" s="42"/>
      <c r="BI368" s="42"/>
      <c r="BJ368" s="42"/>
      <c r="BK368" s="42"/>
      <c r="BL368" s="42"/>
      <c r="BM368" s="42"/>
      <c r="BN368" s="42"/>
      <c r="BO368" s="42"/>
      <c r="BP368" s="42"/>
      <c r="BQ368" s="42"/>
      <c r="BR368" s="42"/>
      <c r="BS368" s="42"/>
      <c r="BT368" s="42"/>
      <c r="BU368" s="42"/>
      <c r="BV368" s="42"/>
      <c r="BW368" s="42"/>
      <c r="BX368" s="42"/>
      <c r="BY368" s="42"/>
      <c r="BZ368" s="42"/>
      <c r="CA368" s="42"/>
      <c r="CB368" s="42"/>
      <c r="CC368" s="42"/>
      <c r="CD368" s="42"/>
      <c r="CE368" s="42"/>
      <c r="CF368" s="42"/>
      <c r="CG368" s="42"/>
      <c r="CH368" s="42"/>
      <c r="CS368" s="29"/>
      <c r="CT368" s="29"/>
      <c r="CU368" s="29"/>
      <c r="CV368" s="522"/>
      <c r="CW368" s="522"/>
      <c r="CX368" s="211"/>
      <c r="CY368" s="211"/>
      <c r="CZ368" s="211"/>
      <c r="DA368" s="211"/>
      <c r="DB368" s="211"/>
      <c r="DC368" s="211"/>
      <c r="DD368" s="211"/>
      <c r="DE368" s="211"/>
      <c r="DF368" s="60"/>
      <c r="DG368" s="60"/>
      <c r="DH368" s="60"/>
      <c r="DI368" s="60"/>
      <c r="DJ368" s="60"/>
    </row>
    <row r="369" spans="3:114" s="25" customFormat="1">
      <c r="C369" s="24"/>
      <c r="D369" s="24"/>
      <c r="G369" s="57"/>
      <c r="H369" s="57"/>
      <c r="I369" s="57"/>
      <c r="J369" s="57"/>
      <c r="K369" s="57"/>
      <c r="L369" s="57"/>
      <c r="M369" s="57"/>
      <c r="N369" s="57"/>
      <c r="O369" s="57"/>
      <c r="P369" s="57"/>
      <c r="Q369" s="57"/>
      <c r="R369" s="57"/>
      <c r="S369" s="57"/>
      <c r="T369" s="559"/>
      <c r="U369" s="29"/>
      <c r="V369" s="29"/>
      <c r="AJ369" s="1215"/>
      <c r="AK369" s="1142"/>
      <c r="AM369" s="42"/>
      <c r="AN369" s="42"/>
      <c r="AO369" s="42"/>
      <c r="AP369" s="42"/>
      <c r="AQ369" s="42"/>
      <c r="AR369" s="42"/>
      <c r="AS369" s="42"/>
      <c r="AT369" s="42"/>
      <c r="AU369" s="42"/>
      <c r="AV369" s="42"/>
      <c r="AW369" s="42"/>
      <c r="AX369" s="42"/>
      <c r="AY369" s="42"/>
      <c r="AZ369" s="42"/>
      <c r="BA369" s="42"/>
      <c r="BB369" s="42"/>
      <c r="BC369" s="42"/>
      <c r="BD369" s="42"/>
      <c r="BE369" s="42"/>
      <c r="BF369" s="42"/>
      <c r="BG369" s="42"/>
      <c r="BH369" s="42"/>
      <c r="BI369" s="42"/>
      <c r="BJ369" s="42"/>
      <c r="BK369" s="42"/>
      <c r="BL369" s="42"/>
      <c r="BM369" s="42"/>
      <c r="BN369" s="42"/>
      <c r="BO369" s="42"/>
      <c r="BP369" s="42"/>
      <c r="BQ369" s="42"/>
      <c r="BR369" s="42"/>
      <c r="BS369" s="42"/>
      <c r="BT369" s="42"/>
      <c r="BU369" s="42"/>
      <c r="BV369" s="42"/>
      <c r="BW369" s="42"/>
      <c r="BX369" s="42"/>
      <c r="BY369" s="42"/>
      <c r="BZ369" s="42"/>
      <c r="CA369" s="42"/>
      <c r="CB369" s="42"/>
      <c r="CC369" s="42"/>
      <c r="CD369" s="42"/>
      <c r="CE369" s="42"/>
      <c r="CF369" s="42"/>
      <c r="CG369" s="42"/>
      <c r="CH369" s="42"/>
      <c r="CS369" s="29"/>
      <c r="CT369" s="29"/>
      <c r="CU369" s="29"/>
      <c r="CV369" s="522"/>
      <c r="CW369" s="522"/>
      <c r="CX369" s="211"/>
      <c r="CY369" s="211"/>
      <c r="CZ369" s="211"/>
      <c r="DA369" s="211"/>
      <c r="DB369" s="211"/>
      <c r="DC369" s="211"/>
      <c r="DD369" s="211"/>
      <c r="DE369" s="211"/>
      <c r="DF369" s="60"/>
      <c r="DG369" s="60"/>
      <c r="DH369" s="60"/>
      <c r="DI369" s="60"/>
      <c r="DJ369" s="60"/>
    </row>
    <row r="370" spans="3:114" s="25" customFormat="1">
      <c r="C370" s="24"/>
      <c r="D370" s="24"/>
      <c r="G370" s="57"/>
      <c r="H370" s="57"/>
      <c r="I370" s="57"/>
      <c r="J370" s="57"/>
      <c r="K370" s="57"/>
      <c r="L370" s="57"/>
      <c r="M370" s="57"/>
      <c r="N370" s="57"/>
      <c r="O370" s="57"/>
      <c r="P370" s="57"/>
      <c r="Q370" s="57"/>
      <c r="R370" s="57"/>
      <c r="S370" s="57"/>
      <c r="T370" s="559"/>
      <c r="U370" s="29"/>
      <c r="V370" s="29"/>
      <c r="AJ370" s="1215"/>
      <c r="AK370" s="1142"/>
      <c r="AM370" s="42"/>
      <c r="AN370" s="42"/>
      <c r="AO370" s="42"/>
      <c r="AP370" s="42"/>
      <c r="AQ370" s="42"/>
      <c r="AR370" s="42"/>
      <c r="AS370" s="42"/>
      <c r="AT370" s="42"/>
      <c r="AU370" s="42"/>
      <c r="AV370" s="42"/>
      <c r="AW370" s="42"/>
      <c r="AX370" s="42"/>
      <c r="AY370" s="42"/>
      <c r="AZ370" s="42"/>
      <c r="BA370" s="42"/>
      <c r="BB370" s="42"/>
      <c r="BC370" s="42"/>
      <c r="BD370" s="42"/>
      <c r="BE370" s="42"/>
      <c r="BF370" s="42"/>
      <c r="BG370" s="42"/>
      <c r="BH370" s="42"/>
      <c r="BI370" s="42"/>
      <c r="BJ370" s="42"/>
      <c r="BK370" s="42"/>
      <c r="BL370" s="42"/>
      <c r="BM370" s="42"/>
      <c r="BN370" s="42"/>
      <c r="BO370" s="42"/>
      <c r="BP370" s="42"/>
      <c r="BQ370" s="42"/>
      <c r="BR370" s="42"/>
      <c r="BS370" s="42"/>
      <c r="BT370" s="42"/>
      <c r="BU370" s="42"/>
      <c r="BV370" s="42"/>
      <c r="BW370" s="42"/>
      <c r="BX370" s="42"/>
      <c r="BY370" s="42"/>
      <c r="BZ370" s="42"/>
      <c r="CA370" s="42"/>
      <c r="CB370" s="42"/>
      <c r="CC370" s="42"/>
      <c r="CD370" s="42"/>
      <c r="CE370" s="42"/>
      <c r="CF370" s="42"/>
      <c r="CG370" s="42"/>
      <c r="CH370" s="42"/>
      <c r="CS370" s="29"/>
      <c r="CT370" s="29"/>
      <c r="CU370" s="29"/>
      <c r="CV370" s="522"/>
      <c r="CW370" s="522"/>
      <c r="CX370" s="211"/>
      <c r="CY370" s="211"/>
      <c r="CZ370" s="211"/>
      <c r="DA370" s="211"/>
      <c r="DB370" s="211"/>
      <c r="DC370" s="211"/>
      <c r="DD370" s="211"/>
      <c r="DE370" s="211"/>
      <c r="DF370" s="60"/>
      <c r="DG370" s="60"/>
      <c r="DH370" s="60"/>
      <c r="DI370" s="60"/>
      <c r="DJ370" s="60"/>
    </row>
    <row r="371" spans="3:114" s="25" customFormat="1">
      <c r="C371" s="24"/>
      <c r="D371" s="24"/>
      <c r="G371" s="57"/>
      <c r="H371" s="57"/>
      <c r="I371" s="57"/>
      <c r="J371" s="57"/>
      <c r="K371" s="57"/>
      <c r="L371" s="57"/>
      <c r="M371" s="57"/>
      <c r="N371" s="57"/>
      <c r="O371" s="57"/>
      <c r="P371" s="57"/>
      <c r="Q371" s="57"/>
      <c r="R371" s="57"/>
      <c r="S371" s="57"/>
      <c r="T371" s="559"/>
      <c r="U371" s="29"/>
      <c r="V371" s="29"/>
      <c r="AJ371" s="1215"/>
      <c r="AK371" s="1142"/>
      <c r="AM371" s="42"/>
      <c r="AN371" s="42"/>
      <c r="AO371" s="42"/>
      <c r="AP371" s="42"/>
      <c r="AQ371" s="42"/>
      <c r="AR371" s="42"/>
      <c r="AS371" s="42"/>
      <c r="AT371" s="42"/>
      <c r="AU371" s="42"/>
      <c r="AV371" s="42"/>
      <c r="AW371" s="42"/>
      <c r="AX371" s="42"/>
      <c r="AY371" s="42"/>
      <c r="AZ371" s="42"/>
      <c r="BA371" s="42"/>
      <c r="BB371" s="42"/>
      <c r="BC371" s="42"/>
      <c r="BD371" s="42"/>
      <c r="BE371" s="42"/>
      <c r="BF371" s="42"/>
      <c r="BG371" s="42"/>
      <c r="BH371" s="42"/>
      <c r="BI371" s="42"/>
      <c r="BJ371" s="42"/>
      <c r="BK371" s="42"/>
      <c r="BL371" s="42"/>
      <c r="BM371" s="42"/>
      <c r="BN371" s="42"/>
      <c r="BO371" s="42"/>
      <c r="BP371" s="42"/>
      <c r="BQ371" s="42"/>
      <c r="BR371" s="42"/>
      <c r="BS371" s="42"/>
      <c r="BT371" s="42"/>
      <c r="BU371" s="42"/>
      <c r="BV371" s="42"/>
      <c r="BW371" s="42"/>
      <c r="BX371" s="42"/>
      <c r="BY371" s="42"/>
      <c r="BZ371" s="42"/>
      <c r="CA371" s="42"/>
      <c r="CB371" s="42"/>
      <c r="CC371" s="42"/>
      <c r="CD371" s="42"/>
      <c r="CE371" s="42"/>
      <c r="CF371" s="42"/>
      <c r="CG371" s="42"/>
      <c r="CH371" s="42"/>
      <c r="CS371" s="29"/>
      <c r="CT371" s="29"/>
      <c r="CU371" s="29"/>
      <c r="CV371" s="522"/>
      <c r="CW371" s="522"/>
      <c r="CX371" s="211"/>
      <c r="CY371" s="211"/>
      <c r="CZ371" s="211"/>
      <c r="DA371" s="211"/>
      <c r="DB371" s="211"/>
      <c r="DC371" s="211"/>
      <c r="DD371" s="211"/>
      <c r="DE371" s="211"/>
      <c r="DF371" s="60"/>
      <c r="DG371" s="60"/>
      <c r="DH371" s="60"/>
      <c r="DI371" s="60"/>
      <c r="DJ371" s="60"/>
    </row>
    <row r="372" spans="3:114" s="25" customFormat="1">
      <c r="C372" s="24"/>
      <c r="D372" s="24"/>
      <c r="G372" s="57"/>
      <c r="H372" s="57"/>
      <c r="I372" s="57"/>
      <c r="J372" s="57"/>
      <c r="K372" s="57"/>
      <c r="L372" s="57"/>
      <c r="M372" s="57"/>
      <c r="N372" s="57"/>
      <c r="O372" s="57"/>
      <c r="P372" s="57"/>
      <c r="Q372" s="57"/>
      <c r="R372" s="57"/>
      <c r="S372" s="57"/>
      <c r="T372" s="559"/>
      <c r="U372" s="29"/>
      <c r="V372" s="29"/>
      <c r="AJ372" s="1215"/>
      <c r="AK372" s="1142"/>
      <c r="AM372" s="42"/>
      <c r="AN372" s="42"/>
      <c r="AO372" s="42"/>
      <c r="AP372" s="42"/>
      <c r="AQ372" s="42"/>
      <c r="AR372" s="42"/>
      <c r="AS372" s="42"/>
      <c r="AT372" s="42"/>
      <c r="AU372" s="42"/>
      <c r="AV372" s="42"/>
      <c r="AW372" s="42"/>
      <c r="AX372" s="42"/>
      <c r="AY372" s="42"/>
      <c r="AZ372" s="42"/>
      <c r="BA372" s="42"/>
      <c r="BB372" s="42"/>
      <c r="BC372" s="42"/>
      <c r="BD372" s="42"/>
      <c r="BE372" s="42"/>
      <c r="BF372" s="42"/>
      <c r="BG372" s="42"/>
      <c r="BH372" s="42"/>
      <c r="BI372" s="42"/>
      <c r="BJ372" s="42"/>
      <c r="BK372" s="42"/>
      <c r="BL372" s="42"/>
      <c r="BM372" s="42"/>
      <c r="BN372" s="42"/>
      <c r="BO372" s="42"/>
      <c r="BP372" s="42"/>
      <c r="BQ372" s="42"/>
      <c r="BR372" s="42"/>
      <c r="BS372" s="42"/>
      <c r="BT372" s="42"/>
      <c r="BU372" s="42"/>
      <c r="BV372" s="42"/>
      <c r="BW372" s="42"/>
      <c r="BX372" s="42"/>
      <c r="BY372" s="42"/>
      <c r="BZ372" s="42"/>
      <c r="CA372" s="42"/>
      <c r="CB372" s="42"/>
      <c r="CC372" s="42"/>
      <c r="CD372" s="42"/>
      <c r="CE372" s="42"/>
      <c r="CF372" s="42"/>
      <c r="CG372" s="42"/>
      <c r="CH372" s="42"/>
      <c r="CS372" s="29"/>
      <c r="CT372" s="29"/>
      <c r="CU372" s="29"/>
      <c r="CV372" s="522"/>
      <c r="CW372" s="522"/>
      <c r="CX372" s="211"/>
      <c r="CY372" s="211"/>
      <c r="CZ372" s="211"/>
      <c r="DA372" s="211"/>
      <c r="DB372" s="211"/>
      <c r="DC372" s="211"/>
      <c r="DD372" s="211"/>
      <c r="DE372" s="211"/>
      <c r="DF372" s="60"/>
      <c r="DG372" s="60"/>
      <c r="DH372" s="60"/>
      <c r="DI372" s="60"/>
      <c r="DJ372" s="60"/>
    </row>
    <row r="373" spans="3:114" s="25" customFormat="1">
      <c r="C373" s="24"/>
      <c r="D373" s="24"/>
      <c r="G373" s="57"/>
      <c r="H373" s="57"/>
      <c r="I373" s="57"/>
      <c r="J373" s="57"/>
      <c r="K373" s="57"/>
      <c r="L373" s="57"/>
      <c r="M373" s="57"/>
      <c r="N373" s="57"/>
      <c r="O373" s="57"/>
      <c r="P373" s="57"/>
      <c r="Q373" s="57"/>
      <c r="R373" s="57"/>
      <c r="S373" s="57"/>
      <c r="T373" s="559"/>
      <c r="U373" s="29"/>
      <c r="V373" s="29"/>
      <c r="AJ373" s="1215"/>
      <c r="AK373" s="1142"/>
      <c r="AM373" s="42"/>
      <c r="AN373" s="42"/>
      <c r="AO373" s="42"/>
      <c r="AP373" s="42"/>
      <c r="AQ373" s="42"/>
      <c r="AR373" s="42"/>
      <c r="AS373" s="42"/>
      <c r="AT373" s="42"/>
      <c r="AU373" s="42"/>
      <c r="AV373" s="42"/>
      <c r="AW373" s="42"/>
      <c r="AX373" s="42"/>
      <c r="AY373" s="42"/>
      <c r="AZ373" s="42"/>
      <c r="BA373" s="42"/>
      <c r="BB373" s="42"/>
      <c r="BC373" s="42"/>
      <c r="BD373" s="42"/>
      <c r="BE373" s="42"/>
      <c r="BF373" s="42"/>
      <c r="BG373" s="42"/>
      <c r="BH373" s="42"/>
      <c r="BI373" s="42"/>
      <c r="BJ373" s="42"/>
      <c r="BK373" s="42"/>
      <c r="BL373" s="42"/>
      <c r="BM373" s="42"/>
      <c r="BN373" s="42"/>
      <c r="BO373" s="42"/>
      <c r="BP373" s="42"/>
      <c r="BQ373" s="42"/>
      <c r="BR373" s="42"/>
      <c r="BS373" s="42"/>
      <c r="BT373" s="42"/>
      <c r="BU373" s="42"/>
      <c r="BV373" s="42"/>
      <c r="BW373" s="42"/>
      <c r="BX373" s="42"/>
      <c r="BY373" s="42"/>
      <c r="BZ373" s="42"/>
      <c r="CA373" s="42"/>
      <c r="CB373" s="42"/>
      <c r="CC373" s="42"/>
      <c r="CD373" s="42"/>
      <c r="CE373" s="42"/>
      <c r="CF373" s="42"/>
      <c r="CG373" s="42"/>
      <c r="CH373" s="42"/>
      <c r="CS373" s="29"/>
      <c r="CT373" s="29"/>
      <c r="CU373" s="29"/>
      <c r="CV373" s="522"/>
      <c r="CW373" s="522"/>
      <c r="CX373" s="211"/>
      <c r="CY373" s="211"/>
      <c r="CZ373" s="211"/>
      <c r="DA373" s="211"/>
      <c r="DB373" s="211"/>
      <c r="DC373" s="211"/>
      <c r="DD373" s="211"/>
      <c r="DE373" s="211"/>
      <c r="DF373" s="60"/>
      <c r="DG373" s="60"/>
      <c r="DH373" s="60"/>
      <c r="DI373" s="60"/>
      <c r="DJ373" s="60"/>
    </row>
    <row r="374" spans="3:114" s="25" customFormat="1">
      <c r="C374" s="24"/>
      <c r="D374" s="24"/>
      <c r="G374" s="57"/>
      <c r="H374" s="57"/>
      <c r="I374" s="57"/>
      <c r="J374" s="57"/>
      <c r="K374" s="57"/>
      <c r="L374" s="57"/>
      <c r="M374" s="57"/>
      <c r="N374" s="57"/>
      <c r="O374" s="57"/>
      <c r="P374" s="57"/>
      <c r="Q374" s="57"/>
      <c r="R374" s="57"/>
      <c r="S374" s="57"/>
      <c r="T374" s="559"/>
      <c r="U374" s="29"/>
      <c r="V374" s="29"/>
      <c r="AJ374" s="1215"/>
      <c r="AK374" s="1142"/>
      <c r="AM374" s="42"/>
      <c r="AN374" s="42"/>
      <c r="AO374" s="42"/>
      <c r="AP374" s="42"/>
      <c r="AQ374" s="42"/>
      <c r="AR374" s="42"/>
      <c r="AS374" s="42"/>
      <c r="AT374" s="42"/>
      <c r="AU374" s="42"/>
      <c r="AV374" s="42"/>
      <c r="AW374" s="42"/>
      <c r="AX374" s="42"/>
      <c r="AY374" s="42"/>
      <c r="AZ374" s="42"/>
      <c r="BA374" s="42"/>
      <c r="BB374" s="42"/>
      <c r="BC374" s="42"/>
      <c r="BD374" s="42"/>
      <c r="BE374" s="42"/>
      <c r="BF374" s="42"/>
      <c r="BG374" s="42"/>
      <c r="BH374" s="42"/>
      <c r="BI374" s="42"/>
      <c r="BJ374" s="42"/>
      <c r="BK374" s="42"/>
      <c r="BL374" s="42"/>
      <c r="BM374" s="42"/>
      <c r="BN374" s="42"/>
      <c r="BO374" s="42"/>
      <c r="BP374" s="42"/>
      <c r="BQ374" s="42"/>
      <c r="BR374" s="42"/>
      <c r="BS374" s="42"/>
      <c r="BT374" s="42"/>
      <c r="BU374" s="42"/>
      <c r="BV374" s="42"/>
      <c r="BW374" s="42"/>
      <c r="BX374" s="42"/>
      <c r="BY374" s="42"/>
      <c r="BZ374" s="42"/>
      <c r="CA374" s="42"/>
      <c r="CB374" s="42"/>
      <c r="CC374" s="42"/>
      <c r="CD374" s="42"/>
      <c r="CE374" s="42"/>
      <c r="CF374" s="42"/>
      <c r="CG374" s="42"/>
      <c r="CH374" s="42"/>
      <c r="CS374" s="29"/>
      <c r="CT374" s="29"/>
      <c r="CU374" s="29"/>
      <c r="CV374" s="522"/>
      <c r="CW374" s="522"/>
      <c r="CX374" s="211"/>
      <c r="CY374" s="211"/>
      <c r="CZ374" s="211"/>
      <c r="DA374" s="211"/>
      <c r="DB374" s="211"/>
      <c r="DC374" s="211"/>
      <c r="DD374" s="211"/>
      <c r="DE374" s="211"/>
      <c r="DF374" s="60"/>
      <c r="DG374" s="60"/>
      <c r="DH374" s="60"/>
      <c r="DI374" s="60"/>
      <c r="DJ374" s="60"/>
    </row>
    <row r="375" spans="3:114" s="25" customFormat="1">
      <c r="C375" s="24"/>
      <c r="D375" s="24"/>
      <c r="G375" s="57"/>
      <c r="H375" s="57"/>
      <c r="I375" s="57"/>
      <c r="J375" s="57"/>
      <c r="K375" s="57"/>
      <c r="L375" s="57"/>
      <c r="M375" s="57"/>
      <c r="N375" s="57"/>
      <c r="O375" s="57"/>
      <c r="P375" s="57"/>
      <c r="Q375" s="57"/>
      <c r="R375" s="57"/>
      <c r="S375" s="57"/>
      <c r="T375" s="559"/>
      <c r="U375" s="29"/>
      <c r="V375" s="29"/>
      <c r="AJ375" s="1215"/>
      <c r="AK375" s="1142"/>
      <c r="AM375" s="42"/>
      <c r="AN375" s="42"/>
      <c r="AO375" s="42"/>
      <c r="AP375" s="42"/>
      <c r="AQ375" s="42"/>
      <c r="AR375" s="42"/>
      <c r="AS375" s="42"/>
      <c r="AT375" s="42"/>
      <c r="AU375" s="42"/>
      <c r="AV375" s="42"/>
      <c r="AW375" s="42"/>
      <c r="AX375" s="42"/>
      <c r="AY375" s="42"/>
      <c r="AZ375" s="42"/>
      <c r="BA375" s="42"/>
      <c r="BB375" s="42"/>
      <c r="BC375" s="42"/>
      <c r="BD375" s="42"/>
      <c r="BE375" s="42"/>
      <c r="BF375" s="42"/>
      <c r="BG375" s="42"/>
      <c r="BH375" s="42"/>
      <c r="BI375" s="42"/>
      <c r="BJ375" s="42"/>
      <c r="BK375" s="42"/>
      <c r="BL375" s="42"/>
      <c r="BM375" s="42"/>
      <c r="BN375" s="42"/>
      <c r="BO375" s="42"/>
      <c r="BP375" s="42"/>
      <c r="BQ375" s="42"/>
      <c r="BR375" s="42"/>
      <c r="BS375" s="42"/>
      <c r="BT375" s="42"/>
      <c r="BU375" s="42"/>
      <c r="BV375" s="42"/>
      <c r="BW375" s="42"/>
      <c r="BX375" s="42"/>
      <c r="BY375" s="42"/>
      <c r="BZ375" s="42"/>
      <c r="CA375" s="42"/>
      <c r="CB375" s="42"/>
      <c r="CC375" s="42"/>
      <c r="CD375" s="42"/>
      <c r="CE375" s="42"/>
      <c r="CF375" s="42"/>
      <c r="CG375" s="42"/>
      <c r="CH375" s="42"/>
      <c r="CS375" s="29"/>
      <c r="CT375" s="29"/>
      <c r="CU375" s="29"/>
      <c r="CV375" s="522"/>
      <c r="CW375" s="522"/>
      <c r="CX375" s="211"/>
      <c r="CY375" s="211"/>
      <c r="CZ375" s="211"/>
      <c r="DA375" s="211"/>
      <c r="DB375" s="211"/>
      <c r="DC375" s="211"/>
      <c r="DD375" s="211"/>
      <c r="DE375" s="211"/>
      <c r="DF375" s="60"/>
      <c r="DG375" s="60"/>
      <c r="DH375" s="60"/>
      <c r="DI375" s="60"/>
      <c r="DJ375" s="60"/>
    </row>
    <row r="376" spans="3:114" s="25" customFormat="1">
      <c r="C376" s="24"/>
      <c r="D376" s="24"/>
      <c r="G376" s="57"/>
      <c r="H376" s="57"/>
      <c r="I376" s="57"/>
      <c r="J376" s="57"/>
      <c r="K376" s="57"/>
      <c r="L376" s="57"/>
      <c r="M376" s="57"/>
      <c r="N376" s="57"/>
      <c r="O376" s="57"/>
      <c r="P376" s="57"/>
      <c r="Q376" s="57"/>
      <c r="R376" s="57"/>
      <c r="S376" s="57"/>
      <c r="T376" s="559"/>
      <c r="U376" s="29"/>
      <c r="V376" s="29"/>
      <c r="AJ376" s="1215"/>
      <c r="AK376" s="11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c r="BK376" s="42"/>
      <c r="BL376" s="42"/>
      <c r="BM376" s="42"/>
      <c r="BN376" s="42"/>
      <c r="BO376" s="42"/>
      <c r="BP376" s="42"/>
      <c r="BQ376" s="42"/>
      <c r="BR376" s="42"/>
      <c r="BS376" s="42"/>
      <c r="BT376" s="42"/>
      <c r="BU376" s="42"/>
      <c r="BV376" s="42"/>
      <c r="BW376" s="42"/>
      <c r="BX376" s="42"/>
      <c r="BY376" s="42"/>
      <c r="BZ376" s="42"/>
      <c r="CA376" s="42"/>
      <c r="CB376" s="42"/>
      <c r="CC376" s="42"/>
      <c r="CD376" s="42"/>
      <c r="CE376" s="42"/>
      <c r="CF376" s="42"/>
      <c r="CG376" s="42"/>
      <c r="CH376" s="42"/>
      <c r="CS376" s="29"/>
      <c r="CT376" s="29"/>
      <c r="CU376" s="29"/>
      <c r="CV376" s="522"/>
      <c r="CW376" s="522"/>
      <c r="CX376" s="211"/>
      <c r="CY376" s="211"/>
      <c r="CZ376" s="211"/>
      <c r="DA376" s="211"/>
      <c r="DB376" s="211"/>
      <c r="DC376" s="211"/>
      <c r="DD376" s="211"/>
      <c r="DE376" s="211"/>
      <c r="DF376" s="60"/>
      <c r="DG376" s="60"/>
      <c r="DH376" s="60"/>
      <c r="DI376" s="60"/>
      <c r="DJ376" s="60"/>
    </row>
    <row r="377" spans="3:114" s="25" customFormat="1">
      <c r="C377" s="24"/>
      <c r="D377" s="24"/>
      <c r="G377" s="57"/>
      <c r="H377" s="57"/>
      <c r="I377" s="57"/>
      <c r="J377" s="57"/>
      <c r="K377" s="57"/>
      <c r="L377" s="57"/>
      <c r="M377" s="57"/>
      <c r="N377" s="57"/>
      <c r="O377" s="57"/>
      <c r="P377" s="57"/>
      <c r="Q377" s="57"/>
      <c r="R377" s="57"/>
      <c r="S377" s="57"/>
      <c r="T377" s="559"/>
      <c r="U377" s="29"/>
      <c r="V377" s="29"/>
      <c r="AJ377" s="1215"/>
      <c r="AK377" s="1142"/>
      <c r="AM377" s="42"/>
      <c r="AN377" s="42"/>
      <c r="AO377" s="42"/>
      <c r="AP377" s="42"/>
      <c r="AQ377" s="42"/>
      <c r="AR377" s="42"/>
      <c r="AS377" s="42"/>
      <c r="AT377" s="42"/>
      <c r="AU377" s="42"/>
      <c r="AV377" s="42"/>
      <c r="AW377" s="42"/>
      <c r="AX377" s="42"/>
      <c r="AY377" s="42"/>
      <c r="AZ377" s="42"/>
      <c r="BA377" s="42"/>
      <c r="BB377" s="42"/>
      <c r="BC377" s="42"/>
      <c r="BD377" s="42"/>
      <c r="BE377" s="42"/>
      <c r="BF377" s="42"/>
      <c r="BG377" s="42"/>
      <c r="BH377" s="42"/>
      <c r="BI377" s="42"/>
      <c r="BJ377" s="42"/>
      <c r="BK377" s="42"/>
      <c r="BL377" s="42"/>
      <c r="BM377" s="42"/>
      <c r="BN377" s="42"/>
      <c r="BO377" s="42"/>
      <c r="BP377" s="42"/>
      <c r="BQ377" s="42"/>
      <c r="BR377" s="42"/>
      <c r="BS377" s="42"/>
      <c r="BT377" s="42"/>
      <c r="BU377" s="42"/>
      <c r="BV377" s="42"/>
      <c r="BW377" s="42"/>
      <c r="BX377" s="42"/>
      <c r="BY377" s="42"/>
      <c r="BZ377" s="42"/>
      <c r="CA377" s="42"/>
      <c r="CB377" s="42"/>
      <c r="CC377" s="42"/>
      <c r="CD377" s="42"/>
      <c r="CE377" s="42"/>
      <c r="CF377" s="42"/>
      <c r="CG377" s="42"/>
      <c r="CH377" s="42"/>
      <c r="CS377" s="29"/>
      <c r="CT377" s="29"/>
      <c r="CU377" s="29"/>
      <c r="CV377" s="522"/>
      <c r="CW377" s="522"/>
      <c r="CX377" s="211"/>
      <c r="CY377" s="211"/>
      <c r="CZ377" s="211"/>
      <c r="DA377" s="211"/>
      <c r="DB377" s="211"/>
      <c r="DC377" s="211"/>
      <c r="DD377" s="211"/>
      <c r="DE377" s="211"/>
      <c r="DF377" s="60"/>
      <c r="DG377" s="60"/>
      <c r="DH377" s="60"/>
      <c r="DI377" s="60"/>
      <c r="DJ377" s="60"/>
    </row>
    <row r="378" spans="3:114" s="25" customFormat="1">
      <c r="C378" s="24"/>
      <c r="D378" s="24"/>
      <c r="G378" s="57"/>
      <c r="H378" s="57"/>
      <c r="I378" s="57"/>
      <c r="J378" s="57"/>
      <c r="K378" s="57"/>
      <c r="L378" s="57"/>
      <c r="M378" s="57"/>
      <c r="N378" s="57"/>
      <c r="O378" s="57"/>
      <c r="P378" s="57"/>
      <c r="Q378" s="57"/>
      <c r="R378" s="57"/>
      <c r="S378" s="57"/>
      <c r="T378" s="559"/>
      <c r="U378" s="29"/>
      <c r="V378" s="29"/>
      <c r="AJ378" s="1215"/>
      <c r="AK378" s="1142"/>
      <c r="AM378" s="42"/>
      <c r="AN378" s="42"/>
      <c r="AO378" s="42"/>
      <c r="AP378" s="42"/>
      <c r="AQ378" s="42"/>
      <c r="AR378" s="42"/>
      <c r="AS378" s="42"/>
      <c r="AT378" s="42"/>
      <c r="AU378" s="42"/>
      <c r="AV378" s="42"/>
      <c r="AW378" s="42"/>
      <c r="AX378" s="42"/>
      <c r="AY378" s="42"/>
      <c r="AZ378" s="42"/>
      <c r="BA378" s="42"/>
      <c r="BB378" s="42"/>
      <c r="BC378" s="42"/>
      <c r="BD378" s="42"/>
      <c r="BE378" s="42"/>
      <c r="BF378" s="42"/>
      <c r="BG378" s="42"/>
      <c r="BH378" s="42"/>
      <c r="BI378" s="42"/>
      <c r="BJ378" s="42"/>
      <c r="BK378" s="42"/>
      <c r="BL378" s="42"/>
      <c r="BM378" s="42"/>
      <c r="BN378" s="42"/>
      <c r="BO378" s="42"/>
      <c r="BP378" s="42"/>
      <c r="BQ378" s="42"/>
      <c r="BR378" s="42"/>
      <c r="BS378" s="42"/>
      <c r="BT378" s="42"/>
      <c r="BU378" s="42"/>
      <c r="BV378" s="42"/>
      <c r="BW378" s="42"/>
      <c r="BX378" s="42"/>
      <c r="BY378" s="42"/>
      <c r="BZ378" s="42"/>
      <c r="CA378" s="42"/>
      <c r="CB378" s="42"/>
      <c r="CC378" s="42"/>
      <c r="CD378" s="42"/>
      <c r="CE378" s="42"/>
      <c r="CF378" s="42"/>
      <c r="CG378" s="42"/>
      <c r="CH378" s="42"/>
      <c r="CS378" s="29"/>
      <c r="CT378" s="29"/>
      <c r="CU378" s="29"/>
      <c r="CV378" s="522"/>
      <c r="CW378" s="522"/>
      <c r="CX378" s="211"/>
      <c r="CY378" s="211"/>
      <c r="CZ378" s="211"/>
      <c r="DA378" s="211"/>
      <c r="DB378" s="211"/>
      <c r="DC378" s="211"/>
      <c r="DD378" s="211"/>
      <c r="DE378" s="211"/>
      <c r="DF378" s="60"/>
      <c r="DG378" s="60"/>
      <c r="DH378" s="60"/>
      <c r="DI378" s="60"/>
      <c r="DJ378" s="60"/>
    </row>
    <row r="379" spans="3:114" s="25" customFormat="1">
      <c r="C379" s="24"/>
      <c r="D379" s="24"/>
      <c r="G379" s="57"/>
      <c r="H379" s="57"/>
      <c r="I379" s="57"/>
      <c r="J379" s="57"/>
      <c r="K379" s="57"/>
      <c r="L379" s="57"/>
      <c r="M379" s="57"/>
      <c r="N379" s="57"/>
      <c r="O379" s="57"/>
      <c r="P379" s="57"/>
      <c r="Q379" s="57"/>
      <c r="R379" s="57"/>
      <c r="S379" s="57"/>
      <c r="T379" s="559"/>
      <c r="U379" s="29"/>
      <c r="V379" s="29"/>
      <c r="AJ379" s="1215"/>
      <c r="AK379" s="1142"/>
      <c r="AM379" s="42"/>
      <c r="AN379" s="42"/>
      <c r="AO379" s="42"/>
      <c r="AP379" s="42"/>
      <c r="AQ379" s="42"/>
      <c r="AR379" s="42"/>
      <c r="AS379" s="42"/>
      <c r="AT379" s="42"/>
      <c r="AU379" s="42"/>
      <c r="AV379" s="42"/>
      <c r="AW379" s="42"/>
      <c r="AX379" s="42"/>
      <c r="AY379" s="42"/>
      <c r="AZ379" s="42"/>
      <c r="BA379" s="42"/>
      <c r="BB379" s="42"/>
      <c r="BC379" s="42"/>
      <c r="BD379" s="42"/>
      <c r="BE379" s="42"/>
      <c r="BF379" s="42"/>
      <c r="BG379" s="42"/>
      <c r="BH379" s="42"/>
      <c r="BI379" s="42"/>
      <c r="BJ379" s="42"/>
      <c r="BK379" s="42"/>
      <c r="BL379" s="42"/>
      <c r="BM379" s="42"/>
      <c r="BN379" s="42"/>
      <c r="BO379" s="42"/>
      <c r="BP379" s="42"/>
      <c r="BQ379" s="42"/>
      <c r="BR379" s="42"/>
      <c r="BS379" s="42"/>
      <c r="BT379" s="42"/>
      <c r="BU379" s="42"/>
      <c r="BV379" s="42"/>
      <c r="BW379" s="42"/>
      <c r="BX379" s="42"/>
      <c r="BY379" s="42"/>
      <c r="BZ379" s="42"/>
      <c r="CA379" s="42"/>
      <c r="CB379" s="42"/>
      <c r="CC379" s="42"/>
      <c r="CD379" s="42"/>
      <c r="CE379" s="42"/>
      <c r="CF379" s="42"/>
      <c r="CG379" s="42"/>
      <c r="CH379" s="42"/>
      <c r="CS379" s="29"/>
      <c r="CT379" s="29"/>
      <c r="CU379" s="29"/>
      <c r="CV379" s="522"/>
      <c r="CW379" s="522"/>
      <c r="CX379" s="211"/>
      <c r="CY379" s="211"/>
      <c r="CZ379" s="211"/>
      <c r="DA379" s="211"/>
      <c r="DB379" s="211"/>
      <c r="DC379" s="211"/>
      <c r="DD379" s="211"/>
      <c r="DE379" s="211"/>
      <c r="DF379" s="60"/>
      <c r="DG379" s="60"/>
      <c r="DH379" s="60"/>
      <c r="DI379" s="60"/>
      <c r="DJ379" s="60"/>
    </row>
    <row r="380" spans="3:114" s="25" customFormat="1">
      <c r="C380" s="24"/>
      <c r="D380" s="24"/>
      <c r="G380" s="57"/>
      <c r="H380" s="57"/>
      <c r="I380" s="57"/>
      <c r="J380" s="57"/>
      <c r="K380" s="57"/>
      <c r="L380" s="57"/>
      <c r="M380" s="57"/>
      <c r="N380" s="57"/>
      <c r="O380" s="57"/>
      <c r="P380" s="57"/>
      <c r="Q380" s="57"/>
      <c r="R380" s="57"/>
      <c r="S380" s="57"/>
      <c r="T380" s="559"/>
      <c r="U380" s="29"/>
      <c r="V380" s="29"/>
      <c r="AJ380" s="1215"/>
      <c r="AK380" s="1142"/>
      <c r="AM380" s="42"/>
      <c r="AN380" s="42"/>
      <c r="AO380" s="42"/>
      <c r="AP380" s="42"/>
      <c r="AQ380" s="42"/>
      <c r="AR380" s="42"/>
      <c r="AS380" s="42"/>
      <c r="AT380" s="42"/>
      <c r="AU380" s="42"/>
      <c r="AV380" s="42"/>
      <c r="AW380" s="42"/>
      <c r="AX380" s="42"/>
      <c r="AY380" s="42"/>
      <c r="AZ380" s="42"/>
      <c r="BA380" s="42"/>
      <c r="BB380" s="42"/>
      <c r="BC380" s="42"/>
      <c r="BD380" s="42"/>
      <c r="BE380" s="42"/>
      <c r="BF380" s="42"/>
      <c r="BG380" s="42"/>
      <c r="BH380" s="42"/>
      <c r="BI380" s="42"/>
      <c r="BJ380" s="42"/>
      <c r="BK380" s="42"/>
      <c r="BL380" s="42"/>
      <c r="BM380" s="42"/>
      <c r="BN380" s="42"/>
      <c r="BO380" s="42"/>
      <c r="BP380" s="42"/>
      <c r="BQ380" s="42"/>
      <c r="BR380" s="42"/>
      <c r="BS380" s="42"/>
      <c r="BT380" s="42"/>
      <c r="BU380" s="42"/>
      <c r="BV380" s="42"/>
      <c r="BW380" s="42"/>
      <c r="BX380" s="42"/>
      <c r="BY380" s="42"/>
      <c r="BZ380" s="42"/>
      <c r="CA380" s="42"/>
      <c r="CB380" s="42"/>
      <c r="CC380" s="42"/>
      <c r="CD380" s="42"/>
      <c r="CE380" s="42"/>
      <c r="CF380" s="42"/>
      <c r="CG380" s="42"/>
      <c r="CH380" s="42"/>
      <c r="CS380" s="29"/>
      <c r="CT380" s="29"/>
      <c r="CU380" s="29"/>
      <c r="CV380" s="522"/>
      <c r="CW380" s="522"/>
      <c r="CX380" s="211"/>
      <c r="CY380" s="211"/>
      <c r="CZ380" s="211"/>
      <c r="DA380" s="211"/>
      <c r="DB380" s="211"/>
      <c r="DC380" s="211"/>
      <c r="DD380" s="211"/>
      <c r="DE380" s="211"/>
      <c r="DF380" s="60"/>
      <c r="DG380" s="60"/>
      <c r="DH380" s="60"/>
      <c r="DI380" s="60"/>
      <c r="DJ380" s="60"/>
    </row>
    <row r="381" spans="3:114" s="25" customFormat="1">
      <c r="C381" s="24"/>
      <c r="D381" s="24"/>
      <c r="G381" s="57"/>
      <c r="H381" s="57"/>
      <c r="I381" s="57"/>
      <c r="J381" s="57"/>
      <c r="K381" s="57"/>
      <c r="L381" s="57"/>
      <c r="M381" s="57"/>
      <c r="N381" s="57"/>
      <c r="O381" s="57"/>
      <c r="P381" s="57"/>
      <c r="Q381" s="57"/>
      <c r="R381" s="57"/>
      <c r="S381" s="57"/>
      <c r="T381" s="559"/>
      <c r="U381" s="29"/>
      <c r="V381" s="29"/>
      <c r="AJ381" s="1215"/>
      <c r="AK381" s="1142"/>
      <c r="AM381" s="42"/>
      <c r="AN381" s="42"/>
      <c r="AO381" s="42"/>
      <c r="AP381" s="42"/>
      <c r="AQ381" s="42"/>
      <c r="AR381" s="42"/>
      <c r="AS381" s="42"/>
      <c r="AT381" s="42"/>
      <c r="AU381" s="42"/>
      <c r="AV381" s="42"/>
      <c r="AW381" s="42"/>
      <c r="AX381" s="42"/>
      <c r="AY381" s="42"/>
      <c r="AZ381" s="42"/>
      <c r="BA381" s="42"/>
      <c r="BB381" s="42"/>
      <c r="BC381" s="42"/>
      <c r="BD381" s="42"/>
      <c r="BE381" s="42"/>
      <c r="BF381" s="42"/>
      <c r="BG381" s="42"/>
      <c r="BH381" s="42"/>
      <c r="BI381" s="42"/>
      <c r="BJ381" s="42"/>
      <c r="BK381" s="42"/>
      <c r="BL381" s="42"/>
      <c r="BM381" s="42"/>
      <c r="BN381" s="42"/>
      <c r="BO381" s="42"/>
      <c r="BP381" s="42"/>
      <c r="BQ381" s="42"/>
      <c r="BR381" s="42"/>
      <c r="BS381" s="42"/>
      <c r="BT381" s="42"/>
      <c r="BU381" s="42"/>
      <c r="BV381" s="42"/>
      <c r="BW381" s="42"/>
      <c r="BX381" s="42"/>
      <c r="BY381" s="42"/>
      <c r="BZ381" s="42"/>
      <c r="CA381" s="42"/>
      <c r="CB381" s="42"/>
      <c r="CC381" s="42"/>
      <c r="CD381" s="42"/>
      <c r="CE381" s="42"/>
      <c r="CF381" s="42"/>
      <c r="CG381" s="42"/>
      <c r="CH381" s="42"/>
      <c r="CS381" s="29"/>
      <c r="CT381" s="29"/>
      <c r="CU381" s="29"/>
      <c r="CV381" s="522"/>
      <c r="CW381" s="522"/>
      <c r="CX381" s="211"/>
      <c r="CY381" s="211"/>
      <c r="CZ381" s="211"/>
      <c r="DA381" s="211"/>
      <c r="DB381" s="211"/>
      <c r="DC381" s="211"/>
      <c r="DD381" s="211"/>
      <c r="DE381" s="211"/>
      <c r="DF381" s="60"/>
      <c r="DG381" s="60"/>
      <c r="DH381" s="60"/>
      <c r="DI381" s="60"/>
      <c r="DJ381" s="60"/>
    </row>
    <row r="382" spans="3:114" s="25" customFormat="1">
      <c r="C382" s="24"/>
      <c r="D382" s="24"/>
      <c r="G382" s="57"/>
      <c r="H382" s="57"/>
      <c r="I382" s="57"/>
      <c r="J382" s="57"/>
      <c r="K382" s="57"/>
      <c r="L382" s="57"/>
      <c r="M382" s="57"/>
      <c r="N382" s="57"/>
      <c r="O382" s="57"/>
      <c r="P382" s="57"/>
      <c r="Q382" s="57"/>
      <c r="R382" s="57"/>
      <c r="S382" s="57"/>
      <c r="T382" s="559"/>
      <c r="U382" s="29"/>
      <c r="V382" s="29"/>
      <c r="AJ382" s="1215"/>
      <c r="AK382" s="1142"/>
      <c r="AM382" s="42"/>
      <c r="AN382" s="42"/>
      <c r="AO382" s="42"/>
      <c r="AP382" s="42"/>
      <c r="AQ382" s="42"/>
      <c r="AR382" s="42"/>
      <c r="AS382" s="42"/>
      <c r="AT382" s="42"/>
      <c r="AU382" s="42"/>
      <c r="AV382" s="42"/>
      <c r="AW382" s="42"/>
      <c r="AX382" s="42"/>
      <c r="AY382" s="42"/>
      <c r="AZ382" s="42"/>
      <c r="BA382" s="42"/>
      <c r="BB382" s="42"/>
      <c r="BC382" s="42"/>
      <c r="BD382" s="42"/>
      <c r="BE382" s="42"/>
      <c r="BF382" s="42"/>
      <c r="BG382" s="42"/>
      <c r="BH382" s="42"/>
      <c r="BI382" s="42"/>
      <c r="BJ382" s="42"/>
      <c r="BK382" s="42"/>
      <c r="BL382" s="42"/>
      <c r="BM382" s="42"/>
      <c r="BN382" s="42"/>
      <c r="BO382" s="42"/>
      <c r="BP382" s="42"/>
      <c r="BQ382" s="42"/>
      <c r="BR382" s="42"/>
      <c r="BS382" s="42"/>
      <c r="BT382" s="42"/>
      <c r="BU382" s="42"/>
      <c r="BV382" s="42"/>
      <c r="BW382" s="42"/>
      <c r="BX382" s="42"/>
      <c r="BY382" s="42"/>
      <c r="BZ382" s="42"/>
      <c r="CA382" s="42"/>
      <c r="CB382" s="42"/>
      <c r="CC382" s="42"/>
      <c r="CD382" s="42"/>
      <c r="CE382" s="42"/>
      <c r="CF382" s="42"/>
      <c r="CG382" s="42"/>
      <c r="CH382" s="42"/>
      <c r="CS382" s="29"/>
      <c r="CT382" s="29"/>
      <c r="CU382" s="29"/>
      <c r="CV382" s="522"/>
      <c r="CW382" s="522"/>
      <c r="CX382" s="211"/>
      <c r="CY382" s="211"/>
      <c r="CZ382" s="211"/>
      <c r="DA382" s="211"/>
      <c r="DB382" s="211"/>
      <c r="DC382" s="211"/>
      <c r="DD382" s="211"/>
      <c r="DE382" s="211"/>
      <c r="DF382" s="60"/>
      <c r="DG382" s="60"/>
      <c r="DH382" s="60"/>
      <c r="DI382" s="60"/>
      <c r="DJ382" s="60"/>
    </row>
    <row r="383" spans="3:114" s="25" customFormat="1">
      <c r="C383" s="24"/>
      <c r="D383" s="24"/>
      <c r="G383" s="57"/>
      <c r="H383" s="57"/>
      <c r="I383" s="57"/>
      <c r="J383" s="57"/>
      <c r="K383" s="57"/>
      <c r="L383" s="57"/>
      <c r="M383" s="57"/>
      <c r="N383" s="57"/>
      <c r="O383" s="57"/>
      <c r="P383" s="57"/>
      <c r="Q383" s="57"/>
      <c r="R383" s="57"/>
      <c r="S383" s="57"/>
      <c r="T383" s="559"/>
      <c r="U383" s="29"/>
      <c r="V383" s="29"/>
      <c r="AJ383" s="1215"/>
      <c r="AK383" s="1142"/>
      <c r="AM383" s="42"/>
      <c r="AN383" s="42"/>
      <c r="AO383" s="42"/>
      <c r="AP383" s="42"/>
      <c r="AQ383" s="42"/>
      <c r="AR383" s="42"/>
      <c r="AS383" s="42"/>
      <c r="AT383" s="42"/>
      <c r="AU383" s="42"/>
      <c r="AV383" s="42"/>
      <c r="AW383" s="42"/>
      <c r="AX383" s="42"/>
      <c r="AY383" s="42"/>
      <c r="AZ383" s="42"/>
      <c r="BA383" s="42"/>
      <c r="BB383" s="42"/>
      <c r="BC383" s="42"/>
      <c r="BD383" s="42"/>
      <c r="BE383" s="42"/>
      <c r="BF383" s="42"/>
      <c r="BG383" s="42"/>
      <c r="BH383" s="42"/>
      <c r="BI383" s="42"/>
      <c r="BJ383" s="42"/>
      <c r="BK383" s="42"/>
      <c r="BL383" s="42"/>
      <c r="BM383" s="42"/>
      <c r="BN383" s="42"/>
      <c r="BO383" s="42"/>
      <c r="BP383" s="42"/>
      <c r="BQ383" s="42"/>
      <c r="BR383" s="42"/>
      <c r="BS383" s="42"/>
      <c r="BT383" s="42"/>
      <c r="BU383" s="42"/>
      <c r="BV383" s="42"/>
      <c r="BW383" s="42"/>
      <c r="BX383" s="42"/>
      <c r="BY383" s="42"/>
      <c r="BZ383" s="42"/>
      <c r="CA383" s="42"/>
      <c r="CB383" s="42"/>
      <c r="CC383" s="42"/>
      <c r="CD383" s="42"/>
      <c r="CE383" s="42"/>
      <c r="CF383" s="42"/>
      <c r="CG383" s="42"/>
      <c r="CH383" s="42"/>
      <c r="CS383" s="29"/>
      <c r="CT383" s="29"/>
      <c r="CU383" s="29"/>
      <c r="CV383" s="522"/>
      <c r="CW383" s="522"/>
      <c r="CX383" s="211"/>
      <c r="CY383" s="211"/>
      <c r="CZ383" s="211"/>
      <c r="DA383" s="211"/>
      <c r="DB383" s="211"/>
      <c r="DC383" s="211"/>
      <c r="DD383" s="211"/>
      <c r="DE383" s="211"/>
      <c r="DF383" s="60"/>
      <c r="DG383" s="60"/>
      <c r="DH383" s="60"/>
      <c r="DI383" s="60"/>
      <c r="DJ383" s="60"/>
    </row>
    <row r="384" spans="3:114" s="25" customFormat="1">
      <c r="C384" s="24"/>
      <c r="D384" s="24"/>
      <c r="G384" s="57"/>
      <c r="H384" s="57"/>
      <c r="I384" s="57"/>
      <c r="J384" s="57"/>
      <c r="K384" s="57"/>
      <c r="L384" s="57"/>
      <c r="M384" s="57"/>
      <c r="N384" s="57"/>
      <c r="O384" s="57"/>
      <c r="P384" s="57"/>
      <c r="Q384" s="57"/>
      <c r="R384" s="57"/>
      <c r="S384" s="57"/>
      <c r="T384" s="559"/>
      <c r="U384" s="29"/>
      <c r="V384" s="29"/>
      <c r="AJ384" s="1215"/>
      <c r="AK384" s="1142"/>
      <c r="AM384" s="42"/>
      <c r="AN384" s="42"/>
      <c r="AO384" s="42"/>
      <c r="AP384" s="42"/>
      <c r="AQ384" s="42"/>
      <c r="AR384" s="42"/>
      <c r="AS384" s="42"/>
      <c r="AT384" s="42"/>
      <c r="AU384" s="42"/>
      <c r="AV384" s="42"/>
      <c r="AW384" s="42"/>
      <c r="AX384" s="42"/>
      <c r="AY384" s="42"/>
      <c r="AZ384" s="42"/>
      <c r="BA384" s="42"/>
      <c r="BB384" s="42"/>
      <c r="BC384" s="42"/>
      <c r="BD384" s="42"/>
      <c r="BE384" s="42"/>
      <c r="BF384" s="42"/>
      <c r="BG384" s="42"/>
      <c r="BH384" s="42"/>
      <c r="BI384" s="42"/>
      <c r="BJ384" s="42"/>
      <c r="BK384" s="42"/>
      <c r="BL384" s="42"/>
      <c r="BM384" s="42"/>
      <c r="BN384" s="42"/>
      <c r="BO384" s="42"/>
      <c r="BP384" s="42"/>
      <c r="BQ384" s="42"/>
      <c r="BR384" s="42"/>
      <c r="BS384" s="42"/>
      <c r="BT384" s="42"/>
      <c r="BU384" s="42"/>
      <c r="BV384" s="42"/>
      <c r="BW384" s="42"/>
      <c r="BX384" s="42"/>
      <c r="BY384" s="42"/>
      <c r="BZ384" s="42"/>
      <c r="CA384" s="42"/>
      <c r="CB384" s="42"/>
      <c r="CC384" s="42"/>
      <c r="CD384" s="42"/>
      <c r="CE384" s="42"/>
      <c r="CF384" s="42"/>
      <c r="CG384" s="42"/>
      <c r="CH384" s="42"/>
      <c r="CS384" s="29"/>
      <c r="CT384" s="29"/>
      <c r="CU384" s="29"/>
      <c r="CV384" s="522"/>
      <c r="CW384" s="522"/>
      <c r="CX384" s="211"/>
      <c r="CY384" s="211"/>
      <c r="CZ384" s="211"/>
      <c r="DA384" s="211"/>
      <c r="DB384" s="211"/>
      <c r="DC384" s="211"/>
      <c r="DD384" s="211"/>
      <c r="DE384" s="211"/>
      <c r="DF384" s="60"/>
      <c r="DG384" s="60"/>
      <c r="DH384" s="60"/>
      <c r="DI384" s="60"/>
      <c r="DJ384" s="60"/>
    </row>
    <row r="385" spans="3:114" s="25" customFormat="1">
      <c r="C385" s="24"/>
      <c r="D385" s="24"/>
      <c r="G385" s="57"/>
      <c r="H385" s="57"/>
      <c r="I385" s="57"/>
      <c r="J385" s="57"/>
      <c r="K385" s="57"/>
      <c r="L385" s="57"/>
      <c r="M385" s="57"/>
      <c r="N385" s="57"/>
      <c r="O385" s="57"/>
      <c r="P385" s="57"/>
      <c r="Q385" s="57"/>
      <c r="R385" s="57"/>
      <c r="S385" s="57"/>
      <c r="T385" s="559"/>
      <c r="U385" s="29"/>
      <c r="V385" s="29"/>
      <c r="AJ385" s="1215"/>
      <c r="AK385" s="1142"/>
      <c r="AM385" s="42"/>
      <c r="AN385" s="42"/>
      <c r="AO385" s="42"/>
      <c r="AP385" s="42"/>
      <c r="AQ385" s="42"/>
      <c r="AR385" s="42"/>
      <c r="AS385" s="42"/>
      <c r="AT385" s="42"/>
      <c r="AU385" s="42"/>
      <c r="AV385" s="42"/>
      <c r="AW385" s="42"/>
      <c r="AX385" s="42"/>
      <c r="AY385" s="42"/>
      <c r="AZ385" s="42"/>
      <c r="BA385" s="42"/>
      <c r="BB385" s="42"/>
      <c r="BC385" s="42"/>
      <c r="BD385" s="42"/>
      <c r="BE385" s="42"/>
      <c r="BF385" s="42"/>
      <c r="BG385" s="42"/>
      <c r="BH385" s="42"/>
      <c r="BI385" s="42"/>
      <c r="BJ385" s="42"/>
      <c r="BK385" s="42"/>
      <c r="BL385" s="42"/>
      <c r="BM385" s="42"/>
      <c r="BN385" s="42"/>
      <c r="BO385" s="42"/>
      <c r="BP385" s="42"/>
      <c r="BQ385" s="42"/>
      <c r="BR385" s="42"/>
      <c r="BS385" s="42"/>
      <c r="BT385" s="42"/>
      <c r="BU385" s="42"/>
      <c r="BV385" s="42"/>
      <c r="BW385" s="42"/>
      <c r="BX385" s="42"/>
      <c r="BY385" s="42"/>
      <c r="BZ385" s="42"/>
      <c r="CA385" s="42"/>
      <c r="CB385" s="42"/>
      <c r="CC385" s="42"/>
      <c r="CD385" s="42"/>
      <c r="CE385" s="42"/>
      <c r="CF385" s="42"/>
      <c r="CG385" s="42"/>
      <c r="CH385" s="42"/>
      <c r="CS385" s="29"/>
      <c r="CT385" s="29"/>
      <c r="CU385" s="29"/>
      <c r="CV385" s="522"/>
      <c r="CW385" s="522"/>
      <c r="CX385" s="211"/>
      <c r="CY385" s="211"/>
      <c r="CZ385" s="211"/>
      <c r="DA385" s="211"/>
      <c r="DB385" s="211"/>
      <c r="DC385" s="211"/>
      <c r="DD385" s="211"/>
      <c r="DE385" s="211"/>
      <c r="DF385" s="60"/>
      <c r="DG385" s="60"/>
      <c r="DH385" s="60"/>
      <c r="DI385" s="60"/>
      <c r="DJ385" s="60"/>
    </row>
    <row r="386" spans="3:114" s="25" customFormat="1">
      <c r="C386" s="24"/>
      <c r="D386" s="24"/>
      <c r="G386" s="57"/>
      <c r="H386" s="57"/>
      <c r="I386" s="57"/>
      <c r="J386" s="57"/>
      <c r="K386" s="57"/>
      <c r="L386" s="57"/>
      <c r="M386" s="57"/>
      <c r="N386" s="57"/>
      <c r="O386" s="57"/>
      <c r="P386" s="57"/>
      <c r="Q386" s="57"/>
      <c r="R386" s="57"/>
      <c r="S386" s="57"/>
      <c r="T386" s="559"/>
      <c r="U386" s="29"/>
      <c r="V386" s="29"/>
      <c r="AJ386" s="1215"/>
      <c r="AK386" s="1142"/>
      <c r="AM386" s="42"/>
      <c r="AN386" s="42"/>
      <c r="AO386" s="42"/>
      <c r="AP386" s="42"/>
      <c r="AQ386" s="42"/>
      <c r="AR386" s="42"/>
      <c r="AS386" s="42"/>
      <c r="AT386" s="42"/>
      <c r="AU386" s="42"/>
      <c r="AV386" s="42"/>
      <c r="AW386" s="42"/>
      <c r="AX386" s="42"/>
      <c r="AY386" s="42"/>
      <c r="AZ386" s="42"/>
      <c r="BA386" s="42"/>
      <c r="BB386" s="42"/>
      <c r="BC386" s="42"/>
      <c r="BD386" s="42"/>
      <c r="BE386" s="42"/>
      <c r="BF386" s="42"/>
      <c r="BG386" s="42"/>
      <c r="BH386" s="42"/>
      <c r="BI386" s="42"/>
      <c r="BJ386" s="42"/>
      <c r="BK386" s="42"/>
      <c r="BL386" s="42"/>
      <c r="BM386" s="42"/>
      <c r="BN386" s="42"/>
      <c r="BO386" s="42"/>
      <c r="BP386" s="42"/>
      <c r="BQ386" s="42"/>
      <c r="BR386" s="42"/>
      <c r="BS386" s="42"/>
      <c r="BT386" s="42"/>
      <c r="BU386" s="42"/>
      <c r="BV386" s="42"/>
      <c r="BW386" s="42"/>
      <c r="BX386" s="42"/>
      <c r="BY386" s="42"/>
      <c r="BZ386" s="42"/>
      <c r="CA386" s="42"/>
      <c r="CB386" s="42"/>
      <c r="CC386" s="42"/>
      <c r="CD386" s="42"/>
      <c r="CE386" s="42"/>
      <c r="CF386" s="42"/>
      <c r="CG386" s="42"/>
      <c r="CH386" s="42"/>
      <c r="CS386" s="29"/>
      <c r="CT386" s="29"/>
      <c r="CU386" s="29"/>
      <c r="CV386" s="522"/>
      <c r="CW386" s="522"/>
      <c r="CX386" s="211"/>
      <c r="CY386" s="211"/>
      <c r="CZ386" s="211"/>
      <c r="DA386" s="211"/>
      <c r="DB386" s="211"/>
      <c r="DC386" s="211"/>
      <c r="DD386" s="211"/>
      <c r="DE386" s="211"/>
      <c r="DF386" s="60"/>
      <c r="DG386" s="60"/>
      <c r="DH386" s="60"/>
      <c r="DI386" s="60"/>
      <c r="DJ386" s="60"/>
    </row>
    <row r="387" spans="3:114" s="25" customFormat="1">
      <c r="C387" s="24"/>
      <c r="D387" s="24"/>
      <c r="G387" s="57"/>
      <c r="H387" s="57"/>
      <c r="I387" s="57"/>
      <c r="J387" s="57"/>
      <c r="K387" s="57"/>
      <c r="L387" s="57"/>
      <c r="M387" s="57"/>
      <c r="N387" s="57"/>
      <c r="O387" s="57"/>
      <c r="P387" s="57"/>
      <c r="Q387" s="57"/>
      <c r="R387" s="57"/>
      <c r="S387" s="57"/>
      <c r="T387" s="559"/>
      <c r="U387" s="29"/>
      <c r="V387" s="29"/>
      <c r="AJ387" s="1215"/>
      <c r="AK387" s="1142"/>
      <c r="AM387" s="42"/>
      <c r="AN387" s="42"/>
      <c r="AO387" s="42"/>
      <c r="AP387" s="42"/>
      <c r="AQ387" s="42"/>
      <c r="AR387" s="42"/>
      <c r="AS387" s="42"/>
      <c r="AT387" s="42"/>
      <c r="AU387" s="42"/>
      <c r="AV387" s="42"/>
      <c r="AW387" s="42"/>
      <c r="AX387" s="42"/>
      <c r="AY387" s="42"/>
      <c r="AZ387" s="42"/>
      <c r="BA387" s="42"/>
      <c r="BB387" s="42"/>
      <c r="BC387" s="42"/>
      <c r="BD387" s="42"/>
      <c r="BE387" s="42"/>
      <c r="BF387" s="42"/>
      <c r="BG387" s="42"/>
      <c r="BH387" s="42"/>
      <c r="BI387" s="42"/>
      <c r="BJ387" s="42"/>
      <c r="BK387" s="42"/>
      <c r="BL387" s="42"/>
      <c r="BM387" s="42"/>
      <c r="BN387" s="42"/>
      <c r="BO387" s="42"/>
      <c r="BP387" s="42"/>
      <c r="BQ387" s="42"/>
      <c r="BR387" s="42"/>
      <c r="BS387" s="42"/>
      <c r="BT387" s="42"/>
      <c r="BU387" s="42"/>
      <c r="BV387" s="42"/>
      <c r="BW387" s="42"/>
      <c r="BX387" s="42"/>
      <c r="BY387" s="42"/>
      <c r="BZ387" s="42"/>
      <c r="CA387" s="42"/>
      <c r="CB387" s="42"/>
      <c r="CC387" s="42"/>
      <c r="CD387" s="42"/>
      <c r="CE387" s="42"/>
      <c r="CF387" s="42"/>
      <c r="CG387" s="42"/>
      <c r="CH387" s="42"/>
      <c r="CS387" s="29"/>
      <c r="CT387" s="29"/>
      <c r="CU387" s="29"/>
      <c r="CV387" s="522"/>
      <c r="CW387" s="522"/>
      <c r="CX387" s="211"/>
      <c r="CY387" s="211"/>
      <c r="CZ387" s="211"/>
      <c r="DA387" s="211"/>
      <c r="DB387" s="211"/>
      <c r="DC387" s="211"/>
      <c r="DD387" s="211"/>
      <c r="DE387" s="211"/>
      <c r="DF387" s="60"/>
      <c r="DG387" s="60"/>
      <c r="DH387" s="60"/>
      <c r="DI387" s="60"/>
      <c r="DJ387" s="60"/>
    </row>
    <row r="388" spans="3:114" s="25" customFormat="1">
      <c r="C388" s="24"/>
      <c r="D388" s="24"/>
      <c r="G388" s="57"/>
      <c r="H388" s="57"/>
      <c r="I388" s="57"/>
      <c r="J388" s="57"/>
      <c r="K388" s="57"/>
      <c r="L388" s="57"/>
      <c r="M388" s="57"/>
      <c r="N388" s="57"/>
      <c r="O388" s="57"/>
      <c r="P388" s="57"/>
      <c r="Q388" s="57"/>
      <c r="R388" s="57"/>
      <c r="S388" s="57"/>
      <c r="T388" s="559"/>
      <c r="U388" s="29"/>
      <c r="V388" s="29"/>
      <c r="AJ388" s="1215"/>
      <c r="AK388" s="1142"/>
      <c r="AM388" s="42"/>
      <c r="AN388" s="42"/>
      <c r="AO388" s="42"/>
      <c r="AP388" s="42"/>
      <c r="AQ388" s="42"/>
      <c r="AR388" s="42"/>
      <c r="AS388" s="42"/>
      <c r="AT388" s="42"/>
      <c r="AU388" s="42"/>
      <c r="AV388" s="42"/>
      <c r="AW388" s="42"/>
      <c r="AX388" s="42"/>
      <c r="AY388" s="42"/>
      <c r="AZ388" s="42"/>
      <c r="BA388" s="42"/>
      <c r="BB388" s="42"/>
      <c r="BC388" s="42"/>
      <c r="BD388" s="42"/>
      <c r="BE388" s="42"/>
      <c r="BF388" s="42"/>
      <c r="BG388" s="42"/>
      <c r="BH388" s="42"/>
      <c r="BI388" s="42"/>
      <c r="BJ388" s="42"/>
      <c r="BK388" s="42"/>
      <c r="BL388" s="42"/>
      <c r="BM388" s="42"/>
      <c r="BN388" s="42"/>
      <c r="BO388" s="42"/>
      <c r="BP388" s="42"/>
      <c r="BQ388" s="42"/>
      <c r="BR388" s="42"/>
      <c r="BS388" s="42"/>
      <c r="BT388" s="42"/>
      <c r="BU388" s="42"/>
      <c r="BV388" s="42"/>
      <c r="BW388" s="42"/>
      <c r="BX388" s="42"/>
      <c r="BY388" s="42"/>
      <c r="BZ388" s="42"/>
      <c r="CA388" s="42"/>
      <c r="CB388" s="42"/>
      <c r="CC388" s="42"/>
      <c r="CD388" s="42"/>
      <c r="CE388" s="42"/>
      <c r="CF388" s="42"/>
      <c r="CG388" s="42"/>
      <c r="CH388" s="42"/>
      <c r="CS388" s="29"/>
      <c r="CT388" s="29"/>
      <c r="CU388" s="29"/>
      <c r="CV388" s="522"/>
      <c r="CW388" s="522"/>
      <c r="CX388" s="211"/>
      <c r="CY388" s="211"/>
      <c r="CZ388" s="211"/>
      <c r="DA388" s="211"/>
      <c r="DB388" s="211"/>
      <c r="DC388" s="211"/>
      <c r="DD388" s="211"/>
      <c r="DE388" s="211"/>
      <c r="DF388" s="60"/>
      <c r="DG388" s="60"/>
      <c r="DH388" s="60"/>
      <c r="DI388" s="60"/>
      <c r="DJ388" s="60"/>
    </row>
    <row r="389" spans="3:114" s="25" customFormat="1">
      <c r="C389" s="24"/>
      <c r="D389" s="24"/>
      <c r="G389" s="57"/>
      <c r="H389" s="57"/>
      <c r="I389" s="57"/>
      <c r="J389" s="57"/>
      <c r="K389" s="57"/>
      <c r="L389" s="57"/>
      <c r="M389" s="57"/>
      <c r="N389" s="57"/>
      <c r="O389" s="57"/>
      <c r="P389" s="57"/>
      <c r="Q389" s="57"/>
      <c r="R389" s="57"/>
      <c r="S389" s="57"/>
      <c r="T389" s="559"/>
      <c r="U389" s="29"/>
      <c r="V389" s="29"/>
      <c r="AJ389" s="1215"/>
      <c r="AK389" s="1142"/>
      <c r="AM389" s="42"/>
      <c r="AN389" s="42"/>
      <c r="AO389" s="42"/>
      <c r="AP389" s="42"/>
      <c r="AQ389" s="42"/>
      <c r="AR389" s="42"/>
      <c r="AS389" s="42"/>
      <c r="AT389" s="42"/>
      <c r="AU389" s="42"/>
      <c r="AV389" s="42"/>
      <c r="AW389" s="42"/>
      <c r="AX389" s="42"/>
      <c r="AY389" s="42"/>
      <c r="AZ389" s="42"/>
      <c r="BA389" s="42"/>
      <c r="BB389" s="42"/>
      <c r="BC389" s="42"/>
      <c r="BD389" s="42"/>
      <c r="BE389" s="42"/>
      <c r="BF389" s="42"/>
      <c r="BG389" s="42"/>
      <c r="BH389" s="42"/>
      <c r="BI389" s="42"/>
      <c r="BJ389" s="42"/>
      <c r="BK389" s="42"/>
      <c r="BL389" s="42"/>
      <c r="BM389" s="42"/>
      <c r="BN389" s="42"/>
      <c r="BO389" s="42"/>
      <c r="BP389" s="42"/>
      <c r="BQ389" s="42"/>
      <c r="BR389" s="42"/>
      <c r="BS389" s="42"/>
      <c r="BT389" s="42"/>
      <c r="BU389" s="42"/>
      <c r="BV389" s="42"/>
      <c r="BW389" s="42"/>
      <c r="BX389" s="42"/>
      <c r="BY389" s="42"/>
      <c r="BZ389" s="42"/>
      <c r="CA389" s="42"/>
      <c r="CB389" s="42"/>
      <c r="CC389" s="42"/>
      <c r="CD389" s="42"/>
      <c r="CE389" s="42"/>
      <c r="CF389" s="42"/>
      <c r="CG389" s="42"/>
      <c r="CH389" s="42"/>
      <c r="CS389" s="29"/>
      <c r="CT389" s="29"/>
      <c r="CU389" s="29"/>
      <c r="CV389" s="522"/>
      <c r="CW389" s="522"/>
      <c r="CX389" s="211"/>
      <c r="CY389" s="211"/>
      <c r="CZ389" s="211"/>
      <c r="DA389" s="211"/>
      <c r="DB389" s="211"/>
      <c r="DC389" s="211"/>
      <c r="DD389" s="211"/>
      <c r="DE389" s="211"/>
      <c r="DF389" s="60"/>
      <c r="DG389" s="60"/>
      <c r="DH389" s="60"/>
      <c r="DI389" s="60"/>
      <c r="DJ389" s="60"/>
    </row>
    <row r="390" spans="3:114" s="25" customFormat="1">
      <c r="C390" s="24"/>
      <c r="D390" s="24"/>
      <c r="G390" s="57"/>
      <c r="H390" s="57"/>
      <c r="I390" s="57"/>
      <c r="J390" s="57"/>
      <c r="K390" s="57"/>
      <c r="L390" s="57"/>
      <c r="M390" s="57"/>
      <c r="N390" s="57"/>
      <c r="O390" s="57"/>
      <c r="P390" s="57"/>
      <c r="Q390" s="57"/>
      <c r="R390" s="57"/>
      <c r="S390" s="57"/>
      <c r="T390" s="559"/>
      <c r="U390" s="29"/>
      <c r="V390" s="29"/>
      <c r="AJ390" s="1215"/>
      <c r="AK390" s="1142"/>
      <c r="AM390" s="42"/>
      <c r="AN390" s="42"/>
      <c r="AO390" s="42"/>
      <c r="AP390" s="42"/>
      <c r="AQ390" s="42"/>
      <c r="AR390" s="42"/>
      <c r="AS390" s="42"/>
      <c r="AT390" s="42"/>
      <c r="AU390" s="42"/>
      <c r="AV390" s="42"/>
      <c r="AW390" s="42"/>
      <c r="AX390" s="42"/>
      <c r="AY390" s="42"/>
      <c r="AZ390" s="42"/>
      <c r="BA390" s="42"/>
      <c r="BB390" s="42"/>
      <c r="BC390" s="42"/>
      <c r="BD390" s="42"/>
      <c r="BE390" s="42"/>
      <c r="BF390" s="42"/>
      <c r="BG390" s="42"/>
      <c r="BH390" s="42"/>
      <c r="BI390" s="42"/>
      <c r="BJ390" s="42"/>
      <c r="BK390" s="42"/>
      <c r="BL390" s="42"/>
      <c r="BM390" s="42"/>
      <c r="BN390" s="42"/>
      <c r="BO390" s="42"/>
      <c r="BP390" s="42"/>
      <c r="BQ390" s="42"/>
      <c r="BR390" s="42"/>
      <c r="BS390" s="42"/>
      <c r="BT390" s="42"/>
      <c r="BU390" s="42"/>
      <c r="BV390" s="42"/>
      <c r="BW390" s="42"/>
      <c r="BX390" s="42"/>
      <c r="BY390" s="42"/>
      <c r="BZ390" s="42"/>
      <c r="CA390" s="42"/>
      <c r="CB390" s="42"/>
      <c r="CC390" s="42"/>
      <c r="CD390" s="42"/>
      <c r="CE390" s="42"/>
      <c r="CF390" s="42"/>
      <c r="CG390" s="42"/>
      <c r="CH390" s="42"/>
      <c r="CS390" s="29"/>
      <c r="CT390" s="29"/>
      <c r="CU390" s="29"/>
      <c r="CV390" s="522"/>
      <c r="CW390" s="522"/>
      <c r="CX390" s="211"/>
      <c r="CY390" s="211"/>
      <c r="CZ390" s="211"/>
      <c r="DA390" s="211"/>
      <c r="DB390" s="211"/>
      <c r="DC390" s="211"/>
      <c r="DD390" s="211"/>
      <c r="DE390" s="211"/>
      <c r="DF390" s="60"/>
      <c r="DG390" s="60"/>
      <c r="DH390" s="60"/>
      <c r="DI390" s="60"/>
      <c r="DJ390" s="60"/>
    </row>
    <row r="391" spans="3:114" s="25" customFormat="1">
      <c r="C391" s="24"/>
      <c r="D391" s="24"/>
      <c r="G391" s="57"/>
      <c r="H391" s="57"/>
      <c r="I391" s="57"/>
      <c r="J391" s="57"/>
      <c r="K391" s="57"/>
      <c r="L391" s="57"/>
      <c r="M391" s="57"/>
      <c r="N391" s="57"/>
      <c r="O391" s="57"/>
      <c r="P391" s="57"/>
      <c r="Q391" s="57"/>
      <c r="R391" s="57"/>
      <c r="S391" s="57"/>
      <c r="T391" s="559"/>
      <c r="U391" s="29"/>
      <c r="V391" s="29"/>
      <c r="AJ391" s="1215"/>
      <c r="AK391" s="1142"/>
      <c r="AM391" s="42"/>
      <c r="AN391" s="42"/>
      <c r="AO391" s="42"/>
      <c r="AP391" s="42"/>
      <c r="AQ391" s="42"/>
      <c r="AR391" s="42"/>
      <c r="AS391" s="42"/>
      <c r="AT391" s="42"/>
      <c r="AU391" s="42"/>
      <c r="AV391" s="42"/>
      <c r="AW391" s="42"/>
      <c r="AX391" s="42"/>
      <c r="AY391" s="42"/>
      <c r="AZ391" s="42"/>
      <c r="BA391" s="42"/>
      <c r="BB391" s="42"/>
      <c r="BC391" s="42"/>
      <c r="BD391" s="42"/>
      <c r="BE391" s="42"/>
      <c r="BF391" s="42"/>
      <c r="BG391" s="42"/>
      <c r="BH391" s="42"/>
      <c r="BI391" s="42"/>
      <c r="BJ391" s="42"/>
      <c r="BK391" s="42"/>
      <c r="BL391" s="42"/>
      <c r="BM391" s="42"/>
      <c r="BN391" s="42"/>
      <c r="BO391" s="42"/>
      <c r="BP391" s="42"/>
      <c r="BQ391" s="42"/>
      <c r="BR391" s="42"/>
      <c r="BS391" s="42"/>
      <c r="BT391" s="42"/>
      <c r="BU391" s="42"/>
      <c r="BV391" s="42"/>
      <c r="BW391" s="42"/>
      <c r="BX391" s="42"/>
      <c r="BY391" s="42"/>
      <c r="BZ391" s="42"/>
      <c r="CA391" s="42"/>
      <c r="CB391" s="42"/>
      <c r="CC391" s="42"/>
      <c r="CD391" s="42"/>
      <c r="CE391" s="42"/>
      <c r="CF391" s="42"/>
      <c r="CG391" s="42"/>
      <c r="CH391" s="42"/>
      <c r="CS391" s="29"/>
      <c r="CT391" s="29"/>
      <c r="CU391" s="29"/>
      <c r="CV391" s="522"/>
      <c r="CW391" s="522"/>
      <c r="CX391" s="211"/>
      <c r="CY391" s="211"/>
      <c r="CZ391" s="211"/>
      <c r="DA391" s="211"/>
      <c r="DB391" s="211"/>
      <c r="DC391" s="211"/>
      <c r="DD391" s="211"/>
      <c r="DE391" s="211"/>
      <c r="DF391" s="60"/>
      <c r="DG391" s="60"/>
      <c r="DH391" s="60"/>
      <c r="DI391" s="60"/>
      <c r="DJ391" s="60"/>
    </row>
    <row r="392" spans="3:114" s="25" customFormat="1">
      <c r="C392" s="24"/>
      <c r="D392" s="24"/>
      <c r="G392" s="57"/>
      <c r="H392" s="57"/>
      <c r="I392" s="57"/>
      <c r="J392" s="57"/>
      <c r="K392" s="57"/>
      <c r="L392" s="57"/>
      <c r="M392" s="57"/>
      <c r="N392" s="57"/>
      <c r="O392" s="57"/>
      <c r="P392" s="57"/>
      <c r="Q392" s="57"/>
      <c r="R392" s="57"/>
      <c r="S392" s="57"/>
      <c r="T392" s="559"/>
      <c r="U392" s="29"/>
      <c r="V392" s="29"/>
      <c r="AJ392" s="1215"/>
      <c r="AK392" s="1142"/>
      <c r="AM392" s="42"/>
      <c r="AN392" s="42"/>
      <c r="AO392" s="42"/>
      <c r="AP392" s="42"/>
      <c r="AQ392" s="42"/>
      <c r="AR392" s="42"/>
      <c r="AS392" s="42"/>
      <c r="AT392" s="42"/>
      <c r="AU392" s="42"/>
      <c r="AV392" s="42"/>
      <c r="AW392" s="42"/>
      <c r="AX392" s="42"/>
      <c r="AY392" s="42"/>
      <c r="AZ392" s="42"/>
      <c r="BA392" s="42"/>
      <c r="BB392" s="42"/>
      <c r="BC392" s="42"/>
      <c r="BD392" s="42"/>
      <c r="BE392" s="42"/>
      <c r="BF392" s="42"/>
      <c r="BG392" s="42"/>
      <c r="BH392" s="42"/>
      <c r="BI392" s="42"/>
      <c r="BJ392" s="42"/>
      <c r="BK392" s="42"/>
      <c r="BL392" s="42"/>
      <c r="BM392" s="42"/>
      <c r="BN392" s="42"/>
      <c r="BO392" s="42"/>
      <c r="BP392" s="42"/>
      <c r="BQ392" s="42"/>
      <c r="BR392" s="42"/>
      <c r="BS392" s="42"/>
      <c r="BT392" s="42"/>
      <c r="BU392" s="42"/>
      <c r="BV392" s="42"/>
      <c r="BW392" s="42"/>
      <c r="BX392" s="42"/>
      <c r="BY392" s="42"/>
      <c r="BZ392" s="42"/>
      <c r="CA392" s="42"/>
      <c r="CB392" s="42"/>
      <c r="CC392" s="42"/>
      <c r="CD392" s="42"/>
      <c r="CE392" s="42"/>
      <c r="CF392" s="42"/>
      <c r="CG392" s="42"/>
      <c r="CH392" s="42"/>
      <c r="CS392" s="29"/>
      <c r="CT392" s="29"/>
      <c r="CU392" s="29"/>
      <c r="CV392" s="522"/>
      <c r="CW392" s="522"/>
      <c r="CX392" s="211"/>
      <c r="CY392" s="211"/>
      <c r="CZ392" s="211"/>
      <c r="DA392" s="211"/>
      <c r="DB392" s="211"/>
      <c r="DC392" s="211"/>
      <c r="DD392" s="211"/>
      <c r="DE392" s="211"/>
      <c r="DF392" s="60"/>
      <c r="DG392" s="60"/>
      <c r="DH392" s="60"/>
      <c r="DI392" s="60"/>
      <c r="DJ392" s="60"/>
    </row>
    <row r="393" spans="3:114" s="25" customFormat="1">
      <c r="C393" s="24"/>
      <c r="D393" s="24"/>
      <c r="G393" s="57"/>
      <c r="H393" s="57"/>
      <c r="I393" s="57"/>
      <c r="J393" s="57"/>
      <c r="K393" s="57"/>
      <c r="L393" s="57"/>
      <c r="M393" s="57"/>
      <c r="N393" s="57"/>
      <c r="O393" s="57"/>
      <c r="P393" s="57"/>
      <c r="Q393" s="57"/>
      <c r="R393" s="57"/>
      <c r="S393" s="57"/>
      <c r="T393" s="559"/>
      <c r="U393" s="29"/>
      <c r="V393" s="29"/>
      <c r="AJ393" s="1215"/>
      <c r="AK393" s="1142"/>
      <c r="AM393" s="42"/>
      <c r="AN393" s="42"/>
      <c r="AO393" s="42"/>
      <c r="AP393" s="42"/>
      <c r="AQ393" s="42"/>
      <c r="AR393" s="42"/>
      <c r="AS393" s="42"/>
      <c r="AT393" s="42"/>
      <c r="AU393" s="42"/>
      <c r="AV393" s="42"/>
      <c r="AW393" s="42"/>
      <c r="AX393" s="42"/>
      <c r="AY393" s="42"/>
      <c r="AZ393" s="42"/>
      <c r="BA393" s="42"/>
      <c r="BB393" s="42"/>
      <c r="BC393" s="42"/>
      <c r="BD393" s="42"/>
      <c r="BE393" s="42"/>
      <c r="BF393" s="42"/>
      <c r="BG393" s="42"/>
      <c r="BH393" s="42"/>
      <c r="BI393" s="42"/>
      <c r="BJ393" s="42"/>
      <c r="BK393" s="42"/>
      <c r="BL393" s="42"/>
      <c r="BM393" s="42"/>
      <c r="BN393" s="42"/>
      <c r="BO393" s="42"/>
      <c r="BP393" s="42"/>
      <c r="BQ393" s="42"/>
      <c r="BR393" s="42"/>
      <c r="BS393" s="42"/>
      <c r="BT393" s="42"/>
      <c r="BU393" s="42"/>
      <c r="BV393" s="42"/>
      <c r="BW393" s="42"/>
      <c r="BX393" s="42"/>
      <c r="BY393" s="42"/>
      <c r="BZ393" s="42"/>
      <c r="CA393" s="42"/>
      <c r="CB393" s="42"/>
      <c r="CC393" s="42"/>
      <c r="CD393" s="42"/>
      <c r="CE393" s="42"/>
      <c r="CF393" s="42"/>
      <c r="CG393" s="42"/>
      <c r="CH393" s="42"/>
      <c r="CS393" s="29"/>
      <c r="CT393" s="29"/>
      <c r="CU393" s="29"/>
      <c r="CV393" s="522"/>
      <c r="CW393" s="522"/>
      <c r="CX393" s="211"/>
      <c r="CY393" s="211"/>
      <c r="CZ393" s="211"/>
      <c r="DA393" s="211"/>
      <c r="DB393" s="211"/>
      <c r="DC393" s="211"/>
      <c r="DD393" s="211"/>
      <c r="DE393" s="211"/>
      <c r="DF393" s="60"/>
      <c r="DG393" s="60"/>
      <c r="DH393" s="60"/>
      <c r="DI393" s="60"/>
      <c r="DJ393" s="60"/>
    </row>
    <row r="394" spans="3:114" s="25" customFormat="1">
      <c r="C394" s="24"/>
      <c r="D394" s="24"/>
      <c r="G394" s="57"/>
      <c r="H394" s="57"/>
      <c r="I394" s="57"/>
      <c r="J394" s="57"/>
      <c r="K394" s="57"/>
      <c r="L394" s="57"/>
      <c r="M394" s="57"/>
      <c r="N394" s="57"/>
      <c r="O394" s="57"/>
      <c r="P394" s="57"/>
      <c r="Q394" s="57"/>
      <c r="R394" s="57"/>
      <c r="S394" s="57"/>
      <c r="T394" s="559"/>
      <c r="U394" s="29"/>
      <c r="V394" s="29"/>
      <c r="AJ394" s="1215"/>
      <c r="AK394" s="1142"/>
      <c r="AM394" s="42"/>
      <c r="AN394" s="42"/>
      <c r="AO394" s="42"/>
      <c r="AP394" s="42"/>
      <c r="AQ394" s="42"/>
      <c r="AR394" s="42"/>
      <c r="AS394" s="42"/>
      <c r="AT394" s="42"/>
      <c r="AU394" s="42"/>
      <c r="AV394" s="42"/>
      <c r="AW394" s="42"/>
      <c r="AX394" s="42"/>
      <c r="AY394" s="42"/>
      <c r="AZ394" s="42"/>
      <c r="BA394" s="42"/>
      <c r="BB394" s="42"/>
      <c r="BC394" s="42"/>
      <c r="BD394" s="42"/>
      <c r="BE394" s="42"/>
      <c r="BF394" s="42"/>
      <c r="BG394" s="42"/>
      <c r="BH394" s="42"/>
      <c r="BI394" s="42"/>
      <c r="BJ394" s="42"/>
      <c r="BK394" s="42"/>
      <c r="BL394" s="42"/>
      <c r="BM394" s="42"/>
      <c r="BN394" s="42"/>
      <c r="BO394" s="42"/>
      <c r="BP394" s="42"/>
      <c r="BQ394" s="42"/>
      <c r="BR394" s="42"/>
      <c r="BS394" s="42"/>
      <c r="BT394" s="42"/>
      <c r="BU394" s="42"/>
      <c r="BV394" s="42"/>
      <c r="BW394" s="42"/>
      <c r="BX394" s="42"/>
      <c r="BY394" s="42"/>
      <c r="BZ394" s="42"/>
      <c r="CA394" s="42"/>
      <c r="CB394" s="42"/>
      <c r="CC394" s="42"/>
      <c r="CD394" s="42"/>
      <c r="CE394" s="42"/>
      <c r="CF394" s="42"/>
      <c r="CG394" s="42"/>
      <c r="CH394" s="42"/>
      <c r="CS394" s="29"/>
      <c r="CT394" s="29"/>
      <c r="CU394" s="29"/>
      <c r="CV394" s="522"/>
      <c r="CW394" s="522"/>
      <c r="CX394" s="211"/>
      <c r="CY394" s="211"/>
      <c r="CZ394" s="211"/>
      <c r="DA394" s="211"/>
      <c r="DB394" s="211"/>
      <c r="DC394" s="211"/>
      <c r="DD394" s="211"/>
      <c r="DE394" s="211"/>
      <c r="DF394" s="60"/>
      <c r="DG394" s="60"/>
      <c r="DH394" s="60"/>
      <c r="DI394" s="60"/>
      <c r="DJ394" s="60"/>
    </row>
    <row r="395" spans="3:114" s="25" customFormat="1">
      <c r="C395" s="24"/>
      <c r="D395" s="24"/>
      <c r="G395" s="57"/>
      <c r="H395" s="57"/>
      <c r="I395" s="57"/>
      <c r="J395" s="57"/>
      <c r="K395" s="57"/>
      <c r="L395" s="57"/>
      <c r="M395" s="57"/>
      <c r="N395" s="57"/>
      <c r="O395" s="57"/>
      <c r="P395" s="57"/>
      <c r="Q395" s="57"/>
      <c r="R395" s="57"/>
      <c r="S395" s="57"/>
      <c r="T395" s="559"/>
      <c r="U395" s="29"/>
      <c r="V395" s="29"/>
      <c r="AJ395" s="1215"/>
      <c r="AK395" s="1142"/>
      <c r="AM395" s="42"/>
      <c r="AN395" s="42"/>
      <c r="AO395" s="42"/>
      <c r="AP395" s="42"/>
      <c r="AQ395" s="42"/>
      <c r="AR395" s="42"/>
      <c r="AS395" s="42"/>
      <c r="AT395" s="42"/>
      <c r="AU395" s="42"/>
      <c r="AV395" s="42"/>
      <c r="AW395" s="42"/>
      <c r="AX395" s="42"/>
      <c r="AY395" s="42"/>
      <c r="AZ395" s="42"/>
      <c r="BA395" s="42"/>
      <c r="BB395" s="42"/>
      <c r="BC395" s="42"/>
      <c r="BD395" s="42"/>
      <c r="BE395" s="42"/>
      <c r="BF395" s="42"/>
      <c r="BG395" s="42"/>
      <c r="BH395" s="42"/>
      <c r="BI395" s="42"/>
      <c r="BJ395" s="42"/>
      <c r="BK395" s="42"/>
      <c r="BL395" s="42"/>
      <c r="BM395" s="42"/>
      <c r="BN395" s="42"/>
      <c r="BO395" s="42"/>
      <c r="BP395" s="42"/>
      <c r="BQ395" s="42"/>
      <c r="BR395" s="42"/>
      <c r="BS395" s="42"/>
      <c r="BT395" s="42"/>
      <c r="BU395" s="42"/>
      <c r="BV395" s="42"/>
      <c r="BW395" s="42"/>
      <c r="BX395" s="42"/>
      <c r="BY395" s="42"/>
      <c r="BZ395" s="42"/>
      <c r="CA395" s="42"/>
      <c r="CB395" s="42"/>
      <c r="CC395" s="42"/>
      <c r="CD395" s="42"/>
      <c r="CE395" s="42"/>
      <c r="CF395" s="42"/>
      <c r="CG395" s="42"/>
      <c r="CH395" s="42"/>
      <c r="CS395" s="29"/>
      <c r="CT395" s="29"/>
      <c r="CU395" s="29"/>
      <c r="CV395" s="522"/>
      <c r="CW395" s="522"/>
      <c r="CX395" s="211"/>
      <c r="CY395" s="211"/>
      <c r="CZ395" s="211"/>
      <c r="DA395" s="211"/>
      <c r="DB395" s="211"/>
      <c r="DC395" s="211"/>
      <c r="DD395" s="211"/>
      <c r="DE395" s="211"/>
      <c r="DF395" s="60"/>
      <c r="DG395" s="60"/>
      <c r="DH395" s="60"/>
      <c r="DI395" s="60"/>
      <c r="DJ395" s="60"/>
    </row>
    <row r="396" spans="3:114" s="25" customFormat="1">
      <c r="C396" s="24"/>
      <c r="D396" s="24"/>
      <c r="G396" s="57"/>
      <c r="H396" s="57"/>
      <c r="I396" s="57"/>
      <c r="J396" s="57"/>
      <c r="K396" s="57"/>
      <c r="L396" s="57"/>
      <c r="M396" s="57"/>
      <c r="N396" s="57"/>
      <c r="O396" s="57"/>
      <c r="P396" s="57"/>
      <c r="Q396" s="57"/>
      <c r="R396" s="57"/>
      <c r="S396" s="57"/>
      <c r="T396" s="559"/>
      <c r="U396" s="29"/>
      <c r="V396" s="29"/>
      <c r="AJ396" s="1215"/>
      <c r="AK396" s="1142"/>
      <c r="AM396" s="42"/>
      <c r="AN396" s="42"/>
      <c r="AO396" s="42"/>
      <c r="AP396" s="42"/>
      <c r="AQ396" s="42"/>
      <c r="AR396" s="42"/>
      <c r="AS396" s="42"/>
      <c r="AT396" s="42"/>
      <c r="AU396" s="42"/>
      <c r="AV396" s="42"/>
      <c r="AW396" s="42"/>
      <c r="AX396" s="42"/>
      <c r="AY396" s="42"/>
      <c r="AZ396" s="42"/>
      <c r="BA396" s="42"/>
      <c r="BB396" s="42"/>
      <c r="BC396" s="42"/>
      <c r="BD396" s="42"/>
      <c r="BE396" s="42"/>
      <c r="BF396" s="42"/>
      <c r="BG396" s="42"/>
      <c r="BH396" s="42"/>
      <c r="BI396" s="42"/>
      <c r="BJ396" s="42"/>
      <c r="BK396" s="42"/>
      <c r="BL396" s="42"/>
      <c r="BM396" s="42"/>
      <c r="BN396" s="42"/>
      <c r="BO396" s="42"/>
      <c r="BP396" s="42"/>
      <c r="BQ396" s="42"/>
      <c r="BR396" s="42"/>
      <c r="BS396" s="42"/>
      <c r="BT396" s="42"/>
      <c r="BU396" s="42"/>
      <c r="BV396" s="42"/>
      <c r="BW396" s="42"/>
      <c r="BX396" s="42"/>
      <c r="BY396" s="42"/>
      <c r="BZ396" s="42"/>
      <c r="CA396" s="42"/>
      <c r="CB396" s="42"/>
      <c r="CC396" s="42"/>
      <c r="CD396" s="42"/>
      <c r="CE396" s="42"/>
      <c r="CF396" s="42"/>
      <c r="CG396" s="42"/>
      <c r="CH396" s="42"/>
      <c r="CS396" s="29"/>
      <c r="CT396" s="29"/>
      <c r="CU396" s="29"/>
      <c r="CV396" s="522"/>
      <c r="CW396" s="522"/>
      <c r="CX396" s="211"/>
      <c r="CY396" s="211"/>
      <c r="CZ396" s="211"/>
      <c r="DA396" s="211"/>
      <c r="DB396" s="211"/>
      <c r="DC396" s="211"/>
      <c r="DD396" s="211"/>
      <c r="DE396" s="211"/>
      <c r="DF396" s="60"/>
      <c r="DG396" s="60"/>
      <c r="DH396" s="60"/>
      <c r="DI396" s="60"/>
      <c r="DJ396" s="60"/>
    </row>
    <row r="397" spans="3:114" s="25" customFormat="1">
      <c r="C397" s="24"/>
      <c r="D397" s="24"/>
      <c r="G397" s="57"/>
      <c r="H397" s="57"/>
      <c r="I397" s="57"/>
      <c r="J397" s="57"/>
      <c r="K397" s="57"/>
      <c r="L397" s="57"/>
      <c r="M397" s="57"/>
      <c r="N397" s="57"/>
      <c r="O397" s="57"/>
      <c r="P397" s="57"/>
      <c r="Q397" s="57"/>
      <c r="R397" s="57"/>
      <c r="S397" s="57"/>
      <c r="T397" s="559"/>
      <c r="U397" s="29"/>
      <c r="V397" s="29"/>
      <c r="AJ397" s="1215"/>
      <c r="AK397" s="1142"/>
      <c r="AM397" s="42"/>
      <c r="AN397" s="42"/>
      <c r="AO397" s="42"/>
      <c r="AP397" s="42"/>
      <c r="AQ397" s="42"/>
      <c r="AR397" s="42"/>
      <c r="AS397" s="42"/>
      <c r="AT397" s="42"/>
      <c r="AU397" s="42"/>
      <c r="AV397" s="42"/>
      <c r="AW397" s="42"/>
      <c r="AX397" s="42"/>
      <c r="AY397" s="42"/>
      <c r="AZ397" s="42"/>
      <c r="BA397" s="42"/>
      <c r="BB397" s="42"/>
      <c r="BC397" s="42"/>
      <c r="BD397" s="42"/>
      <c r="BE397" s="42"/>
      <c r="BF397" s="42"/>
      <c r="BG397" s="42"/>
      <c r="BH397" s="42"/>
      <c r="BI397" s="42"/>
      <c r="BJ397" s="42"/>
      <c r="BK397" s="42"/>
      <c r="BL397" s="42"/>
      <c r="BM397" s="42"/>
      <c r="BN397" s="42"/>
      <c r="BO397" s="42"/>
      <c r="BP397" s="42"/>
      <c r="BQ397" s="42"/>
      <c r="BR397" s="42"/>
      <c r="BS397" s="42"/>
      <c r="BT397" s="42"/>
      <c r="BU397" s="42"/>
      <c r="BV397" s="42"/>
      <c r="BW397" s="42"/>
      <c r="BX397" s="42"/>
      <c r="BY397" s="42"/>
      <c r="BZ397" s="42"/>
      <c r="CA397" s="42"/>
      <c r="CB397" s="42"/>
      <c r="CC397" s="42"/>
      <c r="CD397" s="42"/>
      <c r="CE397" s="42"/>
      <c r="CF397" s="42"/>
      <c r="CG397" s="42"/>
      <c r="CH397" s="42"/>
      <c r="CS397" s="29"/>
      <c r="CT397" s="29"/>
      <c r="CU397" s="29"/>
      <c r="CV397" s="522"/>
      <c r="CW397" s="522"/>
      <c r="CX397" s="211"/>
      <c r="CY397" s="211"/>
      <c r="CZ397" s="211"/>
      <c r="DA397" s="211"/>
      <c r="DB397" s="211"/>
      <c r="DC397" s="211"/>
      <c r="DD397" s="211"/>
      <c r="DE397" s="211"/>
      <c r="DF397" s="60"/>
      <c r="DG397" s="60"/>
      <c r="DH397" s="60"/>
      <c r="DI397" s="60"/>
      <c r="DJ397" s="60"/>
    </row>
    <row r="398" spans="3:114" s="25" customFormat="1">
      <c r="C398" s="24"/>
      <c r="D398" s="24"/>
      <c r="G398" s="57"/>
      <c r="H398" s="57"/>
      <c r="I398" s="57"/>
      <c r="J398" s="57"/>
      <c r="K398" s="57"/>
      <c r="L398" s="57"/>
      <c r="M398" s="57"/>
      <c r="N398" s="57"/>
      <c r="O398" s="57"/>
      <c r="P398" s="57"/>
      <c r="Q398" s="57"/>
      <c r="R398" s="57"/>
      <c r="S398" s="57"/>
      <c r="T398" s="559"/>
      <c r="U398" s="29"/>
      <c r="V398" s="29"/>
      <c r="AJ398" s="1215"/>
      <c r="AK398" s="1142"/>
      <c r="AM398" s="42"/>
      <c r="AN398" s="42"/>
      <c r="AO398" s="42"/>
      <c r="AP398" s="42"/>
      <c r="AQ398" s="42"/>
      <c r="AR398" s="42"/>
      <c r="AS398" s="42"/>
      <c r="AT398" s="42"/>
      <c r="AU398" s="42"/>
      <c r="AV398" s="42"/>
      <c r="AW398" s="42"/>
      <c r="AX398" s="42"/>
      <c r="AY398" s="42"/>
      <c r="AZ398" s="42"/>
      <c r="BA398" s="42"/>
      <c r="BB398" s="42"/>
      <c r="BC398" s="42"/>
      <c r="BD398" s="42"/>
      <c r="BE398" s="42"/>
      <c r="BF398" s="42"/>
      <c r="BG398" s="42"/>
      <c r="BH398" s="42"/>
      <c r="BI398" s="42"/>
      <c r="BJ398" s="42"/>
      <c r="BK398" s="42"/>
      <c r="BL398" s="42"/>
      <c r="BM398" s="42"/>
      <c r="BN398" s="42"/>
      <c r="BO398" s="42"/>
      <c r="BP398" s="42"/>
      <c r="BQ398" s="42"/>
      <c r="BR398" s="42"/>
      <c r="BS398" s="42"/>
      <c r="BT398" s="42"/>
      <c r="BU398" s="42"/>
      <c r="BV398" s="42"/>
      <c r="BW398" s="42"/>
      <c r="BX398" s="42"/>
      <c r="BY398" s="42"/>
      <c r="BZ398" s="42"/>
      <c r="CA398" s="42"/>
      <c r="CB398" s="42"/>
      <c r="CC398" s="42"/>
      <c r="CD398" s="42"/>
      <c r="CE398" s="42"/>
      <c r="CF398" s="42"/>
      <c r="CG398" s="42"/>
      <c r="CH398" s="42"/>
      <c r="CS398" s="29"/>
      <c r="CT398" s="29"/>
      <c r="CU398" s="29"/>
      <c r="CV398" s="522"/>
      <c r="CW398" s="522"/>
      <c r="CX398" s="211"/>
      <c r="CY398" s="211"/>
      <c r="CZ398" s="211"/>
      <c r="DA398" s="211"/>
      <c r="DB398" s="211"/>
      <c r="DC398" s="211"/>
      <c r="DD398" s="211"/>
      <c r="DE398" s="211"/>
      <c r="DF398" s="60"/>
      <c r="DG398" s="60"/>
      <c r="DH398" s="60"/>
      <c r="DI398" s="60"/>
      <c r="DJ398" s="60"/>
    </row>
    <row r="399" spans="3:114" s="25" customFormat="1">
      <c r="C399" s="24"/>
      <c r="D399" s="24"/>
      <c r="G399" s="57"/>
      <c r="H399" s="57"/>
      <c r="I399" s="57"/>
      <c r="J399" s="57"/>
      <c r="K399" s="57"/>
      <c r="L399" s="57"/>
      <c r="M399" s="57"/>
      <c r="N399" s="57"/>
      <c r="O399" s="57"/>
      <c r="P399" s="57"/>
      <c r="Q399" s="57"/>
      <c r="R399" s="57"/>
      <c r="S399" s="57"/>
      <c r="T399" s="559"/>
      <c r="U399" s="29"/>
      <c r="V399" s="29"/>
      <c r="AJ399" s="1215"/>
      <c r="AK399" s="1142"/>
      <c r="AM399" s="42"/>
      <c r="AN399" s="42"/>
      <c r="AO399" s="42"/>
      <c r="AP399" s="42"/>
      <c r="AQ399" s="42"/>
      <c r="AR399" s="42"/>
      <c r="AS399" s="42"/>
      <c r="AT399" s="42"/>
      <c r="AU399" s="42"/>
      <c r="AV399" s="42"/>
      <c r="AW399" s="42"/>
      <c r="AX399" s="42"/>
      <c r="AY399" s="42"/>
      <c r="AZ399" s="42"/>
      <c r="BA399" s="42"/>
      <c r="BB399" s="42"/>
      <c r="BC399" s="42"/>
      <c r="BD399" s="42"/>
      <c r="BE399" s="42"/>
      <c r="BF399" s="42"/>
      <c r="BG399" s="42"/>
      <c r="BH399" s="42"/>
      <c r="BI399" s="42"/>
      <c r="BJ399" s="42"/>
      <c r="BK399" s="42"/>
      <c r="BL399" s="42"/>
      <c r="BM399" s="42"/>
      <c r="BN399" s="42"/>
      <c r="BO399" s="42"/>
      <c r="BP399" s="42"/>
      <c r="BQ399" s="42"/>
      <c r="BR399" s="42"/>
      <c r="BS399" s="42"/>
      <c r="BT399" s="42"/>
      <c r="BU399" s="42"/>
      <c r="BV399" s="42"/>
      <c r="BW399" s="42"/>
      <c r="BX399" s="42"/>
      <c r="BY399" s="42"/>
      <c r="BZ399" s="42"/>
      <c r="CA399" s="42"/>
      <c r="CB399" s="42"/>
      <c r="CC399" s="42"/>
      <c r="CD399" s="42"/>
      <c r="CE399" s="42"/>
      <c r="CF399" s="42"/>
      <c r="CG399" s="42"/>
      <c r="CH399" s="42"/>
      <c r="CS399" s="29"/>
      <c r="CT399" s="29"/>
      <c r="CU399" s="29"/>
      <c r="CV399" s="522"/>
      <c r="CW399" s="522"/>
      <c r="CX399" s="211"/>
      <c r="CY399" s="211"/>
      <c r="CZ399" s="211"/>
      <c r="DA399" s="211"/>
      <c r="DB399" s="211"/>
      <c r="DC399" s="211"/>
      <c r="DD399" s="211"/>
      <c r="DE399" s="211"/>
      <c r="DF399" s="60"/>
      <c r="DG399" s="60"/>
      <c r="DH399" s="60"/>
      <c r="DI399" s="60"/>
      <c r="DJ399" s="60"/>
    </row>
    <row r="400" spans="3:114" s="25" customFormat="1">
      <c r="C400" s="24"/>
      <c r="D400" s="24"/>
      <c r="G400" s="57"/>
      <c r="H400" s="57"/>
      <c r="I400" s="57"/>
      <c r="J400" s="57"/>
      <c r="K400" s="57"/>
      <c r="L400" s="57"/>
      <c r="M400" s="57"/>
      <c r="N400" s="57"/>
      <c r="O400" s="57"/>
      <c r="P400" s="57"/>
      <c r="Q400" s="57"/>
      <c r="R400" s="57"/>
      <c r="S400" s="57"/>
      <c r="T400" s="559"/>
      <c r="U400" s="29"/>
      <c r="V400" s="29"/>
      <c r="AJ400" s="1215"/>
      <c r="AK400" s="1142"/>
      <c r="AM400" s="42"/>
      <c r="AN400" s="42"/>
      <c r="AO400" s="42"/>
      <c r="AP400" s="42"/>
      <c r="AQ400" s="42"/>
      <c r="AR400" s="42"/>
      <c r="AS400" s="42"/>
      <c r="AT400" s="42"/>
      <c r="AU400" s="42"/>
      <c r="AV400" s="42"/>
      <c r="AW400" s="42"/>
      <c r="AX400" s="42"/>
      <c r="AY400" s="42"/>
      <c r="AZ400" s="42"/>
      <c r="BA400" s="42"/>
      <c r="BB400" s="42"/>
      <c r="BC400" s="42"/>
      <c r="BD400" s="42"/>
      <c r="BE400" s="42"/>
      <c r="BF400" s="42"/>
      <c r="BG400" s="42"/>
      <c r="BH400" s="42"/>
      <c r="BI400" s="42"/>
      <c r="BJ400" s="42"/>
      <c r="BK400" s="42"/>
      <c r="BL400" s="42"/>
      <c r="BM400" s="42"/>
      <c r="BN400" s="42"/>
      <c r="BO400" s="42"/>
      <c r="BP400" s="42"/>
      <c r="BQ400" s="42"/>
      <c r="BR400" s="42"/>
      <c r="BS400" s="42"/>
      <c r="BT400" s="42"/>
      <c r="BU400" s="42"/>
      <c r="BV400" s="42"/>
      <c r="BW400" s="42"/>
      <c r="BX400" s="42"/>
      <c r="BY400" s="42"/>
      <c r="BZ400" s="42"/>
      <c r="CA400" s="42"/>
      <c r="CB400" s="42"/>
      <c r="CC400" s="42"/>
      <c r="CD400" s="42"/>
      <c r="CE400" s="42"/>
      <c r="CF400" s="42"/>
      <c r="CG400" s="42"/>
      <c r="CH400" s="42"/>
      <c r="CS400" s="29"/>
      <c r="CT400" s="29"/>
      <c r="CU400" s="29"/>
      <c r="CV400" s="522"/>
      <c r="CW400" s="522"/>
      <c r="CX400" s="211"/>
      <c r="CY400" s="211"/>
      <c r="CZ400" s="211"/>
      <c r="DA400" s="211"/>
      <c r="DB400" s="211"/>
      <c r="DC400" s="211"/>
      <c r="DD400" s="211"/>
      <c r="DE400" s="211"/>
      <c r="DF400" s="60"/>
      <c r="DG400" s="60"/>
      <c r="DH400" s="60"/>
      <c r="DI400" s="60"/>
      <c r="DJ400" s="60"/>
    </row>
    <row r="401" spans="3:114" s="25" customFormat="1">
      <c r="C401" s="24"/>
      <c r="D401" s="24"/>
      <c r="G401" s="57"/>
      <c r="H401" s="57"/>
      <c r="I401" s="57"/>
      <c r="J401" s="57"/>
      <c r="K401" s="57"/>
      <c r="L401" s="57"/>
      <c r="M401" s="57"/>
      <c r="N401" s="57"/>
      <c r="O401" s="57"/>
      <c r="P401" s="57"/>
      <c r="Q401" s="57"/>
      <c r="R401" s="57"/>
      <c r="S401" s="57"/>
      <c r="T401" s="559"/>
      <c r="U401" s="29"/>
      <c r="V401" s="29"/>
      <c r="AJ401" s="1215"/>
      <c r="AK401" s="1142"/>
      <c r="AM401" s="42"/>
      <c r="AN401" s="42"/>
      <c r="AO401" s="42"/>
      <c r="AP401" s="42"/>
      <c r="AQ401" s="42"/>
      <c r="AR401" s="42"/>
      <c r="AS401" s="42"/>
      <c r="AT401" s="42"/>
      <c r="AU401" s="42"/>
      <c r="AV401" s="42"/>
      <c r="AW401" s="42"/>
      <c r="AX401" s="42"/>
      <c r="AY401" s="42"/>
      <c r="AZ401" s="42"/>
      <c r="BA401" s="42"/>
      <c r="BB401" s="42"/>
      <c r="BC401" s="42"/>
      <c r="BD401" s="42"/>
      <c r="BE401" s="42"/>
      <c r="BF401" s="42"/>
      <c r="BG401" s="42"/>
      <c r="BH401" s="42"/>
      <c r="BI401" s="42"/>
      <c r="BJ401" s="42"/>
      <c r="BK401" s="42"/>
      <c r="BL401" s="42"/>
      <c r="BM401" s="42"/>
      <c r="BN401" s="42"/>
      <c r="BO401" s="42"/>
      <c r="BP401" s="42"/>
      <c r="BQ401" s="42"/>
      <c r="BR401" s="42"/>
      <c r="BS401" s="42"/>
      <c r="BT401" s="42"/>
      <c r="BU401" s="42"/>
      <c r="BV401" s="42"/>
      <c r="BW401" s="42"/>
      <c r="BX401" s="42"/>
      <c r="BY401" s="42"/>
      <c r="BZ401" s="42"/>
      <c r="CA401" s="42"/>
      <c r="CB401" s="42"/>
      <c r="CC401" s="42"/>
      <c r="CD401" s="42"/>
      <c r="CE401" s="42"/>
      <c r="CF401" s="42"/>
      <c r="CG401" s="42"/>
      <c r="CH401" s="42"/>
      <c r="CS401" s="29"/>
      <c r="CT401" s="29"/>
      <c r="CU401" s="29"/>
      <c r="CV401" s="522"/>
      <c r="CW401" s="522"/>
      <c r="CX401" s="211"/>
      <c r="CY401" s="211"/>
      <c r="CZ401" s="211"/>
      <c r="DA401" s="211"/>
      <c r="DB401" s="211"/>
      <c r="DC401" s="211"/>
      <c r="DD401" s="211"/>
      <c r="DE401" s="211"/>
      <c r="DF401" s="60"/>
      <c r="DG401" s="60"/>
      <c r="DH401" s="60"/>
      <c r="DI401" s="60"/>
      <c r="DJ401" s="60"/>
    </row>
    <row r="402" spans="3:114" s="25" customFormat="1">
      <c r="C402" s="24"/>
      <c r="D402" s="24"/>
      <c r="G402" s="57"/>
      <c r="H402" s="57"/>
      <c r="I402" s="57"/>
      <c r="J402" s="57"/>
      <c r="K402" s="57"/>
      <c r="L402" s="57"/>
      <c r="M402" s="57"/>
      <c r="N402" s="57"/>
      <c r="O402" s="57"/>
      <c r="P402" s="57"/>
      <c r="Q402" s="57"/>
      <c r="R402" s="57"/>
      <c r="S402" s="57"/>
      <c r="T402" s="559"/>
      <c r="U402" s="29"/>
      <c r="V402" s="29"/>
      <c r="AJ402" s="1215"/>
      <c r="AK402" s="1142"/>
      <c r="AM402" s="42"/>
      <c r="AN402" s="42"/>
      <c r="AO402" s="42"/>
      <c r="AP402" s="42"/>
      <c r="AQ402" s="42"/>
      <c r="AR402" s="42"/>
      <c r="AS402" s="42"/>
      <c r="AT402" s="42"/>
      <c r="AU402" s="42"/>
      <c r="AV402" s="42"/>
      <c r="AW402" s="42"/>
      <c r="AX402" s="42"/>
      <c r="AY402" s="42"/>
      <c r="AZ402" s="42"/>
      <c r="BA402" s="42"/>
      <c r="BB402" s="42"/>
      <c r="BC402" s="42"/>
      <c r="BD402" s="42"/>
      <c r="BE402" s="42"/>
      <c r="BF402" s="42"/>
      <c r="BG402" s="42"/>
      <c r="BH402" s="42"/>
      <c r="BI402" s="42"/>
      <c r="BJ402" s="42"/>
      <c r="BK402" s="42"/>
      <c r="BL402" s="42"/>
      <c r="BM402" s="42"/>
      <c r="BN402" s="42"/>
      <c r="BO402" s="42"/>
      <c r="BP402" s="42"/>
      <c r="BQ402" s="42"/>
      <c r="BR402" s="42"/>
      <c r="BS402" s="42"/>
      <c r="BT402" s="42"/>
      <c r="BU402" s="42"/>
      <c r="BV402" s="42"/>
      <c r="BW402" s="42"/>
      <c r="BX402" s="42"/>
      <c r="BY402" s="42"/>
      <c r="BZ402" s="42"/>
      <c r="CA402" s="42"/>
      <c r="CB402" s="42"/>
      <c r="CC402" s="42"/>
      <c r="CD402" s="42"/>
      <c r="CE402" s="42"/>
      <c r="CF402" s="42"/>
      <c r="CG402" s="42"/>
      <c r="CH402" s="42"/>
      <c r="CS402" s="29"/>
      <c r="CT402" s="29"/>
      <c r="CU402" s="29"/>
      <c r="CV402" s="522"/>
      <c r="CW402" s="522"/>
      <c r="CX402" s="211"/>
      <c r="CY402" s="211"/>
      <c r="CZ402" s="211"/>
      <c r="DA402" s="211"/>
      <c r="DB402" s="211"/>
      <c r="DC402" s="211"/>
      <c r="DD402" s="211"/>
      <c r="DE402" s="211"/>
      <c r="DF402" s="60"/>
      <c r="DG402" s="60"/>
      <c r="DH402" s="60"/>
      <c r="DI402" s="60"/>
      <c r="DJ402" s="60"/>
    </row>
    <row r="403" spans="3:114" s="25" customFormat="1">
      <c r="C403" s="24"/>
      <c r="D403" s="24"/>
      <c r="G403" s="57"/>
      <c r="H403" s="57"/>
      <c r="I403" s="57"/>
      <c r="J403" s="57"/>
      <c r="K403" s="57"/>
      <c r="L403" s="57"/>
      <c r="M403" s="57"/>
      <c r="N403" s="57"/>
      <c r="O403" s="57"/>
      <c r="P403" s="57"/>
      <c r="Q403" s="57"/>
      <c r="R403" s="57"/>
      <c r="S403" s="57"/>
      <c r="T403" s="559"/>
      <c r="U403" s="29"/>
      <c r="V403" s="29"/>
      <c r="AJ403" s="1215"/>
      <c r="AK403" s="1142"/>
      <c r="AM403" s="42"/>
      <c r="AN403" s="42"/>
      <c r="AO403" s="42"/>
      <c r="AP403" s="42"/>
      <c r="AQ403" s="42"/>
      <c r="AR403" s="42"/>
      <c r="AS403" s="42"/>
      <c r="AT403" s="42"/>
      <c r="AU403" s="42"/>
      <c r="AV403" s="42"/>
      <c r="AW403" s="42"/>
      <c r="AX403" s="42"/>
      <c r="AY403" s="42"/>
      <c r="AZ403" s="42"/>
      <c r="BA403" s="42"/>
      <c r="BB403" s="42"/>
      <c r="BC403" s="42"/>
      <c r="BD403" s="42"/>
      <c r="BE403" s="42"/>
      <c r="BF403" s="42"/>
      <c r="BG403" s="42"/>
      <c r="BH403" s="42"/>
      <c r="BI403" s="42"/>
      <c r="BJ403" s="42"/>
      <c r="BK403" s="42"/>
      <c r="BL403" s="42"/>
      <c r="BM403" s="42"/>
      <c r="BN403" s="42"/>
      <c r="BO403" s="42"/>
      <c r="BP403" s="42"/>
      <c r="BQ403" s="42"/>
      <c r="BR403" s="42"/>
      <c r="BS403" s="42"/>
      <c r="BT403" s="42"/>
      <c r="BU403" s="42"/>
      <c r="BV403" s="42"/>
      <c r="BW403" s="42"/>
      <c r="BX403" s="42"/>
      <c r="BY403" s="42"/>
      <c r="BZ403" s="42"/>
      <c r="CA403" s="42"/>
      <c r="CB403" s="42"/>
      <c r="CC403" s="42"/>
      <c r="CD403" s="42"/>
      <c r="CE403" s="42"/>
      <c r="CF403" s="42"/>
      <c r="CG403" s="42"/>
      <c r="CH403" s="42"/>
      <c r="CS403" s="29"/>
      <c r="CT403" s="29"/>
      <c r="CU403" s="29"/>
      <c r="CV403" s="522"/>
      <c r="CW403" s="522"/>
      <c r="CX403" s="211"/>
      <c r="CY403" s="211"/>
      <c r="CZ403" s="211"/>
      <c r="DA403" s="211"/>
      <c r="DB403" s="211"/>
      <c r="DC403" s="211"/>
      <c r="DD403" s="211"/>
      <c r="DE403" s="211"/>
      <c r="DF403" s="60"/>
      <c r="DG403" s="60"/>
      <c r="DH403" s="60"/>
      <c r="DI403" s="60"/>
      <c r="DJ403" s="60"/>
    </row>
    <row r="404" spans="3:114" s="25" customFormat="1">
      <c r="C404" s="24"/>
      <c r="D404" s="24"/>
      <c r="G404" s="57"/>
      <c r="H404" s="57"/>
      <c r="I404" s="57"/>
      <c r="J404" s="57"/>
      <c r="K404" s="57"/>
      <c r="L404" s="57"/>
      <c r="M404" s="57"/>
      <c r="N404" s="57"/>
      <c r="O404" s="57"/>
      <c r="P404" s="57"/>
      <c r="Q404" s="57"/>
      <c r="R404" s="57"/>
      <c r="S404" s="57"/>
      <c r="T404" s="559"/>
      <c r="U404" s="29"/>
      <c r="V404" s="29"/>
      <c r="AJ404" s="1215"/>
      <c r="AK404" s="1142"/>
      <c r="AM404" s="42"/>
      <c r="AN404" s="42"/>
      <c r="AO404" s="42"/>
      <c r="AP404" s="42"/>
      <c r="AQ404" s="42"/>
      <c r="AR404" s="42"/>
      <c r="AS404" s="42"/>
      <c r="AT404" s="42"/>
      <c r="AU404" s="42"/>
      <c r="AV404" s="42"/>
      <c r="AW404" s="42"/>
      <c r="AX404" s="42"/>
      <c r="AY404" s="42"/>
      <c r="AZ404" s="42"/>
      <c r="BA404" s="42"/>
      <c r="BB404" s="42"/>
      <c r="BC404" s="42"/>
      <c r="BD404" s="42"/>
      <c r="BE404" s="42"/>
      <c r="BF404" s="42"/>
      <c r="BG404" s="42"/>
      <c r="BH404" s="42"/>
      <c r="BI404" s="42"/>
      <c r="BJ404" s="42"/>
      <c r="BK404" s="42"/>
      <c r="BL404" s="42"/>
      <c r="BM404" s="42"/>
      <c r="BN404" s="42"/>
      <c r="BO404" s="42"/>
      <c r="BP404" s="42"/>
      <c r="BQ404" s="42"/>
      <c r="BR404" s="42"/>
      <c r="BS404" s="42"/>
      <c r="BT404" s="42"/>
      <c r="BU404" s="42"/>
      <c r="BV404" s="42"/>
      <c r="BW404" s="42"/>
      <c r="BX404" s="42"/>
      <c r="BY404" s="42"/>
      <c r="BZ404" s="42"/>
      <c r="CA404" s="42"/>
      <c r="CB404" s="42"/>
      <c r="CC404" s="42"/>
      <c r="CD404" s="42"/>
      <c r="CE404" s="42"/>
      <c r="CF404" s="42"/>
      <c r="CG404" s="42"/>
      <c r="CH404" s="42"/>
      <c r="CS404" s="29"/>
      <c r="CT404" s="29"/>
      <c r="CU404" s="29"/>
      <c r="CV404" s="522"/>
      <c r="CW404" s="522"/>
      <c r="CX404" s="211"/>
      <c r="CY404" s="211"/>
      <c r="CZ404" s="211"/>
      <c r="DA404" s="211"/>
      <c r="DB404" s="211"/>
      <c r="DC404" s="211"/>
      <c r="DD404" s="211"/>
      <c r="DE404" s="211"/>
      <c r="DF404" s="60"/>
      <c r="DG404" s="60"/>
      <c r="DH404" s="60"/>
      <c r="DI404" s="60"/>
      <c r="DJ404" s="60"/>
    </row>
    <row r="405" spans="3:114" s="25" customFormat="1">
      <c r="C405" s="24"/>
      <c r="D405" s="24"/>
      <c r="G405" s="57"/>
      <c r="H405" s="57"/>
      <c r="I405" s="57"/>
      <c r="J405" s="57"/>
      <c r="K405" s="57"/>
      <c r="L405" s="57"/>
      <c r="M405" s="57"/>
      <c r="N405" s="57"/>
      <c r="O405" s="57"/>
      <c r="P405" s="57"/>
      <c r="Q405" s="57"/>
      <c r="R405" s="57"/>
      <c r="S405" s="57"/>
      <c r="T405" s="559"/>
      <c r="U405" s="29"/>
      <c r="V405" s="29"/>
      <c r="AJ405" s="1215"/>
      <c r="AK405" s="1142"/>
      <c r="AM405" s="42"/>
      <c r="AN405" s="42"/>
      <c r="AO405" s="42"/>
      <c r="AP405" s="42"/>
      <c r="AQ405" s="42"/>
      <c r="AR405" s="42"/>
      <c r="AS405" s="42"/>
      <c r="AT405" s="42"/>
      <c r="AU405" s="42"/>
      <c r="AV405" s="42"/>
      <c r="AW405" s="42"/>
      <c r="AX405" s="42"/>
      <c r="AY405" s="42"/>
      <c r="AZ405" s="42"/>
      <c r="BA405" s="42"/>
      <c r="BB405" s="42"/>
      <c r="BC405" s="42"/>
      <c r="BD405" s="42"/>
      <c r="BE405" s="42"/>
      <c r="BF405" s="42"/>
      <c r="BG405" s="42"/>
      <c r="BH405" s="42"/>
      <c r="BI405" s="42"/>
      <c r="BJ405" s="42"/>
      <c r="BK405" s="42"/>
      <c r="BL405" s="42"/>
      <c r="BM405" s="42"/>
      <c r="BN405" s="42"/>
      <c r="BO405" s="42"/>
      <c r="BP405" s="42"/>
      <c r="BQ405" s="42"/>
      <c r="BR405" s="42"/>
      <c r="BS405" s="42"/>
      <c r="BT405" s="42"/>
      <c r="BU405" s="42"/>
      <c r="BV405" s="42"/>
      <c r="BW405" s="42"/>
      <c r="BX405" s="42"/>
      <c r="BY405" s="42"/>
      <c r="BZ405" s="42"/>
      <c r="CA405" s="42"/>
      <c r="CB405" s="42"/>
      <c r="CC405" s="42"/>
      <c r="CD405" s="42"/>
      <c r="CE405" s="42"/>
      <c r="CF405" s="42"/>
      <c r="CG405" s="42"/>
      <c r="CH405" s="42"/>
      <c r="CS405" s="29"/>
      <c r="CT405" s="29"/>
      <c r="CU405" s="29"/>
      <c r="CV405" s="522"/>
      <c r="CW405" s="522"/>
      <c r="CX405" s="211"/>
      <c r="CY405" s="211"/>
      <c r="CZ405" s="211"/>
      <c r="DA405" s="211"/>
      <c r="DB405" s="211"/>
      <c r="DC405" s="211"/>
      <c r="DD405" s="211"/>
      <c r="DE405" s="211"/>
      <c r="DF405" s="60"/>
      <c r="DG405" s="60"/>
      <c r="DH405" s="60"/>
      <c r="DI405" s="60"/>
      <c r="DJ405" s="60"/>
    </row>
    <row r="406" spans="3:114" s="25" customFormat="1">
      <c r="C406" s="24"/>
      <c r="D406" s="24"/>
      <c r="G406" s="57"/>
      <c r="H406" s="57"/>
      <c r="I406" s="57"/>
      <c r="J406" s="57"/>
      <c r="K406" s="57"/>
      <c r="L406" s="57"/>
      <c r="M406" s="57"/>
      <c r="N406" s="57"/>
      <c r="O406" s="57"/>
      <c r="P406" s="57"/>
      <c r="Q406" s="57"/>
      <c r="R406" s="57"/>
      <c r="S406" s="57"/>
      <c r="T406" s="559"/>
      <c r="U406" s="29"/>
      <c r="V406" s="29"/>
      <c r="AJ406" s="1215"/>
      <c r="AK406" s="1142"/>
      <c r="AM406" s="42"/>
      <c r="AN406" s="42"/>
      <c r="AO406" s="42"/>
      <c r="AP406" s="42"/>
      <c r="AQ406" s="42"/>
      <c r="AR406" s="42"/>
      <c r="AS406" s="42"/>
      <c r="AT406" s="42"/>
      <c r="AU406" s="42"/>
      <c r="AV406" s="42"/>
      <c r="AW406" s="42"/>
      <c r="AX406" s="42"/>
      <c r="AY406" s="42"/>
      <c r="AZ406" s="42"/>
      <c r="BA406" s="42"/>
      <c r="BB406" s="42"/>
      <c r="BC406" s="42"/>
      <c r="BD406" s="42"/>
      <c r="BE406" s="42"/>
      <c r="BF406" s="42"/>
      <c r="BG406" s="42"/>
      <c r="BH406" s="42"/>
      <c r="BI406" s="42"/>
      <c r="BJ406" s="42"/>
      <c r="BK406" s="42"/>
      <c r="BL406" s="42"/>
      <c r="BM406" s="42"/>
      <c r="BN406" s="42"/>
      <c r="BO406" s="42"/>
      <c r="BP406" s="42"/>
      <c r="BQ406" s="42"/>
      <c r="BR406" s="42"/>
      <c r="BS406" s="42"/>
      <c r="BT406" s="42"/>
      <c r="BU406" s="42"/>
      <c r="BV406" s="42"/>
      <c r="BW406" s="42"/>
      <c r="BX406" s="42"/>
      <c r="BY406" s="42"/>
      <c r="BZ406" s="42"/>
      <c r="CA406" s="42"/>
      <c r="CB406" s="42"/>
      <c r="CC406" s="42"/>
      <c r="CD406" s="42"/>
      <c r="CE406" s="42"/>
      <c r="CF406" s="42"/>
      <c r="CG406" s="42"/>
      <c r="CH406" s="42"/>
      <c r="CS406" s="29"/>
      <c r="CT406" s="29"/>
      <c r="CU406" s="29"/>
      <c r="CV406" s="522"/>
      <c r="CW406" s="522"/>
      <c r="CX406" s="211"/>
      <c r="CY406" s="211"/>
      <c r="CZ406" s="211"/>
      <c r="DA406" s="211"/>
      <c r="DB406" s="211"/>
      <c r="DC406" s="211"/>
      <c r="DD406" s="211"/>
      <c r="DE406" s="211"/>
      <c r="DF406" s="60"/>
      <c r="DG406" s="60"/>
      <c r="DH406" s="60"/>
      <c r="DI406" s="60"/>
      <c r="DJ406" s="60"/>
    </row>
    <row r="407" spans="3:114" s="25" customFormat="1">
      <c r="C407" s="24"/>
      <c r="D407" s="24"/>
      <c r="G407" s="57"/>
      <c r="H407" s="57"/>
      <c r="I407" s="57"/>
      <c r="J407" s="57"/>
      <c r="K407" s="57"/>
      <c r="L407" s="57"/>
      <c r="M407" s="57"/>
      <c r="N407" s="57"/>
      <c r="O407" s="57"/>
      <c r="P407" s="57"/>
      <c r="Q407" s="57"/>
      <c r="R407" s="57"/>
      <c r="S407" s="57"/>
      <c r="T407" s="559"/>
      <c r="U407" s="29"/>
      <c r="V407" s="29"/>
      <c r="AJ407" s="1215"/>
      <c r="AK407" s="1142"/>
      <c r="AM407" s="42"/>
      <c r="AN407" s="42"/>
      <c r="AO407" s="42"/>
      <c r="AP407" s="42"/>
      <c r="AQ407" s="42"/>
      <c r="AR407" s="42"/>
      <c r="AS407" s="42"/>
      <c r="AT407" s="42"/>
      <c r="AU407" s="42"/>
      <c r="AV407" s="42"/>
      <c r="AW407" s="42"/>
      <c r="AX407" s="42"/>
      <c r="AY407" s="42"/>
      <c r="AZ407" s="42"/>
      <c r="BA407" s="42"/>
      <c r="BB407" s="42"/>
      <c r="BC407" s="42"/>
      <c r="BD407" s="42"/>
      <c r="BE407" s="42"/>
      <c r="BF407" s="42"/>
      <c r="BG407" s="42"/>
      <c r="BH407" s="42"/>
      <c r="BI407" s="42"/>
      <c r="BJ407" s="42"/>
      <c r="BK407" s="42"/>
      <c r="BL407" s="42"/>
      <c r="BM407" s="42"/>
      <c r="BN407" s="42"/>
      <c r="BO407" s="42"/>
      <c r="BP407" s="42"/>
      <c r="BQ407" s="42"/>
      <c r="BR407" s="42"/>
      <c r="BS407" s="42"/>
      <c r="BT407" s="42"/>
      <c r="BU407" s="42"/>
      <c r="BV407" s="42"/>
      <c r="BW407" s="42"/>
      <c r="BX407" s="42"/>
      <c r="BY407" s="42"/>
      <c r="BZ407" s="42"/>
      <c r="CA407" s="42"/>
      <c r="CB407" s="42"/>
      <c r="CC407" s="42"/>
      <c r="CD407" s="42"/>
      <c r="CE407" s="42"/>
      <c r="CF407" s="42"/>
      <c r="CG407" s="42"/>
      <c r="CH407" s="42"/>
      <c r="CS407" s="29"/>
      <c r="CT407" s="29"/>
      <c r="CU407" s="29"/>
      <c r="CV407" s="522"/>
      <c r="CW407" s="522"/>
      <c r="CX407" s="211"/>
      <c r="CY407" s="211"/>
      <c r="CZ407" s="211"/>
      <c r="DA407" s="211"/>
      <c r="DB407" s="211"/>
      <c r="DC407" s="211"/>
      <c r="DD407" s="211"/>
      <c r="DE407" s="211"/>
      <c r="DF407" s="60"/>
      <c r="DG407" s="60"/>
      <c r="DH407" s="60"/>
      <c r="DI407" s="60"/>
      <c r="DJ407" s="60"/>
    </row>
    <row r="408" spans="3:114" s="25" customFormat="1">
      <c r="C408" s="24"/>
      <c r="D408" s="24"/>
      <c r="G408" s="57"/>
      <c r="H408" s="57"/>
      <c r="I408" s="57"/>
      <c r="J408" s="57"/>
      <c r="K408" s="57"/>
      <c r="L408" s="57"/>
      <c r="M408" s="57"/>
      <c r="N408" s="57"/>
      <c r="O408" s="57"/>
      <c r="P408" s="57"/>
      <c r="Q408" s="57"/>
      <c r="R408" s="57"/>
      <c r="S408" s="57"/>
      <c r="T408" s="559"/>
      <c r="U408" s="29"/>
      <c r="V408" s="29"/>
      <c r="AJ408" s="1215"/>
      <c r="AK408" s="1142"/>
      <c r="AM408" s="42"/>
      <c r="AN408" s="42"/>
      <c r="AO408" s="42"/>
      <c r="AP408" s="42"/>
      <c r="AQ408" s="42"/>
      <c r="AR408" s="42"/>
      <c r="AS408" s="42"/>
      <c r="AT408" s="42"/>
      <c r="AU408" s="42"/>
      <c r="AV408" s="42"/>
      <c r="AW408" s="42"/>
      <c r="AX408" s="42"/>
      <c r="AY408" s="42"/>
      <c r="AZ408" s="42"/>
      <c r="BA408" s="42"/>
      <c r="BB408" s="42"/>
      <c r="BC408" s="42"/>
      <c r="BD408" s="42"/>
      <c r="BE408" s="42"/>
      <c r="BF408" s="42"/>
      <c r="BG408" s="42"/>
      <c r="BH408" s="42"/>
      <c r="BI408" s="42"/>
      <c r="BJ408" s="42"/>
      <c r="BK408" s="42"/>
      <c r="BL408" s="42"/>
      <c r="BM408" s="42"/>
      <c r="BN408" s="42"/>
      <c r="BO408" s="42"/>
      <c r="BP408" s="42"/>
      <c r="BQ408" s="42"/>
      <c r="BR408" s="42"/>
      <c r="BS408" s="42"/>
      <c r="BT408" s="42"/>
      <c r="BU408" s="42"/>
      <c r="BV408" s="42"/>
      <c r="BW408" s="42"/>
      <c r="BX408" s="42"/>
      <c r="BY408" s="42"/>
      <c r="BZ408" s="42"/>
      <c r="CA408" s="42"/>
      <c r="CB408" s="42"/>
      <c r="CC408" s="42"/>
      <c r="CD408" s="42"/>
      <c r="CE408" s="42"/>
      <c r="CF408" s="42"/>
      <c r="CG408" s="42"/>
      <c r="CH408" s="42"/>
      <c r="CS408" s="29"/>
      <c r="CT408" s="29"/>
      <c r="CU408" s="29"/>
      <c r="CV408" s="522"/>
      <c r="CW408" s="522"/>
      <c r="CX408" s="211"/>
      <c r="CY408" s="211"/>
      <c r="CZ408" s="211"/>
      <c r="DA408" s="211"/>
      <c r="DB408" s="211"/>
      <c r="DC408" s="211"/>
      <c r="DD408" s="211"/>
      <c r="DE408" s="211"/>
      <c r="DF408" s="60"/>
      <c r="DG408" s="60"/>
      <c r="DH408" s="60"/>
      <c r="DI408" s="60"/>
      <c r="DJ408" s="60"/>
    </row>
    <row r="409" spans="3:114" s="25" customFormat="1">
      <c r="C409" s="24"/>
      <c r="D409" s="24"/>
      <c r="G409" s="57"/>
      <c r="H409" s="57"/>
      <c r="I409" s="57"/>
      <c r="J409" s="57"/>
      <c r="K409" s="57"/>
      <c r="L409" s="57"/>
      <c r="M409" s="57"/>
      <c r="N409" s="57"/>
      <c r="O409" s="57"/>
      <c r="P409" s="57"/>
      <c r="Q409" s="57"/>
      <c r="R409" s="57"/>
      <c r="S409" s="57"/>
      <c r="T409" s="559"/>
      <c r="U409" s="29"/>
      <c r="V409" s="29"/>
      <c r="AJ409" s="1215"/>
      <c r="AK409" s="1142"/>
      <c r="AM409" s="42"/>
      <c r="AN409" s="42"/>
      <c r="AO409" s="42"/>
      <c r="AP409" s="42"/>
      <c r="AQ409" s="42"/>
      <c r="AR409" s="42"/>
      <c r="AS409" s="42"/>
      <c r="AT409" s="42"/>
      <c r="AU409" s="42"/>
      <c r="AV409" s="42"/>
      <c r="AW409" s="42"/>
      <c r="AX409" s="42"/>
      <c r="AY409" s="42"/>
      <c r="AZ409" s="42"/>
      <c r="BA409" s="42"/>
      <c r="BB409" s="42"/>
      <c r="BC409" s="42"/>
      <c r="BD409" s="42"/>
      <c r="BE409" s="42"/>
      <c r="BF409" s="42"/>
      <c r="BG409" s="42"/>
      <c r="BH409" s="42"/>
      <c r="BI409" s="42"/>
      <c r="BJ409" s="42"/>
      <c r="BK409" s="42"/>
      <c r="BL409" s="42"/>
      <c r="BM409" s="42"/>
      <c r="BN409" s="42"/>
      <c r="BO409" s="42"/>
      <c r="BP409" s="42"/>
      <c r="BQ409" s="42"/>
      <c r="BR409" s="42"/>
      <c r="BS409" s="42"/>
      <c r="BT409" s="42"/>
      <c r="BU409" s="42"/>
      <c r="BV409" s="42"/>
      <c r="BW409" s="42"/>
      <c r="BX409" s="42"/>
      <c r="BY409" s="42"/>
      <c r="BZ409" s="42"/>
      <c r="CA409" s="42"/>
      <c r="CB409" s="42"/>
      <c r="CC409" s="42"/>
      <c r="CD409" s="42"/>
      <c r="CE409" s="42"/>
      <c r="CF409" s="42"/>
      <c r="CG409" s="42"/>
      <c r="CH409" s="42"/>
      <c r="CS409" s="29"/>
      <c r="CT409" s="29"/>
      <c r="CU409" s="29"/>
      <c r="CV409" s="522"/>
      <c r="CW409" s="522"/>
      <c r="CX409" s="211"/>
      <c r="CY409" s="211"/>
      <c r="CZ409" s="211"/>
      <c r="DA409" s="211"/>
      <c r="DB409" s="211"/>
      <c r="DC409" s="211"/>
      <c r="DD409" s="211"/>
      <c r="DE409" s="211"/>
      <c r="DF409" s="60"/>
      <c r="DG409" s="60"/>
      <c r="DH409" s="60"/>
      <c r="DI409" s="60"/>
      <c r="DJ409" s="60"/>
    </row>
    <row r="410" spans="3:114" s="25" customFormat="1">
      <c r="C410" s="24"/>
      <c r="D410" s="24"/>
      <c r="G410" s="57"/>
      <c r="H410" s="57"/>
      <c r="I410" s="57"/>
      <c r="J410" s="57"/>
      <c r="K410" s="57"/>
      <c r="L410" s="57"/>
      <c r="M410" s="57"/>
      <c r="N410" s="57"/>
      <c r="O410" s="57"/>
      <c r="P410" s="57"/>
      <c r="Q410" s="57"/>
      <c r="R410" s="57"/>
      <c r="S410" s="57"/>
      <c r="T410" s="559"/>
      <c r="U410" s="29"/>
      <c r="V410" s="29"/>
      <c r="AJ410" s="1215"/>
      <c r="AK410" s="1142"/>
      <c r="AM410" s="42"/>
      <c r="AN410" s="42"/>
      <c r="AO410" s="42"/>
      <c r="AP410" s="42"/>
      <c r="AQ410" s="42"/>
      <c r="AR410" s="42"/>
      <c r="AS410" s="42"/>
      <c r="AT410" s="42"/>
      <c r="AU410" s="42"/>
      <c r="AV410" s="42"/>
      <c r="AW410" s="42"/>
      <c r="AX410" s="42"/>
      <c r="AY410" s="42"/>
      <c r="AZ410" s="42"/>
      <c r="BA410" s="42"/>
      <c r="BB410" s="42"/>
      <c r="BC410" s="42"/>
      <c r="BD410" s="42"/>
      <c r="BE410" s="42"/>
      <c r="BF410" s="42"/>
      <c r="BG410" s="42"/>
      <c r="BH410" s="42"/>
      <c r="BI410" s="42"/>
      <c r="BJ410" s="42"/>
      <c r="BK410" s="42"/>
      <c r="BL410" s="42"/>
      <c r="BM410" s="42"/>
      <c r="BN410" s="42"/>
      <c r="BO410" s="42"/>
      <c r="BP410" s="42"/>
      <c r="BQ410" s="42"/>
      <c r="BR410" s="42"/>
      <c r="BS410" s="42"/>
      <c r="BT410" s="42"/>
      <c r="BU410" s="42"/>
      <c r="BV410" s="42"/>
      <c r="BW410" s="42"/>
      <c r="BX410" s="42"/>
      <c r="BY410" s="42"/>
      <c r="BZ410" s="42"/>
      <c r="CA410" s="42"/>
      <c r="CB410" s="42"/>
      <c r="CC410" s="42"/>
      <c r="CD410" s="42"/>
      <c r="CE410" s="42"/>
      <c r="CF410" s="42"/>
      <c r="CG410" s="42"/>
      <c r="CH410" s="42"/>
      <c r="CS410" s="29"/>
      <c r="CT410" s="29"/>
      <c r="CU410" s="29"/>
      <c r="CV410" s="522"/>
      <c r="CW410" s="522"/>
      <c r="CX410" s="211"/>
      <c r="CY410" s="211"/>
      <c r="CZ410" s="211"/>
      <c r="DA410" s="211"/>
      <c r="DB410" s="211"/>
      <c r="DC410" s="211"/>
      <c r="DD410" s="211"/>
      <c r="DE410" s="211"/>
      <c r="DF410" s="60"/>
      <c r="DG410" s="60"/>
      <c r="DH410" s="60"/>
      <c r="DI410" s="60"/>
      <c r="DJ410" s="60"/>
    </row>
    <row r="411" spans="3:114" s="25" customFormat="1">
      <c r="C411" s="24"/>
      <c r="D411" s="24"/>
      <c r="G411" s="57"/>
      <c r="H411" s="57"/>
      <c r="I411" s="57"/>
      <c r="J411" s="57"/>
      <c r="K411" s="57"/>
      <c r="L411" s="57"/>
      <c r="M411" s="57"/>
      <c r="N411" s="57"/>
      <c r="O411" s="57"/>
      <c r="P411" s="57"/>
      <c r="Q411" s="57"/>
      <c r="R411" s="57"/>
      <c r="S411" s="57"/>
      <c r="T411" s="559"/>
      <c r="U411" s="29"/>
      <c r="V411" s="29"/>
      <c r="AJ411" s="1215"/>
      <c r="AK411" s="1142"/>
      <c r="AM411" s="42"/>
      <c r="AN411" s="42"/>
      <c r="AO411" s="42"/>
      <c r="AP411" s="42"/>
      <c r="AQ411" s="42"/>
      <c r="AR411" s="42"/>
      <c r="AS411" s="42"/>
      <c r="AT411" s="42"/>
      <c r="AU411" s="42"/>
      <c r="AV411" s="42"/>
      <c r="AW411" s="42"/>
      <c r="AX411" s="42"/>
      <c r="AY411" s="42"/>
      <c r="AZ411" s="42"/>
      <c r="BA411" s="42"/>
      <c r="BB411" s="42"/>
      <c r="BC411" s="42"/>
      <c r="BD411" s="42"/>
      <c r="BE411" s="42"/>
      <c r="BF411" s="42"/>
      <c r="BG411" s="42"/>
      <c r="BH411" s="42"/>
      <c r="BI411" s="42"/>
      <c r="BJ411" s="42"/>
      <c r="BK411" s="42"/>
      <c r="BL411" s="42"/>
      <c r="BM411" s="42"/>
      <c r="BN411" s="42"/>
      <c r="BO411" s="42"/>
      <c r="BP411" s="42"/>
      <c r="BQ411" s="42"/>
      <c r="BR411" s="42"/>
      <c r="BS411" s="42"/>
      <c r="BT411" s="42"/>
      <c r="BU411" s="42"/>
      <c r="BV411" s="42"/>
      <c r="BW411" s="42"/>
      <c r="BX411" s="42"/>
      <c r="BY411" s="42"/>
      <c r="BZ411" s="42"/>
      <c r="CA411" s="42"/>
      <c r="CB411" s="42"/>
      <c r="CC411" s="42"/>
      <c r="CD411" s="42"/>
      <c r="CE411" s="42"/>
      <c r="CF411" s="42"/>
      <c r="CG411" s="42"/>
      <c r="CH411" s="42"/>
      <c r="CS411" s="29"/>
      <c r="CT411" s="29"/>
      <c r="CU411" s="29"/>
      <c r="CV411" s="522"/>
      <c r="CW411" s="522"/>
      <c r="CX411" s="211"/>
      <c r="CY411" s="211"/>
      <c r="CZ411" s="211"/>
      <c r="DA411" s="211"/>
      <c r="DB411" s="211"/>
      <c r="DC411" s="211"/>
      <c r="DD411" s="211"/>
      <c r="DE411" s="211"/>
      <c r="DF411" s="60"/>
      <c r="DG411" s="60"/>
      <c r="DH411" s="60"/>
      <c r="DI411" s="60"/>
      <c r="DJ411" s="60"/>
    </row>
    <row r="412" spans="3:114" s="25" customFormat="1">
      <c r="C412" s="24"/>
      <c r="D412" s="24"/>
      <c r="G412" s="57"/>
      <c r="H412" s="57"/>
      <c r="I412" s="57"/>
      <c r="J412" s="57"/>
      <c r="K412" s="57"/>
      <c r="L412" s="57"/>
      <c r="M412" s="57"/>
      <c r="N412" s="57"/>
      <c r="O412" s="57"/>
      <c r="P412" s="57"/>
      <c r="Q412" s="57"/>
      <c r="R412" s="57"/>
      <c r="S412" s="57"/>
      <c r="T412" s="559"/>
      <c r="U412" s="29"/>
      <c r="V412" s="29"/>
      <c r="AJ412" s="1215"/>
      <c r="AK412" s="1142"/>
      <c r="AM412" s="42"/>
      <c r="AN412" s="42"/>
      <c r="AO412" s="42"/>
      <c r="AP412" s="42"/>
      <c r="AQ412" s="42"/>
      <c r="AR412" s="42"/>
      <c r="AS412" s="42"/>
      <c r="AT412" s="42"/>
      <c r="AU412" s="42"/>
      <c r="AV412" s="42"/>
      <c r="AW412" s="42"/>
      <c r="AX412" s="42"/>
      <c r="AY412" s="42"/>
      <c r="AZ412" s="42"/>
      <c r="BA412" s="42"/>
      <c r="BB412" s="42"/>
      <c r="BC412" s="42"/>
      <c r="BD412" s="42"/>
      <c r="BE412" s="42"/>
      <c r="BF412" s="42"/>
      <c r="BG412" s="42"/>
      <c r="BH412" s="42"/>
      <c r="BI412" s="42"/>
      <c r="BJ412" s="42"/>
      <c r="BK412" s="42"/>
      <c r="BL412" s="42"/>
      <c r="BM412" s="42"/>
      <c r="BN412" s="42"/>
      <c r="BO412" s="42"/>
      <c r="BP412" s="42"/>
      <c r="BQ412" s="42"/>
      <c r="BR412" s="42"/>
      <c r="BS412" s="42"/>
      <c r="BT412" s="42"/>
      <c r="BU412" s="42"/>
      <c r="BV412" s="42"/>
      <c r="BW412" s="42"/>
      <c r="BX412" s="42"/>
      <c r="BY412" s="42"/>
      <c r="BZ412" s="42"/>
      <c r="CA412" s="42"/>
      <c r="CB412" s="42"/>
      <c r="CC412" s="42"/>
      <c r="CD412" s="42"/>
      <c r="CE412" s="42"/>
      <c r="CF412" s="42"/>
      <c r="CG412" s="42"/>
      <c r="CH412" s="42"/>
      <c r="CS412" s="29"/>
      <c r="CT412" s="29"/>
      <c r="CU412" s="29"/>
      <c r="CV412" s="522"/>
      <c r="CW412" s="522"/>
      <c r="CX412" s="211"/>
      <c r="CY412" s="211"/>
      <c r="CZ412" s="211"/>
      <c r="DA412" s="211"/>
      <c r="DB412" s="211"/>
      <c r="DC412" s="211"/>
      <c r="DD412" s="211"/>
      <c r="DE412" s="211"/>
      <c r="DF412" s="60"/>
      <c r="DG412" s="60"/>
      <c r="DH412" s="60"/>
      <c r="DI412" s="60"/>
      <c r="DJ412" s="60"/>
    </row>
    <row r="413" spans="3:114" s="25" customFormat="1">
      <c r="C413" s="24"/>
      <c r="D413" s="24"/>
      <c r="G413" s="57"/>
      <c r="H413" s="57"/>
      <c r="I413" s="57"/>
      <c r="J413" s="57"/>
      <c r="K413" s="57"/>
      <c r="L413" s="57"/>
      <c r="M413" s="57"/>
      <c r="N413" s="57"/>
      <c r="O413" s="57"/>
      <c r="P413" s="57"/>
      <c r="Q413" s="57"/>
      <c r="R413" s="57"/>
      <c r="S413" s="57"/>
      <c r="T413" s="559"/>
      <c r="U413" s="29"/>
      <c r="V413" s="29"/>
      <c r="AJ413" s="1215"/>
      <c r="AK413" s="1142"/>
      <c r="AM413" s="42"/>
      <c r="AN413" s="42"/>
      <c r="AO413" s="42"/>
      <c r="AP413" s="42"/>
      <c r="AQ413" s="42"/>
      <c r="AR413" s="42"/>
      <c r="AS413" s="42"/>
      <c r="AT413" s="42"/>
      <c r="AU413" s="42"/>
      <c r="AV413" s="42"/>
      <c r="AW413" s="42"/>
      <c r="AX413" s="42"/>
      <c r="AY413" s="42"/>
      <c r="AZ413" s="42"/>
      <c r="BA413" s="42"/>
      <c r="BB413" s="42"/>
      <c r="BC413" s="42"/>
      <c r="BD413" s="42"/>
      <c r="BE413" s="42"/>
      <c r="BF413" s="42"/>
      <c r="BG413" s="42"/>
      <c r="BH413" s="42"/>
      <c r="BI413" s="42"/>
      <c r="BJ413" s="42"/>
      <c r="BK413" s="42"/>
      <c r="BL413" s="42"/>
      <c r="BM413" s="42"/>
      <c r="BN413" s="42"/>
      <c r="BO413" s="42"/>
      <c r="BP413" s="42"/>
      <c r="BQ413" s="42"/>
      <c r="BR413" s="42"/>
      <c r="BS413" s="42"/>
      <c r="BT413" s="42"/>
      <c r="BU413" s="42"/>
      <c r="BV413" s="42"/>
      <c r="BW413" s="42"/>
      <c r="BX413" s="42"/>
      <c r="BY413" s="42"/>
      <c r="BZ413" s="42"/>
      <c r="CA413" s="42"/>
      <c r="CB413" s="42"/>
      <c r="CC413" s="42"/>
      <c r="CD413" s="42"/>
      <c r="CE413" s="42"/>
      <c r="CF413" s="42"/>
      <c r="CG413" s="42"/>
      <c r="CH413" s="42"/>
      <c r="CS413" s="29"/>
      <c r="CT413" s="29"/>
      <c r="CU413" s="29"/>
      <c r="CV413" s="522"/>
      <c r="CW413" s="522"/>
      <c r="CX413" s="211"/>
      <c r="CY413" s="211"/>
      <c r="CZ413" s="211"/>
      <c r="DA413" s="211"/>
      <c r="DB413" s="211"/>
      <c r="DC413" s="211"/>
      <c r="DD413" s="211"/>
      <c r="DE413" s="211"/>
      <c r="DF413" s="60"/>
      <c r="DG413" s="60"/>
      <c r="DH413" s="60"/>
      <c r="DI413" s="60"/>
      <c r="DJ413" s="60"/>
    </row>
    <row r="414" spans="3:114" s="25" customFormat="1">
      <c r="C414" s="24"/>
      <c r="D414" s="24"/>
      <c r="G414" s="57"/>
      <c r="H414" s="57"/>
      <c r="I414" s="57"/>
      <c r="J414" s="57"/>
      <c r="K414" s="57"/>
      <c r="L414" s="57"/>
      <c r="M414" s="57"/>
      <c r="N414" s="57"/>
      <c r="O414" s="57"/>
      <c r="P414" s="57"/>
      <c r="Q414" s="57"/>
      <c r="R414" s="57"/>
      <c r="S414" s="57"/>
      <c r="T414" s="559"/>
      <c r="U414" s="29"/>
      <c r="V414" s="29"/>
      <c r="AJ414" s="1215"/>
      <c r="AK414" s="1142"/>
      <c r="AM414" s="42"/>
      <c r="AN414" s="42"/>
      <c r="AO414" s="42"/>
      <c r="AP414" s="42"/>
      <c r="AQ414" s="42"/>
      <c r="AR414" s="42"/>
      <c r="AS414" s="42"/>
      <c r="AT414" s="42"/>
      <c r="AU414" s="42"/>
      <c r="AV414" s="42"/>
      <c r="AW414" s="42"/>
      <c r="AX414" s="42"/>
      <c r="AY414" s="42"/>
      <c r="AZ414" s="42"/>
      <c r="BA414" s="42"/>
      <c r="BB414" s="42"/>
      <c r="BC414" s="42"/>
      <c r="BD414" s="42"/>
      <c r="BE414" s="42"/>
      <c r="BF414" s="42"/>
      <c r="BG414" s="42"/>
      <c r="BH414" s="42"/>
      <c r="BI414" s="42"/>
      <c r="BJ414" s="42"/>
      <c r="BK414" s="42"/>
      <c r="BL414" s="42"/>
      <c r="BM414" s="42"/>
      <c r="BN414" s="42"/>
      <c r="BO414" s="42"/>
      <c r="BP414" s="42"/>
      <c r="BQ414" s="42"/>
      <c r="BR414" s="42"/>
      <c r="BS414" s="42"/>
      <c r="BT414" s="42"/>
      <c r="BU414" s="42"/>
      <c r="BV414" s="42"/>
      <c r="BW414" s="42"/>
      <c r="BX414" s="42"/>
      <c r="BY414" s="42"/>
      <c r="BZ414" s="42"/>
      <c r="CA414" s="42"/>
      <c r="CB414" s="42"/>
      <c r="CC414" s="42"/>
      <c r="CD414" s="42"/>
      <c r="CE414" s="42"/>
      <c r="CF414" s="42"/>
      <c r="CG414" s="42"/>
      <c r="CH414" s="42"/>
      <c r="CS414" s="29"/>
      <c r="CT414" s="29"/>
      <c r="CU414" s="29"/>
      <c r="CV414" s="522"/>
      <c r="CW414" s="522"/>
      <c r="CX414" s="211"/>
      <c r="CY414" s="211"/>
      <c r="CZ414" s="211"/>
      <c r="DA414" s="211"/>
      <c r="DB414" s="211"/>
      <c r="DC414" s="211"/>
      <c r="DD414" s="211"/>
      <c r="DE414" s="211"/>
      <c r="DF414" s="60"/>
      <c r="DG414" s="60"/>
      <c r="DH414" s="60"/>
      <c r="DI414" s="60"/>
      <c r="DJ414" s="60"/>
    </row>
    <row r="415" spans="3:114" s="25" customFormat="1">
      <c r="C415" s="24"/>
      <c r="D415" s="24"/>
      <c r="G415" s="57"/>
      <c r="H415" s="57"/>
      <c r="I415" s="57"/>
      <c r="J415" s="57"/>
      <c r="K415" s="57"/>
      <c r="L415" s="57"/>
      <c r="M415" s="57"/>
      <c r="N415" s="57"/>
      <c r="O415" s="57"/>
      <c r="P415" s="57"/>
      <c r="Q415" s="57"/>
      <c r="R415" s="57"/>
      <c r="S415" s="57"/>
      <c r="T415" s="559"/>
      <c r="U415" s="29"/>
      <c r="V415" s="29"/>
      <c r="AJ415" s="1215"/>
      <c r="AK415" s="1142"/>
      <c r="AM415" s="42"/>
      <c r="AN415" s="42"/>
      <c r="AO415" s="42"/>
      <c r="AP415" s="42"/>
      <c r="AQ415" s="42"/>
      <c r="AR415" s="42"/>
      <c r="AS415" s="42"/>
      <c r="AT415" s="42"/>
      <c r="AU415" s="42"/>
      <c r="AV415" s="42"/>
      <c r="AW415" s="42"/>
      <c r="AX415" s="42"/>
      <c r="AY415" s="42"/>
      <c r="AZ415" s="42"/>
      <c r="BA415" s="42"/>
      <c r="BB415" s="42"/>
      <c r="BC415" s="42"/>
      <c r="BD415" s="42"/>
      <c r="BE415" s="42"/>
      <c r="BF415" s="42"/>
      <c r="BG415" s="42"/>
      <c r="BH415" s="42"/>
      <c r="BI415" s="42"/>
      <c r="BJ415" s="42"/>
      <c r="BK415" s="42"/>
      <c r="BL415" s="42"/>
      <c r="BM415" s="42"/>
      <c r="BN415" s="42"/>
      <c r="BO415" s="42"/>
      <c r="BP415" s="42"/>
      <c r="BQ415" s="42"/>
      <c r="BR415" s="42"/>
      <c r="BS415" s="42"/>
      <c r="BT415" s="42"/>
      <c r="BU415" s="42"/>
      <c r="BV415" s="42"/>
      <c r="BW415" s="42"/>
      <c r="BX415" s="42"/>
      <c r="BY415" s="42"/>
      <c r="BZ415" s="42"/>
      <c r="CA415" s="42"/>
      <c r="CB415" s="42"/>
      <c r="CC415" s="42"/>
      <c r="CD415" s="42"/>
      <c r="CE415" s="42"/>
      <c r="CF415" s="42"/>
      <c r="CG415" s="42"/>
      <c r="CH415" s="42"/>
      <c r="CS415" s="29"/>
      <c r="CT415" s="29"/>
      <c r="CU415" s="29"/>
      <c r="CV415" s="522"/>
      <c r="CW415" s="522"/>
      <c r="CX415" s="211"/>
      <c r="CY415" s="211"/>
      <c r="CZ415" s="211"/>
      <c r="DA415" s="211"/>
      <c r="DB415" s="211"/>
      <c r="DC415" s="211"/>
      <c r="DD415" s="211"/>
      <c r="DE415" s="211"/>
      <c r="DF415" s="60"/>
      <c r="DG415" s="60"/>
      <c r="DH415" s="60"/>
      <c r="DI415" s="60"/>
      <c r="DJ415" s="60"/>
    </row>
    <row r="416" spans="3:114" s="25" customFormat="1">
      <c r="C416" s="24"/>
      <c r="D416" s="24"/>
      <c r="G416" s="57"/>
      <c r="H416" s="57"/>
      <c r="I416" s="57"/>
      <c r="J416" s="57"/>
      <c r="K416" s="57"/>
      <c r="L416" s="57"/>
      <c r="M416" s="57"/>
      <c r="N416" s="57"/>
      <c r="O416" s="57"/>
      <c r="P416" s="57"/>
      <c r="Q416" s="57"/>
      <c r="R416" s="57"/>
      <c r="S416" s="57"/>
      <c r="T416" s="559"/>
      <c r="U416" s="29"/>
      <c r="V416" s="29"/>
      <c r="AJ416" s="1215"/>
      <c r="AK416" s="1142"/>
      <c r="AM416" s="42"/>
      <c r="AN416" s="42"/>
      <c r="AO416" s="42"/>
      <c r="AP416" s="42"/>
      <c r="AQ416" s="42"/>
      <c r="AR416" s="42"/>
      <c r="AS416" s="42"/>
      <c r="AT416" s="42"/>
      <c r="AU416" s="42"/>
      <c r="AV416" s="42"/>
      <c r="AW416" s="42"/>
      <c r="AX416" s="42"/>
      <c r="AY416" s="42"/>
      <c r="AZ416" s="42"/>
      <c r="BA416" s="42"/>
      <c r="BB416" s="42"/>
      <c r="BC416" s="42"/>
      <c r="BD416" s="42"/>
      <c r="BE416" s="42"/>
      <c r="BF416" s="42"/>
      <c r="BG416" s="42"/>
      <c r="BH416" s="42"/>
      <c r="BI416" s="42"/>
      <c r="BJ416" s="42"/>
      <c r="BK416" s="42"/>
      <c r="BL416" s="42"/>
      <c r="BM416" s="42"/>
      <c r="BN416" s="42"/>
      <c r="BO416" s="42"/>
      <c r="BP416" s="42"/>
      <c r="BQ416" s="42"/>
      <c r="BR416" s="42"/>
      <c r="BS416" s="42"/>
      <c r="BT416" s="42"/>
      <c r="BU416" s="42"/>
      <c r="BV416" s="42"/>
      <c r="BW416" s="42"/>
      <c r="BX416" s="42"/>
      <c r="BY416" s="42"/>
      <c r="BZ416" s="42"/>
      <c r="CA416" s="42"/>
      <c r="CB416" s="42"/>
      <c r="CC416" s="42"/>
      <c r="CD416" s="42"/>
      <c r="CE416" s="42"/>
      <c r="CF416" s="42"/>
      <c r="CG416" s="42"/>
      <c r="CH416" s="42"/>
      <c r="CS416" s="29"/>
      <c r="CT416" s="29"/>
      <c r="CU416" s="29"/>
      <c r="CV416" s="522"/>
      <c r="CW416" s="522"/>
      <c r="CX416" s="211"/>
      <c r="CY416" s="211"/>
      <c r="CZ416" s="211"/>
      <c r="DA416" s="211"/>
      <c r="DB416" s="211"/>
      <c r="DC416" s="211"/>
      <c r="DD416" s="211"/>
      <c r="DE416" s="211"/>
      <c r="DF416" s="60"/>
      <c r="DG416" s="60"/>
      <c r="DH416" s="60"/>
      <c r="DI416" s="60"/>
      <c r="DJ416" s="60"/>
    </row>
    <row r="417" spans="3:114" s="25" customFormat="1">
      <c r="C417" s="24"/>
      <c r="D417" s="24"/>
      <c r="G417" s="57"/>
      <c r="H417" s="57"/>
      <c r="I417" s="57"/>
      <c r="J417" s="57"/>
      <c r="K417" s="57"/>
      <c r="L417" s="57"/>
      <c r="M417" s="57"/>
      <c r="N417" s="57"/>
      <c r="O417" s="57"/>
      <c r="P417" s="57"/>
      <c r="Q417" s="57"/>
      <c r="R417" s="57"/>
      <c r="S417" s="57"/>
      <c r="T417" s="559"/>
      <c r="U417" s="29"/>
      <c r="V417" s="29"/>
      <c r="AJ417" s="1215"/>
      <c r="AK417" s="1142"/>
      <c r="AM417" s="42"/>
      <c r="AN417" s="42"/>
      <c r="AO417" s="42"/>
      <c r="AP417" s="42"/>
      <c r="AQ417" s="42"/>
      <c r="AR417" s="42"/>
      <c r="AS417" s="42"/>
      <c r="AT417" s="42"/>
      <c r="AU417" s="42"/>
      <c r="AV417" s="42"/>
      <c r="AW417" s="42"/>
      <c r="AX417" s="42"/>
      <c r="AY417" s="42"/>
      <c r="AZ417" s="42"/>
      <c r="BA417" s="42"/>
      <c r="BB417" s="42"/>
      <c r="BC417" s="42"/>
      <c r="BD417" s="42"/>
      <c r="BE417" s="42"/>
      <c r="BF417" s="42"/>
      <c r="BG417" s="42"/>
      <c r="BH417" s="42"/>
      <c r="BI417" s="42"/>
      <c r="BJ417" s="42"/>
      <c r="BK417" s="42"/>
      <c r="BL417" s="42"/>
      <c r="BM417" s="42"/>
      <c r="BN417" s="42"/>
      <c r="BO417" s="42"/>
      <c r="BP417" s="42"/>
      <c r="BQ417" s="42"/>
      <c r="BR417" s="42"/>
      <c r="BS417" s="42"/>
      <c r="BT417" s="42"/>
      <c r="BU417" s="42"/>
      <c r="BV417" s="42"/>
      <c r="BW417" s="42"/>
      <c r="BX417" s="42"/>
      <c r="BY417" s="42"/>
      <c r="BZ417" s="42"/>
      <c r="CA417" s="42"/>
      <c r="CB417" s="42"/>
      <c r="CC417" s="42"/>
      <c r="CD417" s="42"/>
      <c r="CE417" s="42"/>
      <c r="CF417" s="42"/>
      <c r="CG417" s="42"/>
      <c r="CH417" s="42"/>
      <c r="CS417" s="29"/>
      <c r="CT417" s="29"/>
      <c r="CU417" s="29"/>
      <c r="CV417" s="522"/>
      <c r="CW417" s="522"/>
      <c r="CX417" s="211"/>
      <c r="CY417" s="211"/>
      <c r="CZ417" s="211"/>
      <c r="DA417" s="211"/>
      <c r="DB417" s="211"/>
      <c r="DC417" s="211"/>
      <c r="DD417" s="211"/>
      <c r="DE417" s="211"/>
      <c r="DF417" s="60"/>
      <c r="DG417" s="60"/>
      <c r="DH417" s="60"/>
      <c r="DI417" s="60"/>
      <c r="DJ417" s="60"/>
    </row>
    <row r="418" spans="3:114" s="25" customFormat="1">
      <c r="C418" s="24"/>
      <c r="D418" s="24"/>
      <c r="G418" s="57"/>
      <c r="H418" s="57"/>
      <c r="I418" s="57"/>
      <c r="J418" s="57"/>
      <c r="K418" s="57"/>
      <c r="L418" s="57"/>
      <c r="M418" s="57"/>
      <c r="N418" s="57"/>
      <c r="O418" s="57"/>
      <c r="P418" s="57"/>
      <c r="Q418" s="57"/>
      <c r="R418" s="57"/>
      <c r="S418" s="57"/>
      <c r="T418" s="559"/>
      <c r="U418" s="29"/>
      <c r="V418" s="29"/>
      <c r="AJ418" s="1215"/>
      <c r="AK418" s="1142"/>
      <c r="AM418" s="42"/>
      <c r="AN418" s="42"/>
      <c r="AO418" s="42"/>
      <c r="AP418" s="42"/>
      <c r="AQ418" s="42"/>
      <c r="AR418" s="42"/>
      <c r="AS418" s="42"/>
      <c r="AT418" s="42"/>
      <c r="AU418" s="42"/>
      <c r="AV418" s="42"/>
      <c r="AW418" s="42"/>
      <c r="AX418" s="42"/>
      <c r="AY418" s="42"/>
      <c r="AZ418" s="42"/>
      <c r="BA418" s="42"/>
      <c r="BB418" s="42"/>
      <c r="BC418" s="42"/>
      <c r="BD418" s="42"/>
      <c r="BE418" s="42"/>
      <c r="BF418" s="42"/>
      <c r="BG418" s="42"/>
      <c r="BH418" s="42"/>
      <c r="BI418" s="42"/>
      <c r="BJ418" s="42"/>
      <c r="BK418" s="42"/>
      <c r="BL418" s="42"/>
      <c r="BM418" s="42"/>
      <c r="BN418" s="42"/>
      <c r="BO418" s="42"/>
      <c r="BP418" s="42"/>
      <c r="BQ418" s="42"/>
      <c r="BR418" s="42"/>
      <c r="BS418" s="42"/>
      <c r="BT418" s="42"/>
      <c r="BU418" s="42"/>
      <c r="BV418" s="42"/>
      <c r="BW418" s="42"/>
      <c r="BX418" s="42"/>
      <c r="BY418" s="42"/>
      <c r="BZ418" s="42"/>
      <c r="CA418" s="42"/>
      <c r="CB418" s="42"/>
      <c r="CC418" s="42"/>
      <c r="CD418" s="42"/>
      <c r="CE418" s="42"/>
      <c r="CF418" s="42"/>
      <c r="CG418" s="42"/>
      <c r="CH418" s="42"/>
      <c r="CS418" s="29"/>
      <c r="CT418" s="29"/>
      <c r="CU418" s="29"/>
      <c r="CV418" s="522"/>
      <c r="CW418" s="522"/>
      <c r="CX418" s="211"/>
      <c r="CY418" s="211"/>
      <c r="CZ418" s="211"/>
      <c r="DA418" s="211"/>
      <c r="DB418" s="211"/>
      <c r="DC418" s="211"/>
      <c r="DD418" s="211"/>
      <c r="DE418" s="211"/>
      <c r="DF418" s="60"/>
      <c r="DG418" s="60"/>
      <c r="DH418" s="60"/>
      <c r="DI418" s="60"/>
      <c r="DJ418" s="60"/>
    </row>
    <row r="419" spans="3:114" s="25" customFormat="1">
      <c r="C419" s="24"/>
      <c r="D419" s="24"/>
      <c r="G419" s="57"/>
      <c r="H419" s="57"/>
      <c r="I419" s="57"/>
      <c r="J419" s="57"/>
      <c r="K419" s="57"/>
      <c r="L419" s="57"/>
      <c r="M419" s="57"/>
      <c r="N419" s="57"/>
      <c r="O419" s="57"/>
      <c r="P419" s="57"/>
      <c r="Q419" s="57"/>
      <c r="R419" s="57"/>
      <c r="S419" s="57"/>
      <c r="T419" s="559"/>
      <c r="U419" s="29"/>
      <c r="V419" s="29"/>
      <c r="AJ419" s="1215"/>
      <c r="AK419" s="1142"/>
      <c r="AM419" s="42"/>
      <c r="AN419" s="42"/>
      <c r="AO419" s="42"/>
      <c r="AP419" s="42"/>
      <c r="AQ419" s="42"/>
      <c r="AR419" s="42"/>
      <c r="AS419" s="42"/>
      <c r="AT419" s="42"/>
      <c r="AU419" s="42"/>
      <c r="AV419" s="42"/>
      <c r="AW419" s="42"/>
      <c r="AX419" s="42"/>
      <c r="AY419" s="42"/>
      <c r="AZ419" s="42"/>
      <c r="BA419" s="42"/>
      <c r="BB419" s="42"/>
      <c r="BC419" s="42"/>
      <c r="BD419" s="42"/>
      <c r="BE419" s="42"/>
      <c r="BF419" s="42"/>
      <c r="BG419" s="42"/>
      <c r="BH419" s="42"/>
      <c r="BI419" s="42"/>
      <c r="BJ419" s="42"/>
      <c r="BK419" s="42"/>
      <c r="BL419" s="42"/>
      <c r="BM419" s="42"/>
      <c r="BN419" s="42"/>
      <c r="BO419" s="42"/>
      <c r="BP419" s="42"/>
      <c r="BQ419" s="42"/>
      <c r="BR419" s="42"/>
      <c r="BS419" s="42"/>
      <c r="BT419" s="42"/>
      <c r="BU419" s="42"/>
      <c r="BV419" s="42"/>
      <c r="BW419" s="42"/>
      <c r="BX419" s="42"/>
      <c r="BY419" s="42"/>
      <c r="BZ419" s="42"/>
      <c r="CA419" s="42"/>
      <c r="CB419" s="42"/>
      <c r="CC419" s="42"/>
      <c r="CD419" s="42"/>
      <c r="CE419" s="42"/>
      <c r="CF419" s="42"/>
      <c r="CG419" s="42"/>
      <c r="CH419" s="42"/>
      <c r="CS419" s="29"/>
      <c r="CT419" s="29"/>
      <c r="CU419" s="29"/>
      <c r="CV419" s="522"/>
      <c r="CW419" s="522"/>
      <c r="CX419" s="211"/>
      <c r="CY419" s="211"/>
      <c r="CZ419" s="211"/>
      <c r="DA419" s="211"/>
      <c r="DB419" s="211"/>
      <c r="DC419" s="211"/>
      <c r="DD419" s="211"/>
      <c r="DE419" s="211"/>
      <c r="DF419" s="60"/>
      <c r="DG419" s="60"/>
      <c r="DH419" s="60"/>
      <c r="DI419" s="60"/>
      <c r="DJ419" s="60"/>
    </row>
    <row r="420" spans="3:114" s="25" customFormat="1">
      <c r="C420" s="24"/>
      <c r="D420" s="24"/>
      <c r="G420" s="57"/>
      <c r="H420" s="57"/>
      <c r="I420" s="57"/>
      <c r="J420" s="57"/>
      <c r="K420" s="57"/>
      <c r="L420" s="57"/>
      <c r="M420" s="57"/>
      <c r="N420" s="57"/>
      <c r="O420" s="57"/>
      <c r="P420" s="57"/>
      <c r="Q420" s="57"/>
      <c r="R420" s="57"/>
      <c r="S420" s="57"/>
      <c r="T420" s="559"/>
      <c r="U420" s="29"/>
      <c r="V420" s="29"/>
      <c r="AJ420" s="1215"/>
      <c r="AK420" s="1142"/>
      <c r="AM420" s="42"/>
      <c r="AN420" s="42"/>
      <c r="AO420" s="42"/>
      <c r="AP420" s="42"/>
      <c r="AQ420" s="42"/>
      <c r="AR420" s="42"/>
      <c r="AS420" s="42"/>
      <c r="AT420" s="42"/>
      <c r="AU420" s="42"/>
      <c r="AV420" s="42"/>
      <c r="AW420" s="42"/>
      <c r="AX420" s="42"/>
      <c r="AY420" s="42"/>
      <c r="AZ420" s="42"/>
      <c r="BA420" s="42"/>
      <c r="BB420" s="42"/>
      <c r="BC420" s="42"/>
      <c r="BD420" s="42"/>
      <c r="BE420" s="42"/>
      <c r="BF420" s="42"/>
      <c r="BG420" s="42"/>
      <c r="BH420" s="42"/>
      <c r="BI420" s="42"/>
      <c r="BJ420" s="42"/>
      <c r="BK420" s="42"/>
      <c r="BL420" s="42"/>
      <c r="BM420" s="42"/>
      <c r="BN420" s="42"/>
      <c r="BO420" s="42"/>
      <c r="BP420" s="42"/>
      <c r="BQ420" s="42"/>
      <c r="BR420" s="42"/>
      <c r="BS420" s="42"/>
      <c r="BT420" s="42"/>
      <c r="BU420" s="42"/>
      <c r="BV420" s="42"/>
      <c r="BW420" s="42"/>
      <c r="BX420" s="42"/>
      <c r="BY420" s="42"/>
      <c r="BZ420" s="42"/>
      <c r="CA420" s="42"/>
      <c r="CB420" s="42"/>
      <c r="CC420" s="42"/>
      <c r="CD420" s="42"/>
      <c r="CE420" s="42"/>
      <c r="CF420" s="42"/>
      <c r="CG420" s="42"/>
      <c r="CH420" s="42"/>
      <c r="CS420" s="29"/>
      <c r="CT420" s="29"/>
      <c r="CU420" s="29"/>
      <c r="CV420" s="522"/>
      <c r="CW420" s="522"/>
      <c r="CX420" s="211"/>
      <c r="CY420" s="211"/>
      <c r="CZ420" s="211"/>
      <c r="DA420" s="211"/>
      <c r="DB420" s="211"/>
      <c r="DC420" s="211"/>
      <c r="DD420" s="211"/>
      <c r="DE420" s="211"/>
      <c r="DF420" s="60"/>
      <c r="DG420" s="60"/>
      <c r="DH420" s="60"/>
      <c r="DI420" s="60"/>
      <c r="DJ420" s="60"/>
    </row>
    <row r="421" spans="3:114" s="25" customFormat="1">
      <c r="C421" s="24"/>
      <c r="D421" s="24"/>
      <c r="G421" s="57"/>
      <c r="H421" s="57"/>
      <c r="I421" s="57"/>
      <c r="J421" s="57"/>
      <c r="K421" s="57"/>
      <c r="L421" s="57"/>
      <c r="M421" s="57"/>
      <c r="N421" s="57"/>
      <c r="O421" s="57"/>
      <c r="P421" s="57"/>
      <c r="Q421" s="57"/>
      <c r="R421" s="57"/>
      <c r="S421" s="57"/>
      <c r="T421" s="559"/>
      <c r="U421" s="29"/>
      <c r="V421" s="29"/>
      <c r="AJ421" s="1215"/>
      <c r="AK421" s="1142"/>
      <c r="AM421" s="42"/>
      <c r="AN421" s="42"/>
      <c r="AO421" s="42"/>
      <c r="AP421" s="42"/>
      <c r="AQ421" s="42"/>
      <c r="AR421" s="42"/>
      <c r="AS421" s="42"/>
      <c r="AT421" s="42"/>
      <c r="AU421" s="42"/>
      <c r="AV421" s="42"/>
      <c r="AW421" s="42"/>
      <c r="AX421" s="42"/>
      <c r="AY421" s="42"/>
      <c r="AZ421" s="42"/>
      <c r="BA421" s="42"/>
      <c r="BB421" s="42"/>
      <c r="BC421" s="42"/>
      <c r="BD421" s="42"/>
      <c r="BE421" s="42"/>
      <c r="BF421" s="42"/>
      <c r="BG421" s="42"/>
      <c r="BH421" s="42"/>
      <c r="BI421" s="42"/>
      <c r="BJ421" s="42"/>
      <c r="BK421" s="42"/>
      <c r="BL421" s="42"/>
      <c r="BM421" s="42"/>
      <c r="BN421" s="42"/>
      <c r="BO421" s="42"/>
      <c r="BP421" s="42"/>
      <c r="BQ421" s="42"/>
      <c r="BR421" s="42"/>
      <c r="BS421" s="42"/>
      <c r="BT421" s="42"/>
      <c r="BU421" s="42"/>
      <c r="BV421" s="42"/>
      <c r="BW421" s="42"/>
      <c r="BX421" s="42"/>
      <c r="BY421" s="42"/>
      <c r="BZ421" s="42"/>
      <c r="CA421" s="42"/>
      <c r="CB421" s="42"/>
      <c r="CC421" s="42"/>
      <c r="CD421" s="42"/>
      <c r="CE421" s="42"/>
      <c r="CF421" s="42"/>
      <c r="CG421" s="42"/>
      <c r="CH421" s="42"/>
      <c r="CS421" s="29"/>
      <c r="CT421" s="29"/>
      <c r="CU421" s="29"/>
      <c r="CV421" s="522"/>
      <c r="CW421" s="522"/>
      <c r="CX421" s="211"/>
      <c r="CY421" s="211"/>
      <c r="CZ421" s="211"/>
      <c r="DA421" s="211"/>
      <c r="DB421" s="211"/>
      <c r="DC421" s="211"/>
      <c r="DD421" s="211"/>
      <c r="DE421" s="211"/>
      <c r="DF421" s="60"/>
      <c r="DG421" s="60"/>
      <c r="DH421" s="60"/>
      <c r="DI421" s="60"/>
      <c r="DJ421" s="60"/>
    </row>
    <row r="422" spans="3:114" s="25" customFormat="1">
      <c r="C422" s="24"/>
      <c r="D422" s="24"/>
      <c r="G422" s="57"/>
      <c r="H422" s="57"/>
      <c r="I422" s="57"/>
      <c r="J422" s="57"/>
      <c r="K422" s="57"/>
      <c r="L422" s="57"/>
      <c r="M422" s="57"/>
      <c r="N422" s="57"/>
      <c r="O422" s="57"/>
      <c r="P422" s="57"/>
      <c r="Q422" s="57"/>
      <c r="R422" s="57"/>
      <c r="S422" s="57"/>
      <c r="T422" s="559"/>
      <c r="U422" s="29"/>
      <c r="V422" s="29"/>
      <c r="AJ422" s="1215"/>
      <c r="AK422" s="1142"/>
      <c r="AM422" s="42"/>
      <c r="AN422" s="42"/>
      <c r="AO422" s="42"/>
      <c r="AP422" s="42"/>
      <c r="AQ422" s="42"/>
      <c r="AR422" s="42"/>
      <c r="AS422" s="42"/>
      <c r="AT422" s="42"/>
      <c r="AU422" s="42"/>
      <c r="AV422" s="42"/>
      <c r="AW422" s="42"/>
      <c r="AX422" s="42"/>
      <c r="AY422" s="42"/>
      <c r="AZ422" s="42"/>
      <c r="BA422" s="42"/>
      <c r="BB422" s="42"/>
      <c r="BC422" s="42"/>
      <c r="BD422" s="42"/>
      <c r="BE422" s="42"/>
      <c r="BF422" s="42"/>
      <c r="BG422" s="42"/>
      <c r="BH422" s="42"/>
      <c r="BI422" s="42"/>
      <c r="BJ422" s="42"/>
      <c r="BK422" s="42"/>
      <c r="BL422" s="42"/>
      <c r="BM422" s="42"/>
      <c r="BN422" s="42"/>
      <c r="BO422" s="42"/>
      <c r="BP422" s="42"/>
      <c r="BQ422" s="42"/>
      <c r="BR422" s="42"/>
      <c r="BS422" s="42"/>
      <c r="BT422" s="42"/>
      <c r="BU422" s="42"/>
      <c r="BV422" s="42"/>
      <c r="BW422" s="42"/>
      <c r="BX422" s="42"/>
      <c r="BY422" s="42"/>
      <c r="BZ422" s="42"/>
      <c r="CA422" s="42"/>
      <c r="CB422" s="42"/>
      <c r="CC422" s="42"/>
      <c r="CD422" s="42"/>
      <c r="CE422" s="42"/>
      <c r="CF422" s="42"/>
      <c r="CG422" s="42"/>
      <c r="CH422" s="42"/>
      <c r="CS422" s="29"/>
      <c r="CT422" s="29"/>
      <c r="CU422" s="29"/>
      <c r="CV422" s="522"/>
      <c r="CW422" s="522"/>
      <c r="CX422" s="211"/>
      <c r="CY422" s="211"/>
      <c r="CZ422" s="211"/>
      <c r="DA422" s="211"/>
      <c r="DB422" s="211"/>
      <c r="DC422" s="211"/>
      <c r="DD422" s="211"/>
      <c r="DE422" s="211"/>
      <c r="DF422" s="60"/>
      <c r="DG422" s="60"/>
      <c r="DH422" s="60"/>
      <c r="DI422" s="60"/>
      <c r="DJ422" s="60"/>
    </row>
    <row r="423" spans="3:114" s="25" customFormat="1">
      <c r="C423" s="24"/>
      <c r="D423" s="24"/>
      <c r="G423" s="57"/>
      <c r="H423" s="57"/>
      <c r="I423" s="57"/>
      <c r="J423" s="57"/>
      <c r="K423" s="57"/>
      <c r="L423" s="57"/>
      <c r="M423" s="57"/>
      <c r="N423" s="57"/>
      <c r="O423" s="57"/>
      <c r="P423" s="57"/>
      <c r="Q423" s="57"/>
      <c r="R423" s="57"/>
      <c r="S423" s="57"/>
      <c r="T423" s="559"/>
      <c r="U423" s="29"/>
      <c r="V423" s="29"/>
      <c r="AJ423" s="1215"/>
      <c r="AK423" s="1142"/>
      <c r="AM423" s="42"/>
      <c r="AN423" s="42"/>
      <c r="AO423" s="42"/>
      <c r="AP423" s="42"/>
      <c r="AQ423" s="42"/>
      <c r="AR423" s="42"/>
      <c r="AS423" s="42"/>
      <c r="AT423" s="42"/>
      <c r="AU423" s="42"/>
      <c r="AV423" s="42"/>
      <c r="AW423" s="42"/>
      <c r="AX423" s="42"/>
      <c r="AY423" s="42"/>
      <c r="AZ423" s="42"/>
      <c r="BA423" s="42"/>
      <c r="BB423" s="42"/>
      <c r="BC423" s="42"/>
      <c r="BD423" s="42"/>
      <c r="BE423" s="42"/>
      <c r="BF423" s="42"/>
      <c r="BG423" s="42"/>
      <c r="BH423" s="42"/>
      <c r="BI423" s="42"/>
      <c r="BJ423" s="42"/>
      <c r="BK423" s="42"/>
      <c r="BL423" s="42"/>
      <c r="BM423" s="42"/>
      <c r="BN423" s="42"/>
      <c r="BO423" s="42"/>
      <c r="BP423" s="42"/>
      <c r="BQ423" s="42"/>
      <c r="BR423" s="42"/>
      <c r="BS423" s="42"/>
      <c r="BT423" s="42"/>
      <c r="BU423" s="42"/>
      <c r="BV423" s="42"/>
      <c r="BW423" s="42"/>
      <c r="BX423" s="42"/>
      <c r="BY423" s="42"/>
      <c r="BZ423" s="42"/>
      <c r="CA423" s="42"/>
      <c r="CB423" s="42"/>
      <c r="CC423" s="42"/>
      <c r="CD423" s="42"/>
      <c r="CE423" s="42"/>
      <c r="CF423" s="42"/>
      <c r="CG423" s="42"/>
      <c r="CH423" s="42"/>
      <c r="CS423" s="29"/>
      <c r="CT423" s="29"/>
      <c r="CU423" s="29"/>
      <c r="CV423" s="522"/>
      <c r="CW423" s="522"/>
      <c r="CX423" s="211"/>
      <c r="CY423" s="211"/>
      <c r="CZ423" s="211"/>
      <c r="DA423" s="211"/>
      <c r="DB423" s="211"/>
      <c r="DC423" s="211"/>
      <c r="DD423" s="211"/>
      <c r="DE423" s="211"/>
      <c r="DF423" s="60"/>
      <c r="DG423" s="60"/>
      <c r="DH423" s="60"/>
      <c r="DI423" s="60"/>
      <c r="DJ423" s="60"/>
    </row>
    <row r="424" spans="3:114" s="25" customFormat="1">
      <c r="C424" s="24"/>
      <c r="D424" s="24"/>
      <c r="G424" s="57"/>
      <c r="H424" s="57"/>
      <c r="I424" s="57"/>
      <c r="J424" s="57"/>
      <c r="K424" s="57"/>
      <c r="L424" s="57"/>
      <c r="M424" s="57"/>
      <c r="N424" s="57"/>
      <c r="O424" s="57"/>
      <c r="P424" s="57"/>
      <c r="Q424" s="57"/>
      <c r="R424" s="57"/>
      <c r="S424" s="57"/>
      <c r="T424" s="559"/>
      <c r="U424" s="29"/>
      <c r="V424" s="29"/>
      <c r="AJ424" s="1215"/>
      <c r="AK424" s="1142"/>
      <c r="AM424" s="42"/>
      <c r="AN424" s="42"/>
      <c r="AO424" s="42"/>
      <c r="AP424" s="42"/>
      <c r="AQ424" s="42"/>
      <c r="AR424" s="42"/>
      <c r="AS424" s="42"/>
      <c r="AT424" s="42"/>
      <c r="AU424" s="42"/>
      <c r="AV424" s="42"/>
      <c r="AW424" s="42"/>
      <c r="AX424" s="42"/>
      <c r="AY424" s="42"/>
      <c r="AZ424" s="42"/>
      <c r="BA424" s="42"/>
      <c r="BB424" s="42"/>
      <c r="BC424" s="42"/>
      <c r="BD424" s="42"/>
      <c r="BE424" s="42"/>
      <c r="BF424" s="42"/>
      <c r="BG424" s="42"/>
      <c r="BH424" s="42"/>
      <c r="BI424" s="42"/>
      <c r="BJ424" s="42"/>
      <c r="BK424" s="42"/>
      <c r="BL424" s="42"/>
      <c r="BM424" s="42"/>
      <c r="BN424" s="42"/>
      <c r="BO424" s="42"/>
      <c r="BP424" s="42"/>
      <c r="BQ424" s="42"/>
      <c r="BR424" s="42"/>
      <c r="BS424" s="42"/>
      <c r="BT424" s="42"/>
      <c r="BU424" s="42"/>
      <c r="BV424" s="42"/>
      <c r="BW424" s="42"/>
      <c r="BX424" s="42"/>
      <c r="BY424" s="42"/>
      <c r="BZ424" s="42"/>
      <c r="CA424" s="42"/>
      <c r="CB424" s="42"/>
      <c r="CC424" s="42"/>
      <c r="CD424" s="42"/>
      <c r="CE424" s="42"/>
      <c r="CF424" s="42"/>
      <c r="CG424" s="42"/>
      <c r="CH424" s="42"/>
      <c r="CS424" s="29"/>
      <c r="CT424" s="29"/>
      <c r="CU424" s="29"/>
      <c r="CV424" s="522"/>
      <c r="CW424" s="522"/>
      <c r="CX424" s="211"/>
      <c r="CY424" s="211"/>
      <c r="CZ424" s="211"/>
      <c r="DA424" s="211"/>
      <c r="DB424" s="211"/>
      <c r="DC424" s="211"/>
      <c r="DD424" s="211"/>
      <c r="DE424" s="211"/>
      <c r="DF424" s="60"/>
      <c r="DG424" s="60"/>
      <c r="DH424" s="60"/>
      <c r="DI424" s="60"/>
      <c r="DJ424" s="60"/>
    </row>
    <row r="425" spans="3:114" s="25" customFormat="1">
      <c r="C425" s="24"/>
      <c r="D425" s="24"/>
      <c r="G425" s="57"/>
      <c r="H425" s="57"/>
      <c r="I425" s="57"/>
      <c r="J425" s="57"/>
      <c r="K425" s="57"/>
      <c r="L425" s="57"/>
      <c r="M425" s="57"/>
      <c r="N425" s="57"/>
      <c r="O425" s="57"/>
      <c r="P425" s="57"/>
      <c r="Q425" s="57"/>
      <c r="R425" s="57"/>
      <c r="S425" s="57"/>
      <c r="T425" s="559"/>
      <c r="U425" s="29"/>
      <c r="V425" s="29"/>
      <c r="AJ425" s="1215"/>
      <c r="AK425" s="1142"/>
      <c r="AM425" s="42"/>
      <c r="AN425" s="42"/>
      <c r="AO425" s="42"/>
      <c r="AP425" s="42"/>
      <c r="AQ425" s="42"/>
      <c r="AR425" s="42"/>
      <c r="AS425" s="42"/>
      <c r="AT425" s="42"/>
      <c r="AU425" s="42"/>
      <c r="AV425" s="42"/>
      <c r="AW425" s="42"/>
      <c r="AX425" s="42"/>
      <c r="AY425" s="42"/>
      <c r="AZ425" s="42"/>
      <c r="BA425" s="42"/>
      <c r="BB425" s="42"/>
      <c r="BC425" s="42"/>
      <c r="BD425" s="42"/>
      <c r="BE425" s="42"/>
      <c r="BF425" s="42"/>
      <c r="BG425" s="42"/>
      <c r="BH425" s="42"/>
      <c r="BI425" s="42"/>
      <c r="BJ425" s="42"/>
      <c r="BK425" s="42"/>
      <c r="BL425" s="42"/>
      <c r="BM425" s="42"/>
      <c r="BN425" s="42"/>
      <c r="BO425" s="42"/>
      <c r="BP425" s="42"/>
      <c r="BQ425" s="42"/>
      <c r="BR425" s="42"/>
      <c r="BS425" s="42"/>
      <c r="BT425" s="42"/>
      <c r="BU425" s="42"/>
      <c r="BV425" s="42"/>
      <c r="BW425" s="42"/>
      <c r="BX425" s="42"/>
      <c r="BY425" s="42"/>
      <c r="BZ425" s="42"/>
      <c r="CA425" s="42"/>
      <c r="CB425" s="42"/>
      <c r="CC425" s="42"/>
      <c r="CD425" s="42"/>
      <c r="CE425" s="42"/>
      <c r="CF425" s="42"/>
      <c r="CG425" s="42"/>
      <c r="CH425" s="42"/>
      <c r="CS425" s="29"/>
      <c r="CT425" s="29"/>
      <c r="CU425" s="29"/>
      <c r="CV425" s="522"/>
      <c r="CW425" s="522"/>
      <c r="CX425" s="211"/>
      <c r="CY425" s="211"/>
      <c r="CZ425" s="211"/>
      <c r="DA425" s="211"/>
      <c r="DB425" s="211"/>
      <c r="DC425" s="211"/>
      <c r="DD425" s="211"/>
      <c r="DE425" s="211"/>
      <c r="DF425" s="60"/>
      <c r="DG425" s="60"/>
      <c r="DH425" s="60"/>
      <c r="DI425" s="60"/>
      <c r="DJ425" s="60"/>
    </row>
    <row r="426" spans="3:114" s="25" customFormat="1">
      <c r="C426" s="24"/>
      <c r="D426" s="24"/>
      <c r="G426" s="57"/>
      <c r="H426" s="57"/>
      <c r="I426" s="57"/>
      <c r="J426" s="57"/>
      <c r="K426" s="57"/>
      <c r="L426" s="57"/>
      <c r="M426" s="57"/>
      <c r="N426" s="57"/>
      <c r="O426" s="57"/>
      <c r="P426" s="57"/>
      <c r="Q426" s="57"/>
      <c r="R426" s="57"/>
      <c r="S426" s="57"/>
      <c r="T426" s="559"/>
      <c r="U426" s="29"/>
      <c r="V426" s="29"/>
      <c r="AJ426" s="1215"/>
      <c r="AK426" s="1142"/>
      <c r="AM426" s="42"/>
      <c r="AN426" s="42"/>
      <c r="AO426" s="42"/>
      <c r="AP426" s="42"/>
      <c r="AQ426" s="42"/>
      <c r="AR426" s="42"/>
      <c r="AS426" s="42"/>
      <c r="AT426" s="42"/>
      <c r="AU426" s="42"/>
      <c r="AV426" s="42"/>
      <c r="AW426" s="42"/>
      <c r="AX426" s="42"/>
      <c r="AY426" s="42"/>
      <c r="AZ426" s="42"/>
      <c r="BA426" s="42"/>
      <c r="BB426" s="42"/>
      <c r="BC426" s="42"/>
      <c r="BD426" s="42"/>
      <c r="BE426" s="42"/>
      <c r="BF426" s="42"/>
      <c r="BG426" s="42"/>
      <c r="BH426" s="42"/>
      <c r="BI426" s="42"/>
      <c r="BJ426" s="42"/>
      <c r="BK426" s="42"/>
      <c r="BL426" s="42"/>
      <c r="BM426" s="42"/>
      <c r="BN426" s="42"/>
      <c r="BO426" s="42"/>
      <c r="BP426" s="42"/>
      <c r="BQ426" s="42"/>
      <c r="BR426" s="42"/>
      <c r="BS426" s="42"/>
      <c r="BT426" s="42"/>
      <c r="BU426" s="42"/>
      <c r="BV426" s="42"/>
      <c r="BW426" s="42"/>
      <c r="BX426" s="42"/>
      <c r="BY426" s="42"/>
      <c r="BZ426" s="42"/>
      <c r="CA426" s="42"/>
      <c r="CB426" s="42"/>
      <c r="CC426" s="42"/>
      <c r="CD426" s="42"/>
      <c r="CE426" s="42"/>
      <c r="CF426" s="42"/>
      <c r="CG426" s="42"/>
      <c r="CH426" s="42"/>
      <c r="CS426" s="29"/>
      <c r="CT426" s="29"/>
      <c r="CU426" s="29"/>
      <c r="CV426" s="522"/>
      <c r="CW426" s="522"/>
      <c r="CX426" s="211"/>
      <c r="CY426" s="211"/>
      <c r="CZ426" s="211"/>
      <c r="DA426" s="211"/>
      <c r="DB426" s="211"/>
      <c r="DC426" s="211"/>
      <c r="DD426" s="211"/>
      <c r="DE426" s="211"/>
      <c r="DF426" s="60"/>
      <c r="DG426" s="60"/>
      <c r="DH426" s="60"/>
      <c r="DI426" s="60"/>
      <c r="DJ426" s="60"/>
    </row>
    <row r="427" spans="3:114" s="25" customFormat="1">
      <c r="C427" s="24"/>
      <c r="D427" s="24"/>
      <c r="G427" s="57"/>
      <c r="H427" s="57"/>
      <c r="I427" s="57"/>
      <c r="J427" s="57"/>
      <c r="K427" s="57"/>
      <c r="L427" s="57"/>
      <c r="M427" s="57"/>
      <c r="N427" s="57"/>
      <c r="O427" s="57"/>
      <c r="P427" s="57"/>
      <c r="Q427" s="57"/>
      <c r="R427" s="57"/>
      <c r="S427" s="57"/>
      <c r="T427" s="559"/>
      <c r="U427" s="29"/>
      <c r="V427" s="29"/>
      <c r="AJ427" s="1215"/>
      <c r="AK427" s="1142"/>
      <c r="AM427" s="42"/>
      <c r="AN427" s="42"/>
      <c r="AO427" s="42"/>
      <c r="AP427" s="42"/>
      <c r="AQ427" s="42"/>
      <c r="AR427" s="42"/>
      <c r="AS427" s="42"/>
      <c r="AT427" s="42"/>
      <c r="AU427" s="42"/>
      <c r="AV427" s="42"/>
      <c r="AW427" s="42"/>
      <c r="AX427" s="42"/>
      <c r="AY427" s="42"/>
      <c r="AZ427" s="42"/>
      <c r="BA427" s="42"/>
      <c r="BB427" s="42"/>
      <c r="BC427" s="42"/>
      <c r="BD427" s="42"/>
      <c r="BE427" s="42"/>
      <c r="BF427" s="42"/>
      <c r="BG427" s="42"/>
      <c r="BH427" s="42"/>
      <c r="BI427" s="42"/>
      <c r="BJ427" s="42"/>
      <c r="BK427" s="42"/>
      <c r="BL427" s="42"/>
      <c r="BM427" s="42"/>
      <c r="BN427" s="42"/>
      <c r="BO427" s="42"/>
      <c r="BP427" s="42"/>
      <c r="BQ427" s="42"/>
      <c r="BR427" s="42"/>
      <c r="BS427" s="42"/>
      <c r="BT427" s="42"/>
      <c r="BU427" s="42"/>
      <c r="BV427" s="42"/>
      <c r="BW427" s="42"/>
      <c r="BX427" s="42"/>
      <c r="BY427" s="42"/>
      <c r="BZ427" s="42"/>
      <c r="CA427" s="42"/>
      <c r="CB427" s="42"/>
      <c r="CC427" s="42"/>
      <c r="CD427" s="42"/>
      <c r="CE427" s="42"/>
      <c r="CF427" s="42"/>
      <c r="CG427" s="42"/>
      <c r="CH427" s="42"/>
      <c r="CS427" s="29"/>
      <c r="CT427" s="29"/>
      <c r="CU427" s="29"/>
      <c r="CV427" s="522"/>
      <c r="CW427" s="522"/>
      <c r="CX427" s="211"/>
      <c r="CY427" s="211"/>
      <c r="CZ427" s="211"/>
      <c r="DA427" s="211"/>
      <c r="DB427" s="211"/>
      <c r="DC427" s="211"/>
      <c r="DD427" s="211"/>
      <c r="DE427" s="211"/>
      <c r="DF427" s="60"/>
      <c r="DG427" s="60"/>
      <c r="DH427" s="60"/>
      <c r="DI427" s="60"/>
      <c r="DJ427" s="60"/>
    </row>
    <row r="428" spans="3:114" s="25" customFormat="1">
      <c r="C428" s="24"/>
      <c r="D428" s="24"/>
      <c r="G428" s="57"/>
      <c r="H428" s="57"/>
      <c r="I428" s="57"/>
      <c r="J428" s="57"/>
      <c r="K428" s="57"/>
      <c r="L428" s="57"/>
      <c r="M428" s="57"/>
      <c r="N428" s="57"/>
      <c r="O428" s="57"/>
      <c r="P428" s="57"/>
      <c r="Q428" s="57"/>
      <c r="R428" s="57"/>
      <c r="S428" s="57"/>
      <c r="T428" s="559"/>
      <c r="U428" s="29"/>
      <c r="V428" s="29"/>
      <c r="AJ428" s="1215"/>
      <c r="AK428" s="1142"/>
      <c r="AM428" s="42"/>
      <c r="AN428" s="42"/>
      <c r="AO428" s="42"/>
      <c r="AP428" s="42"/>
      <c r="AQ428" s="42"/>
      <c r="AR428" s="42"/>
      <c r="AS428" s="42"/>
      <c r="AT428" s="42"/>
      <c r="AU428" s="42"/>
      <c r="AV428" s="42"/>
      <c r="AW428" s="42"/>
      <c r="AX428" s="42"/>
      <c r="AY428" s="42"/>
      <c r="AZ428" s="42"/>
      <c r="BA428" s="42"/>
      <c r="BB428" s="42"/>
      <c r="BC428" s="42"/>
      <c r="BD428" s="42"/>
      <c r="BE428" s="42"/>
      <c r="BF428" s="42"/>
      <c r="BG428" s="42"/>
      <c r="BH428" s="42"/>
      <c r="BI428" s="42"/>
      <c r="BJ428" s="42"/>
      <c r="BK428" s="42"/>
      <c r="BL428" s="42"/>
      <c r="BM428" s="42"/>
      <c r="BN428" s="42"/>
      <c r="BO428" s="42"/>
      <c r="BP428" s="42"/>
      <c r="BQ428" s="42"/>
      <c r="BR428" s="42"/>
      <c r="BS428" s="42"/>
      <c r="BT428" s="42"/>
      <c r="BU428" s="42"/>
      <c r="BV428" s="42"/>
      <c r="BW428" s="42"/>
      <c r="BX428" s="42"/>
      <c r="BY428" s="42"/>
      <c r="BZ428" s="42"/>
      <c r="CA428" s="42"/>
      <c r="CB428" s="42"/>
      <c r="CC428" s="42"/>
      <c r="CD428" s="42"/>
      <c r="CE428" s="42"/>
      <c r="CF428" s="42"/>
      <c r="CG428" s="42"/>
      <c r="CH428" s="42"/>
      <c r="CS428" s="29"/>
      <c r="CT428" s="29"/>
      <c r="CU428" s="29"/>
      <c r="CV428" s="522"/>
      <c r="CW428" s="522"/>
      <c r="CX428" s="211"/>
      <c r="CY428" s="211"/>
      <c r="CZ428" s="211"/>
      <c r="DA428" s="211"/>
      <c r="DB428" s="211"/>
      <c r="DC428" s="211"/>
      <c r="DD428" s="211"/>
      <c r="DE428" s="211"/>
      <c r="DF428" s="60"/>
      <c r="DG428" s="60"/>
      <c r="DH428" s="60"/>
      <c r="DI428" s="60"/>
      <c r="DJ428" s="60"/>
    </row>
    <row r="429" spans="3:114" s="25" customFormat="1">
      <c r="C429" s="24"/>
      <c r="D429" s="24"/>
      <c r="G429" s="57"/>
      <c r="H429" s="57"/>
      <c r="I429" s="57"/>
      <c r="J429" s="57"/>
      <c r="K429" s="57"/>
      <c r="L429" s="57"/>
      <c r="M429" s="57"/>
      <c r="N429" s="57"/>
      <c r="O429" s="57"/>
      <c r="P429" s="57"/>
      <c r="Q429" s="57"/>
      <c r="R429" s="57"/>
      <c r="S429" s="57"/>
      <c r="T429" s="559"/>
      <c r="U429" s="29"/>
      <c r="V429" s="29"/>
      <c r="AJ429" s="1215"/>
      <c r="AK429" s="1142"/>
      <c r="AM429" s="42"/>
      <c r="AN429" s="42"/>
      <c r="AO429" s="42"/>
      <c r="AP429" s="42"/>
      <c r="AQ429" s="42"/>
      <c r="AR429" s="42"/>
      <c r="AS429" s="42"/>
      <c r="AT429" s="42"/>
      <c r="AU429" s="42"/>
      <c r="AV429" s="42"/>
      <c r="AW429" s="42"/>
      <c r="AX429" s="42"/>
      <c r="AY429" s="42"/>
      <c r="AZ429" s="42"/>
      <c r="BA429" s="42"/>
      <c r="BB429" s="42"/>
      <c r="BC429" s="42"/>
      <c r="BD429" s="42"/>
      <c r="BE429" s="42"/>
      <c r="BF429" s="42"/>
      <c r="BG429" s="42"/>
      <c r="BH429" s="42"/>
      <c r="BI429" s="42"/>
      <c r="BJ429" s="42"/>
      <c r="BK429" s="42"/>
      <c r="BL429" s="42"/>
      <c r="BM429" s="42"/>
      <c r="BN429" s="42"/>
      <c r="BO429" s="42"/>
      <c r="BP429" s="42"/>
      <c r="BQ429" s="42"/>
      <c r="BR429" s="42"/>
      <c r="BS429" s="42"/>
      <c r="BT429" s="42"/>
      <c r="BU429" s="42"/>
      <c r="BV429" s="42"/>
      <c r="BW429" s="42"/>
      <c r="BX429" s="42"/>
      <c r="BY429" s="42"/>
      <c r="BZ429" s="42"/>
      <c r="CA429" s="42"/>
      <c r="CB429" s="42"/>
      <c r="CC429" s="42"/>
      <c r="CD429" s="42"/>
      <c r="CE429" s="42"/>
      <c r="CF429" s="42"/>
      <c r="CG429" s="42"/>
      <c r="CH429" s="42"/>
      <c r="CS429" s="29"/>
      <c r="CT429" s="29"/>
      <c r="CU429" s="29"/>
      <c r="CV429" s="522"/>
      <c r="CW429" s="522"/>
      <c r="CX429" s="211"/>
      <c r="CY429" s="211"/>
      <c r="CZ429" s="211"/>
      <c r="DA429" s="211"/>
      <c r="DB429" s="211"/>
      <c r="DC429" s="211"/>
      <c r="DD429" s="211"/>
      <c r="DE429" s="211"/>
      <c r="DF429" s="60"/>
      <c r="DG429" s="60"/>
      <c r="DH429" s="60"/>
      <c r="DI429" s="60"/>
      <c r="DJ429" s="60"/>
    </row>
    <row r="430" spans="3:114" s="25" customFormat="1">
      <c r="C430" s="24"/>
      <c r="D430" s="24"/>
      <c r="G430" s="57"/>
      <c r="H430" s="57"/>
      <c r="I430" s="57"/>
      <c r="J430" s="57"/>
      <c r="K430" s="57"/>
      <c r="L430" s="57"/>
      <c r="M430" s="57"/>
      <c r="N430" s="57"/>
      <c r="O430" s="57"/>
      <c r="P430" s="57"/>
      <c r="Q430" s="57"/>
      <c r="R430" s="57"/>
      <c r="S430" s="57"/>
      <c r="T430" s="559"/>
      <c r="U430" s="29"/>
      <c r="V430" s="29"/>
      <c r="AJ430" s="1215"/>
      <c r="AK430" s="1142"/>
      <c r="AM430" s="42"/>
      <c r="AN430" s="42"/>
      <c r="AO430" s="42"/>
      <c r="AP430" s="42"/>
      <c r="AQ430" s="42"/>
      <c r="AR430" s="42"/>
      <c r="AS430" s="42"/>
      <c r="AT430" s="42"/>
      <c r="AU430" s="42"/>
      <c r="AV430" s="42"/>
      <c r="AW430" s="42"/>
      <c r="AX430" s="42"/>
      <c r="AY430" s="42"/>
      <c r="AZ430" s="42"/>
      <c r="BA430" s="42"/>
      <c r="BB430" s="42"/>
      <c r="BC430" s="42"/>
      <c r="BD430" s="42"/>
      <c r="BE430" s="42"/>
      <c r="BF430" s="42"/>
      <c r="BG430" s="42"/>
      <c r="BH430" s="42"/>
      <c r="BI430" s="42"/>
      <c r="BJ430" s="42"/>
      <c r="BK430" s="42"/>
      <c r="BL430" s="42"/>
      <c r="BM430" s="42"/>
      <c r="BN430" s="42"/>
      <c r="BO430" s="42"/>
      <c r="BP430" s="42"/>
      <c r="BQ430" s="42"/>
      <c r="BR430" s="42"/>
      <c r="BS430" s="42"/>
      <c r="BT430" s="42"/>
      <c r="BU430" s="42"/>
      <c r="BV430" s="42"/>
      <c r="BW430" s="42"/>
      <c r="BX430" s="42"/>
      <c r="BY430" s="42"/>
      <c r="BZ430" s="42"/>
      <c r="CA430" s="42"/>
      <c r="CB430" s="42"/>
      <c r="CC430" s="42"/>
      <c r="CD430" s="42"/>
      <c r="CE430" s="42"/>
      <c r="CF430" s="42"/>
      <c r="CG430" s="42"/>
      <c r="CH430" s="42"/>
      <c r="CS430" s="29"/>
      <c r="CT430" s="29"/>
      <c r="CU430" s="29"/>
      <c r="CV430" s="522"/>
      <c r="CW430" s="522"/>
      <c r="CX430" s="211"/>
      <c r="CY430" s="211"/>
      <c r="CZ430" s="211"/>
      <c r="DA430" s="211"/>
      <c r="DB430" s="211"/>
      <c r="DC430" s="211"/>
      <c r="DD430" s="211"/>
      <c r="DE430" s="211"/>
      <c r="DF430" s="60"/>
      <c r="DG430" s="60"/>
      <c r="DH430" s="60"/>
      <c r="DI430" s="60"/>
      <c r="DJ430" s="60"/>
    </row>
    <row r="431" spans="3:114" s="25" customFormat="1">
      <c r="C431" s="24"/>
      <c r="D431" s="24"/>
      <c r="G431" s="57"/>
      <c r="H431" s="57"/>
      <c r="I431" s="57"/>
      <c r="J431" s="57"/>
      <c r="K431" s="57"/>
      <c r="L431" s="57"/>
      <c r="M431" s="57"/>
      <c r="N431" s="57"/>
      <c r="O431" s="57"/>
      <c r="P431" s="57"/>
      <c r="Q431" s="57"/>
      <c r="R431" s="57"/>
      <c r="S431" s="57"/>
      <c r="T431" s="559"/>
      <c r="U431" s="29"/>
      <c r="V431" s="29"/>
      <c r="AJ431" s="1215"/>
      <c r="AK431" s="1142"/>
      <c r="AM431" s="42"/>
      <c r="AN431" s="42"/>
      <c r="AO431" s="42"/>
      <c r="AP431" s="42"/>
      <c r="AQ431" s="42"/>
      <c r="AR431" s="42"/>
      <c r="AS431" s="42"/>
      <c r="AT431" s="42"/>
      <c r="AU431" s="42"/>
      <c r="AV431" s="42"/>
      <c r="AW431" s="42"/>
      <c r="AX431" s="42"/>
      <c r="AY431" s="42"/>
      <c r="AZ431" s="42"/>
      <c r="BA431" s="42"/>
      <c r="BB431" s="42"/>
      <c r="BC431" s="42"/>
      <c r="BD431" s="42"/>
      <c r="BE431" s="42"/>
      <c r="BF431" s="42"/>
      <c r="BG431" s="42"/>
      <c r="BH431" s="42"/>
      <c r="BI431" s="42"/>
      <c r="BJ431" s="42"/>
      <c r="BK431" s="42"/>
      <c r="BL431" s="42"/>
      <c r="BM431" s="42"/>
      <c r="BN431" s="42"/>
      <c r="BO431" s="42"/>
      <c r="BP431" s="42"/>
      <c r="BQ431" s="42"/>
      <c r="BR431" s="42"/>
      <c r="BS431" s="42"/>
      <c r="BT431" s="42"/>
      <c r="BU431" s="42"/>
      <c r="BV431" s="42"/>
      <c r="BW431" s="42"/>
      <c r="BX431" s="42"/>
      <c r="BY431" s="42"/>
      <c r="BZ431" s="42"/>
      <c r="CA431" s="42"/>
      <c r="CB431" s="42"/>
      <c r="CC431" s="42"/>
      <c r="CD431" s="42"/>
      <c r="CE431" s="42"/>
      <c r="CF431" s="42"/>
      <c r="CG431" s="42"/>
      <c r="CH431" s="42"/>
      <c r="CS431" s="29"/>
      <c r="CT431" s="29"/>
      <c r="CU431" s="29"/>
      <c r="CV431" s="522"/>
      <c r="CW431" s="522"/>
      <c r="CX431" s="211"/>
      <c r="CY431" s="211"/>
      <c r="CZ431" s="211"/>
      <c r="DA431" s="211"/>
      <c r="DB431" s="211"/>
      <c r="DC431" s="211"/>
      <c r="DD431" s="211"/>
      <c r="DE431" s="211"/>
      <c r="DF431" s="60"/>
      <c r="DG431" s="60"/>
      <c r="DH431" s="60"/>
      <c r="DI431" s="60"/>
      <c r="DJ431" s="60"/>
    </row>
    <row r="432" spans="3:114" s="25" customFormat="1">
      <c r="C432" s="24"/>
      <c r="D432" s="24"/>
      <c r="G432" s="57"/>
      <c r="H432" s="57"/>
      <c r="I432" s="57"/>
      <c r="J432" s="57"/>
      <c r="K432" s="57"/>
      <c r="L432" s="57"/>
      <c r="M432" s="57"/>
      <c r="N432" s="57"/>
      <c r="O432" s="57"/>
      <c r="P432" s="57"/>
      <c r="Q432" s="57"/>
      <c r="R432" s="57"/>
      <c r="S432" s="57"/>
      <c r="T432" s="559"/>
      <c r="U432" s="29"/>
      <c r="V432" s="29"/>
      <c r="AJ432" s="1215"/>
      <c r="AK432" s="1142"/>
      <c r="AM432" s="42"/>
      <c r="AN432" s="42"/>
      <c r="AO432" s="42"/>
      <c r="AP432" s="42"/>
      <c r="AQ432" s="42"/>
      <c r="AR432" s="42"/>
      <c r="AS432" s="42"/>
      <c r="AT432" s="42"/>
      <c r="AU432" s="42"/>
      <c r="AV432" s="42"/>
      <c r="AW432" s="42"/>
      <c r="AX432" s="42"/>
      <c r="AY432" s="42"/>
      <c r="AZ432" s="42"/>
      <c r="BA432" s="42"/>
      <c r="BB432" s="42"/>
      <c r="BC432" s="42"/>
      <c r="BD432" s="42"/>
      <c r="BE432" s="42"/>
      <c r="BF432" s="42"/>
      <c r="BG432" s="42"/>
      <c r="BH432" s="42"/>
      <c r="BI432" s="42"/>
      <c r="BJ432" s="42"/>
      <c r="BK432" s="42"/>
      <c r="BL432" s="42"/>
      <c r="BM432" s="42"/>
      <c r="BN432" s="42"/>
      <c r="BO432" s="42"/>
      <c r="BP432" s="42"/>
      <c r="BQ432" s="42"/>
      <c r="BR432" s="42"/>
      <c r="BS432" s="42"/>
      <c r="BT432" s="42"/>
      <c r="BU432" s="42"/>
      <c r="BV432" s="42"/>
      <c r="BW432" s="42"/>
      <c r="BX432" s="42"/>
      <c r="BY432" s="42"/>
      <c r="BZ432" s="42"/>
      <c r="CA432" s="42"/>
      <c r="CB432" s="42"/>
      <c r="CC432" s="42"/>
      <c r="CD432" s="42"/>
      <c r="CE432" s="42"/>
      <c r="CF432" s="42"/>
      <c r="CG432" s="42"/>
      <c r="CH432" s="42"/>
      <c r="CS432" s="29"/>
      <c r="CT432" s="29"/>
      <c r="CU432" s="29"/>
      <c r="CV432" s="522"/>
      <c r="CW432" s="522"/>
      <c r="CX432" s="211"/>
      <c r="CY432" s="211"/>
      <c r="CZ432" s="211"/>
      <c r="DA432" s="211"/>
      <c r="DB432" s="211"/>
      <c r="DC432" s="211"/>
      <c r="DD432" s="211"/>
      <c r="DE432" s="211"/>
      <c r="DF432" s="60"/>
      <c r="DG432" s="60"/>
      <c r="DH432" s="60"/>
      <c r="DI432" s="60"/>
      <c r="DJ432" s="60"/>
    </row>
    <row r="433" spans="3:114" s="25" customFormat="1">
      <c r="C433" s="24"/>
      <c r="D433" s="24"/>
      <c r="G433" s="57"/>
      <c r="H433" s="57"/>
      <c r="I433" s="57"/>
      <c r="J433" s="57"/>
      <c r="K433" s="57"/>
      <c r="L433" s="57"/>
      <c r="M433" s="57"/>
      <c r="N433" s="57"/>
      <c r="O433" s="57"/>
      <c r="P433" s="57"/>
      <c r="Q433" s="57"/>
      <c r="R433" s="57"/>
      <c r="S433" s="57"/>
      <c r="T433" s="559"/>
      <c r="U433" s="29"/>
      <c r="V433" s="29"/>
      <c r="AJ433" s="1215"/>
      <c r="AK433" s="1142"/>
      <c r="AM433" s="42"/>
      <c r="AN433" s="42"/>
      <c r="AO433" s="42"/>
      <c r="AP433" s="42"/>
      <c r="AQ433" s="42"/>
      <c r="AR433" s="42"/>
      <c r="AS433" s="42"/>
      <c r="AT433" s="42"/>
      <c r="AU433" s="42"/>
      <c r="AV433" s="42"/>
      <c r="AW433" s="42"/>
      <c r="AX433" s="42"/>
      <c r="AY433" s="42"/>
      <c r="AZ433" s="42"/>
      <c r="BA433" s="42"/>
      <c r="BB433" s="42"/>
      <c r="BC433" s="42"/>
      <c r="BD433" s="42"/>
      <c r="BE433" s="42"/>
      <c r="BF433" s="42"/>
      <c r="BG433" s="42"/>
      <c r="BH433" s="42"/>
      <c r="BI433" s="42"/>
      <c r="BJ433" s="42"/>
      <c r="BK433" s="42"/>
      <c r="BL433" s="42"/>
      <c r="BM433" s="42"/>
      <c r="BN433" s="42"/>
      <c r="BO433" s="42"/>
      <c r="BP433" s="42"/>
      <c r="BQ433" s="42"/>
      <c r="BR433" s="42"/>
      <c r="BS433" s="42"/>
      <c r="BT433" s="42"/>
      <c r="BU433" s="42"/>
      <c r="BV433" s="42"/>
      <c r="BW433" s="42"/>
      <c r="BX433" s="42"/>
      <c r="BY433" s="42"/>
      <c r="BZ433" s="42"/>
      <c r="CA433" s="42"/>
      <c r="CB433" s="42"/>
      <c r="CC433" s="42"/>
      <c r="CD433" s="42"/>
      <c r="CE433" s="42"/>
      <c r="CF433" s="42"/>
      <c r="CG433" s="42"/>
      <c r="CH433" s="42"/>
      <c r="CS433" s="29"/>
      <c r="CT433" s="29"/>
      <c r="CU433" s="29"/>
      <c r="CV433" s="522"/>
      <c r="CW433" s="522"/>
      <c r="CX433" s="211"/>
      <c r="CY433" s="211"/>
      <c r="CZ433" s="211"/>
      <c r="DA433" s="211"/>
      <c r="DB433" s="211"/>
      <c r="DC433" s="211"/>
      <c r="DD433" s="211"/>
      <c r="DE433" s="211"/>
      <c r="DF433" s="60"/>
      <c r="DG433" s="60"/>
      <c r="DH433" s="60"/>
      <c r="DI433" s="60"/>
      <c r="DJ433" s="60"/>
    </row>
    <row r="434" spans="3:114" s="25" customFormat="1">
      <c r="C434" s="24"/>
      <c r="D434" s="24"/>
      <c r="G434" s="57"/>
      <c r="H434" s="57"/>
      <c r="I434" s="57"/>
      <c r="J434" s="57"/>
      <c r="K434" s="57"/>
      <c r="L434" s="57"/>
      <c r="M434" s="57"/>
      <c r="N434" s="57"/>
      <c r="O434" s="57"/>
      <c r="P434" s="57"/>
      <c r="Q434" s="57"/>
      <c r="R434" s="57"/>
      <c r="S434" s="57"/>
      <c r="T434" s="559"/>
      <c r="U434" s="29"/>
      <c r="V434" s="29"/>
      <c r="AJ434" s="1215"/>
      <c r="AK434" s="1142"/>
      <c r="AM434" s="42"/>
      <c r="AN434" s="42"/>
      <c r="AO434" s="42"/>
      <c r="AP434" s="42"/>
      <c r="AQ434" s="42"/>
      <c r="AR434" s="42"/>
      <c r="AS434" s="42"/>
      <c r="AT434" s="42"/>
      <c r="AU434" s="42"/>
      <c r="AV434" s="42"/>
      <c r="AW434" s="42"/>
      <c r="AX434" s="42"/>
      <c r="AY434" s="42"/>
      <c r="AZ434" s="42"/>
      <c r="BA434" s="42"/>
      <c r="BB434" s="42"/>
      <c r="BC434" s="42"/>
      <c r="BD434" s="42"/>
      <c r="BE434" s="42"/>
      <c r="BF434" s="42"/>
      <c r="BG434" s="42"/>
      <c r="BH434" s="42"/>
      <c r="BI434" s="42"/>
      <c r="BJ434" s="42"/>
      <c r="BK434" s="42"/>
      <c r="BL434" s="42"/>
      <c r="BM434" s="42"/>
      <c r="BN434" s="42"/>
      <c r="BO434" s="42"/>
      <c r="BP434" s="42"/>
      <c r="BQ434" s="42"/>
      <c r="BR434" s="42"/>
      <c r="BS434" s="42"/>
      <c r="BT434" s="42"/>
      <c r="BU434" s="42"/>
      <c r="BV434" s="42"/>
      <c r="BW434" s="42"/>
      <c r="BX434" s="42"/>
      <c r="BY434" s="42"/>
      <c r="BZ434" s="42"/>
      <c r="CA434" s="42"/>
      <c r="CB434" s="42"/>
      <c r="CC434" s="42"/>
      <c r="CD434" s="42"/>
      <c r="CE434" s="42"/>
      <c r="CF434" s="42"/>
      <c r="CG434" s="42"/>
      <c r="CH434" s="42"/>
      <c r="CS434" s="29"/>
      <c r="CT434" s="29"/>
      <c r="CU434" s="29"/>
      <c r="CV434" s="522"/>
      <c r="CW434" s="522"/>
      <c r="CX434" s="211"/>
      <c r="CY434" s="211"/>
      <c r="CZ434" s="211"/>
      <c r="DA434" s="211"/>
      <c r="DB434" s="211"/>
      <c r="DC434" s="211"/>
      <c r="DD434" s="211"/>
      <c r="DE434" s="211"/>
      <c r="DF434" s="60"/>
      <c r="DG434" s="60"/>
      <c r="DH434" s="60"/>
      <c r="DI434" s="60"/>
      <c r="DJ434" s="60"/>
    </row>
    <row r="435" spans="3:114" s="25" customFormat="1">
      <c r="C435" s="24"/>
      <c r="D435" s="24"/>
      <c r="G435" s="57"/>
      <c r="H435" s="57"/>
      <c r="I435" s="57"/>
      <c r="J435" s="57"/>
      <c r="K435" s="57"/>
      <c r="L435" s="57"/>
      <c r="M435" s="57"/>
      <c r="N435" s="57"/>
      <c r="O435" s="57"/>
      <c r="P435" s="57"/>
      <c r="Q435" s="57"/>
      <c r="R435" s="57"/>
      <c r="S435" s="57"/>
      <c r="T435" s="559"/>
      <c r="U435" s="29"/>
      <c r="V435" s="29"/>
      <c r="AJ435" s="1215"/>
      <c r="AK435" s="1142"/>
      <c r="AM435" s="42"/>
      <c r="AN435" s="42"/>
      <c r="AO435" s="42"/>
      <c r="AP435" s="42"/>
      <c r="AQ435" s="42"/>
      <c r="AR435" s="42"/>
      <c r="AS435" s="42"/>
      <c r="AT435" s="42"/>
      <c r="AU435" s="42"/>
      <c r="AV435" s="42"/>
      <c r="AW435" s="42"/>
      <c r="AX435" s="42"/>
      <c r="AY435" s="42"/>
      <c r="AZ435" s="42"/>
      <c r="BA435" s="42"/>
      <c r="BB435" s="42"/>
      <c r="BC435" s="42"/>
      <c r="BD435" s="42"/>
      <c r="BE435" s="42"/>
      <c r="BF435" s="42"/>
      <c r="BG435" s="42"/>
      <c r="BH435" s="42"/>
      <c r="BI435" s="42"/>
      <c r="BJ435" s="42"/>
      <c r="BK435" s="42"/>
      <c r="BL435" s="42"/>
      <c r="BM435" s="42"/>
      <c r="BN435" s="42"/>
      <c r="BO435" s="42"/>
      <c r="BP435" s="42"/>
      <c r="BQ435" s="42"/>
      <c r="BR435" s="42"/>
      <c r="BS435" s="42"/>
      <c r="BT435" s="42"/>
      <c r="BU435" s="42"/>
      <c r="BV435" s="42"/>
      <c r="BW435" s="42"/>
      <c r="BX435" s="42"/>
      <c r="BY435" s="42"/>
      <c r="BZ435" s="42"/>
      <c r="CA435" s="42"/>
      <c r="CB435" s="42"/>
      <c r="CC435" s="42"/>
      <c r="CD435" s="42"/>
      <c r="CE435" s="42"/>
      <c r="CF435" s="42"/>
      <c r="CG435" s="42"/>
      <c r="CH435" s="42"/>
      <c r="CS435" s="29"/>
      <c r="CT435" s="29"/>
      <c r="CU435" s="29"/>
      <c r="CV435" s="522"/>
      <c r="CW435" s="522"/>
      <c r="CX435" s="211"/>
      <c r="CY435" s="211"/>
      <c r="CZ435" s="211"/>
      <c r="DA435" s="211"/>
      <c r="DB435" s="211"/>
      <c r="DC435" s="211"/>
      <c r="DD435" s="211"/>
      <c r="DE435" s="211"/>
      <c r="DF435" s="60"/>
      <c r="DG435" s="60"/>
      <c r="DH435" s="60"/>
      <c r="DI435" s="60"/>
      <c r="DJ435" s="60"/>
    </row>
    <row r="436" spans="3:114" s="25" customFormat="1">
      <c r="C436" s="24"/>
      <c r="D436" s="24"/>
      <c r="G436" s="57"/>
      <c r="H436" s="57"/>
      <c r="I436" s="57"/>
      <c r="J436" s="57"/>
      <c r="K436" s="57"/>
      <c r="L436" s="57"/>
      <c r="M436" s="57"/>
      <c r="N436" s="57"/>
      <c r="O436" s="57"/>
      <c r="P436" s="57"/>
      <c r="Q436" s="57"/>
      <c r="R436" s="57"/>
      <c r="S436" s="57"/>
      <c r="T436" s="559"/>
      <c r="U436" s="29"/>
      <c r="V436" s="29"/>
      <c r="AJ436" s="1215"/>
      <c r="AK436" s="1142"/>
      <c r="AM436" s="42"/>
      <c r="AN436" s="42"/>
      <c r="AO436" s="42"/>
      <c r="AP436" s="42"/>
      <c r="AQ436" s="42"/>
      <c r="AR436" s="42"/>
      <c r="AS436" s="42"/>
      <c r="AT436" s="42"/>
      <c r="AU436" s="42"/>
      <c r="AV436" s="42"/>
      <c r="AW436" s="42"/>
      <c r="AX436" s="42"/>
      <c r="AY436" s="42"/>
      <c r="AZ436" s="42"/>
      <c r="BA436" s="42"/>
      <c r="BB436" s="42"/>
      <c r="BC436" s="42"/>
      <c r="BD436" s="42"/>
      <c r="BE436" s="42"/>
      <c r="BF436" s="42"/>
      <c r="BG436" s="42"/>
      <c r="BH436" s="42"/>
      <c r="BI436" s="42"/>
      <c r="BJ436" s="42"/>
      <c r="BK436" s="42"/>
      <c r="BL436" s="42"/>
      <c r="BM436" s="42"/>
      <c r="BN436" s="42"/>
      <c r="BO436" s="42"/>
      <c r="BP436" s="42"/>
      <c r="BQ436" s="42"/>
      <c r="BR436" s="42"/>
      <c r="BS436" s="42"/>
      <c r="BT436" s="42"/>
      <c r="BU436" s="42"/>
      <c r="BV436" s="42"/>
      <c r="BW436" s="42"/>
      <c r="BX436" s="42"/>
      <c r="BY436" s="42"/>
      <c r="BZ436" s="42"/>
      <c r="CA436" s="42"/>
      <c r="CB436" s="42"/>
      <c r="CC436" s="42"/>
      <c r="CD436" s="42"/>
      <c r="CE436" s="42"/>
      <c r="CF436" s="42"/>
      <c r="CG436" s="42"/>
      <c r="CH436" s="42"/>
      <c r="CS436" s="29"/>
      <c r="CT436" s="29"/>
      <c r="CU436" s="29"/>
      <c r="CV436" s="522"/>
      <c r="CW436" s="522"/>
      <c r="CX436" s="211"/>
      <c r="CY436" s="211"/>
      <c r="CZ436" s="211"/>
      <c r="DA436" s="211"/>
      <c r="DB436" s="211"/>
      <c r="DC436" s="211"/>
      <c r="DD436" s="211"/>
      <c r="DE436" s="211"/>
      <c r="DF436" s="60"/>
      <c r="DG436" s="60"/>
      <c r="DH436" s="60"/>
      <c r="DI436" s="60"/>
      <c r="DJ436" s="60"/>
    </row>
    <row r="437" spans="3:114" s="25" customFormat="1">
      <c r="C437" s="24"/>
      <c r="D437" s="24"/>
      <c r="G437" s="57"/>
      <c r="H437" s="57"/>
      <c r="I437" s="57"/>
      <c r="J437" s="57"/>
      <c r="K437" s="57"/>
      <c r="L437" s="57"/>
      <c r="M437" s="57"/>
      <c r="N437" s="57"/>
      <c r="O437" s="57"/>
      <c r="P437" s="57"/>
      <c r="Q437" s="57"/>
      <c r="R437" s="57"/>
      <c r="S437" s="57"/>
      <c r="T437" s="559"/>
      <c r="U437" s="29"/>
      <c r="V437" s="29"/>
      <c r="AJ437" s="1215"/>
      <c r="AK437" s="1142"/>
      <c r="AM437" s="42"/>
      <c r="AN437" s="42"/>
      <c r="AO437" s="42"/>
      <c r="AP437" s="42"/>
      <c r="AQ437" s="42"/>
      <c r="AR437" s="42"/>
      <c r="AS437" s="42"/>
      <c r="AT437" s="42"/>
      <c r="AU437" s="42"/>
      <c r="AV437" s="42"/>
      <c r="AW437" s="42"/>
      <c r="AX437" s="42"/>
      <c r="AY437" s="42"/>
      <c r="AZ437" s="42"/>
      <c r="BA437" s="42"/>
      <c r="BB437" s="42"/>
      <c r="BC437" s="42"/>
      <c r="BD437" s="42"/>
      <c r="BE437" s="42"/>
      <c r="BF437" s="42"/>
      <c r="BG437" s="42"/>
      <c r="BH437" s="42"/>
      <c r="BI437" s="42"/>
      <c r="BJ437" s="42"/>
      <c r="BK437" s="42"/>
      <c r="BL437" s="42"/>
      <c r="BM437" s="42"/>
      <c r="BN437" s="42"/>
      <c r="BO437" s="42"/>
      <c r="BP437" s="42"/>
      <c r="BQ437" s="42"/>
      <c r="BR437" s="42"/>
      <c r="BS437" s="42"/>
      <c r="BT437" s="42"/>
      <c r="BU437" s="42"/>
      <c r="BV437" s="42"/>
      <c r="BW437" s="42"/>
      <c r="BX437" s="42"/>
      <c r="BY437" s="42"/>
      <c r="BZ437" s="42"/>
      <c r="CA437" s="42"/>
      <c r="CB437" s="42"/>
      <c r="CC437" s="42"/>
      <c r="CD437" s="42"/>
      <c r="CE437" s="42"/>
      <c r="CF437" s="42"/>
      <c r="CG437" s="42"/>
      <c r="CH437" s="42"/>
      <c r="CS437" s="29"/>
      <c r="CT437" s="29"/>
      <c r="CU437" s="29"/>
      <c r="CV437" s="522"/>
      <c r="CW437" s="522"/>
      <c r="CX437" s="211"/>
      <c r="CY437" s="211"/>
      <c r="CZ437" s="211"/>
      <c r="DA437" s="211"/>
      <c r="DB437" s="211"/>
      <c r="DC437" s="211"/>
      <c r="DD437" s="211"/>
      <c r="DE437" s="211"/>
      <c r="DF437" s="60"/>
      <c r="DG437" s="60"/>
      <c r="DH437" s="60"/>
      <c r="DI437" s="60"/>
      <c r="DJ437" s="60"/>
    </row>
    <row r="438" spans="3:114" s="25" customFormat="1">
      <c r="C438" s="24"/>
      <c r="D438" s="24"/>
      <c r="G438" s="57"/>
      <c r="H438" s="57"/>
      <c r="I438" s="57"/>
      <c r="J438" s="57"/>
      <c r="K438" s="57"/>
      <c r="L438" s="57"/>
      <c r="M438" s="57"/>
      <c r="N438" s="57"/>
      <c r="O438" s="57"/>
      <c r="P438" s="57"/>
      <c r="Q438" s="57"/>
      <c r="R438" s="57"/>
      <c r="S438" s="57"/>
      <c r="T438" s="559"/>
      <c r="U438" s="29"/>
      <c r="V438" s="29"/>
      <c r="AJ438" s="1215"/>
      <c r="AK438" s="1142"/>
      <c r="AM438" s="42"/>
      <c r="AN438" s="42"/>
      <c r="AO438" s="42"/>
      <c r="AP438" s="42"/>
      <c r="AQ438" s="42"/>
      <c r="AR438" s="42"/>
      <c r="AS438" s="42"/>
      <c r="AT438" s="42"/>
      <c r="AU438" s="42"/>
      <c r="AV438" s="42"/>
      <c r="AW438" s="42"/>
      <c r="AX438" s="42"/>
      <c r="AY438" s="42"/>
      <c r="AZ438" s="42"/>
      <c r="BA438" s="42"/>
      <c r="BB438" s="42"/>
      <c r="BC438" s="42"/>
      <c r="BD438" s="42"/>
      <c r="BE438" s="42"/>
      <c r="BF438" s="42"/>
      <c r="BG438" s="42"/>
      <c r="BH438" s="42"/>
      <c r="BI438" s="42"/>
      <c r="BJ438" s="42"/>
      <c r="BK438" s="42"/>
      <c r="BL438" s="42"/>
      <c r="BM438" s="42"/>
      <c r="BN438" s="42"/>
      <c r="BO438" s="42"/>
      <c r="BP438" s="42"/>
      <c r="BQ438" s="42"/>
      <c r="BR438" s="42"/>
      <c r="BS438" s="42"/>
      <c r="BT438" s="42"/>
      <c r="BU438" s="42"/>
      <c r="BV438" s="42"/>
      <c r="BW438" s="42"/>
      <c r="BX438" s="42"/>
      <c r="BY438" s="42"/>
      <c r="BZ438" s="42"/>
      <c r="CA438" s="42"/>
      <c r="CB438" s="42"/>
      <c r="CC438" s="42"/>
      <c r="CD438" s="42"/>
      <c r="CE438" s="42"/>
      <c r="CF438" s="42"/>
      <c r="CG438" s="42"/>
      <c r="CH438" s="42"/>
      <c r="CS438" s="29"/>
      <c r="CT438" s="29"/>
      <c r="CU438" s="29"/>
      <c r="CV438" s="522"/>
      <c r="CW438" s="522"/>
      <c r="CX438" s="211"/>
      <c r="CY438" s="211"/>
      <c r="CZ438" s="211"/>
      <c r="DA438" s="211"/>
      <c r="DB438" s="211"/>
      <c r="DC438" s="211"/>
      <c r="DD438" s="211"/>
      <c r="DE438" s="211"/>
      <c r="DF438" s="60"/>
      <c r="DG438" s="60"/>
      <c r="DH438" s="60"/>
      <c r="DI438" s="60"/>
      <c r="DJ438" s="60"/>
    </row>
    <row r="439" spans="3:114" s="25" customFormat="1">
      <c r="C439" s="24"/>
      <c r="D439" s="24"/>
      <c r="G439" s="57"/>
      <c r="H439" s="57"/>
      <c r="I439" s="57"/>
      <c r="J439" s="57"/>
      <c r="K439" s="57"/>
      <c r="L439" s="57"/>
      <c r="M439" s="57"/>
      <c r="N439" s="57"/>
      <c r="O439" s="57"/>
      <c r="P439" s="57"/>
      <c r="Q439" s="57"/>
      <c r="R439" s="57"/>
      <c r="S439" s="57"/>
      <c r="T439" s="559"/>
      <c r="U439" s="29"/>
      <c r="V439" s="29"/>
      <c r="AJ439" s="1215"/>
      <c r="AK439" s="1142"/>
      <c r="AM439" s="42"/>
      <c r="AN439" s="42"/>
      <c r="AO439" s="42"/>
      <c r="AP439" s="42"/>
      <c r="AQ439" s="42"/>
      <c r="AR439" s="42"/>
      <c r="AS439" s="42"/>
      <c r="AT439" s="42"/>
      <c r="AU439" s="42"/>
      <c r="AV439" s="42"/>
      <c r="AW439" s="42"/>
      <c r="AX439" s="42"/>
      <c r="AY439" s="42"/>
      <c r="AZ439" s="42"/>
      <c r="BA439" s="42"/>
      <c r="BB439" s="42"/>
      <c r="BC439" s="42"/>
      <c r="BD439" s="42"/>
      <c r="BE439" s="42"/>
      <c r="BF439" s="42"/>
      <c r="BG439" s="42"/>
      <c r="BH439" s="42"/>
      <c r="BI439" s="42"/>
      <c r="BJ439" s="42"/>
      <c r="BK439" s="42"/>
      <c r="BL439" s="42"/>
      <c r="BM439" s="42"/>
      <c r="BN439" s="42"/>
      <c r="BO439" s="42"/>
      <c r="BP439" s="42"/>
      <c r="BQ439" s="42"/>
      <c r="BR439" s="42"/>
      <c r="BS439" s="42"/>
      <c r="BT439" s="42"/>
      <c r="BU439" s="42"/>
      <c r="BV439" s="42"/>
      <c r="BW439" s="42"/>
      <c r="BX439" s="42"/>
      <c r="BY439" s="42"/>
      <c r="BZ439" s="42"/>
      <c r="CA439" s="42"/>
      <c r="CB439" s="42"/>
      <c r="CC439" s="42"/>
      <c r="CD439" s="42"/>
      <c r="CE439" s="42"/>
      <c r="CF439" s="42"/>
      <c r="CG439" s="42"/>
      <c r="CH439" s="42"/>
      <c r="CS439" s="29"/>
      <c r="CT439" s="29"/>
      <c r="CU439" s="29"/>
      <c r="CV439" s="522"/>
      <c r="CW439" s="522"/>
      <c r="CX439" s="211"/>
      <c r="CY439" s="211"/>
      <c r="CZ439" s="211"/>
      <c r="DA439" s="211"/>
      <c r="DB439" s="211"/>
      <c r="DC439" s="211"/>
      <c r="DD439" s="211"/>
      <c r="DE439" s="211"/>
      <c r="DF439" s="60"/>
      <c r="DG439" s="60"/>
      <c r="DH439" s="60"/>
      <c r="DI439" s="60"/>
      <c r="DJ439" s="60"/>
    </row>
    <row r="440" spans="3:114" s="25" customFormat="1">
      <c r="C440" s="24"/>
      <c r="D440" s="24"/>
      <c r="G440" s="57"/>
      <c r="H440" s="57"/>
      <c r="I440" s="57"/>
      <c r="J440" s="57"/>
      <c r="K440" s="57"/>
      <c r="L440" s="57"/>
      <c r="M440" s="57"/>
      <c r="N440" s="57"/>
      <c r="O440" s="57"/>
      <c r="P440" s="57"/>
      <c r="Q440" s="57"/>
      <c r="R440" s="57"/>
      <c r="S440" s="57"/>
      <c r="T440" s="559"/>
      <c r="U440" s="29"/>
      <c r="V440" s="29"/>
      <c r="AJ440" s="1215"/>
      <c r="AK440" s="1142"/>
      <c r="AM440" s="42"/>
      <c r="AN440" s="42"/>
      <c r="AO440" s="42"/>
      <c r="AP440" s="42"/>
      <c r="AQ440" s="42"/>
      <c r="AR440" s="42"/>
      <c r="AS440" s="42"/>
      <c r="AT440" s="42"/>
      <c r="AU440" s="42"/>
      <c r="AV440" s="42"/>
      <c r="AW440" s="42"/>
      <c r="AX440" s="42"/>
      <c r="AY440" s="42"/>
      <c r="AZ440" s="42"/>
      <c r="BA440" s="42"/>
      <c r="BB440" s="42"/>
      <c r="BC440" s="42"/>
      <c r="BD440" s="42"/>
      <c r="BE440" s="42"/>
      <c r="BF440" s="42"/>
      <c r="BG440" s="42"/>
      <c r="BH440" s="42"/>
      <c r="BI440" s="42"/>
      <c r="BJ440" s="42"/>
      <c r="BK440" s="42"/>
      <c r="BL440" s="42"/>
      <c r="BM440" s="42"/>
      <c r="BN440" s="42"/>
      <c r="BO440" s="42"/>
      <c r="BP440" s="42"/>
      <c r="BQ440" s="42"/>
      <c r="BR440" s="42"/>
      <c r="BS440" s="42"/>
      <c r="BT440" s="42"/>
      <c r="BU440" s="42"/>
      <c r="BV440" s="42"/>
      <c r="BW440" s="42"/>
      <c r="BX440" s="42"/>
      <c r="BY440" s="42"/>
      <c r="BZ440" s="42"/>
      <c r="CA440" s="42"/>
      <c r="CB440" s="42"/>
      <c r="CC440" s="42"/>
      <c r="CD440" s="42"/>
      <c r="CE440" s="42"/>
      <c r="CF440" s="42"/>
      <c r="CG440" s="42"/>
      <c r="CH440" s="42"/>
      <c r="CS440" s="29"/>
      <c r="CT440" s="29"/>
      <c r="CU440" s="29"/>
      <c r="CV440" s="522"/>
      <c r="CW440" s="522"/>
      <c r="CX440" s="211"/>
      <c r="CY440" s="211"/>
      <c r="CZ440" s="211"/>
      <c r="DA440" s="211"/>
      <c r="DB440" s="211"/>
      <c r="DC440" s="211"/>
      <c r="DD440" s="211"/>
      <c r="DE440" s="211"/>
      <c r="DF440" s="60"/>
      <c r="DG440" s="60"/>
      <c r="DH440" s="60"/>
      <c r="DI440" s="60"/>
      <c r="DJ440" s="60"/>
    </row>
    <row r="441" spans="3:114" s="25" customFormat="1">
      <c r="C441" s="24"/>
      <c r="D441" s="24"/>
      <c r="G441" s="57"/>
      <c r="H441" s="57"/>
      <c r="I441" s="57"/>
      <c r="J441" s="57"/>
      <c r="K441" s="57"/>
      <c r="L441" s="57"/>
      <c r="M441" s="57"/>
      <c r="N441" s="57"/>
      <c r="O441" s="57"/>
      <c r="P441" s="57"/>
      <c r="Q441" s="57"/>
      <c r="R441" s="57"/>
      <c r="S441" s="57"/>
      <c r="T441" s="559"/>
      <c r="U441" s="29"/>
      <c r="V441" s="29"/>
      <c r="AJ441" s="1215"/>
      <c r="AK441" s="1142"/>
      <c r="AM441" s="42"/>
      <c r="AN441" s="42"/>
      <c r="AO441" s="42"/>
      <c r="AP441" s="42"/>
      <c r="AQ441" s="42"/>
      <c r="AR441" s="42"/>
      <c r="AS441" s="42"/>
      <c r="AT441" s="42"/>
      <c r="AU441" s="42"/>
      <c r="AV441" s="42"/>
      <c r="AW441" s="42"/>
      <c r="AX441" s="42"/>
      <c r="AY441" s="42"/>
      <c r="AZ441" s="42"/>
      <c r="BA441" s="42"/>
      <c r="BB441" s="42"/>
      <c r="BC441" s="42"/>
      <c r="BD441" s="42"/>
      <c r="BE441" s="42"/>
      <c r="BF441" s="42"/>
      <c r="BG441" s="42"/>
      <c r="BH441" s="42"/>
      <c r="BI441" s="42"/>
      <c r="BJ441" s="42"/>
      <c r="BK441" s="42"/>
      <c r="BL441" s="42"/>
      <c r="BM441" s="42"/>
      <c r="BN441" s="42"/>
      <c r="BO441" s="42"/>
      <c r="BP441" s="42"/>
      <c r="BQ441" s="42"/>
      <c r="BR441" s="42"/>
      <c r="BS441" s="42"/>
      <c r="BT441" s="42"/>
      <c r="BU441" s="42"/>
      <c r="BV441" s="42"/>
      <c r="BW441" s="42"/>
      <c r="BX441" s="42"/>
      <c r="BY441" s="42"/>
      <c r="BZ441" s="42"/>
      <c r="CA441" s="42"/>
      <c r="CB441" s="42"/>
      <c r="CC441" s="42"/>
      <c r="CD441" s="42"/>
      <c r="CE441" s="42"/>
      <c r="CF441" s="42"/>
      <c r="CG441" s="42"/>
      <c r="CH441" s="42"/>
      <c r="CS441" s="29"/>
      <c r="CT441" s="29"/>
      <c r="CU441" s="29"/>
      <c r="CV441" s="522"/>
      <c r="CW441" s="522"/>
      <c r="CX441" s="211"/>
      <c r="CY441" s="211"/>
      <c r="CZ441" s="211"/>
      <c r="DA441" s="211"/>
      <c r="DB441" s="211"/>
      <c r="DC441" s="211"/>
      <c r="DD441" s="211"/>
      <c r="DE441" s="211"/>
      <c r="DF441" s="60"/>
      <c r="DG441" s="60"/>
      <c r="DH441" s="60"/>
      <c r="DI441" s="60"/>
      <c r="DJ441" s="60"/>
    </row>
    <row r="442" spans="3:114" s="25" customFormat="1">
      <c r="C442" s="24"/>
      <c r="D442" s="24"/>
      <c r="G442" s="57"/>
      <c r="H442" s="57"/>
      <c r="I442" s="57"/>
      <c r="J442" s="57"/>
      <c r="K442" s="57"/>
      <c r="L442" s="57"/>
      <c r="M442" s="57"/>
      <c r="N442" s="57"/>
      <c r="O442" s="57"/>
      <c r="P442" s="57"/>
      <c r="Q442" s="57"/>
      <c r="R442" s="57"/>
      <c r="S442" s="57"/>
      <c r="T442" s="559"/>
      <c r="U442" s="29"/>
      <c r="V442" s="29"/>
      <c r="AJ442" s="1215"/>
      <c r="AK442" s="1142"/>
      <c r="AM442" s="42"/>
      <c r="AN442" s="42"/>
      <c r="AO442" s="42"/>
      <c r="AP442" s="42"/>
      <c r="AQ442" s="42"/>
      <c r="AR442" s="42"/>
      <c r="AS442" s="42"/>
      <c r="AT442" s="42"/>
      <c r="AU442" s="42"/>
      <c r="AV442" s="42"/>
      <c r="AW442" s="42"/>
      <c r="AX442" s="42"/>
      <c r="AY442" s="42"/>
      <c r="AZ442" s="42"/>
      <c r="BA442" s="42"/>
      <c r="BB442" s="42"/>
      <c r="BC442" s="42"/>
      <c r="BD442" s="42"/>
      <c r="BE442" s="42"/>
      <c r="BF442" s="42"/>
      <c r="BG442" s="42"/>
      <c r="BH442" s="42"/>
      <c r="BI442" s="42"/>
      <c r="BJ442" s="42"/>
      <c r="BK442" s="42"/>
      <c r="BL442" s="42"/>
      <c r="BM442" s="42"/>
      <c r="BN442" s="42"/>
      <c r="BO442" s="42"/>
      <c r="BP442" s="42"/>
      <c r="BQ442" s="42"/>
      <c r="BR442" s="42"/>
      <c r="BS442" s="42"/>
      <c r="BT442" s="42"/>
      <c r="BU442" s="42"/>
      <c r="BV442" s="42"/>
      <c r="BW442" s="42"/>
      <c r="BX442" s="42"/>
      <c r="BY442" s="42"/>
      <c r="BZ442" s="42"/>
      <c r="CA442" s="42"/>
      <c r="CB442" s="42"/>
      <c r="CC442" s="42"/>
      <c r="CD442" s="42"/>
      <c r="CE442" s="42"/>
      <c r="CF442" s="42"/>
      <c r="CG442" s="42"/>
      <c r="CH442" s="42"/>
      <c r="CS442" s="29"/>
      <c r="CT442" s="29"/>
      <c r="CU442" s="29"/>
      <c r="CV442" s="522"/>
      <c r="CW442" s="522"/>
      <c r="CX442" s="211"/>
      <c r="CY442" s="211"/>
      <c r="CZ442" s="211"/>
      <c r="DA442" s="211"/>
      <c r="DB442" s="211"/>
      <c r="DC442" s="211"/>
      <c r="DD442" s="211"/>
      <c r="DE442" s="211"/>
      <c r="DF442" s="60"/>
      <c r="DG442" s="60"/>
      <c r="DH442" s="60"/>
      <c r="DI442" s="60"/>
      <c r="DJ442" s="60"/>
    </row>
    <row r="443" spans="3:114" s="25" customFormat="1">
      <c r="C443" s="24"/>
      <c r="D443" s="24"/>
      <c r="G443" s="57"/>
      <c r="H443" s="57"/>
      <c r="I443" s="57"/>
      <c r="J443" s="57"/>
      <c r="K443" s="57"/>
      <c r="L443" s="57"/>
      <c r="M443" s="57"/>
      <c r="N443" s="57"/>
      <c r="O443" s="57"/>
      <c r="P443" s="57"/>
      <c r="Q443" s="57"/>
      <c r="R443" s="57"/>
      <c r="S443" s="57"/>
      <c r="T443" s="559"/>
      <c r="U443" s="29"/>
      <c r="V443" s="29"/>
      <c r="AJ443" s="1215"/>
      <c r="AK443" s="1142"/>
      <c r="AM443" s="42"/>
      <c r="AN443" s="42"/>
      <c r="AO443" s="42"/>
      <c r="AP443" s="42"/>
      <c r="AQ443" s="42"/>
      <c r="AR443" s="42"/>
      <c r="AS443" s="42"/>
      <c r="AT443" s="42"/>
      <c r="AU443" s="42"/>
      <c r="AV443" s="42"/>
      <c r="AW443" s="42"/>
      <c r="AX443" s="42"/>
      <c r="AY443" s="42"/>
      <c r="AZ443" s="42"/>
      <c r="BA443" s="42"/>
      <c r="BB443" s="42"/>
      <c r="BC443" s="42"/>
      <c r="BD443" s="42"/>
      <c r="BE443" s="42"/>
      <c r="BF443" s="42"/>
      <c r="BG443" s="42"/>
      <c r="BH443" s="42"/>
      <c r="BI443" s="42"/>
      <c r="BJ443" s="42"/>
      <c r="BK443" s="42"/>
      <c r="BL443" s="42"/>
      <c r="BM443" s="42"/>
      <c r="BN443" s="42"/>
      <c r="BO443" s="42"/>
      <c r="BP443" s="42"/>
      <c r="BQ443" s="42"/>
      <c r="BR443" s="42"/>
      <c r="BS443" s="42"/>
      <c r="BT443" s="42"/>
      <c r="BU443" s="42"/>
      <c r="BV443" s="42"/>
      <c r="BW443" s="42"/>
      <c r="BX443" s="42"/>
      <c r="BY443" s="42"/>
      <c r="BZ443" s="42"/>
      <c r="CA443" s="42"/>
      <c r="CB443" s="42"/>
      <c r="CC443" s="42"/>
      <c r="CD443" s="42"/>
      <c r="CE443" s="42"/>
      <c r="CF443" s="42"/>
      <c r="CG443" s="42"/>
      <c r="CH443" s="42"/>
      <c r="CS443" s="29"/>
      <c r="CT443" s="29"/>
      <c r="CU443" s="29"/>
      <c r="CV443" s="522"/>
      <c r="CW443" s="522"/>
      <c r="CX443" s="211"/>
      <c r="CY443" s="211"/>
      <c r="CZ443" s="211"/>
      <c r="DA443" s="211"/>
      <c r="DB443" s="211"/>
      <c r="DC443" s="211"/>
      <c r="DD443" s="211"/>
      <c r="DE443" s="211"/>
      <c r="DF443" s="60"/>
      <c r="DG443" s="60"/>
      <c r="DH443" s="60"/>
      <c r="DI443" s="60"/>
      <c r="DJ443" s="60"/>
    </row>
    <row r="444" spans="3:114" s="25" customFormat="1">
      <c r="C444" s="24"/>
      <c r="D444" s="24"/>
      <c r="G444" s="57"/>
      <c r="H444" s="57"/>
      <c r="I444" s="57"/>
      <c r="J444" s="57"/>
      <c r="K444" s="57"/>
      <c r="L444" s="57"/>
      <c r="M444" s="57"/>
      <c r="N444" s="57"/>
      <c r="O444" s="57"/>
      <c r="P444" s="57"/>
      <c r="Q444" s="57"/>
      <c r="R444" s="57"/>
      <c r="S444" s="57"/>
      <c r="T444" s="559"/>
      <c r="U444" s="29"/>
      <c r="V444" s="29"/>
      <c r="AJ444" s="1215"/>
      <c r="AK444" s="1142"/>
      <c r="AM444" s="42"/>
      <c r="AN444" s="42"/>
      <c r="AO444" s="42"/>
      <c r="AP444" s="42"/>
      <c r="AQ444" s="42"/>
      <c r="AR444" s="42"/>
      <c r="AS444" s="42"/>
      <c r="AT444" s="42"/>
      <c r="AU444" s="42"/>
      <c r="AV444" s="42"/>
      <c r="AW444" s="42"/>
      <c r="AX444" s="42"/>
      <c r="AY444" s="42"/>
      <c r="AZ444" s="42"/>
      <c r="BA444" s="42"/>
      <c r="BB444" s="42"/>
      <c r="BC444" s="42"/>
      <c r="BD444" s="42"/>
      <c r="BE444" s="42"/>
      <c r="BF444" s="42"/>
      <c r="BG444" s="42"/>
      <c r="BH444" s="42"/>
      <c r="BI444" s="42"/>
      <c r="BJ444" s="42"/>
      <c r="BK444" s="42"/>
      <c r="BL444" s="42"/>
      <c r="BM444" s="42"/>
      <c r="BN444" s="42"/>
      <c r="BO444" s="42"/>
      <c r="BP444" s="42"/>
      <c r="BQ444" s="42"/>
      <c r="BR444" s="42"/>
      <c r="BS444" s="42"/>
      <c r="BT444" s="42"/>
      <c r="BU444" s="42"/>
      <c r="BV444" s="42"/>
      <c r="BW444" s="42"/>
      <c r="BX444" s="42"/>
      <c r="BY444" s="42"/>
      <c r="BZ444" s="42"/>
      <c r="CA444" s="42"/>
      <c r="CB444" s="42"/>
      <c r="CC444" s="42"/>
      <c r="CD444" s="42"/>
      <c r="CE444" s="42"/>
      <c r="CF444" s="42"/>
      <c r="CG444" s="42"/>
      <c r="CH444" s="42"/>
      <c r="CS444" s="29"/>
      <c r="CT444" s="29"/>
      <c r="CU444" s="29"/>
      <c r="CV444" s="522"/>
      <c r="CW444" s="522"/>
      <c r="CX444" s="211"/>
      <c r="CY444" s="211"/>
      <c r="CZ444" s="211"/>
      <c r="DA444" s="211"/>
      <c r="DB444" s="211"/>
      <c r="DC444" s="211"/>
      <c r="DD444" s="211"/>
      <c r="DE444" s="211"/>
      <c r="DF444" s="60"/>
      <c r="DG444" s="60"/>
      <c r="DH444" s="60"/>
      <c r="DI444" s="60"/>
      <c r="DJ444" s="60"/>
    </row>
    <row r="445" spans="3:114" s="25" customFormat="1">
      <c r="C445" s="24"/>
      <c r="D445" s="24"/>
      <c r="G445" s="57"/>
      <c r="H445" s="57"/>
      <c r="I445" s="57"/>
      <c r="J445" s="57"/>
      <c r="K445" s="57"/>
      <c r="L445" s="57"/>
      <c r="M445" s="57"/>
      <c r="N445" s="57"/>
      <c r="O445" s="57"/>
      <c r="P445" s="57"/>
      <c r="Q445" s="57"/>
      <c r="R445" s="57"/>
      <c r="S445" s="57"/>
      <c r="T445" s="559"/>
      <c r="U445" s="29"/>
      <c r="V445" s="29"/>
      <c r="AJ445" s="1215"/>
      <c r="AK445" s="1142"/>
      <c r="AM445" s="42"/>
      <c r="AN445" s="42"/>
      <c r="AO445" s="42"/>
      <c r="AP445" s="42"/>
      <c r="AQ445" s="42"/>
      <c r="AR445" s="42"/>
      <c r="AS445" s="42"/>
      <c r="AT445" s="42"/>
      <c r="AU445" s="42"/>
      <c r="AV445" s="42"/>
      <c r="AW445" s="42"/>
      <c r="AX445" s="42"/>
      <c r="AY445" s="42"/>
      <c r="AZ445" s="42"/>
      <c r="BA445" s="42"/>
      <c r="BB445" s="42"/>
      <c r="BC445" s="42"/>
      <c r="BD445" s="42"/>
      <c r="BE445" s="42"/>
      <c r="BF445" s="42"/>
      <c r="BG445" s="42"/>
      <c r="BH445" s="42"/>
      <c r="BI445" s="42"/>
      <c r="BJ445" s="42"/>
      <c r="BK445" s="42"/>
      <c r="BL445" s="42"/>
      <c r="BM445" s="42"/>
      <c r="BN445" s="42"/>
      <c r="BO445" s="42"/>
      <c r="BP445" s="42"/>
      <c r="BQ445" s="42"/>
      <c r="BR445" s="42"/>
      <c r="BS445" s="42"/>
      <c r="BT445" s="42"/>
      <c r="BU445" s="42"/>
      <c r="BV445" s="42"/>
      <c r="BW445" s="42"/>
      <c r="BX445" s="42"/>
      <c r="BY445" s="42"/>
      <c r="BZ445" s="42"/>
      <c r="CA445" s="42"/>
      <c r="CB445" s="42"/>
      <c r="CC445" s="42"/>
      <c r="CD445" s="42"/>
      <c r="CE445" s="42"/>
      <c r="CF445" s="42"/>
      <c r="CG445" s="42"/>
      <c r="CH445" s="42"/>
      <c r="CS445" s="29"/>
      <c r="CT445" s="29"/>
      <c r="CU445" s="29"/>
      <c r="CV445" s="522"/>
      <c r="CW445" s="522"/>
      <c r="CX445" s="211"/>
      <c r="CY445" s="211"/>
      <c r="CZ445" s="211"/>
      <c r="DA445" s="211"/>
      <c r="DB445" s="211"/>
      <c r="DC445" s="211"/>
      <c r="DD445" s="211"/>
      <c r="DE445" s="211"/>
      <c r="DF445" s="60"/>
      <c r="DG445" s="60"/>
      <c r="DH445" s="60"/>
      <c r="DI445" s="60"/>
      <c r="DJ445" s="60"/>
    </row>
    <row r="446" spans="3:114" s="25" customFormat="1">
      <c r="C446" s="24"/>
      <c r="D446" s="24"/>
      <c r="G446" s="57"/>
      <c r="H446" s="57"/>
      <c r="I446" s="57"/>
      <c r="J446" s="57"/>
      <c r="K446" s="57"/>
      <c r="L446" s="57"/>
      <c r="M446" s="57"/>
      <c r="N446" s="57"/>
      <c r="O446" s="57"/>
      <c r="P446" s="57"/>
      <c r="Q446" s="57"/>
      <c r="R446" s="57"/>
      <c r="S446" s="57"/>
      <c r="T446" s="559"/>
      <c r="U446" s="29"/>
      <c r="V446" s="29"/>
      <c r="AJ446" s="1215"/>
      <c r="AK446" s="1142"/>
      <c r="AM446" s="42"/>
      <c r="AN446" s="42"/>
      <c r="AO446" s="42"/>
      <c r="AP446" s="42"/>
      <c r="AQ446" s="42"/>
      <c r="AR446" s="42"/>
      <c r="AS446" s="42"/>
      <c r="AT446" s="42"/>
      <c r="AU446" s="42"/>
      <c r="AV446" s="42"/>
      <c r="AW446" s="42"/>
      <c r="AX446" s="42"/>
      <c r="AY446" s="42"/>
      <c r="AZ446" s="42"/>
      <c r="BA446" s="42"/>
      <c r="BB446" s="42"/>
      <c r="BC446" s="42"/>
      <c r="BD446" s="42"/>
      <c r="BE446" s="42"/>
      <c r="BF446" s="42"/>
      <c r="BG446" s="42"/>
      <c r="BH446" s="42"/>
      <c r="BI446" s="42"/>
      <c r="BJ446" s="42"/>
      <c r="BK446" s="42"/>
      <c r="BL446" s="42"/>
      <c r="BM446" s="42"/>
      <c r="BN446" s="42"/>
      <c r="BO446" s="42"/>
      <c r="BP446" s="42"/>
      <c r="BQ446" s="42"/>
      <c r="BR446" s="42"/>
      <c r="BS446" s="42"/>
      <c r="BT446" s="42"/>
      <c r="BU446" s="42"/>
      <c r="BV446" s="42"/>
      <c r="BW446" s="42"/>
      <c r="BX446" s="42"/>
      <c r="BY446" s="42"/>
      <c r="BZ446" s="42"/>
      <c r="CA446" s="42"/>
      <c r="CB446" s="42"/>
      <c r="CC446" s="42"/>
      <c r="CD446" s="42"/>
      <c r="CE446" s="42"/>
      <c r="CF446" s="42"/>
      <c r="CG446" s="42"/>
      <c r="CH446" s="42"/>
      <c r="CS446" s="29"/>
      <c r="CT446" s="29"/>
      <c r="CU446" s="29"/>
      <c r="CV446" s="522"/>
      <c r="CW446" s="522"/>
      <c r="CX446" s="211"/>
      <c r="CY446" s="211"/>
      <c r="CZ446" s="211"/>
      <c r="DA446" s="211"/>
      <c r="DB446" s="211"/>
      <c r="DC446" s="211"/>
      <c r="DD446" s="211"/>
      <c r="DE446" s="211"/>
      <c r="DF446" s="60"/>
      <c r="DG446" s="60"/>
      <c r="DH446" s="60"/>
      <c r="DI446" s="60"/>
      <c r="DJ446" s="60"/>
    </row>
    <row r="447" spans="3:114" s="25" customFormat="1">
      <c r="C447" s="24"/>
      <c r="D447" s="24"/>
      <c r="G447" s="57"/>
      <c r="H447" s="57"/>
      <c r="I447" s="57"/>
      <c r="J447" s="57"/>
      <c r="K447" s="57"/>
      <c r="L447" s="57"/>
      <c r="M447" s="57"/>
      <c r="N447" s="57"/>
      <c r="O447" s="57"/>
      <c r="P447" s="57"/>
      <c r="Q447" s="57"/>
      <c r="R447" s="57"/>
      <c r="S447" s="57"/>
      <c r="T447" s="559"/>
      <c r="U447" s="29"/>
      <c r="V447" s="29"/>
      <c r="AJ447" s="1215"/>
      <c r="AK447" s="1142"/>
      <c r="AM447" s="42"/>
      <c r="AN447" s="42"/>
      <c r="AO447" s="42"/>
      <c r="AP447" s="42"/>
      <c r="AQ447" s="42"/>
      <c r="AR447" s="42"/>
      <c r="AS447" s="42"/>
      <c r="AT447" s="42"/>
      <c r="AU447" s="42"/>
      <c r="AV447" s="42"/>
      <c r="AW447" s="42"/>
      <c r="AX447" s="42"/>
      <c r="AY447" s="42"/>
      <c r="AZ447" s="42"/>
      <c r="BA447" s="42"/>
      <c r="BB447" s="42"/>
      <c r="BC447" s="42"/>
      <c r="BD447" s="42"/>
      <c r="BE447" s="42"/>
      <c r="BF447" s="42"/>
      <c r="BG447" s="42"/>
      <c r="BH447" s="42"/>
      <c r="BI447" s="42"/>
      <c r="BJ447" s="42"/>
      <c r="BK447" s="42"/>
      <c r="BL447" s="42"/>
      <c r="BM447" s="42"/>
      <c r="BN447" s="42"/>
      <c r="BO447" s="42"/>
      <c r="BP447" s="42"/>
      <c r="BQ447" s="42"/>
      <c r="BR447" s="42"/>
      <c r="BS447" s="42"/>
      <c r="BT447" s="42"/>
      <c r="BU447" s="42"/>
      <c r="BV447" s="42"/>
      <c r="BW447" s="42"/>
      <c r="BX447" s="42"/>
      <c r="BY447" s="42"/>
      <c r="BZ447" s="42"/>
      <c r="CA447" s="42"/>
      <c r="CB447" s="42"/>
      <c r="CC447" s="42"/>
      <c r="CD447" s="42"/>
      <c r="CE447" s="42"/>
      <c r="CF447" s="42"/>
      <c r="CG447" s="42"/>
      <c r="CH447" s="42"/>
      <c r="CS447" s="29"/>
      <c r="CT447" s="29"/>
      <c r="CU447" s="29"/>
      <c r="CV447" s="522"/>
      <c r="CW447" s="522"/>
      <c r="CX447" s="211"/>
      <c r="CY447" s="211"/>
      <c r="CZ447" s="211"/>
      <c r="DA447" s="211"/>
      <c r="DB447" s="211"/>
      <c r="DC447" s="211"/>
      <c r="DD447" s="211"/>
      <c r="DE447" s="211"/>
      <c r="DF447" s="60"/>
      <c r="DG447" s="60"/>
      <c r="DH447" s="60"/>
      <c r="DI447" s="60"/>
      <c r="DJ447" s="60"/>
    </row>
    <row r="448" spans="3:114" s="25" customFormat="1">
      <c r="C448" s="24"/>
      <c r="D448" s="24"/>
      <c r="G448" s="57"/>
      <c r="H448" s="57"/>
      <c r="I448" s="57"/>
      <c r="J448" s="57"/>
      <c r="K448" s="57"/>
      <c r="L448" s="57"/>
      <c r="M448" s="57"/>
      <c r="N448" s="57"/>
      <c r="O448" s="57"/>
      <c r="P448" s="57"/>
      <c r="Q448" s="57"/>
      <c r="R448" s="57"/>
      <c r="S448" s="57"/>
      <c r="T448" s="559"/>
      <c r="U448" s="29"/>
      <c r="V448" s="29"/>
      <c r="AJ448" s="1215"/>
      <c r="AK448" s="1142"/>
      <c r="AM448" s="42"/>
      <c r="AN448" s="42"/>
      <c r="AO448" s="42"/>
      <c r="AP448" s="42"/>
      <c r="AQ448" s="42"/>
      <c r="AR448" s="42"/>
      <c r="AS448" s="42"/>
      <c r="AT448" s="42"/>
      <c r="AU448" s="42"/>
      <c r="AV448" s="42"/>
      <c r="AW448" s="42"/>
      <c r="AX448" s="42"/>
      <c r="AY448" s="42"/>
      <c r="AZ448" s="42"/>
      <c r="BA448" s="42"/>
      <c r="BB448" s="42"/>
      <c r="BC448" s="42"/>
      <c r="BD448" s="42"/>
      <c r="BE448" s="42"/>
      <c r="BF448" s="42"/>
      <c r="BG448" s="42"/>
      <c r="BH448" s="42"/>
      <c r="BI448" s="42"/>
      <c r="BJ448" s="42"/>
      <c r="BK448" s="42"/>
      <c r="BL448" s="42"/>
      <c r="BM448" s="42"/>
      <c r="BN448" s="42"/>
      <c r="BO448" s="42"/>
      <c r="BP448" s="42"/>
      <c r="BQ448" s="42"/>
      <c r="BR448" s="42"/>
      <c r="BS448" s="42"/>
      <c r="BT448" s="42"/>
      <c r="BU448" s="42"/>
      <c r="BV448" s="42"/>
      <c r="BW448" s="42"/>
      <c r="BX448" s="42"/>
      <c r="BY448" s="42"/>
      <c r="BZ448" s="42"/>
      <c r="CA448" s="42"/>
      <c r="CB448" s="42"/>
      <c r="CC448" s="42"/>
      <c r="CD448" s="42"/>
      <c r="CE448" s="42"/>
      <c r="CF448" s="42"/>
      <c r="CG448" s="42"/>
      <c r="CH448" s="42"/>
      <c r="CS448" s="29"/>
      <c r="CT448" s="29"/>
      <c r="CU448" s="29"/>
      <c r="CV448" s="522"/>
      <c r="CW448" s="522"/>
      <c r="CX448" s="211"/>
      <c r="CY448" s="211"/>
      <c r="CZ448" s="211"/>
      <c r="DA448" s="211"/>
      <c r="DB448" s="211"/>
      <c r="DC448" s="211"/>
      <c r="DD448" s="211"/>
      <c r="DE448" s="211"/>
      <c r="DF448" s="60"/>
      <c r="DG448" s="60"/>
      <c r="DH448" s="60"/>
      <c r="DI448" s="60"/>
      <c r="DJ448" s="60"/>
    </row>
    <row r="449" spans="3:114" s="25" customFormat="1">
      <c r="C449" s="24"/>
      <c r="D449" s="24"/>
      <c r="G449" s="57"/>
      <c r="H449" s="57"/>
      <c r="I449" s="57"/>
      <c r="J449" s="57"/>
      <c r="K449" s="57"/>
      <c r="L449" s="57"/>
      <c r="M449" s="57"/>
      <c r="N449" s="57"/>
      <c r="O449" s="57"/>
      <c r="P449" s="57"/>
      <c r="Q449" s="57"/>
      <c r="R449" s="57"/>
      <c r="S449" s="57"/>
      <c r="T449" s="559"/>
      <c r="U449" s="29"/>
      <c r="V449" s="29"/>
      <c r="AJ449" s="1215"/>
      <c r="AK449" s="1142"/>
      <c r="AM449" s="42"/>
      <c r="AN449" s="42"/>
      <c r="AO449" s="42"/>
      <c r="AP449" s="42"/>
      <c r="AQ449" s="42"/>
      <c r="AR449" s="42"/>
      <c r="AS449" s="42"/>
      <c r="AT449" s="42"/>
      <c r="AU449" s="42"/>
      <c r="AV449" s="42"/>
      <c r="AW449" s="42"/>
      <c r="AX449" s="42"/>
      <c r="AY449" s="42"/>
      <c r="AZ449" s="42"/>
      <c r="BA449" s="42"/>
      <c r="BB449" s="42"/>
      <c r="BC449" s="42"/>
      <c r="BD449" s="42"/>
      <c r="BE449" s="42"/>
      <c r="BF449" s="42"/>
      <c r="BG449" s="42"/>
      <c r="BH449" s="42"/>
      <c r="BI449" s="42"/>
      <c r="BJ449" s="42"/>
      <c r="BK449" s="42"/>
      <c r="BL449" s="42"/>
      <c r="BM449" s="42"/>
      <c r="BN449" s="42"/>
      <c r="BO449" s="42"/>
      <c r="BP449" s="42"/>
      <c r="BQ449" s="42"/>
      <c r="BR449" s="42"/>
      <c r="BS449" s="42"/>
      <c r="BT449" s="42"/>
      <c r="BU449" s="42"/>
      <c r="BV449" s="42"/>
      <c r="BW449" s="42"/>
      <c r="BX449" s="42"/>
      <c r="BY449" s="42"/>
      <c r="BZ449" s="42"/>
      <c r="CA449" s="42"/>
      <c r="CB449" s="42"/>
      <c r="CC449" s="42"/>
      <c r="CD449" s="42"/>
      <c r="CE449" s="42"/>
      <c r="CF449" s="42"/>
      <c r="CG449" s="42"/>
      <c r="CH449" s="42"/>
      <c r="CS449" s="29"/>
      <c r="CT449" s="29"/>
      <c r="CU449" s="29"/>
      <c r="CV449" s="522"/>
      <c r="CW449" s="522"/>
      <c r="CX449" s="211"/>
      <c r="CY449" s="211"/>
      <c r="CZ449" s="211"/>
      <c r="DA449" s="211"/>
      <c r="DB449" s="211"/>
      <c r="DC449" s="211"/>
      <c r="DD449" s="211"/>
      <c r="DE449" s="211"/>
      <c r="DF449" s="60"/>
      <c r="DG449" s="60"/>
      <c r="DH449" s="60"/>
      <c r="DI449" s="60"/>
      <c r="DJ449" s="60"/>
    </row>
    <row r="450" spans="3:114" s="25" customFormat="1">
      <c r="C450" s="24"/>
      <c r="D450" s="24"/>
      <c r="G450" s="57"/>
      <c r="H450" s="57"/>
      <c r="I450" s="57"/>
      <c r="J450" s="57"/>
      <c r="K450" s="57"/>
      <c r="L450" s="57"/>
      <c r="M450" s="57"/>
      <c r="N450" s="57"/>
      <c r="O450" s="57"/>
      <c r="P450" s="57"/>
      <c r="Q450" s="57"/>
      <c r="R450" s="57"/>
      <c r="S450" s="57"/>
      <c r="T450" s="559"/>
      <c r="U450" s="29"/>
      <c r="V450" s="29"/>
      <c r="AJ450" s="1215"/>
      <c r="AK450" s="1142"/>
      <c r="AM450" s="42"/>
      <c r="AN450" s="42"/>
      <c r="AO450" s="42"/>
      <c r="AP450" s="42"/>
      <c r="AQ450" s="42"/>
      <c r="AR450" s="42"/>
      <c r="AS450" s="42"/>
      <c r="AT450" s="42"/>
      <c r="AU450" s="42"/>
      <c r="AV450" s="42"/>
      <c r="AW450" s="42"/>
      <c r="AX450" s="42"/>
      <c r="AY450" s="42"/>
      <c r="AZ450" s="42"/>
      <c r="BA450" s="42"/>
      <c r="BB450" s="42"/>
      <c r="BC450" s="42"/>
      <c r="BD450" s="42"/>
      <c r="BE450" s="42"/>
      <c r="BF450" s="42"/>
      <c r="BG450" s="42"/>
      <c r="BH450" s="42"/>
      <c r="BI450" s="42"/>
      <c r="BJ450" s="42"/>
      <c r="BK450" s="42"/>
      <c r="BL450" s="42"/>
      <c r="BM450" s="42"/>
      <c r="BN450" s="42"/>
      <c r="BO450" s="42"/>
      <c r="BP450" s="42"/>
      <c r="BQ450" s="42"/>
      <c r="BR450" s="42"/>
      <c r="BS450" s="42"/>
      <c r="BT450" s="42"/>
      <c r="BU450" s="42"/>
      <c r="BV450" s="42"/>
      <c r="BW450" s="42"/>
      <c r="BX450" s="42"/>
      <c r="BY450" s="42"/>
      <c r="BZ450" s="42"/>
      <c r="CA450" s="42"/>
      <c r="CB450" s="42"/>
      <c r="CC450" s="42"/>
      <c r="CD450" s="42"/>
      <c r="CE450" s="42"/>
      <c r="CF450" s="42"/>
      <c r="CG450" s="42"/>
      <c r="CH450" s="42"/>
      <c r="CS450" s="29"/>
      <c r="CT450" s="29"/>
      <c r="CU450" s="29"/>
      <c r="CV450" s="522"/>
      <c r="CW450" s="522"/>
      <c r="CX450" s="211"/>
      <c r="CY450" s="211"/>
      <c r="CZ450" s="211"/>
      <c r="DA450" s="211"/>
      <c r="DB450" s="211"/>
      <c r="DC450" s="211"/>
      <c r="DD450" s="211"/>
      <c r="DE450" s="211"/>
      <c r="DF450" s="60"/>
      <c r="DG450" s="60"/>
      <c r="DH450" s="60"/>
      <c r="DI450" s="60"/>
      <c r="DJ450" s="60"/>
    </row>
    <row r="451" spans="3:114" s="25" customFormat="1">
      <c r="C451" s="24"/>
      <c r="D451" s="24"/>
      <c r="G451" s="57"/>
      <c r="H451" s="57"/>
      <c r="I451" s="57"/>
      <c r="J451" s="57"/>
      <c r="K451" s="57"/>
      <c r="L451" s="57"/>
      <c r="M451" s="57"/>
      <c r="N451" s="57"/>
      <c r="O451" s="57"/>
      <c r="P451" s="57"/>
      <c r="Q451" s="57"/>
      <c r="R451" s="57"/>
      <c r="S451" s="57"/>
      <c r="T451" s="559"/>
      <c r="U451" s="29"/>
      <c r="V451" s="29"/>
      <c r="AJ451" s="1215"/>
      <c r="AK451" s="1142"/>
      <c r="AM451" s="42"/>
      <c r="AN451" s="42"/>
      <c r="AO451" s="42"/>
      <c r="AP451" s="42"/>
      <c r="AQ451" s="42"/>
      <c r="AR451" s="42"/>
      <c r="AS451" s="42"/>
      <c r="AT451" s="42"/>
      <c r="AU451" s="42"/>
      <c r="AV451" s="42"/>
      <c r="AW451" s="42"/>
      <c r="AX451" s="42"/>
      <c r="AY451" s="42"/>
      <c r="AZ451" s="42"/>
      <c r="BA451" s="42"/>
      <c r="BB451" s="42"/>
      <c r="BC451" s="42"/>
      <c r="BD451" s="42"/>
      <c r="BE451" s="42"/>
      <c r="BF451" s="42"/>
      <c r="BG451" s="42"/>
      <c r="BH451" s="42"/>
      <c r="BI451" s="42"/>
      <c r="BJ451" s="42"/>
      <c r="BK451" s="42"/>
      <c r="BL451" s="42"/>
      <c r="BM451" s="42"/>
      <c r="BN451" s="42"/>
      <c r="BO451" s="42"/>
      <c r="BP451" s="42"/>
      <c r="BQ451" s="42"/>
      <c r="BR451" s="42"/>
      <c r="BS451" s="42"/>
      <c r="BT451" s="42"/>
      <c r="BU451" s="42"/>
      <c r="BV451" s="42"/>
      <c r="BW451" s="42"/>
      <c r="BX451" s="42"/>
      <c r="BY451" s="42"/>
      <c r="BZ451" s="42"/>
      <c r="CA451" s="42"/>
      <c r="CB451" s="42"/>
      <c r="CC451" s="42"/>
      <c r="CD451" s="42"/>
      <c r="CE451" s="42"/>
      <c r="CF451" s="42"/>
      <c r="CG451" s="42"/>
      <c r="CH451" s="42"/>
      <c r="CS451" s="29"/>
      <c r="CT451" s="29"/>
      <c r="CU451" s="29"/>
      <c r="CV451" s="522"/>
      <c r="CW451" s="522"/>
      <c r="CX451" s="211"/>
      <c r="CY451" s="211"/>
      <c r="CZ451" s="211"/>
      <c r="DA451" s="211"/>
      <c r="DB451" s="211"/>
      <c r="DC451" s="211"/>
      <c r="DD451" s="211"/>
      <c r="DE451" s="211"/>
      <c r="DF451" s="60"/>
      <c r="DG451" s="60"/>
      <c r="DH451" s="60"/>
      <c r="DI451" s="60"/>
      <c r="DJ451" s="60"/>
    </row>
    <row r="452" spans="3:114" s="25" customFormat="1">
      <c r="C452" s="24"/>
      <c r="D452" s="24"/>
      <c r="G452" s="57"/>
      <c r="H452" s="57"/>
      <c r="I452" s="57"/>
      <c r="J452" s="57"/>
      <c r="K452" s="57"/>
      <c r="L452" s="57"/>
      <c r="M452" s="57"/>
      <c r="N452" s="57"/>
      <c r="O452" s="57"/>
      <c r="P452" s="57"/>
      <c r="Q452" s="57"/>
      <c r="R452" s="57"/>
      <c r="S452" s="57"/>
      <c r="T452" s="559"/>
      <c r="U452" s="29"/>
      <c r="V452" s="29"/>
      <c r="AJ452" s="1215"/>
      <c r="AK452" s="1142"/>
      <c r="AM452" s="42"/>
      <c r="AN452" s="42"/>
      <c r="AO452" s="42"/>
      <c r="AP452" s="42"/>
      <c r="AQ452" s="42"/>
      <c r="AR452" s="42"/>
      <c r="AS452" s="42"/>
      <c r="AT452" s="42"/>
      <c r="AU452" s="42"/>
      <c r="AV452" s="42"/>
      <c r="AW452" s="42"/>
      <c r="AX452" s="42"/>
      <c r="AY452" s="42"/>
      <c r="AZ452" s="42"/>
      <c r="BA452" s="42"/>
      <c r="BB452" s="42"/>
      <c r="BC452" s="42"/>
      <c r="BD452" s="42"/>
      <c r="BE452" s="42"/>
      <c r="BF452" s="42"/>
      <c r="BG452" s="42"/>
      <c r="BH452" s="42"/>
      <c r="BI452" s="42"/>
      <c r="BJ452" s="42"/>
      <c r="BK452" s="42"/>
      <c r="BL452" s="42"/>
      <c r="BM452" s="42"/>
      <c r="BN452" s="42"/>
      <c r="BO452" s="42"/>
      <c r="BP452" s="42"/>
      <c r="BQ452" s="42"/>
      <c r="BR452" s="42"/>
      <c r="BS452" s="42"/>
      <c r="BT452" s="42"/>
      <c r="BU452" s="42"/>
      <c r="BV452" s="42"/>
      <c r="BW452" s="42"/>
      <c r="BX452" s="42"/>
      <c r="BY452" s="42"/>
      <c r="BZ452" s="42"/>
      <c r="CA452" s="42"/>
      <c r="CB452" s="42"/>
      <c r="CC452" s="42"/>
      <c r="CD452" s="42"/>
      <c r="CE452" s="42"/>
      <c r="CF452" s="42"/>
      <c r="CG452" s="42"/>
      <c r="CH452" s="42"/>
      <c r="CS452" s="29"/>
      <c r="CT452" s="29"/>
      <c r="CU452" s="29"/>
      <c r="CV452" s="522"/>
      <c r="CW452" s="522"/>
      <c r="CX452" s="211"/>
      <c r="CY452" s="211"/>
      <c r="CZ452" s="211"/>
      <c r="DA452" s="211"/>
      <c r="DB452" s="211"/>
      <c r="DC452" s="211"/>
      <c r="DD452" s="211"/>
      <c r="DE452" s="211"/>
      <c r="DF452" s="60"/>
      <c r="DG452" s="60"/>
      <c r="DH452" s="60"/>
      <c r="DI452" s="60"/>
      <c r="DJ452" s="60"/>
    </row>
    <row r="453" spans="3:114" s="25" customFormat="1">
      <c r="C453" s="24"/>
      <c r="D453" s="24"/>
      <c r="G453" s="57"/>
      <c r="H453" s="57"/>
      <c r="I453" s="57"/>
      <c r="J453" s="57"/>
      <c r="K453" s="57"/>
      <c r="L453" s="57"/>
      <c r="M453" s="57"/>
      <c r="N453" s="57"/>
      <c r="O453" s="57"/>
      <c r="P453" s="57"/>
      <c r="Q453" s="57"/>
      <c r="R453" s="57"/>
      <c r="S453" s="57"/>
      <c r="T453" s="559"/>
      <c r="U453" s="29"/>
      <c r="V453" s="29"/>
      <c r="AJ453" s="1215"/>
      <c r="AK453" s="1142"/>
      <c r="AM453" s="42"/>
      <c r="AN453" s="42"/>
      <c r="AO453" s="42"/>
      <c r="AP453" s="42"/>
      <c r="AQ453" s="42"/>
      <c r="AR453" s="42"/>
      <c r="AS453" s="42"/>
      <c r="AT453" s="42"/>
      <c r="AU453" s="42"/>
      <c r="AV453" s="42"/>
      <c r="AW453" s="42"/>
      <c r="AX453" s="42"/>
      <c r="AY453" s="42"/>
      <c r="AZ453" s="42"/>
      <c r="BA453" s="42"/>
      <c r="BB453" s="42"/>
      <c r="BC453" s="42"/>
      <c r="BD453" s="42"/>
      <c r="BE453" s="42"/>
      <c r="BF453" s="42"/>
      <c r="BG453" s="42"/>
      <c r="BH453" s="42"/>
      <c r="BI453" s="42"/>
      <c r="BJ453" s="42"/>
      <c r="BK453" s="42"/>
      <c r="BL453" s="42"/>
      <c r="BM453" s="42"/>
      <c r="BN453" s="42"/>
      <c r="BO453" s="42"/>
      <c r="BP453" s="42"/>
      <c r="BQ453" s="42"/>
      <c r="BR453" s="42"/>
      <c r="BS453" s="42"/>
      <c r="BT453" s="42"/>
      <c r="BU453" s="42"/>
      <c r="BV453" s="42"/>
      <c r="BW453" s="42"/>
      <c r="BX453" s="42"/>
      <c r="BY453" s="42"/>
      <c r="BZ453" s="42"/>
      <c r="CA453" s="42"/>
      <c r="CB453" s="42"/>
      <c r="CC453" s="42"/>
      <c r="CD453" s="42"/>
      <c r="CE453" s="42"/>
      <c r="CF453" s="42"/>
      <c r="CG453" s="42"/>
      <c r="CH453" s="42"/>
      <c r="CS453" s="29"/>
      <c r="CT453" s="29"/>
      <c r="CU453" s="29"/>
      <c r="CV453" s="522"/>
      <c r="CW453" s="522"/>
      <c r="CX453" s="211"/>
      <c r="CY453" s="211"/>
      <c r="CZ453" s="211"/>
      <c r="DA453" s="211"/>
      <c r="DB453" s="211"/>
      <c r="DC453" s="211"/>
      <c r="DD453" s="211"/>
      <c r="DE453" s="211"/>
      <c r="DF453" s="60"/>
      <c r="DG453" s="60"/>
      <c r="DH453" s="60"/>
      <c r="DI453" s="60"/>
      <c r="DJ453" s="60"/>
    </row>
    <row r="454" spans="3:114" s="25" customFormat="1">
      <c r="C454" s="24"/>
      <c r="D454" s="24"/>
      <c r="G454" s="57"/>
      <c r="H454" s="57"/>
      <c r="I454" s="57"/>
      <c r="J454" s="57"/>
      <c r="K454" s="57"/>
      <c r="L454" s="57"/>
      <c r="M454" s="57"/>
      <c r="N454" s="57"/>
      <c r="O454" s="57"/>
      <c r="P454" s="57"/>
      <c r="Q454" s="57"/>
      <c r="R454" s="57"/>
      <c r="S454" s="57"/>
      <c r="T454" s="559"/>
      <c r="U454" s="29"/>
      <c r="V454" s="29"/>
      <c r="AJ454" s="1215"/>
      <c r="AK454" s="1142"/>
      <c r="AM454" s="42"/>
      <c r="AN454" s="42"/>
      <c r="AO454" s="42"/>
      <c r="AP454" s="42"/>
      <c r="AQ454" s="42"/>
      <c r="AR454" s="42"/>
      <c r="AS454" s="42"/>
      <c r="AT454" s="42"/>
      <c r="AU454" s="42"/>
      <c r="AV454" s="42"/>
      <c r="AW454" s="42"/>
      <c r="AX454" s="42"/>
      <c r="AY454" s="42"/>
      <c r="AZ454" s="42"/>
      <c r="BA454" s="42"/>
      <c r="BB454" s="42"/>
      <c r="BC454" s="42"/>
      <c r="BD454" s="42"/>
      <c r="BE454" s="42"/>
      <c r="BF454" s="42"/>
      <c r="BG454" s="42"/>
      <c r="BH454" s="42"/>
      <c r="BI454" s="42"/>
      <c r="BJ454" s="42"/>
      <c r="BK454" s="42"/>
      <c r="BL454" s="42"/>
      <c r="BM454" s="42"/>
      <c r="BN454" s="42"/>
      <c r="BO454" s="42"/>
      <c r="BP454" s="42"/>
      <c r="BQ454" s="42"/>
      <c r="BR454" s="42"/>
      <c r="BS454" s="42"/>
      <c r="BT454" s="42"/>
      <c r="BU454" s="42"/>
      <c r="BV454" s="42"/>
      <c r="BW454" s="42"/>
      <c r="BX454" s="42"/>
      <c r="BY454" s="42"/>
      <c r="BZ454" s="42"/>
      <c r="CA454" s="42"/>
      <c r="CB454" s="42"/>
      <c r="CC454" s="42"/>
      <c r="CD454" s="42"/>
      <c r="CE454" s="42"/>
      <c r="CF454" s="42"/>
      <c r="CG454" s="42"/>
      <c r="CH454" s="42"/>
      <c r="CS454" s="29"/>
      <c r="CT454" s="29"/>
      <c r="CU454" s="29"/>
      <c r="CV454" s="522"/>
      <c r="CW454" s="522"/>
      <c r="CX454" s="211"/>
      <c r="CY454" s="211"/>
      <c r="CZ454" s="211"/>
      <c r="DA454" s="211"/>
      <c r="DB454" s="211"/>
      <c r="DC454" s="211"/>
      <c r="DD454" s="211"/>
      <c r="DE454" s="211"/>
      <c r="DF454" s="60"/>
      <c r="DG454" s="60"/>
      <c r="DH454" s="60"/>
      <c r="DI454" s="60"/>
      <c r="DJ454" s="60"/>
    </row>
    <row r="455" spans="3:114" s="25" customFormat="1">
      <c r="C455" s="24"/>
      <c r="D455" s="24"/>
      <c r="G455" s="57"/>
      <c r="H455" s="57"/>
      <c r="I455" s="57"/>
      <c r="J455" s="57"/>
      <c r="K455" s="57"/>
      <c r="L455" s="57"/>
      <c r="M455" s="57"/>
      <c r="N455" s="57"/>
      <c r="O455" s="57"/>
      <c r="P455" s="57"/>
      <c r="Q455" s="57"/>
      <c r="R455" s="57"/>
      <c r="S455" s="57"/>
      <c r="T455" s="559"/>
      <c r="U455" s="29"/>
      <c r="V455" s="29"/>
      <c r="AJ455" s="1215"/>
      <c r="AK455" s="1142"/>
      <c r="AM455" s="42"/>
      <c r="AN455" s="42"/>
      <c r="AO455" s="42"/>
      <c r="AP455" s="42"/>
      <c r="AQ455" s="42"/>
      <c r="AR455" s="42"/>
      <c r="AS455" s="42"/>
      <c r="AT455" s="42"/>
      <c r="AU455" s="42"/>
      <c r="AV455" s="42"/>
      <c r="AW455" s="42"/>
      <c r="AX455" s="42"/>
      <c r="AY455" s="42"/>
      <c r="AZ455" s="42"/>
      <c r="BA455" s="42"/>
      <c r="BB455" s="42"/>
      <c r="BC455" s="42"/>
      <c r="BD455" s="42"/>
      <c r="BE455" s="42"/>
      <c r="BF455" s="42"/>
      <c r="BG455" s="42"/>
      <c r="BH455" s="42"/>
      <c r="BI455" s="42"/>
      <c r="BJ455" s="42"/>
      <c r="BK455" s="42"/>
      <c r="BL455" s="42"/>
      <c r="BM455" s="42"/>
      <c r="BN455" s="42"/>
      <c r="BO455" s="42"/>
      <c r="BP455" s="42"/>
      <c r="BQ455" s="42"/>
      <c r="BR455" s="42"/>
      <c r="BS455" s="42"/>
      <c r="BT455" s="42"/>
      <c r="BU455" s="42"/>
      <c r="BV455" s="42"/>
      <c r="BW455" s="42"/>
      <c r="BX455" s="42"/>
      <c r="BY455" s="42"/>
      <c r="BZ455" s="42"/>
      <c r="CA455" s="42"/>
      <c r="CB455" s="42"/>
      <c r="CC455" s="42"/>
      <c r="CD455" s="42"/>
      <c r="CE455" s="42"/>
      <c r="CF455" s="42"/>
      <c r="CG455" s="42"/>
      <c r="CH455" s="42"/>
      <c r="CS455" s="29"/>
      <c r="CT455" s="29"/>
      <c r="CU455" s="29"/>
      <c r="CV455" s="522"/>
      <c r="CW455" s="522"/>
      <c r="CX455" s="211"/>
      <c r="CY455" s="211"/>
      <c r="CZ455" s="211"/>
      <c r="DA455" s="211"/>
      <c r="DB455" s="211"/>
      <c r="DC455" s="211"/>
      <c r="DD455" s="211"/>
      <c r="DE455" s="211"/>
      <c r="DF455" s="60"/>
      <c r="DG455" s="60"/>
      <c r="DH455" s="60"/>
      <c r="DI455" s="60"/>
      <c r="DJ455" s="60"/>
    </row>
    <row r="456" spans="3:114" s="25" customFormat="1">
      <c r="C456" s="24"/>
      <c r="D456" s="24"/>
      <c r="G456" s="57"/>
      <c r="H456" s="57"/>
      <c r="I456" s="57"/>
      <c r="J456" s="57"/>
      <c r="K456" s="57"/>
      <c r="L456" s="57"/>
      <c r="M456" s="57"/>
      <c r="N456" s="57"/>
      <c r="O456" s="57"/>
      <c r="P456" s="57"/>
      <c r="Q456" s="57"/>
      <c r="R456" s="57"/>
      <c r="S456" s="57"/>
      <c r="T456" s="559"/>
      <c r="U456" s="29"/>
      <c r="V456" s="29"/>
      <c r="AJ456" s="1215"/>
      <c r="AK456" s="1142"/>
      <c r="AM456" s="42"/>
      <c r="AN456" s="42"/>
      <c r="AO456" s="42"/>
      <c r="AP456" s="42"/>
      <c r="AQ456" s="42"/>
      <c r="AR456" s="42"/>
      <c r="AS456" s="42"/>
      <c r="AT456" s="42"/>
      <c r="AU456" s="42"/>
      <c r="AV456" s="42"/>
      <c r="AW456" s="42"/>
      <c r="AX456" s="42"/>
      <c r="AY456" s="42"/>
      <c r="AZ456" s="42"/>
      <c r="BA456" s="42"/>
      <c r="BB456" s="42"/>
      <c r="BC456" s="42"/>
      <c r="BD456" s="42"/>
      <c r="BE456" s="42"/>
      <c r="BF456" s="42"/>
      <c r="BG456" s="42"/>
      <c r="BH456" s="42"/>
      <c r="BI456" s="42"/>
      <c r="BJ456" s="42"/>
      <c r="BK456" s="42"/>
      <c r="BL456" s="42"/>
      <c r="BM456" s="42"/>
      <c r="BN456" s="42"/>
      <c r="BO456" s="42"/>
      <c r="BP456" s="42"/>
      <c r="BQ456" s="42"/>
      <c r="BR456" s="42"/>
      <c r="BS456" s="42"/>
      <c r="BT456" s="42"/>
      <c r="BU456" s="42"/>
      <c r="BV456" s="42"/>
      <c r="BW456" s="42"/>
      <c r="BX456" s="42"/>
      <c r="BY456" s="42"/>
      <c r="BZ456" s="42"/>
      <c r="CA456" s="42"/>
      <c r="CB456" s="42"/>
      <c r="CC456" s="42"/>
      <c r="CD456" s="42"/>
      <c r="CE456" s="42"/>
      <c r="CF456" s="42"/>
      <c r="CG456" s="42"/>
      <c r="CH456" s="42"/>
      <c r="CS456" s="29"/>
      <c r="CT456" s="29"/>
      <c r="CU456" s="29"/>
      <c r="CV456" s="522"/>
      <c r="CW456" s="522"/>
      <c r="CX456" s="211"/>
      <c r="CY456" s="211"/>
      <c r="CZ456" s="211"/>
      <c r="DA456" s="211"/>
      <c r="DB456" s="211"/>
      <c r="DC456" s="211"/>
      <c r="DD456" s="211"/>
      <c r="DE456" s="211"/>
      <c r="DF456" s="60"/>
      <c r="DG456" s="60"/>
      <c r="DH456" s="60"/>
      <c r="DI456" s="60"/>
      <c r="DJ456" s="60"/>
    </row>
    <row r="457" spans="3:114" s="25" customFormat="1">
      <c r="C457" s="24"/>
      <c r="D457" s="24"/>
      <c r="G457" s="57"/>
      <c r="H457" s="57"/>
      <c r="I457" s="57"/>
      <c r="J457" s="57"/>
      <c r="K457" s="57"/>
      <c r="L457" s="57"/>
      <c r="M457" s="57"/>
      <c r="N457" s="57"/>
      <c r="O457" s="57"/>
      <c r="P457" s="57"/>
      <c r="Q457" s="57"/>
      <c r="R457" s="57"/>
      <c r="S457" s="57"/>
      <c r="T457" s="559"/>
      <c r="U457" s="29"/>
      <c r="V457" s="29"/>
      <c r="AJ457" s="1215"/>
      <c r="AK457" s="1142"/>
      <c r="AM457" s="42"/>
      <c r="AN457" s="42"/>
      <c r="AO457" s="42"/>
      <c r="AP457" s="42"/>
      <c r="AQ457" s="42"/>
      <c r="AR457" s="42"/>
      <c r="AS457" s="42"/>
      <c r="AT457" s="42"/>
      <c r="AU457" s="42"/>
      <c r="AV457" s="42"/>
      <c r="AW457" s="42"/>
      <c r="AX457" s="42"/>
      <c r="AY457" s="42"/>
      <c r="AZ457" s="42"/>
      <c r="BA457" s="42"/>
      <c r="BB457" s="42"/>
      <c r="BC457" s="42"/>
      <c r="BD457" s="42"/>
      <c r="BE457" s="42"/>
      <c r="BF457" s="42"/>
      <c r="BG457" s="42"/>
      <c r="BH457" s="42"/>
      <c r="BI457" s="42"/>
      <c r="BJ457" s="42"/>
      <c r="BK457" s="42"/>
      <c r="BL457" s="42"/>
      <c r="BM457" s="42"/>
      <c r="BN457" s="42"/>
      <c r="BO457" s="42"/>
      <c r="BP457" s="42"/>
      <c r="BQ457" s="42"/>
      <c r="BR457" s="42"/>
      <c r="BS457" s="42"/>
      <c r="BT457" s="42"/>
      <c r="BU457" s="42"/>
      <c r="BV457" s="42"/>
      <c r="BW457" s="42"/>
      <c r="BX457" s="42"/>
      <c r="BY457" s="42"/>
      <c r="BZ457" s="42"/>
      <c r="CA457" s="42"/>
      <c r="CB457" s="42"/>
      <c r="CC457" s="42"/>
      <c r="CD457" s="42"/>
      <c r="CE457" s="42"/>
      <c r="CF457" s="42"/>
      <c r="CG457" s="42"/>
      <c r="CH457" s="42"/>
      <c r="CS457" s="29"/>
      <c r="CT457" s="29"/>
      <c r="CU457" s="29"/>
      <c r="CV457" s="522"/>
      <c r="CW457" s="522"/>
      <c r="CX457" s="211"/>
      <c r="CY457" s="211"/>
      <c r="CZ457" s="211"/>
      <c r="DA457" s="211"/>
      <c r="DB457" s="211"/>
      <c r="DC457" s="211"/>
      <c r="DD457" s="211"/>
      <c r="DE457" s="211"/>
      <c r="DF457" s="60"/>
      <c r="DG457" s="60"/>
      <c r="DH457" s="60"/>
      <c r="DI457" s="60"/>
      <c r="DJ457" s="60"/>
    </row>
    <row r="458" spans="3:114" s="25" customFormat="1">
      <c r="C458" s="24"/>
      <c r="D458" s="24"/>
      <c r="G458" s="57"/>
      <c r="H458" s="57"/>
      <c r="I458" s="57"/>
      <c r="J458" s="57"/>
      <c r="K458" s="57"/>
      <c r="L458" s="57"/>
      <c r="M458" s="57"/>
      <c r="N458" s="57"/>
      <c r="O458" s="57"/>
      <c r="P458" s="57"/>
      <c r="Q458" s="57"/>
      <c r="R458" s="57"/>
      <c r="S458" s="57"/>
      <c r="T458" s="559"/>
      <c r="U458" s="29"/>
      <c r="V458" s="29"/>
      <c r="AJ458" s="1215"/>
      <c r="AK458" s="1142"/>
      <c r="AM458" s="42"/>
      <c r="AN458" s="42"/>
      <c r="AO458" s="42"/>
      <c r="AP458" s="42"/>
      <c r="AQ458" s="42"/>
      <c r="AR458" s="42"/>
      <c r="AS458" s="42"/>
      <c r="AT458" s="42"/>
      <c r="AU458" s="42"/>
      <c r="AV458" s="42"/>
      <c r="AW458" s="42"/>
      <c r="AX458" s="42"/>
      <c r="AY458" s="42"/>
      <c r="AZ458" s="42"/>
      <c r="BA458" s="42"/>
      <c r="BB458" s="42"/>
      <c r="BC458" s="42"/>
      <c r="BD458" s="42"/>
      <c r="BE458" s="42"/>
      <c r="BF458" s="42"/>
      <c r="BG458" s="42"/>
      <c r="BH458" s="42"/>
      <c r="BI458" s="42"/>
      <c r="BJ458" s="42"/>
      <c r="BK458" s="42"/>
      <c r="BL458" s="42"/>
      <c r="BM458" s="42"/>
      <c r="BN458" s="42"/>
      <c r="BO458" s="42"/>
      <c r="BP458" s="42"/>
      <c r="BQ458" s="42"/>
      <c r="BR458" s="42"/>
      <c r="BS458" s="42"/>
      <c r="BT458" s="42"/>
      <c r="BU458" s="42"/>
      <c r="BV458" s="42"/>
      <c r="BW458" s="42"/>
      <c r="BX458" s="42"/>
      <c r="BY458" s="42"/>
      <c r="BZ458" s="42"/>
      <c r="CA458" s="42"/>
      <c r="CB458" s="42"/>
      <c r="CC458" s="42"/>
      <c r="CD458" s="42"/>
      <c r="CE458" s="42"/>
      <c r="CF458" s="42"/>
      <c r="CG458" s="42"/>
      <c r="CH458" s="42"/>
      <c r="CS458" s="29"/>
      <c r="CT458" s="29"/>
      <c r="CU458" s="29"/>
      <c r="CV458" s="522"/>
      <c r="CW458" s="522"/>
      <c r="CX458" s="211"/>
      <c r="CY458" s="211"/>
      <c r="CZ458" s="211"/>
      <c r="DA458" s="211"/>
      <c r="DB458" s="211"/>
      <c r="DC458" s="211"/>
      <c r="DD458" s="211"/>
      <c r="DE458" s="211"/>
      <c r="DF458" s="60"/>
      <c r="DG458" s="60"/>
      <c r="DH458" s="60"/>
      <c r="DI458" s="60"/>
      <c r="DJ458" s="60"/>
    </row>
    <row r="459" spans="3:114" s="25" customFormat="1">
      <c r="C459" s="24"/>
      <c r="D459" s="24"/>
      <c r="G459" s="57"/>
      <c r="H459" s="57"/>
      <c r="I459" s="57"/>
      <c r="J459" s="57"/>
      <c r="K459" s="57"/>
      <c r="L459" s="57"/>
      <c r="M459" s="57"/>
      <c r="N459" s="57"/>
      <c r="O459" s="57"/>
      <c r="P459" s="57"/>
      <c r="Q459" s="57"/>
      <c r="R459" s="57"/>
      <c r="S459" s="57"/>
      <c r="T459" s="559"/>
      <c r="U459" s="29"/>
      <c r="V459" s="29"/>
      <c r="AJ459" s="1215"/>
      <c r="AK459" s="1142"/>
      <c r="AM459" s="42"/>
      <c r="AN459" s="42"/>
      <c r="AO459" s="42"/>
      <c r="AP459" s="42"/>
      <c r="AQ459" s="42"/>
      <c r="AR459" s="42"/>
      <c r="AS459" s="42"/>
      <c r="AT459" s="42"/>
      <c r="AU459" s="42"/>
      <c r="AV459" s="42"/>
      <c r="AW459" s="42"/>
      <c r="AX459" s="42"/>
      <c r="AY459" s="42"/>
      <c r="AZ459" s="42"/>
      <c r="BA459" s="42"/>
      <c r="BB459" s="42"/>
      <c r="BC459" s="42"/>
      <c r="BD459" s="42"/>
      <c r="BE459" s="42"/>
      <c r="BF459" s="42"/>
      <c r="BG459" s="42"/>
      <c r="BH459" s="42"/>
      <c r="BI459" s="42"/>
      <c r="BJ459" s="42"/>
      <c r="BK459" s="42"/>
      <c r="BL459" s="42"/>
      <c r="BM459" s="42"/>
      <c r="BN459" s="42"/>
      <c r="BO459" s="42"/>
      <c r="BP459" s="42"/>
      <c r="BQ459" s="42"/>
      <c r="BR459" s="42"/>
      <c r="BS459" s="42"/>
      <c r="BT459" s="42"/>
      <c r="BU459" s="42"/>
      <c r="BV459" s="42"/>
      <c r="BW459" s="42"/>
      <c r="BX459" s="42"/>
      <c r="BY459" s="42"/>
      <c r="BZ459" s="42"/>
      <c r="CA459" s="42"/>
      <c r="CB459" s="42"/>
      <c r="CC459" s="42"/>
      <c r="CD459" s="42"/>
      <c r="CE459" s="42"/>
      <c r="CF459" s="42"/>
      <c r="CG459" s="42"/>
      <c r="CH459" s="42"/>
      <c r="CS459" s="29"/>
      <c r="CT459" s="29"/>
      <c r="CU459" s="29"/>
      <c r="CV459" s="522"/>
      <c r="CW459" s="522"/>
      <c r="CX459" s="211"/>
      <c r="CY459" s="211"/>
      <c r="CZ459" s="211"/>
      <c r="DA459" s="211"/>
      <c r="DB459" s="211"/>
      <c r="DC459" s="211"/>
      <c r="DD459" s="211"/>
      <c r="DE459" s="211"/>
      <c r="DF459" s="60"/>
      <c r="DG459" s="60"/>
      <c r="DH459" s="60"/>
      <c r="DI459" s="60"/>
      <c r="DJ459" s="60"/>
    </row>
    <row r="460" spans="3:114" s="25" customFormat="1">
      <c r="C460" s="24"/>
      <c r="D460" s="24"/>
      <c r="G460" s="57"/>
      <c r="H460" s="57"/>
      <c r="I460" s="57"/>
      <c r="J460" s="57"/>
      <c r="K460" s="57"/>
      <c r="L460" s="57"/>
      <c r="M460" s="57"/>
      <c r="N460" s="57"/>
      <c r="O460" s="57"/>
      <c r="P460" s="57"/>
      <c r="Q460" s="57"/>
      <c r="R460" s="57"/>
      <c r="S460" s="57"/>
      <c r="T460" s="559"/>
      <c r="U460" s="29"/>
      <c r="V460" s="29"/>
      <c r="AJ460" s="1215"/>
      <c r="AK460" s="1142"/>
      <c r="AM460" s="42"/>
      <c r="AN460" s="42"/>
      <c r="AO460" s="42"/>
      <c r="AP460" s="42"/>
      <c r="AQ460" s="42"/>
      <c r="AR460" s="42"/>
      <c r="AS460" s="42"/>
      <c r="AT460" s="42"/>
      <c r="AU460" s="42"/>
      <c r="AV460" s="42"/>
      <c r="AW460" s="42"/>
      <c r="AX460" s="42"/>
      <c r="AY460" s="42"/>
      <c r="AZ460" s="42"/>
      <c r="BA460" s="42"/>
      <c r="BB460" s="42"/>
      <c r="BC460" s="42"/>
      <c r="BD460" s="42"/>
      <c r="BE460" s="42"/>
      <c r="BF460" s="42"/>
      <c r="BG460" s="42"/>
      <c r="BH460" s="42"/>
      <c r="BI460" s="42"/>
      <c r="BJ460" s="42"/>
      <c r="BK460" s="42"/>
      <c r="BL460" s="42"/>
      <c r="BM460" s="42"/>
      <c r="BN460" s="42"/>
      <c r="BO460" s="42"/>
      <c r="BP460" s="42"/>
      <c r="BQ460" s="42"/>
      <c r="BR460" s="42"/>
      <c r="BS460" s="42"/>
      <c r="BT460" s="42"/>
      <c r="BU460" s="42"/>
      <c r="BV460" s="42"/>
      <c r="BW460" s="42"/>
      <c r="BX460" s="42"/>
      <c r="BY460" s="42"/>
      <c r="BZ460" s="42"/>
      <c r="CA460" s="42"/>
      <c r="CB460" s="42"/>
      <c r="CC460" s="42"/>
      <c r="CD460" s="42"/>
      <c r="CE460" s="42"/>
      <c r="CF460" s="42"/>
      <c r="CG460" s="42"/>
      <c r="CH460" s="42"/>
      <c r="CS460" s="29"/>
      <c r="CT460" s="29"/>
      <c r="CU460" s="29"/>
      <c r="CV460" s="522"/>
      <c r="CW460" s="522"/>
      <c r="CX460" s="211"/>
      <c r="CY460" s="211"/>
      <c r="CZ460" s="211"/>
      <c r="DA460" s="211"/>
      <c r="DB460" s="211"/>
      <c r="DC460" s="211"/>
      <c r="DD460" s="211"/>
      <c r="DE460" s="211"/>
      <c r="DF460" s="60"/>
      <c r="DG460" s="60"/>
      <c r="DH460" s="60"/>
      <c r="DI460" s="60"/>
      <c r="DJ460" s="60"/>
    </row>
    <row r="461" spans="3:114" s="25" customFormat="1">
      <c r="C461" s="24"/>
      <c r="D461" s="24"/>
      <c r="G461" s="57"/>
      <c r="H461" s="57"/>
      <c r="I461" s="57"/>
      <c r="J461" s="57"/>
      <c r="K461" s="57"/>
      <c r="L461" s="57"/>
      <c r="M461" s="57"/>
      <c r="N461" s="57"/>
      <c r="O461" s="57"/>
      <c r="P461" s="57"/>
      <c r="Q461" s="57"/>
      <c r="R461" s="57"/>
      <c r="S461" s="57"/>
      <c r="T461" s="559"/>
      <c r="U461" s="29"/>
      <c r="V461" s="29"/>
      <c r="AJ461" s="1215"/>
      <c r="AK461" s="1142"/>
      <c r="AM461" s="42"/>
      <c r="AN461" s="42"/>
      <c r="AO461" s="42"/>
      <c r="AP461" s="42"/>
      <c r="AQ461" s="42"/>
      <c r="AR461" s="42"/>
      <c r="AS461" s="42"/>
      <c r="AT461" s="42"/>
      <c r="AU461" s="42"/>
      <c r="AV461" s="42"/>
      <c r="AW461" s="42"/>
      <c r="AX461" s="42"/>
      <c r="AY461" s="42"/>
      <c r="AZ461" s="42"/>
      <c r="BA461" s="42"/>
      <c r="BB461" s="42"/>
      <c r="BC461" s="42"/>
      <c r="BD461" s="42"/>
      <c r="BE461" s="42"/>
      <c r="BF461" s="42"/>
      <c r="BG461" s="42"/>
      <c r="BH461" s="42"/>
      <c r="BI461" s="42"/>
      <c r="BJ461" s="42"/>
      <c r="BK461" s="42"/>
      <c r="BL461" s="42"/>
      <c r="BM461" s="42"/>
      <c r="BN461" s="42"/>
      <c r="BO461" s="42"/>
      <c r="BP461" s="42"/>
      <c r="BQ461" s="42"/>
      <c r="BR461" s="42"/>
      <c r="BS461" s="42"/>
      <c r="BT461" s="42"/>
      <c r="BU461" s="42"/>
      <c r="BV461" s="42"/>
      <c r="BW461" s="42"/>
      <c r="BX461" s="42"/>
      <c r="BY461" s="42"/>
      <c r="BZ461" s="42"/>
      <c r="CA461" s="42"/>
      <c r="CB461" s="42"/>
      <c r="CC461" s="42"/>
      <c r="CD461" s="42"/>
      <c r="CE461" s="42"/>
      <c r="CF461" s="42"/>
      <c r="CG461" s="42"/>
      <c r="CH461" s="42"/>
      <c r="CS461" s="29"/>
      <c r="CT461" s="29"/>
      <c r="CU461" s="29"/>
      <c r="CV461" s="522"/>
      <c r="CW461" s="522"/>
      <c r="CX461" s="211"/>
      <c r="CY461" s="211"/>
      <c r="CZ461" s="211"/>
      <c r="DA461" s="211"/>
      <c r="DB461" s="211"/>
      <c r="DC461" s="211"/>
      <c r="DD461" s="211"/>
      <c r="DE461" s="211"/>
      <c r="DF461" s="60"/>
      <c r="DG461" s="60"/>
      <c r="DH461" s="60"/>
      <c r="DI461" s="60"/>
      <c r="DJ461" s="60"/>
    </row>
    <row r="462" spans="3:114" s="25" customFormat="1">
      <c r="C462" s="24"/>
      <c r="D462" s="24"/>
      <c r="G462" s="57"/>
      <c r="H462" s="57"/>
      <c r="I462" s="57"/>
      <c r="J462" s="57"/>
      <c r="K462" s="57"/>
      <c r="L462" s="57"/>
      <c r="M462" s="57"/>
      <c r="N462" s="57"/>
      <c r="O462" s="57"/>
      <c r="P462" s="57"/>
      <c r="Q462" s="57"/>
      <c r="R462" s="57"/>
      <c r="S462" s="57"/>
      <c r="T462" s="559"/>
      <c r="U462" s="29"/>
      <c r="V462" s="29"/>
      <c r="AJ462" s="1215"/>
      <c r="AK462" s="1142"/>
      <c r="AM462" s="42"/>
      <c r="AN462" s="42"/>
      <c r="AO462" s="42"/>
      <c r="AP462" s="42"/>
      <c r="AQ462" s="42"/>
      <c r="AR462" s="42"/>
      <c r="AS462" s="42"/>
      <c r="AT462" s="42"/>
      <c r="AU462" s="42"/>
      <c r="AV462" s="42"/>
      <c r="AW462" s="42"/>
      <c r="AX462" s="42"/>
      <c r="AY462" s="42"/>
      <c r="AZ462" s="42"/>
      <c r="BA462" s="42"/>
      <c r="BB462" s="42"/>
      <c r="BC462" s="42"/>
      <c r="BD462" s="42"/>
      <c r="BE462" s="42"/>
      <c r="BF462" s="42"/>
      <c r="BG462" s="42"/>
      <c r="BH462" s="42"/>
      <c r="BI462" s="42"/>
      <c r="BJ462" s="42"/>
      <c r="BK462" s="42"/>
      <c r="BL462" s="42"/>
      <c r="BM462" s="42"/>
      <c r="BN462" s="42"/>
      <c r="BO462" s="42"/>
      <c r="BP462" s="42"/>
      <c r="BQ462" s="42"/>
      <c r="BR462" s="42"/>
      <c r="BS462" s="42"/>
      <c r="BT462" s="42"/>
      <c r="BU462" s="42"/>
      <c r="BV462" s="42"/>
      <c r="BW462" s="42"/>
      <c r="BX462" s="42"/>
      <c r="BY462" s="42"/>
      <c r="BZ462" s="42"/>
      <c r="CA462" s="42"/>
      <c r="CB462" s="42"/>
      <c r="CC462" s="42"/>
      <c r="CD462" s="42"/>
      <c r="CE462" s="42"/>
      <c r="CF462" s="42"/>
      <c r="CG462" s="42"/>
      <c r="CH462" s="42"/>
      <c r="CS462" s="29"/>
      <c r="CT462" s="29"/>
      <c r="CU462" s="29"/>
      <c r="CV462" s="522"/>
      <c r="CW462" s="522"/>
      <c r="CX462" s="211"/>
      <c r="CY462" s="211"/>
      <c r="CZ462" s="211"/>
      <c r="DA462" s="211"/>
      <c r="DB462" s="211"/>
      <c r="DC462" s="211"/>
      <c r="DD462" s="211"/>
      <c r="DE462" s="211"/>
      <c r="DF462" s="60"/>
      <c r="DG462" s="60"/>
      <c r="DH462" s="60"/>
      <c r="DI462" s="60"/>
      <c r="DJ462" s="60"/>
    </row>
    <row r="463" spans="3:114" s="25" customFormat="1">
      <c r="C463" s="24"/>
      <c r="D463" s="24"/>
      <c r="G463" s="57"/>
      <c r="H463" s="57"/>
      <c r="I463" s="57"/>
      <c r="J463" s="57"/>
      <c r="K463" s="57"/>
      <c r="L463" s="57"/>
      <c r="M463" s="57"/>
      <c r="N463" s="57"/>
      <c r="O463" s="57"/>
      <c r="P463" s="57"/>
      <c r="Q463" s="57"/>
      <c r="R463" s="57"/>
      <c r="S463" s="57"/>
      <c r="T463" s="559"/>
      <c r="U463" s="29"/>
      <c r="V463" s="29"/>
      <c r="AJ463" s="1215"/>
      <c r="AK463" s="1142"/>
      <c r="AM463" s="42"/>
      <c r="AN463" s="42"/>
      <c r="AO463" s="42"/>
      <c r="AP463" s="42"/>
      <c r="AQ463" s="42"/>
      <c r="AR463" s="42"/>
      <c r="AS463" s="42"/>
      <c r="AT463" s="42"/>
      <c r="AU463" s="42"/>
      <c r="AV463" s="42"/>
      <c r="AW463" s="42"/>
      <c r="AX463" s="42"/>
      <c r="AY463" s="42"/>
      <c r="AZ463" s="42"/>
      <c r="BA463" s="42"/>
      <c r="BB463" s="42"/>
      <c r="BC463" s="42"/>
      <c r="BD463" s="42"/>
      <c r="BE463" s="42"/>
      <c r="BF463" s="42"/>
      <c r="BG463" s="42"/>
      <c r="BH463" s="42"/>
      <c r="BI463" s="42"/>
      <c r="BJ463" s="42"/>
      <c r="BK463" s="42"/>
      <c r="BL463" s="42"/>
      <c r="BM463" s="42"/>
      <c r="BN463" s="42"/>
      <c r="BO463" s="42"/>
      <c r="BP463" s="42"/>
      <c r="BQ463" s="42"/>
      <c r="BR463" s="42"/>
      <c r="BS463" s="42"/>
      <c r="BT463" s="42"/>
      <c r="BU463" s="42"/>
      <c r="BV463" s="42"/>
      <c r="BW463" s="42"/>
      <c r="BX463" s="42"/>
      <c r="BY463" s="42"/>
      <c r="BZ463" s="42"/>
      <c r="CA463" s="42"/>
      <c r="CB463" s="42"/>
      <c r="CC463" s="42"/>
      <c r="CD463" s="42"/>
      <c r="CE463" s="42"/>
      <c r="CF463" s="42"/>
      <c r="CG463" s="42"/>
      <c r="CH463" s="42"/>
      <c r="CS463" s="29"/>
      <c r="CT463" s="29"/>
      <c r="CU463" s="29"/>
      <c r="CV463" s="522"/>
      <c r="CW463" s="522"/>
      <c r="CX463" s="211"/>
      <c r="CY463" s="211"/>
      <c r="CZ463" s="211"/>
      <c r="DA463" s="211"/>
      <c r="DB463" s="211"/>
      <c r="DC463" s="211"/>
      <c r="DD463" s="211"/>
      <c r="DE463" s="211"/>
      <c r="DF463" s="60"/>
      <c r="DG463" s="60"/>
      <c r="DH463" s="60"/>
      <c r="DI463" s="60"/>
      <c r="DJ463" s="60"/>
    </row>
    <row r="464" spans="3:114" s="25" customFormat="1">
      <c r="C464" s="24"/>
      <c r="D464" s="24"/>
      <c r="G464" s="57"/>
      <c r="H464" s="57"/>
      <c r="I464" s="57"/>
      <c r="J464" s="57"/>
      <c r="K464" s="57"/>
      <c r="L464" s="57"/>
      <c r="M464" s="57"/>
      <c r="N464" s="57"/>
      <c r="O464" s="57"/>
      <c r="P464" s="57"/>
      <c r="Q464" s="57"/>
      <c r="R464" s="57"/>
      <c r="S464" s="57"/>
      <c r="T464" s="559"/>
      <c r="U464" s="29"/>
      <c r="V464" s="29"/>
      <c r="AJ464" s="1215"/>
      <c r="AK464" s="1142"/>
      <c r="AM464" s="42"/>
      <c r="AN464" s="42"/>
      <c r="AO464" s="42"/>
      <c r="AP464" s="42"/>
      <c r="AQ464" s="42"/>
      <c r="AR464" s="42"/>
      <c r="AS464" s="42"/>
      <c r="AT464" s="42"/>
      <c r="AU464" s="42"/>
      <c r="AV464" s="42"/>
      <c r="AW464" s="42"/>
      <c r="AX464" s="42"/>
      <c r="AY464" s="42"/>
      <c r="AZ464" s="42"/>
      <c r="BA464" s="42"/>
      <c r="BB464" s="42"/>
      <c r="BC464" s="42"/>
      <c r="BD464" s="42"/>
      <c r="BE464" s="42"/>
      <c r="BF464" s="42"/>
      <c r="BG464" s="42"/>
      <c r="BH464" s="42"/>
      <c r="BI464" s="42"/>
      <c r="BJ464" s="42"/>
      <c r="BK464" s="42"/>
      <c r="BL464" s="42"/>
      <c r="BM464" s="42"/>
      <c r="BN464" s="42"/>
      <c r="BO464" s="42"/>
      <c r="BP464" s="42"/>
      <c r="BQ464" s="42"/>
      <c r="BR464" s="42"/>
      <c r="BS464" s="42"/>
      <c r="BT464" s="42"/>
      <c r="BU464" s="42"/>
      <c r="BV464" s="42"/>
      <c r="BW464" s="42"/>
      <c r="BX464" s="42"/>
      <c r="BY464" s="42"/>
      <c r="BZ464" s="42"/>
      <c r="CA464" s="42"/>
      <c r="CB464" s="42"/>
      <c r="CC464" s="42"/>
      <c r="CD464" s="42"/>
      <c r="CE464" s="42"/>
      <c r="CF464" s="42"/>
      <c r="CG464" s="42"/>
      <c r="CH464" s="42"/>
      <c r="CS464" s="29"/>
      <c r="CT464" s="29"/>
      <c r="CU464" s="29"/>
      <c r="CV464" s="522"/>
      <c r="CW464" s="522"/>
      <c r="CX464" s="211"/>
      <c r="CY464" s="211"/>
      <c r="CZ464" s="211"/>
      <c r="DA464" s="211"/>
      <c r="DB464" s="211"/>
      <c r="DC464" s="211"/>
      <c r="DD464" s="211"/>
      <c r="DE464" s="211"/>
      <c r="DF464" s="60"/>
      <c r="DG464" s="60"/>
      <c r="DH464" s="60"/>
      <c r="DI464" s="60"/>
      <c r="DJ464" s="60"/>
    </row>
    <row r="465" spans="3:114" s="25" customFormat="1">
      <c r="C465" s="24"/>
      <c r="D465" s="24"/>
      <c r="G465" s="57"/>
      <c r="H465" s="57"/>
      <c r="I465" s="57"/>
      <c r="J465" s="57"/>
      <c r="K465" s="57"/>
      <c r="L465" s="57"/>
      <c r="M465" s="57"/>
      <c r="N465" s="57"/>
      <c r="O465" s="57"/>
      <c r="P465" s="57"/>
      <c r="Q465" s="57"/>
      <c r="R465" s="57"/>
      <c r="S465" s="57"/>
      <c r="T465" s="559"/>
      <c r="U465" s="29"/>
      <c r="V465" s="29"/>
      <c r="AJ465" s="1215"/>
      <c r="AK465" s="1142"/>
      <c r="AM465" s="42"/>
      <c r="AN465" s="42"/>
      <c r="AO465" s="42"/>
      <c r="AP465" s="42"/>
      <c r="AQ465" s="42"/>
      <c r="AR465" s="42"/>
      <c r="AS465" s="42"/>
      <c r="AT465" s="42"/>
      <c r="AU465" s="42"/>
      <c r="AV465" s="42"/>
      <c r="AW465" s="42"/>
      <c r="AX465" s="42"/>
      <c r="AY465" s="42"/>
      <c r="AZ465" s="42"/>
      <c r="BA465" s="42"/>
      <c r="BB465" s="42"/>
      <c r="BC465" s="42"/>
      <c r="BD465" s="42"/>
      <c r="BE465" s="42"/>
      <c r="BF465" s="42"/>
      <c r="BG465" s="42"/>
      <c r="BH465" s="42"/>
      <c r="BI465" s="42"/>
      <c r="BJ465" s="42"/>
      <c r="BK465" s="42"/>
      <c r="BL465" s="42"/>
      <c r="BM465" s="42"/>
      <c r="BN465" s="42"/>
      <c r="BO465" s="42"/>
      <c r="BP465" s="42"/>
      <c r="BQ465" s="42"/>
      <c r="BR465" s="42"/>
      <c r="BS465" s="42"/>
      <c r="BT465" s="42"/>
      <c r="BU465" s="42"/>
      <c r="BV465" s="42"/>
      <c r="BW465" s="42"/>
      <c r="BX465" s="42"/>
      <c r="BY465" s="42"/>
      <c r="BZ465" s="42"/>
      <c r="CA465" s="42"/>
      <c r="CB465" s="42"/>
      <c r="CC465" s="42"/>
      <c r="CD465" s="42"/>
      <c r="CE465" s="42"/>
      <c r="CF465" s="42"/>
      <c r="CG465" s="42"/>
      <c r="CH465" s="42"/>
      <c r="CS465" s="29"/>
      <c r="CT465" s="29"/>
      <c r="CU465" s="29"/>
      <c r="CV465" s="522"/>
      <c r="CW465" s="522"/>
      <c r="CX465" s="211"/>
      <c r="CY465" s="211"/>
      <c r="CZ465" s="211"/>
      <c r="DA465" s="211"/>
      <c r="DB465" s="211"/>
      <c r="DC465" s="211"/>
      <c r="DD465" s="211"/>
      <c r="DE465" s="211"/>
      <c r="DF465" s="60"/>
      <c r="DG465" s="60"/>
      <c r="DH465" s="60"/>
      <c r="DI465" s="60"/>
      <c r="DJ465" s="60"/>
    </row>
    <row r="466" spans="3:114" s="25" customFormat="1">
      <c r="C466" s="24"/>
      <c r="D466" s="24"/>
      <c r="G466" s="57"/>
      <c r="H466" s="57"/>
      <c r="I466" s="57"/>
      <c r="J466" s="57"/>
      <c r="K466" s="57"/>
      <c r="L466" s="57"/>
      <c r="M466" s="57"/>
      <c r="N466" s="57"/>
      <c r="O466" s="57"/>
      <c r="P466" s="57"/>
      <c r="Q466" s="57"/>
      <c r="R466" s="57"/>
      <c r="S466" s="57"/>
      <c r="T466" s="559"/>
      <c r="U466" s="29"/>
      <c r="V466" s="29"/>
      <c r="AJ466" s="1215"/>
      <c r="AK466" s="1142"/>
      <c r="AM466" s="42"/>
      <c r="AN466" s="42"/>
      <c r="AO466" s="42"/>
      <c r="AP466" s="42"/>
      <c r="AQ466" s="42"/>
      <c r="AR466" s="42"/>
      <c r="AS466" s="42"/>
      <c r="AT466" s="42"/>
      <c r="AU466" s="42"/>
      <c r="AV466" s="42"/>
      <c r="AW466" s="42"/>
      <c r="AX466" s="42"/>
      <c r="AY466" s="42"/>
      <c r="AZ466" s="42"/>
      <c r="BA466" s="42"/>
      <c r="BB466" s="42"/>
      <c r="BC466" s="42"/>
      <c r="BD466" s="42"/>
      <c r="BE466" s="42"/>
      <c r="BF466" s="42"/>
      <c r="BG466" s="42"/>
      <c r="BH466" s="42"/>
      <c r="BI466" s="42"/>
      <c r="BJ466" s="42"/>
      <c r="BK466" s="42"/>
      <c r="BL466" s="42"/>
      <c r="BM466" s="42"/>
      <c r="BN466" s="42"/>
      <c r="BO466" s="42"/>
      <c r="BP466" s="42"/>
      <c r="BQ466" s="42"/>
      <c r="BR466" s="42"/>
      <c r="BS466" s="42"/>
      <c r="BT466" s="42"/>
      <c r="BU466" s="42"/>
      <c r="BV466" s="42"/>
      <c r="BW466" s="42"/>
      <c r="BX466" s="42"/>
      <c r="BY466" s="42"/>
      <c r="BZ466" s="42"/>
      <c r="CA466" s="42"/>
      <c r="CB466" s="42"/>
      <c r="CC466" s="42"/>
      <c r="CD466" s="42"/>
      <c r="CE466" s="42"/>
      <c r="CF466" s="42"/>
      <c r="CG466" s="42"/>
      <c r="CH466" s="42"/>
      <c r="CS466" s="29"/>
      <c r="CT466" s="29"/>
      <c r="CU466" s="29"/>
      <c r="CV466" s="522"/>
      <c r="CW466" s="522"/>
      <c r="CX466" s="211"/>
      <c r="CY466" s="211"/>
      <c r="CZ466" s="211"/>
      <c r="DA466" s="211"/>
      <c r="DB466" s="211"/>
      <c r="DC466" s="211"/>
      <c r="DD466" s="211"/>
      <c r="DE466" s="211"/>
      <c r="DF466" s="60"/>
      <c r="DG466" s="60"/>
      <c r="DH466" s="60"/>
      <c r="DI466" s="60"/>
      <c r="DJ466" s="60"/>
    </row>
    <row r="467" spans="3:114" s="25" customFormat="1">
      <c r="C467" s="24"/>
      <c r="D467" s="24"/>
      <c r="G467" s="57"/>
      <c r="H467" s="57"/>
      <c r="I467" s="57"/>
      <c r="J467" s="57"/>
      <c r="K467" s="57"/>
      <c r="L467" s="57"/>
      <c r="M467" s="57"/>
      <c r="N467" s="57"/>
      <c r="O467" s="57"/>
      <c r="P467" s="57"/>
      <c r="Q467" s="57"/>
      <c r="R467" s="57"/>
      <c r="S467" s="57"/>
      <c r="T467" s="559"/>
      <c r="U467" s="29"/>
      <c r="V467" s="29"/>
      <c r="AJ467" s="1215"/>
      <c r="AK467" s="1142"/>
      <c r="AM467" s="42"/>
      <c r="AN467" s="42"/>
      <c r="AO467" s="42"/>
      <c r="AP467" s="42"/>
      <c r="AQ467" s="42"/>
      <c r="AR467" s="42"/>
      <c r="AS467" s="42"/>
      <c r="AT467" s="42"/>
      <c r="AU467" s="42"/>
      <c r="AV467" s="42"/>
      <c r="AW467" s="42"/>
      <c r="AX467" s="42"/>
      <c r="AY467" s="42"/>
      <c r="AZ467" s="42"/>
      <c r="BA467" s="42"/>
      <c r="BB467" s="42"/>
      <c r="BC467" s="42"/>
      <c r="BD467" s="42"/>
      <c r="BE467" s="42"/>
      <c r="BF467" s="42"/>
      <c r="BG467" s="42"/>
      <c r="BH467" s="42"/>
      <c r="BI467" s="42"/>
      <c r="BJ467" s="42"/>
      <c r="BK467" s="42"/>
      <c r="BL467" s="42"/>
      <c r="BM467" s="42"/>
      <c r="BN467" s="42"/>
      <c r="BO467" s="42"/>
      <c r="BP467" s="42"/>
      <c r="BQ467" s="42"/>
      <c r="BR467" s="42"/>
      <c r="BS467" s="42"/>
      <c r="BT467" s="42"/>
      <c r="BU467" s="42"/>
      <c r="BV467" s="42"/>
      <c r="BW467" s="42"/>
      <c r="BX467" s="42"/>
      <c r="BY467" s="42"/>
      <c r="BZ467" s="42"/>
      <c r="CA467" s="42"/>
      <c r="CB467" s="42"/>
      <c r="CC467" s="42"/>
      <c r="CD467" s="42"/>
      <c r="CE467" s="42"/>
      <c r="CF467" s="42"/>
      <c r="CG467" s="42"/>
      <c r="CH467" s="42"/>
      <c r="CS467" s="29"/>
      <c r="CT467" s="29"/>
      <c r="CU467" s="29"/>
      <c r="CV467" s="522"/>
      <c r="CW467" s="522"/>
      <c r="CX467" s="211"/>
      <c r="CY467" s="211"/>
      <c r="CZ467" s="211"/>
      <c r="DA467" s="211"/>
      <c r="DB467" s="211"/>
      <c r="DC467" s="211"/>
      <c r="DD467" s="211"/>
      <c r="DE467" s="211"/>
      <c r="DF467" s="60"/>
      <c r="DG467" s="60"/>
      <c r="DH467" s="60"/>
      <c r="DI467" s="60"/>
      <c r="DJ467" s="60"/>
    </row>
    <row r="468" spans="3:114" s="25" customFormat="1">
      <c r="C468" s="24"/>
      <c r="D468" s="24"/>
      <c r="G468" s="57"/>
      <c r="H468" s="57"/>
      <c r="I468" s="57"/>
      <c r="J468" s="57"/>
      <c r="K468" s="57"/>
      <c r="L468" s="57"/>
      <c r="M468" s="57"/>
      <c r="N468" s="57"/>
      <c r="O468" s="57"/>
      <c r="P468" s="57"/>
      <c r="Q468" s="57"/>
      <c r="R468" s="57"/>
      <c r="S468" s="57"/>
      <c r="T468" s="559"/>
      <c r="U468" s="29"/>
      <c r="V468" s="29"/>
      <c r="AJ468" s="1215"/>
      <c r="AK468" s="1142"/>
      <c r="AM468" s="42"/>
      <c r="AN468" s="42"/>
      <c r="AO468" s="42"/>
      <c r="AP468" s="42"/>
      <c r="AQ468" s="42"/>
      <c r="AR468" s="42"/>
      <c r="AS468" s="42"/>
      <c r="AT468" s="42"/>
      <c r="AU468" s="42"/>
      <c r="AV468" s="42"/>
      <c r="AW468" s="42"/>
      <c r="AX468" s="42"/>
      <c r="AY468" s="42"/>
      <c r="AZ468" s="42"/>
      <c r="BA468" s="42"/>
      <c r="BB468" s="42"/>
      <c r="BC468" s="42"/>
      <c r="BD468" s="42"/>
      <c r="BE468" s="42"/>
      <c r="BF468" s="42"/>
      <c r="BG468" s="42"/>
      <c r="BH468" s="42"/>
      <c r="BI468" s="42"/>
      <c r="BJ468" s="42"/>
      <c r="BK468" s="42"/>
      <c r="BL468" s="42"/>
      <c r="BM468" s="42"/>
      <c r="BN468" s="42"/>
      <c r="BO468" s="42"/>
      <c r="BP468" s="42"/>
      <c r="BQ468" s="42"/>
      <c r="BR468" s="42"/>
      <c r="BS468" s="42"/>
      <c r="BT468" s="42"/>
      <c r="BU468" s="42"/>
      <c r="BV468" s="42"/>
      <c r="BW468" s="42"/>
      <c r="BX468" s="42"/>
      <c r="BY468" s="42"/>
      <c r="BZ468" s="42"/>
      <c r="CA468" s="42"/>
      <c r="CB468" s="42"/>
      <c r="CC468" s="42"/>
      <c r="CD468" s="42"/>
      <c r="CE468" s="42"/>
      <c r="CF468" s="42"/>
      <c r="CG468" s="42"/>
      <c r="CH468" s="42"/>
      <c r="CS468" s="29"/>
      <c r="CT468" s="29"/>
      <c r="CU468" s="29"/>
      <c r="CV468" s="522"/>
      <c r="CW468" s="522"/>
      <c r="CX468" s="211"/>
      <c r="CY468" s="211"/>
      <c r="CZ468" s="211"/>
      <c r="DA468" s="211"/>
      <c r="DB468" s="211"/>
      <c r="DC468" s="211"/>
      <c r="DD468" s="211"/>
      <c r="DE468" s="211"/>
      <c r="DF468" s="60"/>
      <c r="DG468" s="60"/>
      <c r="DH468" s="60"/>
      <c r="DI468" s="60"/>
      <c r="DJ468" s="60"/>
    </row>
    <row r="469" spans="3:114" s="25" customFormat="1">
      <c r="C469" s="24"/>
      <c r="D469" s="24"/>
      <c r="G469" s="57"/>
      <c r="H469" s="57"/>
      <c r="I469" s="57"/>
      <c r="J469" s="57"/>
      <c r="K469" s="57"/>
      <c r="L469" s="57"/>
      <c r="M469" s="57"/>
      <c r="N469" s="57"/>
      <c r="O469" s="57"/>
      <c r="P469" s="57"/>
      <c r="Q469" s="57"/>
      <c r="R469" s="57"/>
      <c r="S469" s="57"/>
      <c r="T469" s="559"/>
      <c r="U469" s="29"/>
      <c r="V469" s="29"/>
      <c r="AJ469" s="1215"/>
      <c r="AK469" s="1142"/>
      <c r="AM469" s="42"/>
      <c r="AN469" s="42"/>
      <c r="AO469" s="42"/>
      <c r="AP469" s="42"/>
      <c r="AQ469" s="42"/>
      <c r="AR469" s="42"/>
      <c r="AS469" s="42"/>
      <c r="AT469" s="42"/>
      <c r="AU469" s="42"/>
      <c r="AV469" s="42"/>
      <c r="AW469" s="42"/>
      <c r="AX469" s="42"/>
      <c r="AY469" s="42"/>
      <c r="AZ469" s="42"/>
      <c r="BA469" s="42"/>
      <c r="BB469" s="42"/>
      <c r="BC469" s="42"/>
      <c r="BD469" s="42"/>
      <c r="BE469" s="42"/>
      <c r="BF469" s="42"/>
      <c r="BG469" s="42"/>
      <c r="BH469" s="42"/>
      <c r="BI469" s="42"/>
      <c r="BJ469" s="42"/>
      <c r="BK469" s="42"/>
      <c r="BL469" s="42"/>
      <c r="BM469" s="42"/>
      <c r="BN469" s="42"/>
      <c r="BO469" s="42"/>
      <c r="BP469" s="42"/>
      <c r="BQ469" s="42"/>
      <c r="BR469" s="42"/>
      <c r="BS469" s="42"/>
      <c r="BT469" s="42"/>
      <c r="BU469" s="42"/>
      <c r="BV469" s="42"/>
      <c r="BW469" s="42"/>
      <c r="BX469" s="42"/>
      <c r="BY469" s="42"/>
      <c r="BZ469" s="42"/>
      <c r="CA469" s="42"/>
      <c r="CB469" s="42"/>
      <c r="CC469" s="42"/>
      <c r="CD469" s="42"/>
      <c r="CE469" s="42"/>
      <c r="CF469" s="42"/>
      <c r="CG469" s="42"/>
      <c r="CH469" s="42"/>
      <c r="CS469" s="29"/>
      <c r="CT469" s="29"/>
      <c r="CU469" s="29"/>
      <c r="CV469" s="522"/>
      <c r="CW469" s="522"/>
      <c r="CX469" s="211"/>
      <c r="CY469" s="211"/>
      <c r="CZ469" s="211"/>
      <c r="DA469" s="211"/>
      <c r="DB469" s="211"/>
      <c r="DC469" s="211"/>
      <c r="DD469" s="211"/>
      <c r="DE469" s="211"/>
      <c r="DF469" s="60"/>
      <c r="DG469" s="60"/>
      <c r="DH469" s="60"/>
      <c r="DI469" s="60"/>
      <c r="DJ469" s="60"/>
    </row>
    <row r="470" spans="3:114" s="25" customFormat="1">
      <c r="C470" s="24"/>
      <c r="D470" s="24"/>
      <c r="G470" s="57"/>
      <c r="H470" s="57"/>
      <c r="I470" s="57"/>
      <c r="J470" s="57"/>
      <c r="K470" s="57"/>
      <c r="L470" s="57"/>
      <c r="M470" s="57"/>
      <c r="N470" s="57"/>
      <c r="O470" s="57"/>
      <c r="P470" s="57"/>
      <c r="Q470" s="57"/>
      <c r="R470" s="57"/>
      <c r="S470" s="57"/>
      <c r="T470" s="559"/>
      <c r="U470" s="29"/>
      <c r="V470" s="29"/>
      <c r="AJ470" s="1215"/>
      <c r="AK470" s="1142"/>
      <c r="AM470" s="42"/>
      <c r="AN470" s="42"/>
      <c r="AO470" s="42"/>
      <c r="AP470" s="42"/>
      <c r="AQ470" s="42"/>
      <c r="AR470" s="42"/>
      <c r="AS470" s="42"/>
      <c r="AT470" s="42"/>
      <c r="AU470" s="42"/>
      <c r="AV470" s="42"/>
      <c r="AW470" s="42"/>
      <c r="AX470" s="42"/>
      <c r="AY470" s="42"/>
      <c r="AZ470" s="42"/>
      <c r="BA470" s="42"/>
      <c r="BB470" s="42"/>
      <c r="BC470" s="42"/>
      <c r="BD470" s="42"/>
      <c r="BE470" s="42"/>
      <c r="BF470" s="42"/>
      <c r="BG470" s="42"/>
      <c r="BH470" s="42"/>
      <c r="BI470" s="42"/>
      <c r="BJ470" s="42"/>
      <c r="BK470" s="42"/>
      <c r="BL470" s="42"/>
      <c r="BM470" s="42"/>
      <c r="BN470" s="42"/>
      <c r="BO470" s="42"/>
      <c r="BP470" s="42"/>
      <c r="BQ470" s="42"/>
      <c r="BR470" s="42"/>
      <c r="BS470" s="42"/>
      <c r="BT470" s="42"/>
      <c r="BU470" s="42"/>
      <c r="BV470" s="42"/>
      <c r="BW470" s="42"/>
      <c r="BX470" s="42"/>
      <c r="BY470" s="42"/>
      <c r="BZ470" s="42"/>
      <c r="CA470" s="42"/>
      <c r="CB470" s="42"/>
      <c r="CC470" s="42"/>
      <c r="CD470" s="42"/>
      <c r="CE470" s="42"/>
      <c r="CF470" s="42"/>
      <c r="CG470" s="42"/>
      <c r="CH470" s="42"/>
      <c r="CS470" s="29"/>
      <c r="CT470" s="29"/>
      <c r="CU470" s="29"/>
      <c r="CV470" s="522"/>
      <c r="CW470" s="522"/>
      <c r="CX470" s="211"/>
      <c r="CY470" s="211"/>
      <c r="CZ470" s="211"/>
      <c r="DA470" s="211"/>
      <c r="DB470" s="211"/>
      <c r="DC470" s="211"/>
      <c r="DD470" s="211"/>
      <c r="DE470" s="211"/>
      <c r="DF470" s="60"/>
      <c r="DG470" s="60"/>
      <c r="DH470" s="60"/>
      <c r="DI470" s="60"/>
      <c r="DJ470" s="60"/>
    </row>
    <row r="471" spans="3:114" s="25" customFormat="1">
      <c r="C471" s="24"/>
      <c r="D471" s="24"/>
      <c r="G471" s="57"/>
      <c r="H471" s="57"/>
      <c r="I471" s="57"/>
      <c r="J471" s="57"/>
      <c r="K471" s="57"/>
      <c r="L471" s="57"/>
      <c r="M471" s="57"/>
      <c r="N471" s="57"/>
      <c r="O471" s="57"/>
      <c r="P471" s="57"/>
      <c r="Q471" s="57"/>
      <c r="R471" s="57"/>
      <c r="S471" s="57"/>
      <c r="T471" s="559"/>
      <c r="U471" s="29"/>
      <c r="V471" s="29"/>
      <c r="AJ471" s="1215"/>
      <c r="AK471" s="1142"/>
      <c r="AM471" s="42"/>
      <c r="AN471" s="42"/>
      <c r="AO471" s="42"/>
      <c r="AP471" s="42"/>
      <c r="AQ471" s="42"/>
      <c r="AR471" s="42"/>
      <c r="AS471" s="42"/>
      <c r="AT471" s="42"/>
      <c r="AU471" s="42"/>
      <c r="AV471" s="42"/>
      <c r="AW471" s="42"/>
      <c r="AX471" s="42"/>
      <c r="AY471" s="42"/>
      <c r="AZ471" s="42"/>
      <c r="BA471" s="42"/>
      <c r="BB471" s="42"/>
      <c r="BC471" s="42"/>
      <c r="BD471" s="42"/>
      <c r="BE471" s="42"/>
      <c r="BF471" s="42"/>
      <c r="BG471" s="42"/>
      <c r="BH471" s="42"/>
      <c r="BI471" s="42"/>
      <c r="BJ471" s="42"/>
      <c r="BK471" s="42"/>
      <c r="BL471" s="42"/>
      <c r="BM471" s="42"/>
      <c r="BN471" s="42"/>
      <c r="BO471" s="42"/>
      <c r="BP471" s="42"/>
      <c r="BQ471" s="42"/>
      <c r="BR471" s="42"/>
      <c r="BS471" s="42"/>
      <c r="BT471" s="42"/>
      <c r="BU471" s="42"/>
      <c r="BV471" s="42"/>
      <c r="BW471" s="42"/>
      <c r="BX471" s="42"/>
      <c r="BY471" s="42"/>
      <c r="BZ471" s="42"/>
      <c r="CA471" s="42"/>
      <c r="CB471" s="42"/>
      <c r="CC471" s="42"/>
      <c r="CD471" s="42"/>
      <c r="CE471" s="42"/>
      <c r="CF471" s="42"/>
      <c r="CG471" s="42"/>
      <c r="CH471" s="42"/>
      <c r="CS471" s="29"/>
      <c r="CT471" s="29"/>
      <c r="CU471" s="29"/>
      <c r="CV471" s="522"/>
      <c r="CW471" s="522"/>
      <c r="CX471" s="211"/>
      <c r="CY471" s="211"/>
      <c r="CZ471" s="211"/>
      <c r="DA471" s="211"/>
      <c r="DB471" s="211"/>
      <c r="DC471" s="211"/>
      <c r="DD471" s="211"/>
      <c r="DE471" s="211"/>
      <c r="DF471" s="60"/>
      <c r="DG471" s="60"/>
      <c r="DH471" s="60"/>
      <c r="DI471" s="60"/>
      <c r="DJ471" s="60"/>
    </row>
    <row r="472" spans="3:114" s="25" customFormat="1">
      <c r="C472" s="24"/>
      <c r="D472" s="24"/>
      <c r="G472" s="57"/>
      <c r="H472" s="57"/>
      <c r="I472" s="57"/>
      <c r="J472" s="57"/>
      <c r="K472" s="57"/>
      <c r="L472" s="57"/>
      <c r="M472" s="57"/>
      <c r="N472" s="57"/>
      <c r="O472" s="57"/>
      <c r="P472" s="57"/>
      <c r="Q472" s="57"/>
      <c r="R472" s="57"/>
      <c r="S472" s="57"/>
      <c r="T472" s="559"/>
      <c r="U472" s="29"/>
      <c r="V472" s="29"/>
      <c r="AJ472" s="1215"/>
      <c r="AK472" s="1142"/>
      <c r="AM472" s="42"/>
      <c r="AN472" s="42"/>
      <c r="AO472" s="42"/>
      <c r="AP472" s="42"/>
      <c r="AQ472" s="42"/>
      <c r="AR472" s="42"/>
      <c r="AS472" s="42"/>
      <c r="AT472" s="42"/>
      <c r="AU472" s="42"/>
      <c r="AV472" s="42"/>
      <c r="AW472" s="42"/>
      <c r="AX472" s="42"/>
      <c r="AY472" s="42"/>
      <c r="AZ472" s="42"/>
      <c r="BA472" s="42"/>
      <c r="BB472" s="42"/>
      <c r="BC472" s="42"/>
      <c r="BD472" s="42"/>
      <c r="BE472" s="42"/>
      <c r="BF472" s="42"/>
      <c r="BG472" s="42"/>
      <c r="BH472" s="42"/>
      <c r="BI472" s="42"/>
      <c r="BJ472" s="42"/>
      <c r="BK472" s="42"/>
      <c r="BL472" s="42"/>
      <c r="BM472" s="42"/>
      <c r="BN472" s="42"/>
      <c r="BO472" s="42"/>
      <c r="BP472" s="42"/>
      <c r="BQ472" s="42"/>
      <c r="BR472" s="42"/>
      <c r="BS472" s="42"/>
      <c r="BT472" s="42"/>
      <c r="BU472" s="42"/>
      <c r="BV472" s="42"/>
      <c r="BW472" s="42"/>
      <c r="BX472" s="42"/>
      <c r="BY472" s="42"/>
      <c r="BZ472" s="42"/>
      <c r="CA472" s="42"/>
      <c r="CB472" s="42"/>
      <c r="CC472" s="42"/>
      <c r="CD472" s="42"/>
      <c r="CE472" s="42"/>
      <c r="CF472" s="42"/>
      <c r="CG472" s="42"/>
      <c r="CH472" s="42"/>
      <c r="CS472" s="29"/>
      <c r="CT472" s="29"/>
      <c r="CU472" s="29"/>
      <c r="CV472" s="522"/>
      <c r="CW472" s="522"/>
      <c r="CX472" s="211"/>
      <c r="CY472" s="211"/>
      <c r="CZ472" s="211"/>
      <c r="DA472" s="211"/>
      <c r="DB472" s="211"/>
      <c r="DC472" s="211"/>
      <c r="DD472" s="211"/>
      <c r="DE472" s="211"/>
      <c r="DF472" s="60"/>
      <c r="DG472" s="60"/>
      <c r="DH472" s="60"/>
      <c r="DI472" s="60"/>
      <c r="DJ472" s="60"/>
    </row>
    <row r="473" spans="3:114" s="25" customFormat="1">
      <c r="C473" s="24"/>
      <c r="D473" s="24"/>
      <c r="G473" s="57"/>
      <c r="H473" s="57"/>
      <c r="I473" s="57"/>
      <c r="J473" s="57"/>
      <c r="K473" s="57"/>
      <c r="L473" s="57"/>
      <c r="M473" s="57"/>
      <c r="N473" s="57"/>
      <c r="O473" s="57"/>
      <c r="P473" s="57"/>
      <c r="Q473" s="57"/>
      <c r="R473" s="57"/>
      <c r="S473" s="57"/>
      <c r="T473" s="559"/>
      <c r="U473" s="29"/>
      <c r="V473" s="29"/>
      <c r="AJ473" s="1215"/>
      <c r="AK473" s="1142"/>
      <c r="AM473" s="42"/>
      <c r="AN473" s="42"/>
      <c r="AO473" s="42"/>
      <c r="AP473" s="42"/>
      <c r="AQ473" s="42"/>
      <c r="AR473" s="42"/>
      <c r="AS473" s="42"/>
      <c r="AT473" s="42"/>
      <c r="AU473" s="42"/>
      <c r="AV473" s="42"/>
      <c r="AW473" s="42"/>
      <c r="AX473" s="42"/>
      <c r="AY473" s="42"/>
      <c r="AZ473" s="42"/>
      <c r="BA473" s="42"/>
      <c r="BB473" s="42"/>
      <c r="BC473" s="42"/>
      <c r="BD473" s="42"/>
      <c r="BE473" s="42"/>
      <c r="BF473" s="42"/>
      <c r="BG473" s="42"/>
      <c r="BH473" s="42"/>
      <c r="BI473" s="42"/>
      <c r="BJ473" s="42"/>
      <c r="BK473" s="42"/>
      <c r="BL473" s="42"/>
      <c r="BM473" s="42"/>
      <c r="BN473" s="42"/>
      <c r="BO473" s="42"/>
      <c r="BP473" s="42"/>
      <c r="BQ473" s="42"/>
      <c r="BR473" s="42"/>
      <c r="BS473" s="42"/>
      <c r="BT473" s="42"/>
      <c r="BU473" s="42"/>
      <c r="BV473" s="42"/>
      <c r="BW473" s="42"/>
      <c r="BX473" s="42"/>
      <c r="BY473" s="42"/>
      <c r="BZ473" s="42"/>
      <c r="CA473" s="42"/>
      <c r="CB473" s="42"/>
      <c r="CC473" s="42"/>
      <c r="CD473" s="42"/>
      <c r="CE473" s="42"/>
      <c r="CF473" s="42"/>
      <c r="CG473" s="42"/>
      <c r="CH473" s="42"/>
      <c r="CS473" s="29"/>
      <c r="CT473" s="29"/>
      <c r="CU473" s="29"/>
      <c r="CV473" s="522"/>
      <c r="CW473" s="522"/>
      <c r="CX473" s="211"/>
      <c r="CY473" s="211"/>
      <c r="CZ473" s="211"/>
      <c r="DA473" s="211"/>
      <c r="DB473" s="211"/>
      <c r="DC473" s="211"/>
      <c r="DD473" s="211"/>
      <c r="DE473" s="211"/>
      <c r="DF473" s="60"/>
      <c r="DG473" s="60"/>
      <c r="DH473" s="60"/>
      <c r="DI473" s="60"/>
      <c r="DJ473" s="60"/>
    </row>
    <row r="474" spans="3:114" s="25" customFormat="1">
      <c r="C474" s="24"/>
      <c r="D474" s="24"/>
      <c r="G474" s="57"/>
      <c r="H474" s="57"/>
      <c r="I474" s="57"/>
      <c r="J474" s="57"/>
      <c r="K474" s="57"/>
      <c r="L474" s="57"/>
      <c r="M474" s="57"/>
      <c r="N474" s="57"/>
      <c r="O474" s="57"/>
      <c r="P474" s="57"/>
      <c r="Q474" s="57"/>
      <c r="R474" s="57"/>
      <c r="S474" s="57"/>
      <c r="T474" s="559"/>
      <c r="U474" s="29"/>
      <c r="V474" s="29"/>
      <c r="AJ474" s="1215"/>
      <c r="AK474" s="1142"/>
      <c r="AM474" s="42"/>
      <c r="AN474" s="42"/>
      <c r="AO474" s="42"/>
      <c r="AP474" s="42"/>
      <c r="AQ474" s="42"/>
      <c r="AR474" s="42"/>
      <c r="AS474" s="42"/>
      <c r="AT474" s="42"/>
      <c r="AU474" s="42"/>
      <c r="AV474" s="42"/>
      <c r="AW474" s="42"/>
      <c r="AX474" s="42"/>
      <c r="AY474" s="42"/>
      <c r="AZ474" s="42"/>
      <c r="BA474" s="42"/>
      <c r="BB474" s="42"/>
      <c r="BC474" s="42"/>
      <c r="BD474" s="42"/>
      <c r="BE474" s="42"/>
      <c r="BF474" s="42"/>
      <c r="BG474" s="42"/>
      <c r="BH474" s="42"/>
      <c r="BI474" s="42"/>
      <c r="BJ474" s="42"/>
      <c r="BK474" s="42"/>
      <c r="BL474" s="42"/>
      <c r="BM474" s="42"/>
      <c r="BN474" s="42"/>
      <c r="BO474" s="42"/>
      <c r="BP474" s="42"/>
      <c r="BQ474" s="42"/>
      <c r="BR474" s="42"/>
      <c r="BS474" s="42"/>
      <c r="BT474" s="42"/>
      <c r="BU474" s="42"/>
      <c r="BV474" s="42"/>
      <c r="BW474" s="42"/>
      <c r="BX474" s="42"/>
      <c r="BY474" s="42"/>
      <c r="BZ474" s="42"/>
      <c r="CA474" s="42"/>
      <c r="CB474" s="42"/>
      <c r="CC474" s="42"/>
      <c r="CD474" s="42"/>
      <c r="CE474" s="42"/>
      <c r="CF474" s="42"/>
      <c r="CG474" s="42"/>
      <c r="CH474" s="42"/>
      <c r="CS474" s="29"/>
      <c r="CT474" s="29"/>
      <c r="CU474" s="29"/>
      <c r="CV474" s="522"/>
      <c r="CW474" s="522"/>
      <c r="CX474" s="211"/>
      <c r="CY474" s="211"/>
      <c r="CZ474" s="211"/>
      <c r="DA474" s="211"/>
      <c r="DB474" s="211"/>
      <c r="DC474" s="211"/>
      <c r="DD474" s="211"/>
      <c r="DE474" s="211"/>
      <c r="DF474" s="60"/>
      <c r="DG474" s="60"/>
      <c r="DH474" s="60"/>
      <c r="DI474" s="60"/>
      <c r="DJ474" s="60"/>
    </row>
    <row r="475" spans="3:114" s="25" customFormat="1">
      <c r="C475" s="24"/>
      <c r="D475" s="24"/>
      <c r="G475" s="57"/>
      <c r="H475" s="57"/>
      <c r="I475" s="57"/>
      <c r="J475" s="57"/>
      <c r="K475" s="57"/>
      <c r="L475" s="57"/>
      <c r="M475" s="57"/>
      <c r="N475" s="57"/>
      <c r="O475" s="57"/>
      <c r="P475" s="57"/>
      <c r="Q475" s="57"/>
      <c r="R475" s="57"/>
      <c r="S475" s="57"/>
      <c r="T475" s="559"/>
      <c r="U475" s="29"/>
      <c r="V475" s="29"/>
      <c r="AJ475" s="1215"/>
      <c r="AK475" s="1142"/>
      <c r="AM475" s="42"/>
      <c r="AN475" s="42"/>
      <c r="AO475" s="42"/>
      <c r="AP475" s="42"/>
      <c r="AQ475" s="42"/>
      <c r="AR475" s="42"/>
      <c r="AS475" s="42"/>
      <c r="AT475" s="42"/>
      <c r="AU475" s="42"/>
      <c r="AV475" s="42"/>
      <c r="AW475" s="42"/>
      <c r="AX475" s="42"/>
      <c r="AY475" s="42"/>
      <c r="AZ475" s="42"/>
      <c r="BA475" s="42"/>
      <c r="BB475" s="42"/>
      <c r="BC475" s="42"/>
      <c r="BD475" s="42"/>
      <c r="BE475" s="42"/>
      <c r="BF475" s="42"/>
      <c r="BG475" s="42"/>
      <c r="BH475" s="42"/>
      <c r="BI475" s="42"/>
      <c r="BJ475" s="42"/>
      <c r="BK475" s="42"/>
      <c r="BL475" s="42"/>
      <c r="BM475" s="42"/>
      <c r="BN475" s="42"/>
      <c r="BO475" s="42"/>
      <c r="BP475" s="42"/>
      <c r="BQ475" s="42"/>
      <c r="BR475" s="42"/>
      <c r="BS475" s="42"/>
      <c r="BT475" s="42"/>
      <c r="BU475" s="42"/>
      <c r="BV475" s="42"/>
      <c r="BW475" s="42"/>
      <c r="BX475" s="42"/>
      <c r="BY475" s="42"/>
      <c r="BZ475" s="42"/>
      <c r="CA475" s="42"/>
      <c r="CB475" s="42"/>
      <c r="CC475" s="42"/>
      <c r="CD475" s="42"/>
      <c r="CE475" s="42"/>
      <c r="CF475" s="42"/>
      <c r="CG475" s="42"/>
      <c r="CH475" s="42"/>
      <c r="CS475" s="29"/>
      <c r="CT475" s="29"/>
      <c r="CU475" s="29"/>
      <c r="CV475" s="522"/>
      <c r="CW475" s="522"/>
      <c r="CX475" s="211"/>
      <c r="CY475" s="211"/>
      <c r="CZ475" s="211"/>
      <c r="DA475" s="211"/>
      <c r="DB475" s="211"/>
      <c r="DC475" s="211"/>
      <c r="DD475" s="211"/>
      <c r="DE475" s="211"/>
      <c r="DF475" s="60"/>
      <c r="DG475" s="60"/>
      <c r="DH475" s="60"/>
      <c r="DI475" s="60"/>
      <c r="DJ475" s="60"/>
    </row>
    <row r="476" spans="3:114" s="25" customFormat="1">
      <c r="C476" s="24"/>
      <c r="D476" s="24"/>
      <c r="G476" s="57"/>
      <c r="H476" s="57"/>
      <c r="I476" s="57"/>
      <c r="J476" s="57"/>
      <c r="K476" s="57"/>
      <c r="L476" s="57"/>
      <c r="M476" s="57"/>
      <c r="N476" s="57"/>
      <c r="O476" s="57"/>
      <c r="P476" s="57"/>
      <c r="Q476" s="57"/>
      <c r="R476" s="57"/>
      <c r="S476" s="57"/>
      <c r="T476" s="559"/>
      <c r="U476" s="29"/>
      <c r="V476" s="29"/>
      <c r="AJ476" s="1215"/>
      <c r="AK476" s="1142"/>
      <c r="AM476" s="42"/>
      <c r="AN476" s="42"/>
      <c r="AO476" s="42"/>
      <c r="AP476" s="42"/>
      <c r="AQ476" s="42"/>
      <c r="AR476" s="42"/>
      <c r="AS476" s="42"/>
      <c r="AT476" s="42"/>
      <c r="AU476" s="42"/>
      <c r="AV476" s="42"/>
      <c r="AW476" s="42"/>
      <c r="AX476" s="42"/>
      <c r="AY476" s="42"/>
      <c r="AZ476" s="42"/>
      <c r="BA476" s="42"/>
      <c r="BB476" s="42"/>
      <c r="BC476" s="42"/>
      <c r="BD476" s="42"/>
      <c r="BE476" s="42"/>
      <c r="BF476" s="42"/>
      <c r="BG476" s="42"/>
      <c r="BH476" s="42"/>
      <c r="BI476" s="42"/>
      <c r="BJ476" s="42"/>
      <c r="BK476" s="42"/>
      <c r="BL476" s="42"/>
      <c r="BM476" s="42"/>
      <c r="BN476" s="42"/>
      <c r="BO476" s="42"/>
      <c r="BP476" s="42"/>
      <c r="BQ476" s="42"/>
      <c r="BR476" s="42"/>
      <c r="BS476" s="42"/>
      <c r="BT476" s="42"/>
      <c r="BU476" s="42"/>
      <c r="BV476" s="42"/>
      <c r="BW476" s="42"/>
      <c r="BX476" s="42"/>
      <c r="BY476" s="42"/>
      <c r="BZ476" s="42"/>
      <c r="CA476" s="42"/>
      <c r="CB476" s="42"/>
      <c r="CC476" s="42"/>
      <c r="CD476" s="42"/>
      <c r="CE476" s="42"/>
      <c r="CF476" s="42"/>
      <c r="CG476" s="42"/>
      <c r="CH476" s="42"/>
      <c r="CS476" s="29"/>
      <c r="CT476" s="29"/>
      <c r="CU476" s="29"/>
      <c r="CV476" s="522"/>
      <c r="CW476" s="522"/>
      <c r="CX476" s="211"/>
      <c r="CY476" s="211"/>
      <c r="CZ476" s="211"/>
      <c r="DA476" s="211"/>
      <c r="DB476" s="211"/>
      <c r="DC476" s="211"/>
      <c r="DD476" s="211"/>
      <c r="DE476" s="211"/>
      <c r="DF476" s="60"/>
      <c r="DG476" s="60"/>
      <c r="DH476" s="60"/>
      <c r="DI476" s="60"/>
      <c r="DJ476" s="60"/>
    </row>
    <row r="477" spans="3:114" s="25" customFormat="1">
      <c r="C477" s="24"/>
      <c r="D477" s="24"/>
      <c r="G477" s="57"/>
      <c r="H477" s="57"/>
      <c r="I477" s="57"/>
      <c r="J477" s="57"/>
      <c r="K477" s="57"/>
      <c r="L477" s="57"/>
      <c r="M477" s="57"/>
      <c r="N477" s="57"/>
      <c r="O477" s="57"/>
      <c r="P477" s="57"/>
      <c r="Q477" s="57"/>
      <c r="R477" s="57"/>
      <c r="S477" s="57"/>
      <c r="T477" s="559"/>
      <c r="U477" s="29"/>
      <c r="V477" s="29"/>
      <c r="AJ477" s="1215"/>
      <c r="AK477" s="1142"/>
      <c r="AM477" s="42"/>
      <c r="AN477" s="42"/>
      <c r="AO477" s="42"/>
      <c r="AP477" s="42"/>
      <c r="AQ477" s="42"/>
      <c r="AR477" s="42"/>
      <c r="AS477" s="42"/>
      <c r="AT477" s="42"/>
      <c r="AU477" s="42"/>
      <c r="AV477" s="42"/>
      <c r="AW477" s="42"/>
      <c r="AX477" s="42"/>
      <c r="AY477" s="42"/>
      <c r="AZ477" s="42"/>
      <c r="BA477" s="42"/>
      <c r="BB477" s="42"/>
      <c r="BC477" s="42"/>
      <c r="BD477" s="42"/>
      <c r="BE477" s="42"/>
      <c r="BF477" s="42"/>
      <c r="BG477" s="42"/>
      <c r="BH477" s="42"/>
      <c r="BI477" s="42"/>
      <c r="BJ477" s="42"/>
      <c r="BK477" s="42"/>
      <c r="BL477" s="42"/>
      <c r="BM477" s="42"/>
      <c r="BN477" s="42"/>
      <c r="BO477" s="42"/>
      <c r="BP477" s="42"/>
      <c r="BQ477" s="42"/>
      <c r="BR477" s="42"/>
      <c r="BS477" s="42"/>
      <c r="BT477" s="42"/>
      <c r="BU477" s="42"/>
      <c r="BV477" s="42"/>
      <c r="BW477" s="42"/>
      <c r="BX477" s="42"/>
      <c r="BY477" s="42"/>
      <c r="BZ477" s="42"/>
      <c r="CA477" s="42"/>
      <c r="CB477" s="42"/>
      <c r="CC477" s="42"/>
      <c r="CD477" s="42"/>
      <c r="CE477" s="42"/>
      <c r="CF477" s="42"/>
      <c r="CG477" s="42"/>
      <c r="CH477" s="42"/>
      <c r="CS477" s="29"/>
      <c r="CT477" s="29"/>
      <c r="CU477" s="29"/>
      <c r="CV477" s="522"/>
      <c r="CW477" s="522"/>
      <c r="CX477" s="211"/>
      <c r="CY477" s="211"/>
      <c r="CZ477" s="211"/>
      <c r="DA477" s="211"/>
      <c r="DB477" s="211"/>
      <c r="DC477" s="211"/>
      <c r="DD477" s="211"/>
      <c r="DE477" s="211"/>
      <c r="DF477" s="60"/>
      <c r="DG477" s="60"/>
      <c r="DH477" s="60"/>
      <c r="DI477" s="60"/>
      <c r="DJ477" s="60"/>
    </row>
    <row r="478" spans="3:114" s="25" customFormat="1">
      <c r="C478" s="24"/>
      <c r="D478" s="24"/>
      <c r="G478" s="57"/>
      <c r="H478" s="57"/>
      <c r="I478" s="57"/>
      <c r="J478" s="57"/>
      <c r="K478" s="57"/>
      <c r="L478" s="57"/>
      <c r="M478" s="57"/>
      <c r="N478" s="57"/>
      <c r="O478" s="57"/>
      <c r="P478" s="57"/>
      <c r="Q478" s="57"/>
      <c r="R478" s="57"/>
      <c r="S478" s="57"/>
      <c r="T478" s="559"/>
      <c r="U478" s="29"/>
      <c r="V478" s="29"/>
      <c r="AJ478" s="1215"/>
      <c r="AK478" s="1142"/>
      <c r="AM478" s="42"/>
      <c r="AN478" s="42"/>
      <c r="AO478" s="42"/>
      <c r="AP478" s="42"/>
      <c r="AQ478" s="42"/>
      <c r="AR478" s="42"/>
      <c r="AS478" s="42"/>
      <c r="AT478" s="42"/>
      <c r="AU478" s="42"/>
      <c r="AV478" s="42"/>
      <c r="AW478" s="42"/>
      <c r="AX478" s="42"/>
      <c r="AY478" s="42"/>
      <c r="AZ478" s="42"/>
      <c r="BA478" s="42"/>
      <c r="BB478" s="42"/>
      <c r="BC478" s="42"/>
      <c r="BD478" s="42"/>
      <c r="BE478" s="42"/>
      <c r="BF478" s="42"/>
      <c r="BG478" s="42"/>
      <c r="BH478" s="42"/>
      <c r="BI478" s="42"/>
      <c r="BJ478" s="42"/>
      <c r="BK478" s="42"/>
      <c r="BL478" s="42"/>
      <c r="BM478" s="42"/>
      <c r="BN478" s="42"/>
      <c r="BO478" s="42"/>
      <c r="BP478" s="42"/>
      <c r="BQ478" s="42"/>
      <c r="BR478" s="42"/>
      <c r="BS478" s="42"/>
      <c r="BT478" s="42"/>
      <c r="BU478" s="42"/>
      <c r="BV478" s="42"/>
      <c r="BW478" s="42"/>
      <c r="BX478" s="42"/>
      <c r="BY478" s="42"/>
      <c r="BZ478" s="42"/>
      <c r="CA478" s="42"/>
      <c r="CB478" s="42"/>
      <c r="CC478" s="42"/>
      <c r="CD478" s="42"/>
      <c r="CE478" s="42"/>
      <c r="CF478" s="42"/>
      <c r="CG478" s="42"/>
      <c r="CH478" s="42"/>
      <c r="CS478" s="29"/>
      <c r="CT478" s="29"/>
      <c r="CU478" s="29"/>
      <c r="CV478" s="522"/>
      <c r="CW478" s="522"/>
      <c r="CX478" s="211"/>
      <c r="CY478" s="211"/>
      <c r="CZ478" s="211"/>
      <c r="DA478" s="211"/>
      <c r="DB478" s="211"/>
      <c r="DC478" s="211"/>
      <c r="DD478" s="211"/>
      <c r="DE478" s="211"/>
      <c r="DF478" s="60"/>
      <c r="DG478" s="60"/>
      <c r="DH478" s="60"/>
      <c r="DI478" s="60"/>
      <c r="DJ478" s="60"/>
    </row>
    <row r="479" spans="3:114" s="25" customFormat="1">
      <c r="C479" s="24"/>
      <c r="D479" s="24"/>
      <c r="G479" s="57"/>
      <c r="H479" s="57"/>
      <c r="I479" s="57"/>
      <c r="J479" s="57"/>
      <c r="K479" s="57"/>
      <c r="L479" s="57"/>
      <c r="M479" s="57"/>
      <c r="N479" s="57"/>
      <c r="O479" s="57"/>
      <c r="P479" s="57"/>
      <c r="Q479" s="57"/>
      <c r="R479" s="57"/>
      <c r="S479" s="57"/>
      <c r="T479" s="559"/>
      <c r="U479" s="29"/>
      <c r="V479" s="29"/>
      <c r="AJ479" s="1215"/>
      <c r="AK479" s="1142"/>
      <c r="AM479" s="42"/>
      <c r="AN479" s="42"/>
      <c r="AO479" s="42"/>
      <c r="AP479" s="42"/>
      <c r="AQ479" s="42"/>
      <c r="AR479" s="42"/>
      <c r="AS479" s="42"/>
      <c r="AT479" s="42"/>
      <c r="AU479" s="42"/>
      <c r="AV479" s="42"/>
      <c r="AW479" s="42"/>
      <c r="AX479" s="42"/>
      <c r="AY479" s="42"/>
      <c r="AZ479" s="42"/>
      <c r="BA479" s="42"/>
      <c r="BB479" s="42"/>
      <c r="BC479" s="42"/>
      <c r="BD479" s="42"/>
      <c r="BE479" s="42"/>
      <c r="BF479" s="42"/>
      <c r="BG479" s="42"/>
      <c r="BH479" s="42"/>
      <c r="BI479" s="42"/>
      <c r="BJ479" s="42"/>
      <c r="BK479" s="42"/>
      <c r="BL479" s="42"/>
      <c r="BM479" s="42"/>
      <c r="BN479" s="42"/>
      <c r="BO479" s="42"/>
      <c r="BP479" s="42"/>
      <c r="BQ479" s="42"/>
      <c r="BR479" s="42"/>
      <c r="BS479" s="42"/>
      <c r="BT479" s="42"/>
      <c r="BU479" s="42"/>
      <c r="BV479" s="42"/>
      <c r="BW479" s="42"/>
      <c r="BX479" s="42"/>
      <c r="BY479" s="42"/>
      <c r="BZ479" s="42"/>
      <c r="CA479" s="42"/>
      <c r="CB479" s="42"/>
      <c r="CC479" s="42"/>
      <c r="CD479" s="42"/>
      <c r="CE479" s="42"/>
      <c r="CF479" s="42"/>
      <c r="CG479" s="42"/>
      <c r="CH479" s="42"/>
      <c r="CS479" s="29"/>
      <c r="CT479" s="29"/>
      <c r="CU479" s="29"/>
      <c r="CV479" s="522"/>
      <c r="CW479" s="522"/>
      <c r="CX479" s="211"/>
      <c r="CY479" s="211"/>
      <c r="CZ479" s="211"/>
      <c r="DA479" s="211"/>
      <c r="DB479" s="211"/>
      <c r="DC479" s="211"/>
      <c r="DD479" s="211"/>
      <c r="DE479" s="211"/>
      <c r="DF479" s="60"/>
      <c r="DG479" s="60"/>
      <c r="DH479" s="60"/>
      <c r="DI479" s="60"/>
      <c r="DJ479" s="60"/>
    </row>
    <row r="480" spans="3:114" s="25" customFormat="1">
      <c r="C480" s="24"/>
      <c r="D480" s="24"/>
      <c r="G480" s="57"/>
      <c r="H480" s="57"/>
      <c r="I480" s="57"/>
      <c r="J480" s="57"/>
      <c r="K480" s="57"/>
      <c r="L480" s="57"/>
      <c r="M480" s="57"/>
      <c r="N480" s="57"/>
      <c r="O480" s="57"/>
      <c r="P480" s="57"/>
      <c r="Q480" s="57"/>
      <c r="R480" s="57"/>
      <c r="S480" s="57"/>
      <c r="T480" s="559"/>
      <c r="U480" s="29"/>
      <c r="V480" s="29"/>
      <c r="AJ480" s="1215"/>
      <c r="AK480" s="1142"/>
      <c r="AM480" s="42"/>
      <c r="AN480" s="42"/>
      <c r="AO480" s="42"/>
      <c r="AP480" s="42"/>
      <c r="AQ480" s="42"/>
      <c r="AR480" s="42"/>
      <c r="AS480" s="42"/>
      <c r="AT480" s="42"/>
      <c r="AU480" s="42"/>
      <c r="AV480" s="42"/>
      <c r="AW480" s="42"/>
      <c r="AX480" s="42"/>
      <c r="AY480" s="42"/>
      <c r="AZ480" s="42"/>
      <c r="BA480" s="42"/>
      <c r="BB480" s="42"/>
      <c r="BC480" s="42"/>
      <c r="BD480" s="42"/>
      <c r="BE480" s="42"/>
      <c r="BF480" s="42"/>
      <c r="BG480" s="42"/>
      <c r="BH480" s="42"/>
      <c r="BI480" s="42"/>
      <c r="BJ480" s="42"/>
      <c r="BK480" s="42"/>
      <c r="BL480" s="42"/>
      <c r="BM480" s="42"/>
      <c r="BN480" s="42"/>
      <c r="BO480" s="42"/>
      <c r="BP480" s="42"/>
      <c r="BQ480" s="42"/>
      <c r="BR480" s="42"/>
      <c r="BS480" s="42"/>
      <c r="BT480" s="42"/>
      <c r="BU480" s="42"/>
      <c r="BV480" s="42"/>
      <c r="BW480" s="42"/>
      <c r="BX480" s="42"/>
      <c r="BY480" s="42"/>
      <c r="BZ480" s="42"/>
      <c r="CA480" s="42"/>
      <c r="CB480" s="42"/>
      <c r="CC480" s="42"/>
      <c r="CD480" s="42"/>
      <c r="CE480" s="42"/>
      <c r="CF480" s="42"/>
      <c r="CG480" s="42"/>
      <c r="CH480" s="42"/>
      <c r="CS480" s="29"/>
      <c r="CT480" s="29"/>
      <c r="CU480" s="29"/>
      <c r="CV480" s="522"/>
      <c r="CW480" s="522"/>
      <c r="CX480" s="211"/>
      <c r="CY480" s="211"/>
      <c r="CZ480" s="211"/>
      <c r="DA480" s="211"/>
      <c r="DB480" s="211"/>
      <c r="DC480" s="211"/>
      <c r="DD480" s="211"/>
      <c r="DE480" s="211"/>
      <c r="DF480" s="60"/>
      <c r="DG480" s="60"/>
      <c r="DH480" s="60"/>
      <c r="DI480" s="60"/>
      <c r="DJ480" s="60"/>
    </row>
    <row r="481" spans="3:114" s="25" customFormat="1">
      <c r="C481" s="24"/>
      <c r="D481" s="24"/>
      <c r="G481" s="57"/>
      <c r="H481" s="57"/>
      <c r="I481" s="57"/>
      <c r="J481" s="57"/>
      <c r="K481" s="57"/>
      <c r="L481" s="57"/>
      <c r="M481" s="57"/>
      <c r="N481" s="57"/>
      <c r="O481" s="57"/>
      <c r="P481" s="57"/>
      <c r="Q481" s="57"/>
      <c r="R481" s="57"/>
      <c r="S481" s="57"/>
      <c r="T481" s="559"/>
      <c r="U481" s="29"/>
      <c r="V481" s="29"/>
      <c r="AJ481" s="1215"/>
      <c r="AK481" s="1142"/>
      <c r="AM481" s="42"/>
      <c r="AN481" s="42"/>
      <c r="AO481" s="42"/>
      <c r="AP481" s="42"/>
      <c r="AQ481" s="42"/>
      <c r="AR481" s="42"/>
      <c r="AS481" s="42"/>
      <c r="AT481" s="42"/>
      <c r="AU481" s="42"/>
      <c r="AV481" s="42"/>
      <c r="AW481" s="42"/>
      <c r="AX481" s="42"/>
      <c r="AY481" s="42"/>
      <c r="AZ481" s="42"/>
      <c r="BA481" s="42"/>
      <c r="BB481" s="42"/>
      <c r="BC481" s="42"/>
      <c r="BD481" s="42"/>
      <c r="BE481" s="42"/>
      <c r="BF481" s="42"/>
      <c r="BG481" s="42"/>
      <c r="BH481" s="42"/>
      <c r="BI481" s="42"/>
      <c r="BJ481" s="42"/>
      <c r="BK481" s="42"/>
      <c r="BL481" s="42"/>
      <c r="BM481" s="42"/>
      <c r="BN481" s="42"/>
      <c r="BO481" s="42"/>
      <c r="BP481" s="42"/>
      <c r="BQ481" s="42"/>
      <c r="BR481" s="42"/>
      <c r="BS481" s="42"/>
      <c r="BT481" s="42"/>
      <c r="BU481" s="42"/>
      <c r="BV481" s="42"/>
      <c r="BW481" s="42"/>
      <c r="BX481" s="42"/>
      <c r="BY481" s="42"/>
      <c r="BZ481" s="42"/>
      <c r="CA481" s="42"/>
      <c r="CB481" s="42"/>
      <c r="CC481" s="42"/>
      <c r="CD481" s="42"/>
      <c r="CE481" s="42"/>
      <c r="CF481" s="42"/>
      <c r="CG481" s="42"/>
      <c r="CH481" s="42"/>
      <c r="CS481" s="29"/>
      <c r="CT481" s="29"/>
      <c r="CU481" s="29"/>
      <c r="CV481" s="522"/>
      <c r="CW481" s="522"/>
      <c r="CX481" s="211"/>
      <c r="CY481" s="211"/>
      <c r="CZ481" s="211"/>
      <c r="DA481" s="211"/>
      <c r="DB481" s="211"/>
      <c r="DC481" s="211"/>
      <c r="DD481" s="211"/>
      <c r="DE481" s="211"/>
      <c r="DF481" s="60"/>
      <c r="DG481" s="60"/>
      <c r="DH481" s="60"/>
      <c r="DI481" s="60"/>
      <c r="DJ481" s="60"/>
    </row>
    <row r="482" spans="3:114" s="25" customFormat="1">
      <c r="C482" s="24"/>
      <c r="D482" s="24"/>
      <c r="G482" s="57"/>
      <c r="H482" s="57"/>
      <c r="I482" s="57"/>
      <c r="J482" s="57"/>
      <c r="K482" s="57"/>
      <c r="L482" s="57"/>
      <c r="M482" s="57"/>
      <c r="N482" s="57"/>
      <c r="O482" s="57"/>
      <c r="P482" s="57"/>
      <c r="Q482" s="57"/>
      <c r="R482" s="57"/>
      <c r="S482" s="57"/>
      <c r="T482" s="559"/>
      <c r="U482" s="29"/>
      <c r="V482" s="29"/>
      <c r="AJ482" s="1215"/>
      <c r="AK482" s="1142"/>
      <c r="AM482" s="42"/>
      <c r="AN482" s="42"/>
      <c r="AO482" s="42"/>
      <c r="AP482" s="42"/>
      <c r="AQ482" s="42"/>
      <c r="AR482" s="42"/>
      <c r="AS482" s="42"/>
      <c r="AT482" s="42"/>
      <c r="AU482" s="42"/>
      <c r="AV482" s="42"/>
      <c r="AW482" s="42"/>
      <c r="AX482" s="42"/>
      <c r="AY482" s="42"/>
      <c r="AZ482" s="42"/>
      <c r="BA482" s="42"/>
      <c r="BB482" s="42"/>
      <c r="BC482" s="42"/>
      <c r="BD482" s="42"/>
      <c r="BE482" s="42"/>
      <c r="BF482" s="42"/>
      <c r="BG482" s="42"/>
      <c r="BH482" s="42"/>
      <c r="BI482" s="42"/>
      <c r="BJ482" s="42"/>
      <c r="BK482" s="42"/>
      <c r="BL482" s="42"/>
      <c r="BM482" s="42"/>
      <c r="BN482" s="42"/>
      <c r="BO482" s="42"/>
      <c r="BP482" s="42"/>
      <c r="BQ482" s="42"/>
      <c r="BR482" s="42"/>
      <c r="BS482" s="42"/>
      <c r="BT482" s="42"/>
      <c r="BU482" s="42"/>
      <c r="BV482" s="42"/>
      <c r="BW482" s="42"/>
      <c r="BX482" s="42"/>
      <c r="BY482" s="42"/>
      <c r="BZ482" s="42"/>
      <c r="CA482" s="42"/>
      <c r="CB482" s="42"/>
      <c r="CC482" s="42"/>
      <c r="CD482" s="42"/>
      <c r="CE482" s="42"/>
      <c r="CF482" s="42"/>
      <c r="CG482" s="42"/>
      <c r="CH482" s="42"/>
      <c r="CS482" s="29"/>
      <c r="CT482" s="29"/>
      <c r="CU482" s="29"/>
      <c r="CV482" s="522"/>
      <c r="CW482" s="522"/>
      <c r="CX482" s="211"/>
      <c r="CY482" s="211"/>
      <c r="CZ482" s="211"/>
      <c r="DA482" s="211"/>
      <c r="DB482" s="211"/>
      <c r="DC482" s="211"/>
      <c r="DD482" s="211"/>
      <c r="DE482" s="211"/>
      <c r="DF482" s="60"/>
      <c r="DG482" s="60"/>
      <c r="DH482" s="60"/>
      <c r="DI482" s="60"/>
      <c r="DJ482" s="60"/>
    </row>
    <row r="483" spans="3:114" s="25" customFormat="1">
      <c r="C483" s="24"/>
      <c r="D483" s="24"/>
      <c r="G483" s="57"/>
      <c r="H483" s="57"/>
      <c r="I483" s="57"/>
      <c r="J483" s="57"/>
      <c r="K483" s="57"/>
      <c r="L483" s="57"/>
      <c r="M483" s="57"/>
      <c r="N483" s="57"/>
      <c r="O483" s="57"/>
      <c r="P483" s="57"/>
      <c r="Q483" s="57"/>
      <c r="R483" s="57"/>
      <c r="S483" s="57"/>
      <c r="T483" s="559"/>
      <c r="U483" s="29"/>
      <c r="V483" s="29"/>
      <c r="AJ483" s="1215"/>
      <c r="AK483" s="1142"/>
      <c r="AM483" s="42"/>
      <c r="AN483" s="42"/>
      <c r="AO483" s="42"/>
      <c r="AP483" s="42"/>
      <c r="AQ483" s="42"/>
      <c r="AR483" s="42"/>
      <c r="AS483" s="42"/>
      <c r="AT483" s="42"/>
      <c r="AU483" s="42"/>
      <c r="AV483" s="42"/>
      <c r="AW483" s="42"/>
      <c r="AX483" s="42"/>
      <c r="AY483" s="42"/>
      <c r="AZ483" s="42"/>
      <c r="BA483" s="42"/>
      <c r="BB483" s="42"/>
      <c r="BC483" s="42"/>
      <c r="BD483" s="42"/>
      <c r="BE483" s="42"/>
      <c r="BF483" s="42"/>
      <c r="BG483" s="42"/>
      <c r="BH483" s="42"/>
      <c r="BI483" s="42"/>
      <c r="BJ483" s="42"/>
      <c r="BK483" s="42"/>
      <c r="BL483" s="42"/>
      <c r="BM483" s="42"/>
      <c r="BN483" s="42"/>
      <c r="BO483" s="42"/>
      <c r="BP483" s="42"/>
      <c r="BQ483" s="42"/>
      <c r="BR483" s="42"/>
      <c r="BS483" s="42"/>
      <c r="BT483" s="42"/>
      <c r="BU483" s="42"/>
      <c r="BV483" s="42"/>
      <c r="BW483" s="42"/>
      <c r="BX483" s="42"/>
      <c r="BY483" s="42"/>
      <c r="BZ483" s="42"/>
      <c r="CA483" s="42"/>
      <c r="CB483" s="42"/>
      <c r="CC483" s="42"/>
      <c r="CD483" s="42"/>
      <c r="CE483" s="42"/>
      <c r="CF483" s="42"/>
      <c r="CG483" s="42"/>
      <c r="CH483" s="42"/>
      <c r="CS483" s="29"/>
      <c r="CT483" s="29"/>
      <c r="CU483" s="29"/>
      <c r="CV483" s="522"/>
      <c r="CW483" s="522"/>
      <c r="CX483" s="211"/>
      <c r="CY483" s="211"/>
      <c r="CZ483" s="211"/>
      <c r="DA483" s="211"/>
      <c r="DB483" s="211"/>
      <c r="DC483" s="211"/>
      <c r="DD483" s="211"/>
      <c r="DE483" s="211"/>
      <c r="DF483" s="60"/>
      <c r="DG483" s="60"/>
      <c r="DH483" s="60"/>
      <c r="DI483" s="60"/>
      <c r="DJ483" s="60"/>
    </row>
    <row r="484" spans="3:114" s="25" customFormat="1">
      <c r="C484" s="24"/>
      <c r="D484" s="24"/>
      <c r="G484" s="57"/>
      <c r="H484" s="57"/>
      <c r="I484" s="57"/>
      <c r="J484" s="57"/>
      <c r="K484" s="57"/>
      <c r="L484" s="57"/>
      <c r="M484" s="57"/>
      <c r="N484" s="57"/>
      <c r="O484" s="57"/>
      <c r="P484" s="57"/>
      <c r="Q484" s="57"/>
      <c r="R484" s="57"/>
      <c r="S484" s="57"/>
      <c r="T484" s="559"/>
      <c r="U484" s="29"/>
      <c r="V484" s="29"/>
      <c r="AJ484" s="1215"/>
      <c r="AK484" s="1142"/>
      <c r="AM484" s="42"/>
      <c r="AN484" s="42"/>
      <c r="AO484" s="42"/>
      <c r="AP484" s="42"/>
      <c r="AQ484" s="42"/>
      <c r="AR484" s="42"/>
      <c r="AS484" s="42"/>
      <c r="AT484" s="42"/>
      <c r="AU484" s="42"/>
      <c r="AV484" s="42"/>
      <c r="AW484" s="42"/>
      <c r="AX484" s="42"/>
      <c r="AY484" s="42"/>
      <c r="AZ484" s="42"/>
      <c r="BA484" s="42"/>
      <c r="BB484" s="42"/>
      <c r="BC484" s="42"/>
      <c r="BD484" s="42"/>
      <c r="BE484" s="42"/>
      <c r="BF484" s="42"/>
      <c r="BG484" s="42"/>
      <c r="BH484" s="42"/>
      <c r="BI484" s="42"/>
      <c r="BJ484" s="42"/>
      <c r="BK484" s="42"/>
      <c r="BL484" s="42"/>
      <c r="BM484" s="42"/>
      <c r="BN484" s="42"/>
      <c r="BO484" s="42"/>
      <c r="BP484" s="42"/>
      <c r="BQ484" s="42"/>
      <c r="BR484" s="42"/>
      <c r="BS484" s="42"/>
      <c r="BT484" s="42"/>
      <c r="BU484" s="42"/>
      <c r="BV484" s="42"/>
      <c r="BW484" s="42"/>
      <c r="BX484" s="42"/>
      <c r="BY484" s="42"/>
      <c r="BZ484" s="42"/>
      <c r="CA484" s="42"/>
      <c r="CB484" s="42"/>
      <c r="CC484" s="42"/>
      <c r="CD484" s="42"/>
      <c r="CE484" s="42"/>
      <c r="CF484" s="42"/>
      <c r="CG484" s="42"/>
      <c r="CH484" s="42"/>
      <c r="CS484" s="29"/>
      <c r="CT484" s="29"/>
      <c r="CU484" s="29"/>
      <c r="CV484" s="522"/>
      <c r="CW484" s="522"/>
      <c r="CX484" s="211"/>
      <c r="CY484" s="211"/>
      <c r="CZ484" s="211"/>
      <c r="DA484" s="211"/>
      <c r="DB484" s="211"/>
      <c r="DC484" s="211"/>
      <c r="DD484" s="211"/>
      <c r="DE484" s="211"/>
      <c r="DF484" s="60"/>
      <c r="DG484" s="60"/>
      <c r="DH484" s="60"/>
      <c r="DI484" s="60"/>
      <c r="DJ484" s="60"/>
    </row>
    <row r="485" spans="3:114" s="25" customFormat="1">
      <c r="C485" s="24"/>
      <c r="D485" s="24"/>
      <c r="G485" s="57"/>
      <c r="H485" s="57"/>
      <c r="I485" s="57"/>
      <c r="J485" s="57"/>
      <c r="K485" s="57"/>
      <c r="L485" s="57"/>
      <c r="M485" s="57"/>
      <c r="N485" s="57"/>
      <c r="O485" s="57"/>
      <c r="P485" s="57"/>
      <c r="Q485" s="57"/>
      <c r="R485" s="57"/>
      <c r="S485" s="57"/>
      <c r="T485" s="559"/>
      <c r="U485" s="29"/>
      <c r="V485" s="29"/>
      <c r="AJ485" s="1215"/>
      <c r="AK485" s="1142"/>
      <c r="AM485" s="42"/>
      <c r="AN485" s="42"/>
      <c r="AO485" s="42"/>
      <c r="AP485" s="42"/>
      <c r="AQ485" s="42"/>
      <c r="AR485" s="42"/>
      <c r="AS485" s="42"/>
      <c r="AT485" s="42"/>
      <c r="AU485" s="42"/>
      <c r="AV485" s="42"/>
      <c r="AW485" s="42"/>
      <c r="AX485" s="42"/>
      <c r="AY485" s="42"/>
      <c r="AZ485" s="42"/>
      <c r="BA485" s="42"/>
      <c r="BB485" s="42"/>
      <c r="BC485" s="42"/>
      <c r="BD485" s="42"/>
      <c r="BE485" s="42"/>
      <c r="BF485" s="42"/>
      <c r="BG485" s="42"/>
      <c r="BH485" s="42"/>
      <c r="BI485" s="42"/>
      <c r="BJ485" s="42"/>
      <c r="BK485" s="42"/>
      <c r="BL485" s="42"/>
      <c r="BM485" s="42"/>
      <c r="BN485" s="42"/>
      <c r="BO485" s="42"/>
      <c r="BP485" s="42"/>
      <c r="BQ485" s="42"/>
      <c r="BR485" s="42"/>
      <c r="BS485" s="42"/>
      <c r="BT485" s="42"/>
      <c r="BU485" s="42"/>
      <c r="BV485" s="42"/>
      <c r="BW485" s="42"/>
      <c r="BX485" s="42"/>
      <c r="BY485" s="42"/>
      <c r="BZ485" s="42"/>
      <c r="CA485" s="42"/>
      <c r="CB485" s="42"/>
      <c r="CC485" s="42"/>
      <c r="CD485" s="42"/>
      <c r="CE485" s="42"/>
      <c r="CF485" s="42"/>
      <c r="CG485" s="42"/>
      <c r="CH485" s="42"/>
      <c r="CS485" s="29"/>
      <c r="CT485" s="29"/>
      <c r="CU485" s="29"/>
      <c r="CV485" s="522"/>
      <c r="CW485" s="522"/>
      <c r="CX485" s="211"/>
      <c r="CY485" s="211"/>
      <c r="CZ485" s="211"/>
      <c r="DA485" s="211"/>
      <c r="DB485" s="211"/>
      <c r="DC485" s="211"/>
      <c r="DD485" s="211"/>
      <c r="DE485" s="211"/>
      <c r="DF485" s="60"/>
      <c r="DG485" s="60"/>
      <c r="DH485" s="60"/>
      <c r="DI485" s="60"/>
      <c r="DJ485" s="60"/>
    </row>
    <row r="486" spans="3:114" s="25" customFormat="1">
      <c r="C486" s="24"/>
      <c r="D486" s="24"/>
      <c r="G486" s="57"/>
      <c r="H486" s="57"/>
      <c r="I486" s="57"/>
      <c r="J486" s="57"/>
      <c r="K486" s="57"/>
      <c r="L486" s="57"/>
      <c r="M486" s="57"/>
      <c r="N486" s="57"/>
      <c r="O486" s="57"/>
      <c r="P486" s="57"/>
      <c r="Q486" s="57"/>
      <c r="R486" s="57"/>
      <c r="S486" s="57"/>
      <c r="T486" s="559"/>
      <c r="U486" s="29"/>
      <c r="V486" s="29"/>
      <c r="AJ486" s="1215"/>
      <c r="AK486" s="1142"/>
      <c r="AM486" s="42"/>
      <c r="AN486" s="42"/>
      <c r="AO486" s="42"/>
      <c r="AP486" s="42"/>
      <c r="AQ486" s="42"/>
      <c r="AR486" s="42"/>
      <c r="AS486" s="42"/>
      <c r="AT486" s="42"/>
      <c r="AU486" s="42"/>
      <c r="AV486" s="42"/>
      <c r="AW486" s="42"/>
      <c r="AX486" s="42"/>
      <c r="AY486" s="42"/>
      <c r="AZ486" s="42"/>
      <c r="BA486" s="42"/>
      <c r="BB486" s="42"/>
      <c r="BC486" s="42"/>
      <c r="BD486" s="42"/>
      <c r="BE486" s="42"/>
      <c r="BF486" s="42"/>
      <c r="BG486" s="42"/>
      <c r="BH486" s="42"/>
      <c r="BI486" s="42"/>
      <c r="BJ486" s="42"/>
      <c r="BK486" s="42"/>
      <c r="BL486" s="42"/>
      <c r="BM486" s="42"/>
      <c r="BN486" s="42"/>
      <c r="BO486" s="42"/>
      <c r="BP486" s="42"/>
      <c r="BQ486" s="42"/>
      <c r="BR486" s="42"/>
      <c r="BS486" s="42"/>
      <c r="BT486" s="42"/>
      <c r="BU486" s="42"/>
      <c r="BV486" s="42"/>
      <c r="BW486" s="42"/>
      <c r="BX486" s="42"/>
      <c r="BY486" s="42"/>
      <c r="BZ486" s="42"/>
      <c r="CA486" s="42"/>
      <c r="CB486" s="42"/>
      <c r="CC486" s="42"/>
      <c r="CD486" s="42"/>
      <c r="CE486" s="42"/>
      <c r="CF486" s="42"/>
      <c r="CG486" s="42"/>
      <c r="CH486" s="42"/>
      <c r="CS486" s="29"/>
      <c r="CT486" s="29"/>
      <c r="CU486" s="29"/>
      <c r="CV486" s="522"/>
      <c r="CW486" s="522"/>
      <c r="CX486" s="211"/>
      <c r="CY486" s="211"/>
      <c r="CZ486" s="211"/>
      <c r="DA486" s="211"/>
      <c r="DB486" s="211"/>
      <c r="DC486" s="211"/>
      <c r="DD486" s="211"/>
      <c r="DE486" s="211"/>
      <c r="DF486" s="60"/>
      <c r="DG486" s="60"/>
      <c r="DH486" s="60"/>
      <c r="DI486" s="60"/>
      <c r="DJ486" s="60"/>
    </row>
    <row r="487" spans="3:114" s="25" customFormat="1">
      <c r="C487" s="24"/>
      <c r="D487" s="24"/>
      <c r="G487" s="57"/>
      <c r="H487" s="57"/>
      <c r="I487" s="57"/>
      <c r="J487" s="57"/>
      <c r="K487" s="57"/>
      <c r="L487" s="57"/>
      <c r="M487" s="57"/>
      <c r="N487" s="57"/>
      <c r="O487" s="57"/>
      <c r="P487" s="57"/>
      <c r="Q487" s="57"/>
      <c r="R487" s="57"/>
      <c r="S487" s="57"/>
      <c r="T487" s="559"/>
      <c r="U487" s="29"/>
      <c r="V487" s="29"/>
      <c r="AJ487" s="1215"/>
      <c r="AK487" s="1142"/>
      <c r="AM487" s="42"/>
      <c r="AN487" s="42"/>
      <c r="AO487" s="42"/>
      <c r="AP487" s="42"/>
      <c r="AQ487" s="42"/>
      <c r="AR487" s="42"/>
      <c r="AS487" s="42"/>
      <c r="AT487" s="42"/>
      <c r="AU487" s="42"/>
      <c r="AV487" s="42"/>
      <c r="AW487" s="42"/>
      <c r="AX487" s="42"/>
      <c r="AY487" s="42"/>
      <c r="AZ487" s="42"/>
      <c r="BA487" s="42"/>
      <c r="BB487" s="42"/>
      <c r="BC487" s="42"/>
      <c r="BD487" s="42"/>
      <c r="BE487" s="42"/>
      <c r="BF487" s="42"/>
      <c r="BG487" s="42"/>
      <c r="BH487" s="42"/>
      <c r="BI487" s="42"/>
      <c r="BJ487" s="42"/>
      <c r="BK487" s="42"/>
      <c r="BL487" s="42"/>
      <c r="BM487" s="42"/>
      <c r="BN487" s="42"/>
      <c r="BO487" s="42"/>
      <c r="BP487" s="42"/>
      <c r="BQ487" s="42"/>
      <c r="BR487" s="42"/>
      <c r="BS487" s="42"/>
      <c r="BT487" s="42"/>
      <c r="BU487" s="42"/>
      <c r="BV487" s="42"/>
      <c r="BW487" s="42"/>
      <c r="BX487" s="42"/>
      <c r="BY487" s="42"/>
      <c r="BZ487" s="42"/>
      <c r="CA487" s="42"/>
      <c r="CB487" s="42"/>
      <c r="CC487" s="42"/>
      <c r="CD487" s="42"/>
      <c r="CE487" s="42"/>
      <c r="CF487" s="42"/>
      <c r="CG487" s="42"/>
      <c r="CH487" s="42"/>
      <c r="CS487" s="29"/>
      <c r="CT487" s="29"/>
      <c r="CU487" s="29"/>
      <c r="CV487" s="522"/>
      <c r="CW487" s="522"/>
      <c r="CX487" s="211"/>
      <c r="CY487" s="211"/>
      <c r="CZ487" s="211"/>
      <c r="DA487" s="211"/>
      <c r="DB487" s="211"/>
      <c r="DC487" s="211"/>
      <c r="DD487" s="211"/>
      <c r="DE487" s="211"/>
      <c r="DF487" s="60"/>
      <c r="DG487" s="60"/>
      <c r="DH487" s="60"/>
      <c r="DI487" s="60"/>
      <c r="DJ487" s="60"/>
    </row>
    <row r="488" spans="3:114" s="25" customFormat="1">
      <c r="C488" s="24"/>
      <c r="D488" s="24"/>
      <c r="G488" s="57"/>
      <c r="H488" s="57"/>
      <c r="I488" s="57"/>
      <c r="J488" s="57"/>
      <c r="K488" s="57"/>
      <c r="L488" s="57"/>
      <c r="M488" s="57"/>
      <c r="N488" s="57"/>
      <c r="O488" s="57"/>
      <c r="P488" s="57"/>
      <c r="Q488" s="57"/>
      <c r="R488" s="57"/>
      <c r="S488" s="57"/>
      <c r="T488" s="559"/>
      <c r="U488" s="29"/>
      <c r="V488" s="29"/>
      <c r="AJ488" s="1215"/>
      <c r="AK488" s="1142"/>
      <c r="AM488" s="42"/>
      <c r="AN488" s="42"/>
      <c r="AO488" s="42"/>
      <c r="AP488" s="42"/>
      <c r="AQ488" s="42"/>
      <c r="AR488" s="42"/>
      <c r="AS488" s="42"/>
      <c r="AT488" s="42"/>
      <c r="AU488" s="42"/>
      <c r="AV488" s="42"/>
      <c r="AW488" s="42"/>
      <c r="AX488" s="42"/>
      <c r="AY488" s="42"/>
      <c r="AZ488" s="42"/>
      <c r="BA488" s="42"/>
      <c r="BB488" s="42"/>
      <c r="BC488" s="42"/>
      <c r="BD488" s="42"/>
      <c r="BE488" s="42"/>
      <c r="BF488" s="42"/>
      <c r="BG488" s="42"/>
      <c r="BH488" s="42"/>
      <c r="BI488" s="42"/>
      <c r="BJ488" s="42"/>
      <c r="BK488" s="42"/>
      <c r="BL488" s="42"/>
      <c r="BM488" s="42"/>
      <c r="BN488" s="42"/>
      <c r="BO488" s="42"/>
      <c r="BP488" s="42"/>
      <c r="BQ488" s="42"/>
      <c r="BR488" s="42"/>
      <c r="BS488" s="42"/>
      <c r="BT488" s="42"/>
      <c r="BU488" s="42"/>
      <c r="BV488" s="42"/>
      <c r="BW488" s="42"/>
      <c r="BX488" s="42"/>
      <c r="BY488" s="42"/>
      <c r="BZ488" s="42"/>
      <c r="CA488" s="42"/>
      <c r="CB488" s="42"/>
      <c r="CC488" s="42"/>
      <c r="CD488" s="42"/>
      <c r="CE488" s="42"/>
      <c r="CF488" s="42"/>
      <c r="CG488" s="42"/>
      <c r="CH488" s="42"/>
      <c r="CS488" s="29"/>
      <c r="CT488" s="29"/>
      <c r="CU488" s="29"/>
      <c r="CV488" s="522"/>
      <c r="CW488" s="522"/>
      <c r="CX488" s="211"/>
      <c r="CY488" s="211"/>
      <c r="CZ488" s="211"/>
      <c r="DA488" s="211"/>
      <c r="DB488" s="211"/>
      <c r="DC488" s="211"/>
      <c r="DD488" s="211"/>
      <c r="DE488" s="211"/>
      <c r="DF488" s="60"/>
      <c r="DG488" s="60"/>
      <c r="DH488" s="60"/>
      <c r="DI488" s="60"/>
      <c r="DJ488" s="60"/>
    </row>
    <row r="489" spans="3:114" s="25" customFormat="1">
      <c r="C489" s="24"/>
      <c r="D489" s="24"/>
      <c r="G489" s="57"/>
      <c r="H489" s="57"/>
      <c r="I489" s="57"/>
      <c r="J489" s="57"/>
      <c r="K489" s="57"/>
      <c r="L489" s="57"/>
      <c r="M489" s="57"/>
      <c r="N489" s="57"/>
      <c r="O489" s="57"/>
      <c r="P489" s="57"/>
      <c r="Q489" s="57"/>
      <c r="R489" s="57"/>
      <c r="S489" s="57"/>
      <c r="T489" s="559"/>
      <c r="U489" s="29"/>
      <c r="V489" s="29"/>
      <c r="AJ489" s="1215"/>
      <c r="AK489" s="1142"/>
      <c r="AM489" s="42"/>
      <c r="AN489" s="42"/>
      <c r="AO489" s="42"/>
      <c r="AP489" s="42"/>
      <c r="AQ489" s="42"/>
      <c r="AR489" s="42"/>
      <c r="AS489" s="42"/>
      <c r="AT489" s="42"/>
      <c r="AU489" s="42"/>
      <c r="AV489" s="42"/>
      <c r="AW489" s="42"/>
      <c r="AX489" s="42"/>
      <c r="AY489" s="42"/>
      <c r="AZ489" s="42"/>
      <c r="BA489" s="42"/>
      <c r="BB489" s="42"/>
      <c r="BC489" s="42"/>
      <c r="BD489" s="42"/>
      <c r="BE489" s="42"/>
      <c r="BF489" s="42"/>
      <c r="BG489" s="42"/>
      <c r="BH489" s="42"/>
      <c r="BI489" s="42"/>
      <c r="BJ489" s="42"/>
      <c r="BK489" s="42"/>
      <c r="BL489" s="42"/>
      <c r="BM489" s="42"/>
      <c r="BN489" s="42"/>
      <c r="BO489" s="42"/>
      <c r="BP489" s="42"/>
      <c r="BQ489" s="42"/>
      <c r="BR489" s="42"/>
      <c r="BS489" s="42"/>
      <c r="BT489" s="42"/>
      <c r="BU489" s="42"/>
      <c r="BV489" s="42"/>
      <c r="BW489" s="42"/>
      <c r="BX489" s="42"/>
      <c r="BY489" s="42"/>
      <c r="BZ489" s="42"/>
      <c r="CA489" s="42"/>
      <c r="CB489" s="42"/>
      <c r="CC489" s="42"/>
      <c r="CD489" s="42"/>
      <c r="CE489" s="42"/>
      <c r="CF489" s="42"/>
      <c r="CG489" s="42"/>
      <c r="CH489" s="42"/>
      <c r="CS489" s="29"/>
      <c r="CT489" s="29"/>
      <c r="CU489" s="29"/>
      <c r="CV489" s="522"/>
      <c r="CW489" s="522"/>
      <c r="CX489" s="211"/>
      <c r="CY489" s="211"/>
      <c r="CZ489" s="211"/>
      <c r="DA489" s="211"/>
      <c r="DB489" s="211"/>
      <c r="DC489" s="211"/>
      <c r="DD489" s="211"/>
      <c r="DE489" s="211"/>
      <c r="DF489" s="60"/>
      <c r="DG489" s="60"/>
      <c r="DH489" s="60"/>
      <c r="DI489" s="60"/>
      <c r="DJ489" s="60"/>
    </row>
    <row r="490" spans="3:114" s="25" customFormat="1">
      <c r="C490" s="24"/>
      <c r="D490" s="24"/>
      <c r="G490" s="57"/>
      <c r="H490" s="57"/>
      <c r="I490" s="57"/>
      <c r="J490" s="57"/>
      <c r="K490" s="57"/>
      <c r="L490" s="57"/>
      <c r="M490" s="57"/>
      <c r="N490" s="57"/>
      <c r="O490" s="57"/>
      <c r="P490" s="57"/>
      <c r="Q490" s="57"/>
      <c r="R490" s="57"/>
      <c r="S490" s="57"/>
      <c r="T490" s="559"/>
      <c r="U490" s="29"/>
      <c r="V490" s="29"/>
      <c r="AJ490" s="1215"/>
      <c r="AK490" s="1142"/>
      <c r="AM490" s="42"/>
      <c r="AN490" s="42"/>
      <c r="AO490" s="42"/>
      <c r="AP490" s="42"/>
      <c r="AQ490" s="42"/>
      <c r="AR490" s="42"/>
      <c r="AS490" s="42"/>
      <c r="AT490" s="42"/>
      <c r="AU490" s="42"/>
      <c r="AV490" s="42"/>
      <c r="AW490" s="42"/>
      <c r="AX490" s="42"/>
      <c r="AY490" s="42"/>
      <c r="AZ490" s="42"/>
      <c r="BA490" s="42"/>
      <c r="BB490" s="42"/>
      <c r="BC490" s="42"/>
      <c r="BD490" s="42"/>
      <c r="BE490" s="42"/>
      <c r="BF490" s="42"/>
      <c r="BG490" s="42"/>
      <c r="BH490" s="42"/>
      <c r="BI490" s="42"/>
      <c r="BJ490" s="42"/>
      <c r="BK490" s="42"/>
      <c r="BL490" s="42"/>
      <c r="BM490" s="42"/>
      <c r="BN490" s="42"/>
      <c r="BO490" s="42"/>
      <c r="BP490" s="42"/>
      <c r="BQ490" s="42"/>
      <c r="BR490" s="42"/>
      <c r="BS490" s="42"/>
      <c r="BT490" s="42"/>
      <c r="BU490" s="42"/>
      <c r="BV490" s="42"/>
      <c r="BW490" s="42"/>
      <c r="BX490" s="42"/>
      <c r="BY490" s="42"/>
      <c r="BZ490" s="42"/>
      <c r="CA490" s="42"/>
      <c r="CB490" s="42"/>
      <c r="CC490" s="42"/>
      <c r="CD490" s="42"/>
      <c r="CE490" s="42"/>
      <c r="CF490" s="42"/>
      <c r="CG490" s="42"/>
      <c r="CH490" s="42"/>
      <c r="CS490" s="29"/>
      <c r="CT490" s="29"/>
      <c r="CU490" s="29"/>
      <c r="CV490" s="522"/>
      <c r="CW490" s="522"/>
      <c r="CX490" s="211"/>
      <c r="CY490" s="211"/>
      <c r="CZ490" s="211"/>
      <c r="DA490" s="211"/>
      <c r="DB490" s="211"/>
      <c r="DC490" s="211"/>
      <c r="DD490" s="211"/>
      <c r="DE490" s="211"/>
      <c r="DF490" s="60"/>
      <c r="DG490" s="60"/>
      <c r="DH490" s="60"/>
      <c r="DI490" s="60"/>
      <c r="DJ490" s="60"/>
    </row>
    <row r="491" spans="3:114" s="25" customFormat="1">
      <c r="C491" s="24"/>
      <c r="D491" s="24"/>
      <c r="G491" s="57"/>
      <c r="H491" s="57"/>
      <c r="I491" s="57"/>
      <c r="J491" s="57"/>
      <c r="K491" s="57"/>
      <c r="L491" s="57"/>
      <c r="M491" s="57"/>
      <c r="N491" s="57"/>
      <c r="O491" s="57"/>
      <c r="P491" s="57"/>
      <c r="Q491" s="57"/>
      <c r="R491" s="57"/>
      <c r="S491" s="57"/>
      <c r="T491" s="559"/>
      <c r="U491" s="29"/>
      <c r="V491" s="29"/>
      <c r="AJ491" s="1215"/>
      <c r="AK491" s="1142"/>
      <c r="AM491" s="42"/>
      <c r="AN491" s="42"/>
      <c r="AO491" s="42"/>
      <c r="AP491" s="42"/>
      <c r="AQ491" s="42"/>
      <c r="AR491" s="42"/>
      <c r="AS491" s="42"/>
      <c r="AT491" s="42"/>
      <c r="AU491" s="42"/>
      <c r="AV491" s="42"/>
      <c r="AW491" s="42"/>
      <c r="AX491" s="42"/>
      <c r="AY491" s="42"/>
      <c r="AZ491" s="42"/>
      <c r="BA491" s="42"/>
      <c r="BB491" s="42"/>
      <c r="BC491" s="42"/>
      <c r="BD491" s="42"/>
      <c r="BE491" s="42"/>
      <c r="BF491" s="42"/>
      <c r="BG491" s="42"/>
      <c r="BH491" s="42"/>
      <c r="BI491" s="42"/>
      <c r="BJ491" s="42"/>
      <c r="BK491" s="42"/>
      <c r="BL491" s="42"/>
      <c r="BM491" s="42"/>
      <c r="BN491" s="42"/>
      <c r="BO491" s="42"/>
      <c r="BP491" s="42"/>
      <c r="BQ491" s="42"/>
      <c r="BR491" s="42"/>
      <c r="BS491" s="42"/>
      <c r="BT491" s="42"/>
      <c r="BU491" s="42"/>
      <c r="BV491" s="42"/>
      <c r="BW491" s="42"/>
      <c r="BX491" s="42"/>
      <c r="BY491" s="42"/>
      <c r="BZ491" s="42"/>
      <c r="CA491" s="42"/>
      <c r="CB491" s="42"/>
      <c r="CC491" s="42"/>
      <c r="CD491" s="42"/>
      <c r="CE491" s="42"/>
      <c r="CF491" s="42"/>
      <c r="CG491" s="42"/>
      <c r="CH491" s="42"/>
      <c r="CS491" s="29"/>
      <c r="CT491" s="29"/>
      <c r="CU491" s="29"/>
      <c r="CV491" s="522"/>
      <c r="CW491" s="522"/>
      <c r="CX491" s="211"/>
      <c r="CY491" s="211"/>
      <c r="CZ491" s="211"/>
      <c r="DA491" s="211"/>
      <c r="DB491" s="211"/>
      <c r="DC491" s="211"/>
      <c r="DD491" s="211"/>
      <c r="DE491" s="211"/>
      <c r="DF491" s="60"/>
      <c r="DG491" s="60"/>
      <c r="DH491" s="60"/>
      <c r="DI491" s="60"/>
      <c r="DJ491" s="60"/>
    </row>
    <row r="492" spans="3:114" s="25" customFormat="1">
      <c r="C492" s="24"/>
      <c r="D492" s="24"/>
      <c r="G492" s="57"/>
      <c r="H492" s="57"/>
      <c r="I492" s="57"/>
      <c r="J492" s="57"/>
      <c r="K492" s="57"/>
      <c r="L492" s="57"/>
      <c r="M492" s="57"/>
      <c r="N492" s="57"/>
      <c r="O492" s="57"/>
      <c r="P492" s="57"/>
      <c r="Q492" s="57"/>
      <c r="R492" s="57"/>
      <c r="S492" s="57"/>
      <c r="T492" s="559"/>
      <c r="U492" s="29"/>
      <c r="V492" s="29"/>
      <c r="AJ492" s="1215"/>
      <c r="AK492" s="1142"/>
      <c r="AM492" s="42"/>
      <c r="AN492" s="42"/>
      <c r="AO492" s="42"/>
      <c r="AP492" s="42"/>
      <c r="AQ492" s="42"/>
      <c r="AR492" s="42"/>
      <c r="AS492" s="42"/>
      <c r="AT492" s="42"/>
      <c r="AU492" s="42"/>
      <c r="AV492" s="42"/>
      <c r="AW492" s="42"/>
      <c r="AX492" s="42"/>
      <c r="AY492" s="42"/>
      <c r="AZ492" s="42"/>
      <c r="BA492" s="42"/>
      <c r="BB492" s="42"/>
      <c r="BC492" s="42"/>
      <c r="BD492" s="42"/>
      <c r="BE492" s="42"/>
      <c r="BF492" s="42"/>
      <c r="BG492" s="42"/>
      <c r="BH492" s="42"/>
      <c r="BI492" s="42"/>
      <c r="BJ492" s="42"/>
      <c r="BK492" s="42"/>
      <c r="BL492" s="42"/>
      <c r="BM492" s="42"/>
      <c r="BN492" s="42"/>
      <c r="BO492" s="42"/>
      <c r="BP492" s="42"/>
      <c r="BQ492" s="42"/>
      <c r="BR492" s="42"/>
      <c r="BS492" s="42"/>
      <c r="BT492" s="42"/>
      <c r="BU492" s="42"/>
      <c r="BV492" s="42"/>
      <c r="BW492" s="42"/>
      <c r="BX492" s="42"/>
      <c r="BY492" s="42"/>
      <c r="BZ492" s="42"/>
      <c r="CA492" s="42"/>
      <c r="CB492" s="42"/>
      <c r="CC492" s="42"/>
      <c r="CD492" s="42"/>
      <c r="CE492" s="42"/>
      <c r="CF492" s="42"/>
      <c r="CG492" s="42"/>
      <c r="CH492" s="42"/>
      <c r="CS492" s="29"/>
      <c r="CT492" s="29"/>
      <c r="CU492" s="29"/>
      <c r="CV492" s="522"/>
      <c r="CW492" s="522"/>
      <c r="CX492" s="211"/>
      <c r="CY492" s="211"/>
      <c r="CZ492" s="211"/>
      <c r="DA492" s="211"/>
      <c r="DB492" s="211"/>
      <c r="DC492" s="211"/>
      <c r="DD492" s="211"/>
      <c r="DE492" s="211"/>
      <c r="DF492" s="60"/>
      <c r="DG492" s="60"/>
      <c r="DH492" s="60"/>
      <c r="DI492" s="60"/>
      <c r="DJ492" s="60"/>
    </row>
    <row r="493" spans="3:114" s="25" customFormat="1">
      <c r="C493" s="24"/>
      <c r="D493" s="24"/>
      <c r="G493" s="57"/>
      <c r="H493" s="57"/>
      <c r="I493" s="57"/>
      <c r="J493" s="57"/>
      <c r="K493" s="57"/>
      <c r="L493" s="57"/>
      <c r="M493" s="57"/>
      <c r="N493" s="57"/>
      <c r="O493" s="57"/>
      <c r="P493" s="57"/>
      <c r="Q493" s="57"/>
      <c r="R493" s="57"/>
      <c r="S493" s="57"/>
      <c r="T493" s="559"/>
      <c r="U493" s="29"/>
      <c r="V493" s="29"/>
      <c r="AJ493" s="1215"/>
      <c r="AK493" s="1142"/>
      <c r="AM493" s="42"/>
      <c r="AN493" s="42"/>
      <c r="AO493" s="42"/>
      <c r="AP493" s="42"/>
      <c r="AQ493" s="42"/>
      <c r="AR493" s="42"/>
      <c r="AS493" s="42"/>
      <c r="AT493" s="42"/>
      <c r="AU493" s="42"/>
      <c r="AV493" s="42"/>
      <c r="AW493" s="42"/>
      <c r="AX493" s="42"/>
      <c r="AY493" s="42"/>
      <c r="AZ493" s="42"/>
      <c r="BA493" s="42"/>
      <c r="BB493" s="42"/>
      <c r="BC493" s="42"/>
      <c r="BD493" s="42"/>
      <c r="BE493" s="42"/>
      <c r="BF493" s="42"/>
      <c r="BG493" s="42"/>
      <c r="BH493" s="42"/>
      <c r="BI493" s="42"/>
      <c r="BJ493" s="42"/>
      <c r="BK493" s="42"/>
      <c r="BL493" s="42"/>
      <c r="BM493" s="42"/>
      <c r="BN493" s="42"/>
      <c r="BO493" s="42"/>
      <c r="BP493" s="42"/>
      <c r="BQ493" s="42"/>
      <c r="BR493" s="42"/>
      <c r="BS493" s="42"/>
      <c r="BT493" s="42"/>
      <c r="BU493" s="42"/>
      <c r="BV493" s="42"/>
      <c r="BW493" s="42"/>
      <c r="BX493" s="42"/>
      <c r="BY493" s="42"/>
      <c r="BZ493" s="42"/>
      <c r="CA493" s="42"/>
      <c r="CB493" s="42"/>
      <c r="CC493" s="42"/>
      <c r="CD493" s="42"/>
      <c r="CE493" s="42"/>
      <c r="CF493" s="42"/>
      <c r="CG493" s="42"/>
      <c r="CH493" s="42"/>
      <c r="CS493" s="29"/>
      <c r="CT493" s="29"/>
      <c r="CU493" s="29"/>
      <c r="CV493" s="522"/>
      <c r="CW493" s="522"/>
      <c r="CX493" s="211"/>
      <c r="CY493" s="211"/>
      <c r="CZ493" s="211"/>
      <c r="DA493" s="211"/>
      <c r="DB493" s="211"/>
      <c r="DC493" s="211"/>
      <c r="DD493" s="211"/>
      <c r="DE493" s="211"/>
      <c r="DF493" s="60"/>
      <c r="DG493" s="60"/>
      <c r="DH493" s="60"/>
      <c r="DI493" s="60"/>
      <c r="DJ493" s="60"/>
    </row>
    <row r="494" spans="3:114" s="25" customFormat="1">
      <c r="C494" s="24"/>
      <c r="D494" s="24"/>
      <c r="G494" s="57"/>
      <c r="H494" s="57"/>
      <c r="I494" s="57"/>
      <c r="J494" s="57"/>
      <c r="K494" s="57"/>
      <c r="L494" s="57"/>
      <c r="M494" s="57"/>
      <c r="N494" s="57"/>
      <c r="O494" s="57"/>
      <c r="P494" s="57"/>
      <c r="Q494" s="57"/>
      <c r="R494" s="57"/>
      <c r="S494" s="57"/>
      <c r="T494" s="559"/>
      <c r="U494" s="29"/>
      <c r="V494" s="29"/>
      <c r="AJ494" s="1215"/>
      <c r="AK494" s="1142"/>
      <c r="AM494" s="42"/>
      <c r="AN494" s="42"/>
      <c r="AO494" s="42"/>
      <c r="AP494" s="42"/>
      <c r="AQ494" s="42"/>
      <c r="AR494" s="42"/>
      <c r="AS494" s="42"/>
      <c r="AT494" s="42"/>
      <c r="AU494" s="42"/>
      <c r="AV494" s="42"/>
      <c r="AW494" s="42"/>
      <c r="AX494" s="42"/>
      <c r="AY494" s="42"/>
      <c r="AZ494" s="42"/>
      <c r="BA494" s="42"/>
      <c r="BB494" s="42"/>
      <c r="BC494" s="42"/>
      <c r="BD494" s="42"/>
      <c r="BE494" s="42"/>
      <c r="BF494" s="42"/>
      <c r="BG494" s="42"/>
      <c r="BH494" s="42"/>
      <c r="BI494" s="42"/>
      <c r="BJ494" s="42"/>
      <c r="BK494" s="42"/>
      <c r="BL494" s="42"/>
      <c r="BM494" s="42"/>
      <c r="BN494" s="42"/>
      <c r="BO494" s="42"/>
      <c r="BP494" s="42"/>
      <c r="BQ494" s="42"/>
      <c r="BR494" s="42"/>
      <c r="BS494" s="42"/>
      <c r="BT494" s="42"/>
      <c r="BU494" s="42"/>
      <c r="BV494" s="42"/>
      <c r="BW494" s="42"/>
      <c r="BX494" s="42"/>
      <c r="BY494" s="42"/>
      <c r="BZ494" s="42"/>
      <c r="CA494" s="42"/>
      <c r="CB494" s="42"/>
      <c r="CC494" s="42"/>
      <c r="CD494" s="42"/>
      <c r="CE494" s="42"/>
      <c r="CF494" s="42"/>
      <c r="CG494" s="42"/>
      <c r="CH494" s="42"/>
      <c r="CS494" s="29"/>
      <c r="CT494" s="29"/>
      <c r="CU494" s="29"/>
      <c r="CV494" s="522"/>
      <c r="CW494" s="522"/>
      <c r="CX494" s="211"/>
      <c r="CY494" s="211"/>
      <c r="CZ494" s="211"/>
      <c r="DA494" s="211"/>
      <c r="DB494" s="211"/>
      <c r="DC494" s="211"/>
      <c r="DD494" s="211"/>
      <c r="DE494" s="211"/>
      <c r="DF494" s="60"/>
      <c r="DG494" s="60"/>
      <c r="DH494" s="60"/>
      <c r="DI494" s="60"/>
      <c r="DJ494" s="60"/>
    </row>
    <row r="495" spans="3:114" s="25" customFormat="1">
      <c r="C495" s="24"/>
      <c r="D495" s="24"/>
      <c r="G495" s="57"/>
      <c r="H495" s="57"/>
      <c r="I495" s="57"/>
      <c r="J495" s="57"/>
      <c r="K495" s="57"/>
      <c r="L495" s="57"/>
      <c r="M495" s="57"/>
      <c r="N495" s="57"/>
      <c r="O495" s="57"/>
      <c r="P495" s="57"/>
      <c r="Q495" s="57"/>
      <c r="R495" s="57"/>
      <c r="S495" s="57"/>
      <c r="T495" s="559"/>
      <c r="U495" s="29"/>
      <c r="V495" s="29"/>
      <c r="AJ495" s="1215"/>
      <c r="AK495" s="1142"/>
      <c r="AM495" s="42"/>
      <c r="AN495" s="42"/>
      <c r="AO495" s="42"/>
      <c r="AP495" s="42"/>
      <c r="AQ495" s="42"/>
      <c r="AR495" s="42"/>
      <c r="AS495" s="42"/>
      <c r="AT495" s="42"/>
      <c r="AU495" s="42"/>
      <c r="AV495" s="42"/>
      <c r="AW495" s="42"/>
      <c r="AX495" s="42"/>
      <c r="AY495" s="42"/>
      <c r="AZ495" s="42"/>
      <c r="BA495" s="42"/>
      <c r="BB495" s="42"/>
      <c r="BC495" s="42"/>
      <c r="BD495" s="42"/>
      <c r="BE495" s="42"/>
      <c r="BF495" s="42"/>
      <c r="BG495" s="42"/>
      <c r="BH495" s="42"/>
      <c r="BI495" s="42"/>
      <c r="BJ495" s="42"/>
      <c r="BK495" s="42"/>
      <c r="BL495" s="42"/>
      <c r="BM495" s="42"/>
      <c r="BN495" s="42"/>
      <c r="BO495" s="42"/>
      <c r="BP495" s="42"/>
      <c r="BQ495" s="42"/>
      <c r="BR495" s="42"/>
      <c r="BS495" s="42"/>
      <c r="BT495" s="42"/>
      <c r="BU495" s="42"/>
      <c r="BV495" s="42"/>
      <c r="BW495" s="42"/>
      <c r="BX495" s="42"/>
      <c r="BY495" s="42"/>
      <c r="BZ495" s="42"/>
      <c r="CA495" s="42"/>
      <c r="CB495" s="42"/>
      <c r="CC495" s="42"/>
      <c r="CD495" s="42"/>
      <c r="CE495" s="42"/>
      <c r="CF495" s="42"/>
      <c r="CG495" s="42"/>
      <c r="CH495" s="42"/>
      <c r="CS495" s="29"/>
      <c r="CT495" s="29"/>
      <c r="CU495" s="29"/>
      <c r="CV495" s="522"/>
      <c r="CW495" s="522"/>
      <c r="CX495" s="211"/>
      <c r="CY495" s="211"/>
      <c r="CZ495" s="211"/>
      <c r="DA495" s="211"/>
      <c r="DB495" s="211"/>
      <c r="DC495" s="211"/>
      <c r="DD495" s="211"/>
      <c r="DE495" s="211"/>
      <c r="DF495" s="60"/>
      <c r="DG495" s="60"/>
      <c r="DH495" s="60"/>
      <c r="DI495" s="60"/>
      <c r="DJ495" s="60"/>
    </row>
    <row r="496" spans="3:114" s="25" customFormat="1">
      <c r="C496" s="24"/>
      <c r="D496" s="24"/>
      <c r="G496" s="57"/>
      <c r="H496" s="57"/>
      <c r="I496" s="57"/>
      <c r="J496" s="57"/>
      <c r="K496" s="57"/>
      <c r="L496" s="57"/>
      <c r="M496" s="57"/>
      <c r="N496" s="57"/>
      <c r="O496" s="57"/>
      <c r="P496" s="57"/>
      <c r="Q496" s="57"/>
      <c r="R496" s="57"/>
      <c r="S496" s="57"/>
      <c r="T496" s="559"/>
      <c r="U496" s="29"/>
      <c r="V496" s="29"/>
      <c r="AJ496" s="1215"/>
      <c r="AK496" s="1142"/>
      <c r="AM496" s="42"/>
      <c r="AN496" s="42"/>
      <c r="AO496" s="42"/>
      <c r="AP496" s="42"/>
      <c r="AQ496" s="42"/>
      <c r="AR496" s="42"/>
      <c r="AS496" s="42"/>
      <c r="AT496" s="42"/>
      <c r="AU496" s="42"/>
      <c r="AV496" s="42"/>
      <c r="AW496" s="42"/>
      <c r="AX496" s="42"/>
      <c r="AY496" s="42"/>
      <c r="AZ496" s="42"/>
      <c r="BA496" s="42"/>
      <c r="BB496" s="42"/>
      <c r="BC496" s="42"/>
      <c r="BD496" s="42"/>
      <c r="BE496" s="42"/>
      <c r="BF496" s="42"/>
      <c r="BG496" s="42"/>
      <c r="BH496" s="42"/>
      <c r="BI496" s="42"/>
      <c r="BJ496" s="42"/>
      <c r="BK496" s="42"/>
      <c r="BL496" s="42"/>
      <c r="BM496" s="42"/>
      <c r="BN496" s="42"/>
      <c r="BO496" s="42"/>
      <c r="BP496" s="42"/>
      <c r="BQ496" s="42"/>
      <c r="BR496" s="42"/>
      <c r="BS496" s="42"/>
      <c r="BT496" s="42"/>
      <c r="BU496" s="42"/>
      <c r="BV496" s="42"/>
      <c r="BW496" s="42"/>
      <c r="BX496" s="42"/>
      <c r="BY496" s="42"/>
      <c r="BZ496" s="42"/>
      <c r="CA496" s="42"/>
      <c r="CB496" s="42"/>
      <c r="CC496" s="42"/>
      <c r="CD496" s="42"/>
      <c r="CE496" s="42"/>
      <c r="CF496" s="42"/>
      <c r="CG496" s="42"/>
      <c r="CH496" s="42"/>
      <c r="CS496" s="29"/>
      <c r="CT496" s="29"/>
      <c r="CU496" s="29"/>
      <c r="CV496" s="522"/>
      <c r="CW496" s="522"/>
      <c r="CX496" s="211"/>
      <c r="CY496" s="211"/>
      <c r="CZ496" s="211"/>
      <c r="DA496" s="211"/>
      <c r="DB496" s="211"/>
      <c r="DC496" s="211"/>
      <c r="DD496" s="211"/>
      <c r="DE496" s="211"/>
      <c r="DF496" s="60"/>
      <c r="DG496" s="60"/>
      <c r="DH496" s="60"/>
      <c r="DI496" s="60"/>
      <c r="DJ496" s="60"/>
    </row>
    <row r="497" spans="3:114" s="25" customFormat="1">
      <c r="C497" s="24"/>
      <c r="D497" s="24"/>
      <c r="G497" s="57"/>
      <c r="H497" s="57"/>
      <c r="I497" s="57"/>
      <c r="J497" s="57"/>
      <c r="K497" s="57"/>
      <c r="L497" s="57"/>
      <c r="M497" s="57"/>
      <c r="N497" s="57"/>
      <c r="O497" s="57"/>
      <c r="P497" s="57"/>
      <c r="Q497" s="57"/>
      <c r="R497" s="57"/>
      <c r="S497" s="57"/>
      <c r="T497" s="559"/>
      <c r="U497" s="29"/>
      <c r="V497" s="29"/>
      <c r="AJ497" s="1215"/>
      <c r="AK497" s="1142"/>
      <c r="AM497" s="42"/>
      <c r="AN497" s="42"/>
      <c r="AO497" s="42"/>
      <c r="AP497" s="42"/>
      <c r="AQ497" s="42"/>
      <c r="AR497" s="42"/>
      <c r="AS497" s="42"/>
      <c r="AT497" s="42"/>
      <c r="AU497" s="42"/>
      <c r="AV497" s="42"/>
      <c r="AW497" s="42"/>
      <c r="AX497" s="42"/>
      <c r="AY497" s="42"/>
      <c r="AZ497" s="42"/>
      <c r="BA497" s="42"/>
      <c r="BB497" s="42"/>
      <c r="BC497" s="42"/>
      <c r="BD497" s="42"/>
      <c r="BE497" s="42"/>
      <c r="BF497" s="42"/>
      <c r="BG497" s="42"/>
      <c r="BH497" s="42"/>
      <c r="BI497" s="42"/>
      <c r="BJ497" s="42"/>
      <c r="BK497" s="42"/>
      <c r="BL497" s="42"/>
      <c r="BM497" s="42"/>
      <c r="BN497" s="42"/>
      <c r="BO497" s="42"/>
      <c r="BP497" s="42"/>
      <c r="BQ497" s="42"/>
      <c r="BR497" s="42"/>
      <c r="BS497" s="42"/>
      <c r="BT497" s="42"/>
      <c r="BU497" s="42"/>
      <c r="BV497" s="42"/>
      <c r="BW497" s="42"/>
      <c r="BX497" s="42"/>
      <c r="BY497" s="42"/>
      <c r="BZ497" s="42"/>
      <c r="CA497" s="42"/>
      <c r="CB497" s="42"/>
      <c r="CC497" s="42"/>
      <c r="CD497" s="42"/>
      <c r="CE497" s="42"/>
      <c r="CF497" s="42"/>
      <c r="CG497" s="42"/>
      <c r="CH497" s="42"/>
      <c r="CS497" s="29"/>
      <c r="CT497" s="29"/>
      <c r="CU497" s="29"/>
      <c r="CV497" s="522"/>
      <c r="CW497" s="522"/>
      <c r="CX497" s="211"/>
      <c r="CY497" s="211"/>
      <c r="CZ497" s="211"/>
      <c r="DA497" s="211"/>
      <c r="DB497" s="211"/>
      <c r="DC497" s="211"/>
      <c r="DD497" s="211"/>
      <c r="DE497" s="211"/>
      <c r="DF497" s="60"/>
      <c r="DG497" s="60"/>
      <c r="DH497" s="60"/>
      <c r="DI497" s="60"/>
      <c r="DJ497" s="60"/>
    </row>
    <row r="498" spans="3:114" s="25" customFormat="1">
      <c r="C498" s="24"/>
      <c r="D498" s="24"/>
      <c r="G498" s="57"/>
      <c r="H498" s="57"/>
      <c r="I498" s="57"/>
      <c r="J498" s="57"/>
      <c r="K498" s="57"/>
      <c r="L498" s="57"/>
      <c r="M498" s="57"/>
      <c r="N498" s="57"/>
      <c r="O498" s="57"/>
      <c r="P498" s="57"/>
      <c r="Q498" s="57"/>
      <c r="R498" s="57"/>
      <c r="S498" s="57"/>
      <c r="T498" s="559"/>
      <c r="U498" s="29"/>
      <c r="V498" s="29"/>
      <c r="AJ498" s="1215"/>
      <c r="AK498" s="1142"/>
      <c r="AM498" s="42"/>
      <c r="AN498" s="42"/>
      <c r="AO498" s="42"/>
      <c r="AP498" s="42"/>
      <c r="AQ498" s="42"/>
      <c r="AR498" s="42"/>
      <c r="AS498" s="42"/>
      <c r="AT498" s="42"/>
      <c r="AU498" s="42"/>
      <c r="AV498" s="42"/>
      <c r="AW498" s="42"/>
      <c r="AX498" s="42"/>
      <c r="AY498" s="42"/>
      <c r="AZ498" s="42"/>
      <c r="BA498" s="42"/>
      <c r="BB498" s="42"/>
      <c r="BC498" s="42"/>
      <c r="BD498" s="42"/>
      <c r="BE498" s="42"/>
      <c r="BF498" s="42"/>
      <c r="BG498" s="42"/>
      <c r="BH498" s="42"/>
      <c r="BI498" s="42"/>
      <c r="BJ498" s="42"/>
      <c r="BK498" s="42"/>
      <c r="BL498" s="42"/>
      <c r="BM498" s="42"/>
      <c r="BN498" s="42"/>
      <c r="BO498" s="42"/>
      <c r="BP498" s="42"/>
      <c r="BQ498" s="42"/>
      <c r="BR498" s="42"/>
      <c r="BS498" s="42"/>
      <c r="BT498" s="42"/>
      <c r="BU498" s="42"/>
      <c r="BV498" s="42"/>
      <c r="BW498" s="42"/>
      <c r="BX498" s="42"/>
      <c r="BY498" s="42"/>
      <c r="BZ498" s="42"/>
      <c r="CA498" s="42"/>
      <c r="CB498" s="42"/>
      <c r="CC498" s="42"/>
      <c r="CD498" s="42"/>
      <c r="CE498" s="42"/>
      <c r="CF498" s="42"/>
      <c r="CG498" s="42"/>
      <c r="CH498" s="42"/>
      <c r="CS498" s="29"/>
      <c r="CT498" s="29"/>
      <c r="CU498" s="29"/>
      <c r="CV498" s="522"/>
      <c r="CW498" s="522"/>
      <c r="CX498" s="211"/>
      <c r="CY498" s="211"/>
      <c r="CZ498" s="211"/>
      <c r="DA498" s="211"/>
      <c r="DB498" s="211"/>
      <c r="DC498" s="211"/>
      <c r="DD498" s="211"/>
      <c r="DE498" s="211"/>
      <c r="DF498" s="60"/>
      <c r="DG498" s="60"/>
      <c r="DH498" s="60"/>
      <c r="DI498" s="60"/>
      <c r="DJ498" s="60"/>
    </row>
    <row r="499" spans="3:114" s="25" customFormat="1">
      <c r="C499" s="24"/>
      <c r="D499" s="24"/>
      <c r="G499" s="57"/>
      <c r="H499" s="57"/>
      <c r="I499" s="57"/>
      <c r="J499" s="57"/>
      <c r="K499" s="57"/>
      <c r="L499" s="57"/>
      <c r="M499" s="57"/>
      <c r="N499" s="57"/>
      <c r="O499" s="57"/>
      <c r="P499" s="57"/>
      <c r="Q499" s="57"/>
      <c r="R499" s="57"/>
      <c r="S499" s="57"/>
      <c r="T499" s="559"/>
      <c r="U499" s="29"/>
      <c r="V499" s="29"/>
      <c r="AJ499" s="1215"/>
      <c r="AK499" s="1142"/>
      <c r="AM499" s="42"/>
      <c r="AN499" s="42"/>
      <c r="AO499" s="42"/>
      <c r="AP499" s="42"/>
      <c r="AQ499" s="42"/>
      <c r="AR499" s="42"/>
      <c r="AS499" s="42"/>
      <c r="AT499" s="42"/>
      <c r="AU499" s="42"/>
      <c r="AV499" s="42"/>
      <c r="AW499" s="42"/>
      <c r="AX499" s="42"/>
      <c r="AY499" s="42"/>
      <c r="AZ499" s="42"/>
      <c r="BA499" s="42"/>
      <c r="BB499" s="42"/>
      <c r="BC499" s="42"/>
      <c r="BD499" s="42"/>
      <c r="BE499" s="42"/>
      <c r="BF499" s="42"/>
      <c r="BG499" s="42"/>
      <c r="BH499" s="42"/>
      <c r="BI499" s="42"/>
      <c r="BJ499" s="42"/>
      <c r="BK499" s="42"/>
      <c r="BL499" s="42"/>
      <c r="BM499" s="42"/>
      <c r="BN499" s="42"/>
      <c r="BO499" s="42"/>
      <c r="BP499" s="42"/>
      <c r="BQ499" s="42"/>
      <c r="BR499" s="42"/>
      <c r="BS499" s="42"/>
      <c r="BT499" s="42"/>
      <c r="BU499" s="42"/>
      <c r="BV499" s="42"/>
      <c r="BW499" s="42"/>
      <c r="BX499" s="42"/>
      <c r="BY499" s="42"/>
      <c r="BZ499" s="42"/>
      <c r="CA499" s="42"/>
      <c r="CB499" s="42"/>
      <c r="CC499" s="42"/>
      <c r="CD499" s="42"/>
      <c r="CE499" s="42"/>
      <c r="CF499" s="42"/>
      <c r="CG499" s="42"/>
      <c r="CH499" s="42"/>
      <c r="CS499" s="29"/>
      <c r="CT499" s="29"/>
      <c r="CU499" s="29"/>
      <c r="CV499" s="522"/>
      <c r="CW499" s="522"/>
      <c r="CX499" s="211"/>
      <c r="CY499" s="211"/>
      <c r="CZ499" s="211"/>
      <c r="DA499" s="211"/>
      <c r="DB499" s="211"/>
      <c r="DC499" s="211"/>
      <c r="DD499" s="211"/>
      <c r="DE499" s="211"/>
      <c r="DF499" s="60"/>
      <c r="DG499" s="60"/>
      <c r="DH499" s="60"/>
      <c r="DI499" s="60"/>
      <c r="DJ499" s="60"/>
    </row>
    <row r="500" spans="3:114" s="25" customFormat="1">
      <c r="C500" s="24"/>
      <c r="D500" s="24"/>
      <c r="G500" s="57"/>
      <c r="H500" s="57"/>
      <c r="I500" s="57"/>
      <c r="J500" s="57"/>
      <c r="K500" s="57"/>
      <c r="L500" s="57"/>
      <c r="M500" s="57"/>
      <c r="N500" s="57"/>
      <c r="O500" s="57"/>
      <c r="P500" s="57"/>
      <c r="Q500" s="57"/>
      <c r="R500" s="57"/>
      <c r="S500" s="57"/>
      <c r="T500" s="559"/>
      <c r="U500" s="29"/>
      <c r="V500" s="29"/>
      <c r="AJ500" s="1215"/>
      <c r="AK500" s="1142"/>
      <c r="AM500" s="42"/>
      <c r="AN500" s="42"/>
      <c r="AO500" s="42"/>
      <c r="AP500" s="42"/>
      <c r="AQ500" s="42"/>
      <c r="AR500" s="42"/>
      <c r="AS500" s="42"/>
      <c r="AT500" s="42"/>
      <c r="AU500" s="42"/>
      <c r="AV500" s="42"/>
      <c r="AW500" s="42"/>
      <c r="AX500" s="42"/>
      <c r="AY500" s="42"/>
      <c r="AZ500" s="42"/>
      <c r="BA500" s="42"/>
      <c r="BB500" s="42"/>
      <c r="BC500" s="42"/>
      <c r="BD500" s="42"/>
      <c r="BE500" s="42"/>
      <c r="BF500" s="42"/>
      <c r="BG500" s="42"/>
      <c r="BH500" s="42"/>
      <c r="BI500" s="42"/>
      <c r="BJ500" s="42"/>
      <c r="BK500" s="42"/>
      <c r="BL500" s="42"/>
      <c r="BM500" s="42"/>
      <c r="BN500" s="42"/>
      <c r="BO500" s="42"/>
      <c r="BP500" s="42"/>
      <c r="BQ500" s="42"/>
      <c r="BR500" s="42"/>
      <c r="BS500" s="42"/>
      <c r="BT500" s="42"/>
      <c r="BU500" s="42"/>
      <c r="BV500" s="42"/>
      <c r="BW500" s="42"/>
      <c r="BX500" s="42"/>
      <c r="BY500" s="42"/>
      <c r="BZ500" s="42"/>
      <c r="CA500" s="42"/>
      <c r="CB500" s="42"/>
      <c r="CC500" s="42"/>
      <c r="CD500" s="42"/>
      <c r="CE500" s="42"/>
      <c r="CF500" s="42"/>
      <c r="CG500" s="42"/>
      <c r="CH500" s="42"/>
      <c r="CS500" s="29"/>
      <c r="CT500" s="29"/>
      <c r="CU500" s="29"/>
      <c r="CV500" s="522"/>
      <c r="CW500" s="522"/>
      <c r="CX500" s="211"/>
      <c r="CY500" s="211"/>
      <c r="CZ500" s="211"/>
      <c r="DA500" s="211"/>
      <c r="DB500" s="211"/>
      <c r="DC500" s="211"/>
      <c r="DD500" s="211"/>
      <c r="DE500" s="211"/>
      <c r="DF500" s="60"/>
      <c r="DG500" s="60"/>
      <c r="DH500" s="60"/>
      <c r="DI500" s="60"/>
      <c r="DJ500" s="60"/>
    </row>
    <row r="501" spans="3:114" s="25" customFormat="1">
      <c r="C501" s="24"/>
      <c r="D501" s="24"/>
      <c r="G501" s="57"/>
      <c r="H501" s="57"/>
      <c r="I501" s="57"/>
      <c r="J501" s="57"/>
      <c r="K501" s="57"/>
      <c r="L501" s="57"/>
      <c r="M501" s="57"/>
      <c r="N501" s="57"/>
      <c r="O501" s="57"/>
      <c r="P501" s="57"/>
      <c r="Q501" s="57"/>
      <c r="R501" s="57"/>
      <c r="S501" s="57"/>
      <c r="T501" s="559"/>
      <c r="U501" s="29"/>
      <c r="V501" s="29"/>
      <c r="AJ501" s="1215"/>
      <c r="AK501" s="1142"/>
      <c r="AM501" s="42"/>
      <c r="AN501" s="42"/>
      <c r="AO501" s="42"/>
      <c r="AP501" s="42"/>
      <c r="AQ501" s="42"/>
      <c r="AR501" s="42"/>
      <c r="AS501" s="42"/>
      <c r="AT501" s="42"/>
      <c r="AU501" s="42"/>
      <c r="AV501" s="42"/>
      <c r="AW501" s="42"/>
      <c r="AX501" s="42"/>
      <c r="AY501" s="42"/>
      <c r="AZ501" s="42"/>
      <c r="BA501" s="42"/>
      <c r="BB501" s="42"/>
      <c r="BC501" s="42"/>
      <c r="BD501" s="42"/>
      <c r="BE501" s="42"/>
      <c r="BF501" s="42"/>
      <c r="BG501" s="42"/>
      <c r="BH501" s="42"/>
      <c r="BI501" s="42"/>
      <c r="BJ501" s="42"/>
      <c r="BK501" s="42"/>
      <c r="BL501" s="42"/>
      <c r="BM501" s="42"/>
      <c r="BN501" s="42"/>
      <c r="BO501" s="42"/>
      <c r="BP501" s="42"/>
      <c r="BQ501" s="42"/>
      <c r="BR501" s="42"/>
      <c r="BS501" s="42"/>
      <c r="BT501" s="42"/>
      <c r="BU501" s="42"/>
      <c r="BV501" s="42"/>
      <c r="BW501" s="42"/>
      <c r="BX501" s="42"/>
      <c r="BY501" s="42"/>
      <c r="BZ501" s="42"/>
      <c r="CA501" s="42"/>
      <c r="CB501" s="42"/>
      <c r="CC501" s="42"/>
      <c r="CD501" s="42"/>
      <c r="CE501" s="42"/>
      <c r="CF501" s="42"/>
      <c r="CG501" s="42"/>
      <c r="CH501" s="42"/>
      <c r="CS501" s="29"/>
      <c r="CT501" s="29"/>
      <c r="CU501" s="29"/>
      <c r="CV501" s="522"/>
      <c r="CW501" s="522"/>
      <c r="CX501" s="211"/>
      <c r="CY501" s="211"/>
      <c r="CZ501" s="211"/>
      <c r="DA501" s="211"/>
      <c r="DB501" s="211"/>
      <c r="DC501" s="211"/>
      <c r="DD501" s="211"/>
      <c r="DE501" s="211"/>
      <c r="DF501" s="60"/>
      <c r="DG501" s="60"/>
      <c r="DH501" s="60"/>
      <c r="DI501" s="60"/>
      <c r="DJ501" s="60"/>
    </row>
    <row r="502" spans="3:114" s="25" customFormat="1">
      <c r="C502" s="24"/>
      <c r="D502" s="24"/>
      <c r="G502" s="57"/>
      <c r="H502" s="57"/>
      <c r="I502" s="57"/>
      <c r="J502" s="57"/>
      <c r="K502" s="57"/>
      <c r="L502" s="57"/>
      <c r="M502" s="57"/>
      <c r="N502" s="57"/>
      <c r="O502" s="57"/>
      <c r="P502" s="57"/>
      <c r="Q502" s="57"/>
      <c r="R502" s="57"/>
      <c r="S502" s="57"/>
      <c r="T502" s="559"/>
      <c r="U502" s="29"/>
      <c r="V502" s="29"/>
      <c r="AJ502" s="1215"/>
      <c r="AK502" s="1142"/>
      <c r="AM502" s="42"/>
      <c r="AN502" s="42"/>
      <c r="AO502" s="42"/>
      <c r="AP502" s="42"/>
      <c r="AQ502" s="42"/>
      <c r="AR502" s="42"/>
      <c r="AS502" s="42"/>
      <c r="AT502" s="42"/>
      <c r="AU502" s="42"/>
      <c r="AV502" s="42"/>
      <c r="AW502" s="42"/>
      <c r="AX502" s="42"/>
      <c r="AY502" s="42"/>
      <c r="AZ502" s="42"/>
      <c r="BA502" s="42"/>
      <c r="BB502" s="42"/>
      <c r="BC502" s="42"/>
      <c r="BD502" s="42"/>
      <c r="BE502" s="42"/>
      <c r="BF502" s="42"/>
      <c r="BG502" s="42"/>
      <c r="BH502" s="42"/>
      <c r="BI502" s="42"/>
      <c r="BJ502" s="42"/>
      <c r="BK502" s="42"/>
      <c r="BL502" s="42"/>
      <c r="BM502" s="42"/>
      <c r="BN502" s="42"/>
      <c r="BO502" s="42"/>
      <c r="BP502" s="42"/>
      <c r="BQ502" s="42"/>
      <c r="BR502" s="42"/>
      <c r="BS502" s="42"/>
      <c r="BT502" s="42"/>
      <c r="BU502" s="42"/>
      <c r="BV502" s="42"/>
      <c r="BW502" s="42"/>
      <c r="BX502" s="42"/>
      <c r="BY502" s="42"/>
      <c r="BZ502" s="42"/>
      <c r="CA502" s="42"/>
      <c r="CB502" s="42"/>
      <c r="CC502" s="42"/>
      <c r="CD502" s="42"/>
      <c r="CE502" s="42"/>
      <c r="CF502" s="42"/>
      <c r="CG502" s="42"/>
      <c r="CH502" s="42"/>
      <c r="CS502" s="29"/>
      <c r="CT502" s="29"/>
      <c r="CU502" s="29"/>
      <c r="CV502" s="522"/>
      <c r="CW502" s="522"/>
      <c r="CX502" s="211"/>
      <c r="CY502" s="211"/>
      <c r="CZ502" s="211"/>
      <c r="DA502" s="211"/>
      <c r="DB502" s="211"/>
      <c r="DC502" s="211"/>
      <c r="DD502" s="211"/>
      <c r="DE502" s="211"/>
      <c r="DF502" s="60"/>
      <c r="DG502" s="60"/>
      <c r="DH502" s="60"/>
      <c r="DI502" s="60"/>
      <c r="DJ502" s="60"/>
    </row>
    <row r="503" spans="3:114" s="25" customFormat="1">
      <c r="C503" s="24"/>
      <c r="D503" s="24"/>
      <c r="G503" s="57"/>
      <c r="H503" s="57"/>
      <c r="I503" s="57"/>
      <c r="J503" s="57"/>
      <c r="K503" s="57"/>
      <c r="L503" s="57"/>
      <c r="M503" s="57"/>
      <c r="N503" s="57"/>
      <c r="O503" s="57"/>
      <c r="P503" s="57"/>
      <c r="Q503" s="57"/>
      <c r="R503" s="57"/>
      <c r="S503" s="57"/>
      <c r="T503" s="559"/>
      <c r="U503" s="29"/>
      <c r="V503" s="29"/>
      <c r="AJ503" s="1215"/>
      <c r="AK503" s="1142"/>
      <c r="AM503" s="42"/>
      <c r="AN503" s="42"/>
      <c r="AO503" s="42"/>
      <c r="AP503" s="42"/>
      <c r="AQ503" s="42"/>
      <c r="AR503" s="42"/>
      <c r="AS503" s="42"/>
      <c r="AT503" s="42"/>
      <c r="AU503" s="42"/>
      <c r="AV503" s="42"/>
      <c r="AW503" s="42"/>
      <c r="AX503" s="42"/>
      <c r="AY503" s="42"/>
      <c r="AZ503" s="42"/>
      <c r="BA503" s="42"/>
      <c r="BB503" s="42"/>
      <c r="BC503" s="42"/>
      <c r="BD503" s="42"/>
      <c r="BE503" s="42"/>
      <c r="BF503" s="42"/>
      <c r="BG503" s="42"/>
      <c r="BH503" s="42"/>
      <c r="BI503" s="42"/>
      <c r="BJ503" s="42"/>
      <c r="BK503" s="42"/>
      <c r="BL503" s="42"/>
      <c r="BM503" s="42"/>
      <c r="BN503" s="42"/>
      <c r="BO503" s="42"/>
      <c r="BP503" s="42"/>
      <c r="BQ503" s="42"/>
      <c r="BR503" s="42"/>
      <c r="BS503" s="42"/>
      <c r="BT503" s="42"/>
      <c r="BU503" s="42"/>
      <c r="BV503" s="42"/>
      <c r="BW503" s="42"/>
      <c r="BX503" s="42"/>
      <c r="BY503" s="42"/>
      <c r="BZ503" s="42"/>
      <c r="CA503" s="42"/>
      <c r="CB503" s="42"/>
      <c r="CC503" s="42"/>
      <c r="CD503" s="42"/>
      <c r="CE503" s="42"/>
      <c r="CF503" s="42"/>
      <c r="CG503" s="42"/>
      <c r="CH503" s="42"/>
      <c r="CS503" s="29"/>
      <c r="CT503" s="29"/>
      <c r="CU503" s="29"/>
      <c r="CV503" s="522"/>
      <c r="CW503" s="522"/>
      <c r="CX503" s="211"/>
      <c r="CY503" s="211"/>
      <c r="CZ503" s="211"/>
      <c r="DA503" s="211"/>
      <c r="DB503" s="211"/>
      <c r="DC503" s="211"/>
      <c r="DD503" s="211"/>
      <c r="DE503" s="211"/>
      <c r="DF503" s="60"/>
      <c r="DG503" s="60"/>
      <c r="DH503" s="60"/>
      <c r="DI503" s="60"/>
      <c r="DJ503" s="60"/>
    </row>
    <row r="504" spans="3:114" s="25" customFormat="1">
      <c r="C504" s="24"/>
      <c r="D504" s="24"/>
      <c r="G504" s="57"/>
      <c r="H504" s="57"/>
      <c r="I504" s="57"/>
      <c r="J504" s="57"/>
      <c r="K504" s="57"/>
      <c r="L504" s="57"/>
      <c r="M504" s="57"/>
      <c r="N504" s="57"/>
      <c r="O504" s="57"/>
      <c r="P504" s="57"/>
      <c r="Q504" s="57"/>
      <c r="R504" s="57"/>
      <c r="S504" s="57"/>
      <c r="T504" s="559"/>
      <c r="U504" s="29"/>
      <c r="V504" s="29"/>
      <c r="AJ504" s="1215"/>
      <c r="AK504" s="1142"/>
      <c r="AM504" s="42"/>
      <c r="AN504" s="42"/>
      <c r="AO504" s="42"/>
      <c r="AP504" s="42"/>
      <c r="AQ504" s="42"/>
      <c r="AR504" s="42"/>
      <c r="AS504" s="42"/>
      <c r="AT504" s="42"/>
      <c r="AU504" s="42"/>
      <c r="AV504" s="42"/>
      <c r="AW504" s="42"/>
      <c r="AX504" s="42"/>
      <c r="AY504" s="42"/>
      <c r="AZ504" s="42"/>
      <c r="BA504" s="42"/>
      <c r="BB504" s="42"/>
      <c r="BC504" s="42"/>
      <c r="BD504" s="42"/>
      <c r="BE504" s="42"/>
      <c r="BF504" s="42"/>
      <c r="BG504" s="42"/>
      <c r="BH504" s="42"/>
      <c r="BI504" s="42"/>
      <c r="BJ504" s="42"/>
      <c r="BK504" s="42"/>
      <c r="BL504" s="42"/>
      <c r="BM504" s="42"/>
      <c r="BN504" s="42"/>
      <c r="BO504" s="42"/>
      <c r="BP504" s="42"/>
      <c r="BQ504" s="42"/>
      <c r="BR504" s="42"/>
      <c r="BS504" s="42"/>
      <c r="BT504" s="42"/>
      <c r="BU504" s="42"/>
      <c r="BV504" s="42"/>
      <c r="BW504" s="42"/>
      <c r="BX504" s="42"/>
      <c r="BY504" s="42"/>
      <c r="BZ504" s="42"/>
      <c r="CA504" s="42"/>
      <c r="CB504" s="42"/>
      <c r="CC504" s="42"/>
      <c r="CD504" s="42"/>
      <c r="CE504" s="42"/>
      <c r="CF504" s="42"/>
      <c r="CG504" s="42"/>
      <c r="CH504" s="42"/>
      <c r="CS504" s="29"/>
      <c r="CT504" s="29"/>
      <c r="CU504" s="29"/>
      <c r="CV504" s="522"/>
      <c r="CW504" s="522"/>
      <c r="CX504" s="211"/>
      <c r="CY504" s="211"/>
      <c r="CZ504" s="211"/>
      <c r="DA504" s="211"/>
      <c r="DB504" s="211"/>
      <c r="DC504" s="211"/>
      <c r="DD504" s="211"/>
      <c r="DE504" s="211"/>
      <c r="DF504" s="60"/>
      <c r="DG504" s="60"/>
      <c r="DH504" s="60"/>
      <c r="DI504" s="60"/>
      <c r="DJ504" s="60"/>
    </row>
    <row r="505" spans="3:114" s="25" customFormat="1">
      <c r="C505" s="24"/>
      <c r="D505" s="24"/>
      <c r="G505" s="57"/>
      <c r="H505" s="57"/>
      <c r="I505" s="57"/>
      <c r="J505" s="57"/>
      <c r="K505" s="57"/>
      <c r="L505" s="57"/>
      <c r="M505" s="57"/>
      <c r="N505" s="57"/>
      <c r="O505" s="57"/>
      <c r="P505" s="57"/>
      <c r="Q505" s="57"/>
      <c r="R505" s="57"/>
      <c r="S505" s="57"/>
      <c r="T505" s="559"/>
      <c r="U505" s="29"/>
      <c r="V505" s="29"/>
      <c r="AJ505" s="1215"/>
      <c r="AK505" s="1142"/>
      <c r="AM505" s="42"/>
      <c r="AN505" s="42"/>
      <c r="AO505" s="42"/>
      <c r="AP505" s="42"/>
      <c r="AQ505" s="42"/>
      <c r="AR505" s="42"/>
      <c r="AS505" s="42"/>
      <c r="AT505" s="42"/>
      <c r="AU505" s="42"/>
      <c r="AV505" s="42"/>
      <c r="AW505" s="42"/>
      <c r="AX505" s="42"/>
      <c r="AY505" s="42"/>
      <c r="AZ505" s="42"/>
      <c r="BA505" s="42"/>
      <c r="BB505" s="42"/>
      <c r="BC505" s="42"/>
      <c r="BD505" s="42"/>
      <c r="BE505" s="42"/>
      <c r="BF505" s="42"/>
      <c r="BG505" s="42"/>
      <c r="BH505" s="42"/>
      <c r="BI505" s="42"/>
      <c r="BJ505" s="42"/>
      <c r="BK505" s="42"/>
      <c r="BL505" s="42"/>
      <c r="BM505" s="42"/>
      <c r="BN505" s="42"/>
      <c r="BO505" s="42"/>
      <c r="BP505" s="42"/>
      <c r="BQ505" s="42"/>
      <c r="BR505" s="42"/>
      <c r="BS505" s="42"/>
      <c r="BT505" s="42"/>
      <c r="BU505" s="42"/>
      <c r="BV505" s="42"/>
      <c r="BW505" s="42"/>
      <c r="BX505" s="42"/>
      <c r="BY505" s="42"/>
      <c r="BZ505" s="42"/>
      <c r="CA505" s="42"/>
      <c r="CB505" s="42"/>
      <c r="CC505" s="42"/>
      <c r="CD505" s="42"/>
      <c r="CE505" s="42"/>
      <c r="CF505" s="42"/>
      <c r="CG505" s="42"/>
      <c r="CH505" s="42"/>
      <c r="CS505" s="29"/>
      <c r="CT505" s="29"/>
      <c r="CU505" s="29"/>
      <c r="CV505" s="522"/>
      <c r="CW505" s="522"/>
      <c r="CX505" s="211"/>
      <c r="CY505" s="211"/>
      <c r="CZ505" s="211"/>
      <c r="DA505" s="211"/>
      <c r="DB505" s="211"/>
      <c r="DC505" s="211"/>
      <c r="DD505" s="211"/>
      <c r="DE505" s="211"/>
      <c r="DF505" s="60"/>
      <c r="DG505" s="60"/>
      <c r="DH505" s="60"/>
      <c r="DI505" s="60"/>
      <c r="DJ505" s="60"/>
    </row>
    <row r="506" spans="3:114" s="25" customFormat="1">
      <c r="C506" s="24"/>
      <c r="D506" s="24"/>
      <c r="G506" s="57"/>
      <c r="H506" s="57"/>
      <c r="I506" s="57"/>
      <c r="J506" s="57"/>
      <c r="K506" s="57"/>
      <c r="L506" s="57"/>
      <c r="M506" s="57"/>
      <c r="N506" s="57"/>
      <c r="O506" s="57"/>
      <c r="P506" s="57"/>
      <c r="Q506" s="57"/>
      <c r="R506" s="57"/>
      <c r="S506" s="57"/>
      <c r="T506" s="559"/>
      <c r="U506" s="29"/>
      <c r="V506" s="29"/>
      <c r="AJ506" s="1215"/>
      <c r="AK506" s="1142"/>
      <c r="AM506" s="42"/>
      <c r="AN506" s="42"/>
      <c r="AO506" s="42"/>
      <c r="AP506" s="42"/>
      <c r="AQ506" s="42"/>
      <c r="AR506" s="42"/>
      <c r="AS506" s="42"/>
      <c r="AT506" s="42"/>
      <c r="AU506" s="42"/>
      <c r="AV506" s="42"/>
      <c r="AW506" s="42"/>
      <c r="AX506" s="42"/>
      <c r="AY506" s="42"/>
      <c r="AZ506" s="42"/>
      <c r="BA506" s="42"/>
      <c r="BB506" s="42"/>
      <c r="BC506" s="42"/>
      <c r="BD506" s="42"/>
      <c r="BE506" s="42"/>
      <c r="BF506" s="42"/>
      <c r="BG506" s="42"/>
      <c r="BH506" s="42"/>
      <c r="BI506" s="42"/>
      <c r="BJ506" s="42"/>
      <c r="BK506" s="42"/>
      <c r="BL506" s="42"/>
      <c r="BM506" s="42"/>
      <c r="BN506" s="42"/>
      <c r="BO506" s="42"/>
      <c r="BP506" s="42"/>
      <c r="BQ506" s="42"/>
      <c r="BR506" s="42"/>
      <c r="BS506" s="42"/>
      <c r="BT506" s="42"/>
      <c r="BU506" s="42"/>
      <c r="BV506" s="42"/>
      <c r="BW506" s="42"/>
      <c r="BX506" s="42"/>
      <c r="BY506" s="42"/>
      <c r="BZ506" s="42"/>
      <c r="CA506" s="42"/>
      <c r="CB506" s="42"/>
      <c r="CC506" s="42"/>
      <c r="CD506" s="42"/>
      <c r="CE506" s="42"/>
      <c r="CF506" s="42"/>
      <c r="CG506" s="42"/>
      <c r="CH506" s="42"/>
      <c r="CS506" s="29"/>
      <c r="CT506" s="29"/>
      <c r="CU506" s="29"/>
      <c r="CV506" s="522"/>
      <c r="CW506" s="522"/>
      <c r="CX506" s="211"/>
      <c r="CY506" s="211"/>
      <c r="CZ506" s="211"/>
      <c r="DA506" s="211"/>
      <c r="DB506" s="211"/>
      <c r="DC506" s="211"/>
      <c r="DD506" s="211"/>
      <c r="DE506" s="211"/>
      <c r="DF506" s="60"/>
      <c r="DG506" s="60"/>
      <c r="DH506" s="60"/>
      <c r="DI506" s="60"/>
      <c r="DJ506" s="60"/>
    </row>
    <row r="507" spans="3:114" s="25" customFormat="1">
      <c r="C507" s="24"/>
      <c r="D507" s="24"/>
      <c r="G507" s="57"/>
      <c r="H507" s="57"/>
      <c r="I507" s="57"/>
      <c r="J507" s="57"/>
      <c r="K507" s="57"/>
      <c r="L507" s="57"/>
      <c r="M507" s="57"/>
      <c r="N507" s="57"/>
      <c r="O507" s="57"/>
      <c r="P507" s="57"/>
      <c r="Q507" s="57"/>
      <c r="R507" s="57"/>
      <c r="S507" s="57"/>
      <c r="T507" s="559"/>
      <c r="U507" s="29"/>
      <c r="V507" s="29"/>
      <c r="AJ507" s="1215"/>
      <c r="AK507" s="1142"/>
      <c r="AM507" s="42"/>
      <c r="AN507" s="42"/>
      <c r="AO507" s="42"/>
      <c r="AP507" s="42"/>
      <c r="AQ507" s="42"/>
      <c r="AR507" s="42"/>
      <c r="AS507" s="42"/>
      <c r="AT507" s="42"/>
      <c r="AU507" s="42"/>
      <c r="AV507" s="42"/>
      <c r="AW507" s="42"/>
      <c r="AX507" s="42"/>
      <c r="AY507" s="42"/>
      <c r="AZ507" s="42"/>
      <c r="BA507" s="42"/>
      <c r="BB507" s="42"/>
      <c r="BC507" s="42"/>
      <c r="BD507" s="42"/>
      <c r="BE507" s="42"/>
      <c r="BF507" s="42"/>
      <c r="BG507" s="42"/>
      <c r="BH507" s="42"/>
      <c r="BI507" s="42"/>
      <c r="BJ507" s="42"/>
      <c r="BK507" s="42"/>
      <c r="BL507" s="42"/>
      <c r="BM507" s="42"/>
      <c r="BN507" s="42"/>
      <c r="BO507" s="42"/>
      <c r="BP507" s="42"/>
      <c r="BQ507" s="42"/>
      <c r="BR507" s="42"/>
      <c r="BS507" s="42"/>
      <c r="BT507" s="42"/>
      <c r="BU507" s="42"/>
      <c r="BV507" s="42"/>
      <c r="BW507" s="42"/>
      <c r="BX507" s="42"/>
      <c r="BY507" s="42"/>
      <c r="BZ507" s="42"/>
      <c r="CA507" s="42"/>
      <c r="CB507" s="42"/>
      <c r="CC507" s="42"/>
      <c r="CD507" s="42"/>
      <c r="CE507" s="42"/>
      <c r="CF507" s="42"/>
      <c r="CG507" s="42"/>
      <c r="CH507" s="42"/>
      <c r="CS507" s="29"/>
      <c r="CT507" s="29"/>
      <c r="CU507" s="29"/>
      <c r="CV507" s="522"/>
      <c r="CW507" s="522"/>
      <c r="CX507" s="211"/>
      <c r="CY507" s="211"/>
      <c r="CZ507" s="211"/>
      <c r="DA507" s="211"/>
      <c r="DB507" s="211"/>
      <c r="DC507" s="211"/>
      <c r="DD507" s="211"/>
      <c r="DE507" s="211"/>
      <c r="DF507" s="60"/>
      <c r="DG507" s="60"/>
      <c r="DH507" s="60"/>
      <c r="DI507" s="60"/>
      <c r="DJ507" s="60"/>
    </row>
    <row r="508" spans="3:114" s="25" customFormat="1">
      <c r="C508" s="24"/>
      <c r="D508" s="24"/>
      <c r="G508" s="57"/>
      <c r="H508" s="57"/>
      <c r="I508" s="57"/>
      <c r="J508" s="57"/>
      <c r="K508" s="57"/>
      <c r="L508" s="57"/>
      <c r="M508" s="57"/>
      <c r="N508" s="57"/>
      <c r="O508" s="57"/>
      <c r="P508" s="57"/>
      <c r="Q508" s="57"/>
      <c r="R508" s="57"/>
      <c r="S508" s="57"/>
      <c r="T508" s="559"/>
      <c r="U508" s="29"/>
      <c r="V508" s="29"/>
      <c r="AJ508" s="1215"/>
      <c r="AK508" s="1142"/>
      <c r="AM508" s="42"/>
      <c r="AN508" s="42"/>
      <c r="AO508" s="42"/>
      <c r="AP508" s="42"/>
      <c r="AQ508" s="42"/>
      <c r="AR508" s="42"/>
      <c r="AS508" s="42"/>
      <c r="AT508" s="42"/>
      <c r="AU508" s="42"/>
      <c r="AV508" s="42"/>
      <c r="AW508" s="42"/>
      <c r="AX508" s="42"/>
      <c r="AY508" s="42"/>
      <c r="AZ508" s="42"/>
      <c r="BA508" s="42"/>
      <c r="BB508" s="42"/>
      <c r="BC508" s="42"/>
      <c r="BD508" s="42"/>
      <c r="BE508" s="42"/>
      <c r="BF508" s="42"/>
      <c r="BG508" s="42"/>
      <c r="BH508" s="42"/>
      <c r="BI508" s="42"/>
      <c r="BJ508" s="42"/>
      <c r="BK508" s="42"/>
      <c r="BL508" s="42"/>
      <c r="BM508" s="42"/>
      <c r="BN508" s="42"/>
      <c r="BO508" s="42"/>
      <c r="BP508" s="42"/>
      <c r="BQ508" s="42"/>
      <c r="BR508" s="42"/>
      <c r="BS508" s="42"/>
      <c r="BT508" s="42"/>
      <c r="BU508" s="42"/>
      <c r="BV508" s="42"/>
      <c r="BW508" s="42"/>
      <c r="BX508" s="42"/>
      <c r="BY508" s="42"/>
      <c r="BZ508" s="42"/>
      <c r="CA508" s="42"/>
      <c r="CB508" s="42"/>
      <c r="CC508" s="42"/>
      <c r="CD508" s="42"/>
      <c r="CE508" s="42"/>
      <c r="CF508" s="42"/>
      <c r="CG508" s="42"/>
      <c r="CH508" s="42"/>
      <c r="CS508" s="29"/>
      <c r="CT508" s="29"/>
      <c r="CU508" s="29"/>
      <c r="CV508" s="522"/>
      <c r="CW508" s="522"/>
      <c r="CX508" s="211"/>
      <c r="CY508" s="211"/>
      <c r="CZ508" s="211"/>
      <c r="DA508" s="211"/>
      <c r="DB508" s="211"/>
      <c r="DC508" s="211"/>
      <c r="DD508" s="211"/>
      <c r="DE508" s="211"/>
      <c r="DF508" s="60"/>
      <c r="DG508" s="60"/>
      <c r="DH508" s="60"/>
      <c r="DI508" s="60"/>
      <c r="DJ508" s="60"/>
    </row>
    <row r="509" spans="3:114" s="25" customFormat="1">
      <c r="C509" s="24"/>
      <c r="D509" s="24"/>
      <c r="G509" s="57"/>
      <c r="H509" s="57"/>
      <c r="I509" s="57"/>
      <c r="J509" s="57"/>
      <c r="K509" s="57"/>
      <c r="L509" s="57"/>
      <c r="M509" s="57"/>
      <c r="N509" s="57"/>
      <c r="O509" s="57"/>
      <c r="P509" s="57"/>
      <c r="Q509" s="57"/>
      <c r="R509" s="57"/>
      <c r="S509" s="57"/>
      <c r="T509" s="559"/>
      <c r="U509" s="29"/>
      <c r="V509" s="29"/>
      <c r="AJ509" s="1215"/>
      <c r="AK509" s="1142"/>
      <c r="AM509" s="42"/>
      <c r="AN509" s="42"/>
      <c r="AO509" s="42"/>
      <c r="AP509" s="42"/>
      <c r="AQ509" s="42"/>
      <c r="AR509" s="42"/>
      <c r="AS509" s="42"/>
      <c r="AT509" s="42"/>
      <c r="AU509" s="42"/>
      <c r="AV509" s="42"/>
      <c r="AW509" s="42"/>
      <c r="AX509" s="42"/>
      <c r="AY509" s="42"/>
      <c r="AZ509" s="42"/>
      <c r="BA509" s="42"/>
      <c r="BB509" s="42"/>
      <c r="BC509" s="42"/>
      <c r="BD509" s="42"/>
      <c r="BE509" s="42"/>
      <c r="BF509" s="42"/>
      <c r="BG509" s="42"/>
      <c r="BH509" s="42"/>
      <c r="BI509" s="42"/>
      <c r="BJ509" s="42"/>
      <c r="BK509" s="42"/>
      <c r="BL509" s="42"/>
      <c r="BM509" s="42"/>
      <c r="BN509" s="42"/>
      <c r="BO509" s="42"/>
      <c r="BP509" s="42"/>
      <c r="BQ509" s="42"/>
      <c r="BR509" s="42"/>
      <c r="BS509" s="42"/>
      <c r="BT509" s="42"/>
      <c r="BU509" s="42"/>
      <c r="BV509" s="42"/>
      <c r="BW509" s="42"/>
      <c r="BX509" s="42"/>
      <c r="BY509" s="42"/>
      <c r="BZ509" s="42"/>
      <c r="CA509" s="42"/>
      <c r="CB509" s="42"/>
      <c r="CC509" s="42"/>
      <c r="CD509" s="42"/>
      <c r="CE509" s="42"/>
      <c r="CF509" s="42"/>
      <c r="CG509" s="42"/>
      <c r="CH509" s="42"/>
      <c r="CS509" s="29"/>
      <c r="CT509" s="29"/>
      <c r="CU509" s="29"/>
      <c r="CV509" s="522"/>
      <c r="CW509" s="522"/>
      <c r="CX509" s="211"/>
      <c r="CY509" s="211"/>
      <c r="CZ509" s="211"/>
      <c r="DA509" s="211"/>
      <c r="DB509" s="211"/>
      <c r="DC509" s="211"/>
      <c r="DD509" s="211"/>
      <c r="DE509" s="211"/>
      <c r="DF509" s="60"/>
      <c r="DG509" s="60"/>
      <c r="DH509" s="60"/>
      <c r="DI509" s="60"/>
      <c r="DJ509" s="60"/>
    </row>
    <row r="510" spans="3:114" s="25" customFormat="1">
      <c r="C510" s="24"/>
      <c r="D510" s="24"/>
      <c r="G510" s="57"/>
      <c r="H510" s="57"/>
      <c r="I510" s="57"/>
      <c r="J510" s="57"/>
      <c r="K510" s="57"/>
      <c r="L510" s="57"/>
      <c r="M510" s="57"/>
      <c r="N510" s="57"/>
      <c r="O510" s="57"/>
      <c r="P510" s="57"/>
      <c r="Q510" s="57"/>
      <c r="R510" s="57"/>
      <c r="S510" s="57"/>
      <c r="T510" s="559"/>
      <c r="U510" s="29"/>
      <c r="V510" s="29"/>
      <c r="AJ510" s="1215"/>
      <c r="AK510" s="1142"/>
      <c r="AM510" s="42"/>
      <c r="AN510" s="42"/>
      <c r="AO510" s="42"/>
      <c r="AP510" s="42"/>
      <c r="AQ510" s="42"/>
      <c r="AR510" s="42"/>
      <c r="AS510" s="42"/>
      <c r="AT510" s="42"/>
      <c r="AU510" s="42"/>
      <c r="AV510" s="42"/>
      <c r="AW510" s="42"/>
      <c r="AX510" s="42"/>
      <c r="AY510" s="42"/>
      <c r="AZ510" s="42"/>
      <c r="BA510" s="42"/>
      <c r="BB510" s="42"/>
      <c r="BC510" s="42"/>
      <c r="BD510" s="42"/>
      <c r="BE510" s="42"/>
      <c r="BF510" s="42"/>
      <c r="BG510" s="42"/>
      <c r="BH510" s="42"/>
      <c r="BI510" s="42"/>
      <c r="BJ510" s="42"/>
      <c r="BK510" s="42"/>
      <c r="BL510" s="42"/>
      <c r="BM510" s="42"/>
      <c r="BN510" s="42"/>
      <c r="BO510" s="42"/>
      <c r="BP510" s="42"/>
      <c r="BQ510" s="42"/>
      <c r="BR510" s="42"/>
      <c r="BS510" s="42"/>
      <c r="BT510" s="42"/>
      <c r="BU510" s="42"/>
      <c r="BV510" s="42"/>
      <c r="BW510" s="42"/>
      <c r="BX510" s="42"/>
      <c r="BY510" s="42"/>
      <c r="BZ510" s="42"/>
      <c r="CA510" s="42"/>
      <c r="CB510" s="42"/>
      <c r="CC510" s="42"/>
      <c r="CD510" s="42"/>
      <c r="CE510" s="42"/>
      <c r="CF510" s="42"/>
      <c r="CG510" s="42"/>
      <c r="CH510" s="42"/>
      <c r="CS510" s="29"/>
      <c r="CT510" s="29"/>
      <c r="CU510" s="29"/>
      <c r="CV510" s="522"/>
      <c r="CW510" s="522"/>
      <c r="CX510" s="211"/>
      <c r="CY510" s="211"/>
      <c r="CZ510" s="211"/>
      <c r="DA510" s="211"/>
      <c r="DB510" s="211"/>
      <c r="DC510" s="211"/>
      <c r="DD510" s="211"/>
      <c r="DE510" s="211"/>
      <c r="DF510" s="60"/>
      <c r="DG510" s="60"/>
      <c r="DH510" s="60"/>
      <c r="DI510" s="60"/>
      <c r="DJ510" s="60"/>
    </row>
    <row r="511" spans="3:114" s="25" customFormat="1">
      <c r="C511" s="24"/>
      <c r="D511" s="24"/>
      <c r="G511" s="57"/>
      <c r="H511" s="57"/>
      <c r="I511" s="57"/>
      <c r="J511" s="57"/>
      <c r="K511" s="57"/>
      <c r="L511" s="57"/>
      <c r="M511" s="57"/>
      <c r="N511" s="57"/>
      <c r="O511" s="57"/>
      <c r="P511" s="57"/>
      <c r="Q511" s="57"/>
      <c r="R511" s="57"/>
      <c r="S511" s="57"/>
      <c r="T511" s="559"/>
      <c r="U511" s="29"/>
      <c r="V511" s="29"/>
      <c r="AJ511" s="1215"/>
      <c r="AK511" s="1142"/>
      <c r="AM511" s="42"/>
      <c r="AN511" s="42"/>
      <c r="AO511" s="42"/>
      <c r="AP511" s="42"/>
      <c r="AQ511" s="42"/>
      <c r="AR511" s="42"/>
      <c r="AS511" s="42"/>
      <c r="AT511" s="42"/>
      <c r="AU511" s="42"/>
      <c r="AV511" s="42"/>
      <c r="AW511" s="42"/>
      <c r="AX511" s="42"/>
      <c r="AY511" s="42"/>
      <c r="AZ511" s="42"/>
      <c r="BA511" s="42"/>
      <c r="BB511" s="42"/>
      <c r="BC511" s="42"/>
      <c r="BD511" s="42"/>
      <c r="BE511" s="42"/>
      <c r="BF511" s="42"/>
      <c r="BG511" s="42"/>
      <c r="BH511" s="42"/>
      <c r="BI511" s="42"/>
      <c r="BJ511" s="42"/>
      <c r="BK511" s="42"/>
      <c r="BL511" s="42"/>
      <c r="BM511" s="42"/>
      <c r="BN511" s="42"/>
      <c r="BO511" s="42"/>
      <c r="BP511" s="42"/>
      <c r="BQ511" s="42"/>
      <c r="BR511" s="42"/>
      <c r="BS511" s="42"/>
      <c r="BT511" s="42"/>
      <c r="BU511" s="42"/>
      <c r="BV511" s="42"/>
      <c r="BW511" s="42"/>
      <c r="BX511" s="42"/>
      <c r="BY511" s="42"/>
      <c r="BZ511" s="42"/>
      <c r="CA511" s="42"/>
      <c r="CB511" s="42"/>
      <c r="CC511" s="42"/>
      <c r="CD511" s="42"/>
      <c r="CE511" s="42"/>
      <c r="CF511" s="42"/>
      <c r="CG511" s="42"/>
      <c r="CH511" s="42"/>
      <c r="CS511" s="29"/>
      <c r="CT511" s="29"/>
      <c r="CU511" s="29"/>
      <c r="CV511" s="522"/>
      <c r="CW511" s="522"/>
      <c r="CX511" s="211"/>
      <c r="CY511" s="211"/>
      <c r="CZ511" s="211"/>
      <c r="DA511" s="211"/>
      <c r="DB511" s="211"/>
      <c r="DC511" s="211"/>
      <c r="DD511" s="211"/>
      <c r="DE511" s="211"/>
      <c r="DF511" s="60"/>
      <c r="DG511" s="60"/>
      <c r="DH511" s="60"/>
      <c r="DI511" s="60"/>
      <c r="DJ511" s="60"/>
    </row>
    <row r="512" spans="3:114" s="25" customFormat="1">
      <c r="C512" s="24"/>
      <c r="D512" s="24"/>
      <c r="G512" s="57"/>
      <c r="H512" s="57"/>
      <c r="I512" s="57"/>
      <c r="J512" s="57"/>
      <c r="K512" s="57"/>
      <c r="L512" s="57"/>
      <c r="M512" s="57"/>
      <c r="N512" s="57"/>
      <c r="O512" s="57"/>
      <c r="P512" s="57"/>
      <c r="Q512" s="57"/>
      <c r="R512" s="57"/>
      <c r="S512" s="57"/>
      <c r="T512" s="559"/>
      <c r="U512" s="29"/>
      <c r="V512" s="29"/>
      <c r="AJ512" s="1215"/>
      <c r="AK512" s="1142"/>
      <c r="AM512" s="42"/>
      <c r="AN512" s="42"/>
      <c r="AO512" s="42"/>
      <c r="AP512" s="42"/>
      <c r="AQ512" s="42"/>
      <c r="AR512" s="42"/>
      <c r="AS512" s="42"/>
      <c r="AT512" s="42"/>
      <c r="AU512" s="42"/>
      <c r="AV512" s="42"/>
      <c r="AW512" s="42"/>
      <c r="AX512" s="42"/>
      <c r="AY512" s="42"/>
      <c r="AZ512" s="42"/>
      <c r="BA512" s="42"/>
      <c r="BB512" s="42"/>
      <c r="BC512" s="42"/>
      <c r="BD512" s="42"/>
      <c r="BE512" s="42"/>
      <c r="BF512" s="42"/>
      <c r="BG512" s="42"/>
      <c r="BH512" s="42"/>
      <c r="BI512" s="42"/>
      <c r="BJ512" s="42"/>
      <c r="BK512" s="42"/>
      <c r="BL512" s="42"/>
      <c r="BM512" s="42"/>
      <c r="BN512" s="42"/>
      <c r="BO512" s="42"/>
      <c r="BP512" s="42"/>
      <c r="BQ512" s="42"/>
      <c r="BR512" s="42"/>
      <c r="BS512" s="42"/>
      <c r="BT512" s="42"/>
      <c r="BU512" s="42"/>
      <c r="BV512" s="42"/>
      <c r="BW512" s="42"/>
      <c r="BX512" s="42"/>
      <c r="BY512" s="42"/>
      <c r="BZ512" s="42"/>
      <c r="CA512" s="42"/>
      <c r="CB512" s="42"/>
      <c r="CC512" s="42"/>
      <c r="CD512" s="42"/>
      <c r="CE512" s="42"/>
      <c r="CF512" s="42"/>
      <c r="CG512" s="42"/>
      <c r="CH512" s="42"/>
      <c r="CS512" s="29"/>
      <c r="CT512" s="29"/>
      <c r="CU512" s="29"/>
      <c r="CV512" s="522"/>
      <c r="CW512" s="522"/>
      <c r="CX512" s="211"/>
      <c r="CY512" s="211"/>
      <c r="CZ512" s="211"/>
      <c r="DA512" s="211"/>
      <c r="DB512" s="211"/>
      <c r="DC512" s="211"/>
      <c r="DD512" s="211"/>
      <c r="DE512" s="211"/>
      <c r="DF512" s="60"/>
      <c r="DG512" s="60"/>
      <c r="DH512" s="60"/>
      <c r="DI512" s="60"/>
      <c r="DJ512" s="60"/>
    </row>
    <row r="513" spans="3:114" s="25" customFormat="1">
      <c r="C513" s="24"/>
      <c r="D513" s="24"/>
      <c r="G513" s="57"/>
      <c r="H513" s="57"/>
      <c r="I513" s="57"/>
      <c r="J513" s="57"/>
      <c r="K513" s="57"/>
      <c r="L513" s="57"/>
      <c r="M513" s="57"/>
      <c r="N513" s="57"/>
      <c r="O513" s="57"/>
      <c r="P513" s="57"/>
      <c r="Q513" s="57"/>
      <c r="R513" s="57"/>
      <c r="S513" s="57"/>
      <c r="T513" s="559"/>
      <c r="U513" s="29"/>
      <c r="V513" s="29"/>
      <c r="AJ513" s="1215"/>
      <c r="AK513" s="1142"/>
      <c r="AM513" s="42"/>
      <c r="AN513" s="42"/>
      <c r="AO513" s="42"/>
      <c r="AP513" s="42"/>
      <c r="AQ513" s="42"/>
      <c r="AR513" s="42"/>
      <c r="AS513" s="42"/>
      <c r="AT513" s="42"/>
      <c r="AU513" s="42"/>
      <c r="AV513" s="42"/>
      <c r="AW513" s="42"/>
      <c r="AX513" s="42"/>
      <c r="AY513" s="42"/>
      <c r="AZ513" s="42"/>
      <c r="BA513" s="42"/>
      <c r="BB513" s="42"/>
      <c r="BC513" s="42"/>
      <c r="BD513" s="42"/>
      <c r="BE513" s="42"/>
      <c r="BF513" s="42"/>
      <c r="BG513" s="42"/>
      <c r="BH513" s="42"/>
      <c r="BI513" s="42"/>
      <c r="BJ513" s="42"/>
      <c r="BK513" s="42"/>
      <c r="BL513" s="42"/>
      <c r="BM513" s="42"/>
      <c r="BN513" s="42"/>
      <c r="BO513" s="42"/>
      <c r="BP513" s="42"/>
      <c r="BQ513" s="42"/>
      <c r="BR513" s="42"/>
      <c r="BS513" s="42"/>
      <c r="BT513" s="42"/>
      <c r="BU513" s="42"/>
      <c r="BV513" s="42"/>
      <c r="BW513" s="42"/>
      <c r="BX513" s="42"/>
      <c r="BY513" s="42"/>
      <c r="BZ513" s="42"/>
      <c r="CA513" s="42"/>
      <c r="CB513" s="42"/>
      <c r="CC513" s="42"/>
      <c r="CD513" s="42"/>
      <c r="CE513" s="42"/>
      <c r="CF513" s="42"/>
      <c r="CG513" s="42"/>
      <c r="CH513" s="42"/>
      <c r="CS513" s="29"/>
      <c r="CT513" s="29"/>
      <c r="CU513" s="29"/>
      <c r="CV513" s="522"/>
      <c r="CW513" s="522"/>
      <c r="CX513" s="211"/>
      <c r="CY513" s="211"/>
      <c r="CZ513" s="211"/>
      <c r="DA513" s="211"/>
      <c r="DB513" s="211"/>
      <c r="DC513" s="211"/>
      <c r="DD513" s="211"/>
      <c r="DE513" s="211"/>
      <c r="DF513" s="60"/>
      <c r="DG513" s="60"/>
      <c r="DH513" s="60"/>
      <c r="DI513" s="60"/>
      <c r="DJ513" s="60"/>
    </row>
    <row r="514" spans="3:114" s="25" customFormat="1">
      <c r="C514" s="24"/>
      <c r="D514" s="24"/>
      <c r="G514" s="57"/>
      <c r="H514" s="57"/>
      <c r="I514" s="57"/>
      <c r="J514" s="57"/>
      <c r="K514" s="57"/>
      <c r="L514" s="57"/>
      <c r="M514" s="57"/>
      <c r="N514" s="57"/>
      <c r="O514" s="57"/>
      <c r="P514" s="57"/>
      <c r="Q514" s="57"/>
      <c r="R514" s="57"/>
      <c r="S514" s="57"/>
      <c r="T514" s="559"/>
      <c r="U514" s="29"/>
      <c r="V514" s="29"/>
      <c r="AJ514" s="1215"/>
      <c r="AK514" s="1142"/>
      <c r="AM514" s="42"/>
      <c r="AN514" s="42"/>
      <c r="AO514" s="42"/>
      <c r="AP514" s="42"/>
      <c r="AQ514" s="42"/>
      <c r="AR514" s="42"/>
      <c r="AS514" s="42"/>
      <c r="AT514" s="42"/>
      <c r="AU514" s="42"/>
      <c r="AV514" s="42"/>
      <c r="AW514" s="42"/>
      <c r="AX514" s="42"/>
      <c r="AY514" s="42"/>
      <c r="AZ514" s="42"/>
      <c r="BA514" s="42"/>
      <c r="BB514" s="42"/>
      <c r="BC514" s="42"/>
      <c r="BD514" s="42"/>
      <c r="BE514" s="42"/>
      <c r="BF514" s="42"/>
      <c r="BG514" s="42"/>
      <c r="BH514" s="42"/>
      <c r="BI514" s="42"/>
      <c r="BJ514" s="42"/>
      <c r="BK514" s="42"/>
      <c r="BL514" s="42"/>
      <c r="BM514" s="42"/>
      <c r="BN514" s="42"/>
      <c r="BO514" s="42"/>
      <c r="BP514" s="42"/>
      <c r="BQ514" s="42"/>
      <c r="BR514" s="42"/>
      <c r="BS514" s="42"/>
      <c r="BT514" s="42"/>
      <c r="BU514" s="42"/>
      <c r="BV514" s="42"/>
      <c r="BW514" s="42"/>
      <c r="BX514" s="42"/>
      <c r="BY514" s="42"/>
      <c r="BZ514" s="42"/>
      <c r="CA514" s="42"/>
      <c r="CB514" s="42"/>
      <c r="CC514" s="42"/>
      <c r="CD514" s="42"/>
      <c r="CE514" s="42"/>
      <c r="CF514" s="42"/>
      <c r="CG514" s="42"/>
      <c r="CH514" s="42"/>
      <c r="CS514" s="29"/>
      <c r="CT514" s="29"/>
      <c r="CU514" s="29"/>
      <c r="CV514" s="522"/>
      <c r="CW514" s="522"/>
      <c r="CX514" s="211"/>
      <c r="CY514" s="211"/>
      <c r="CZ514" s="211"/>
      <c r="DA514" s="211"/>
      <c r="DB514" s="211"/>
      <c r="DC514" s="211"/>
      <c r="DD514" s="211"/>
      <c r="DE514" s="211"/>
      <c r="DF514" s="60"/>
      <c r="DG514" s="60"/>
      <c r="DH514" s="60"/>
      <c r="DI514" s="60"/>
      <c r="DJ514" s="60"/>
    </row>
    <row r="515" spans="3:114" s="25" customFormat="1">
      <c r="C515" s="24"/>
      <c r="D515" s="24"/>
      <c r="G515" s="57"/>
      <c r="H515" s="57"/>
      <c r="I515" s="57"/>
      <c r="J515" s="57"/>
      <c r="K515" s="57"/>
      <c r="L515" s="57"/>
      <c r="M515" s="57"/>
      <c r="N515" s="57"/>
      <c r="O515" s="57"/>
      <c r="P515" s="57"/>
      <c r="Q515" s="57"/>
      <c r="R515" s="57"/>
      <c r="S515" s="57"/>
      <c r="T515" s="559"/>
      <c r="U515" s="29"/>
      <c r="V515" s="29"/>
      <c r="AJ515" s="1215"/>
      <c r="AK515" s="1142"/>
      <c r="AM515" s="42"/>
      <c r="AN515" s="42"/>
      <c r="AO515" s="42"/>
      <c r="AP515" s="42"/>
      <c r="AQ515" s="42"/>
      <c r="AR515" s="42"/>
      <c r="AS515" s="42"/>
      <c r="AT515" s="42"/>
      <c r="AU515" s="42"/>
      <c r="AV515" s="42"/>
      <c r="AW515" s="42"/>
      <c r="AX515" s="42"/>
      <c r="AY515" s="42"/>
      <c r="AZ515" s="42"/>
      <c r="BA515" s="42"/>
      <c r="BB515" s="42"/>
      <c r="BC515" s="42"/>
      <c r="BD515" s="42"/>
      <c r="BE515" s="42"/>
      <c r="BF515" s="42"/>
      <c r="BG515" s="42"/>
      <c r="BH515" s="42"/>
      <c r="BI515" s="42"/>
      <c r="BJ515" s="42"/>
      <c r="BK515" s="42"/>
      <c r="BL515" s="42"/>
      <c r="BM515" s="42"/>
      <c r="BN515" s="42"/>
      <c r="BO515" s="42"/>
      <c r="BP515" s="42"/>
      <c r="BQ515" s="42"/>
      <c r="BR515" s="42"/>
      <c r="BS515" s="42"/>
      <c r="BT515" s="42"/>
      <c r="BU515" s="42"/>
      <c r="BV515" s="42"/>
      <c r="BW515" s="42"/>
      <c r="BX515" s="42"/>
      <c r="BY515" s="42"/>
      <c r="BZ515" s="42"/>
      <c r="CA515" s="42"/>
      <c r="CB515" s="42"/>
      <c r="CC515" s="42"/>
      <c r="CD515" s="42"/>
      <c r="CE515" s="42"/>
      <c r="CF515" s="42"/>
      <c r="CG515" s="42"/>
      <c r="CH515" s="42"/>
      <c r="CS515" s="29"/>
      <c r="CT515" s="29"/>
      <c r="CU515" s="29"/>
      <c r="CV515" s="522"/>
      <c r="CW515" s="522"/>
      <c r="CX515" s="211"/>
      <c r="CY515" s="211"/>
      <c r="CZ515" s="211"/>
      <c r="DA515" s="211"/>
      <c r="DB515" s="211"/>
      <c r="DC515" s="211"/>
      <c r="DD515" s="211"/>
      <c r="DE515" s="211"/>
      <c r="DF515" s="60"/>
      <c r="DG515" s="60"/>
      <c r="DH515" s="60"/>
      <c r="DI515" s="60"/>
      <c r="DJ515" s="60"/>
    </row>
    <row r="516" spans="3:114" s="25" customFormat="1">
      <c r="C516" s="24"/>
      <c r="D516" s="24"/>
      <c r="G516" s="57"/>
      <c r="H516" s="57"/>
      <c r="I516" s="57"/>
      <c r="J516" s="57"/>
      <c r="K516" s="57"/>
      <c r="L516" s="57"/>
      <c r="M516" s="57"/>
      <c r="N516" s="57"/>
      <c r="O516" s="57"/>
      <c r="P516" s="57"/>
      <c r="Q516" s="57"/>
      <c r="R516" s="57"/>
      <c r="S516" s="57"/>
      <c r="T516" s="559"/>
      <c r="U516" s="29"/>
      <c r="V516" s="29"/>
      <c r="AJ516" s="1215"/>
      <c r="AK516" s="1142"/>
      <c r="AM516" s="42"/>
      <c r="AN516" s="42"/>
      <c r="AO516" s="42"/>
      <c r="AP516" s="42"/>
      <c r="AQ516" s="42"/>
      <c r="AR516" s="42"/>
      <c r="AS516" s="42"/>
      <c r="AT516" s="42"/>
      <c r="AU516" s="42"/>
      <c r="AV516" s="42"/>
      <c r="AW516" s="42"/>
      <c r="AX516" s="42"/>
      <c r="AY516" s="42"/>
      <c r="AZ516" s="42"/>
      <c r="BA516" s="42"/>
      <c r="BB516" s="42"/>
      <c r="BC516" s="42"/>
      <c r="BD516" s="42"/>
      <c r="BE516" s="42"/>
      <c r="BF516" s="42"/>
      <c r="BG516" s="42"/>
      <c r="BH516" s="42"/>
      <c r="BI516" s="42"/>
      <c r="BJ516" s="42"/>
      <c r="BK516" s="42"/>
      <c r="BL516" s="42"/>
      <c r="BM516" s="42"/>
      <c r="BN516" s="42"/>
      <c r="BO516" s="42"/>
      <c r="BP516" s="42"/>
      <c r="BQ516" s="42"/>
      <c r="BR516" s="42"/>
      <c r="BS516" s="42"/>
      <c r="BT516" s="42"/>
      <c r="BU516" s="42"/>
      <c r="BV516" s="42"/>
      <c r="BW516" s="42"/>
      <c r="BX516" s="42"/>
      <c r="BY516" s="42"/>
      <c r="BZ516" s="42"/>
      <c r="CA516" s="42"/>
      <c r="CB516" s="42"/>
      <c r="CC516" s="42"/>
      <c r="CD516" s="42"/>
      <c r="CE516" s="42"/>
      <c r="CF516" s="42"/>
      <c r="CG516" s="42"/>
      <c r="CH516" s="42"/>
      <c r="CS516" s="29"/>
      <c r="CT516" s="29"/>
      <c r="CU516" s="29"/>
      <c r="CV516" s="522"/>
      <c r="CW516" s="522"/>
      <c r="CX516" s="211"/>
      <c r="CY516" s="211"/>
      <c r="CZ516" s="211"/>
      <c r="DA516" s="211"/>
      <c r="DB516" s="211"/>
      <c r="DC516" s="211"/>
      <c r="DD516" s="211"/>
      <c r="DE516" s="211"/>
      <c r="DF516" s="60"/>
      <c r="DG516" s="60"/>
      <c r="DH516" s="60"/>
      <c r="DI516" s="60"/>
      <c r="DJ516" s="60"/>
    </row>
    <row r="517" spans="3:114" s="25" customFormat="1">
      <c r="C517" s="24"/>
      <c r="D517" s="24"/>
      <c r="G517" s="57"/>
      <c r="H517" s="57"/>
      <c r="I517" s="57"/>
      <c r="J517" s="57"/>
      <c r="K517" s="57"/>
      <c r="L517" s="57"/>
      <c r="M517" s="57"/>
      <c r="N517" s="57"/>
      <c r="O517" s="57"/>
      <c r="P517" s="57"/>
      <c r="Q517" s="57"/>
      <c r="R517" s="57"/>
      <c r="S517" s="57"/>
      <c r="T517" s="559"/>
      <c r="U517" s="29"/>
      <c r="V517" s="29"/>
      <c r="AJ517" s="1215"/>
      <c r="AK517" s="1142"/>
      <c r="AM517" s="42"/>
      <c r="AN517" s="42"/>
      <c r="AO517" s="42"/>
      <c r="AP517" s="42"/>
      <c r="AQ517" s="42"/>
      <c r="AR517" s="42"/>
      <c r="AS517" s="42"/>
      <c r="AT517" s="42"/>
      <c r="AU517" s="42"/>
      <c r="AV517" s="42"/>
      <c r="AW517" s="42"/>
      <c r="AX517" s="42"/>
      <c r="AY517" s="42"/>
      <c r="AZ517" s="42"/>
      <c r="BA517" s="42"/>
      <c r="BB517" s="42"/>
      <c r="BC517" s="42"/>
      <c r="BD517" s="42"/>
      <c r="BE517" s="42"/>
      <c r="BF517" s="42"/>
      <c r="BG517" s="42"/>
      <c r="BH517" s="42"/>
      <c r="BI517" s="42"/>
      <c r="BJ517" s="42"/>
      <c r="BK517" s="42"/>
      <c r="BL517" s="42"/>
      <c r="BM517" s="42"/>
      <c r="BN517" s="42"/>
      <c r="BO517" s="42"/>
      <c r="BP517" s="42"/>
      <c r="BQ517" s="42"/>
      <c r="BR517" s="42"/>
      <c r="BS517" s="42"/>
      <c r="BT517" s="42"/>
      <c r="BU517" s="42"/>
      <c r="BV517" s="42"/>
      <c r="BW517" s="42"/>
      <c r="BX517" s="42"/>
      <c r="BY517" s="42"/>
      <c r="BZ517" s="42"/>
      <c r="CA517" s="42"/>
      <c r="CB517" s="42"/>
      <c r="CC517" s="42"/>
      <c r="CD517" s="42"/>
      <c r="CE517" s="42"/>
      <c r="CF517" s="42"/>
      <c r="CG517" s="42"/>
      <c r="CH517" s="42"/>
      <c r="CS517" s="29"/>
      <c r="CT517" s="29"/>
      <c r="CU517" s="29"/>
      <c r="CV517" s="522"/>
      <c r="CW517" s="522"/>
      <c r="CX517" s="211"/>
      <c r="CY517" s="211"/>
      <c r="CZ517" s="211"/>
      <c r="DA517" s="211"/>
      <c r="DB517" s="211"/>
      <c r="DC517" s="211"/>
      <c r="DD517" s="211"/>
      <c r="DE517" s="211"/>
      <c r="DF517" s="60"/>
      <c r="DG517" s="60"/>
      <c r="DH517" s="60"/>
      <c r="DI517" s="60"/>
      <c r="DJ517" s="60"/>
    </row>
    <row r="518" spans="3:114" s="25" customFormat="1">
      <c r="C518" s="24"/>
      <c r="D518" s="24"/>
      <c r="G518" s="57"/>
      <c r="H518" s="57"/>
      <c r="I518" s="57"/>
      <c r="J518" s="57"/>
      <c r="K518" s="57"/>
      <c r="L518" s="57"/>
      <c r="M518" s="57"/>
      <c r="N518" s="57"/>
      <c r="O518" s="57"/>
      <c r="P518" s="57"/>
      <c r="Q518" s="57"/>
      <c r="R518" s="57"/>
      <c r="S518" s="57"/>
      <c r="T518" s="559"/>
      <c r="U518" s="29"/>
      <c r="V518" s="29"/>
      <c r="AJ518" s="1215"/>
      <c r="AK518" s="1142"/>
      <c r="AM518" s="42"/>
      <c r="AN518" s="42"/>
      <c r="AO518" s="42"/>
      <c r="AP518" s="42"/>
      <c r="AQ518" s="42"/>
      <c r="AR518" s="42"/>
      <c r="AS518" s="42"/>
      <c r="AT518" s="42"/>
      <c r="AU518" s="42"/>
      <c r="AV518" s="42"/>
      <c r="AW518" s="42"/>
      <c r="AX518" s="42"/>
      <c r="AY518" s="42"/>
      <c r="AZ518" s="42"/>
      <c r="BA518" s="42"/>
      <c r="BB518" s="42"/>
      <c r="BC518" s="42"/>
      <c r="BD518" s="42"/>
      <c r="BE518" s="42"/>
      <c r="BF518" s="42"/>
      <c r="BG518" s="42"/>
      <c r="BH518" s="42"/>
      <c r="BI518" s="42"/>
      <c r="BJ518" s="42"/>
      <c r="BK518" s="42"/>
      <c r="BL518" s="42"/>
      <c r="BM518" s="42"/>
      <c r="BN518" s="42"/>
      <c r="BO518" s="42"/>
      <c r="BP518" s="42"/>
      <c r="BQ518" s="42"/>
      <c r="BR518" s="42"/>
      <c r="BS518" s="42"/>
      <c r="BT518" s="42"/>
      <c r="BU518" s="42"/>
      <c r="BV518" s="42"/>
      <c r="BW518" s="42"/>
      <c r="BX518" s="42"/>
      <c r="BY518" s="42"/>
      <c r="BZ518" s="42"/>
      <c r="CA518" s="42"/>
      <c r="CB518" s="42"/>
      <c r="CC518" s="42"/>
      <c r="CD518" s="42"/>
      <c r="CE518" s="42"/>
      <c r="CF518" s="42"/>
      <c r="CG518" s="42"/>
      <c r="CH518" s="42"/>
      <c r="CS518" s="29"/>
      <c r="CT518" s="29"/>
      <c r="CU518" s="29"/>
      <c r="CV518" s="522"/>
      <c r="CW518" s="522"/>
      <c r="CX518" s="211"/>
      <c r="CY518" s="211"/>
      <c r="CZ518" s="211"/>
      <c r="DA518" s="211"/>
      <c r="DB518" s="211"/>
      <c r="DC518" s="211"/>
      <c r="DD518" s="211"/>
      <c r="DE518" s="211"/>
      <c r="DF518" s="60"/>
      <c r="DG518" s="60"/>
      <c r="DH518" s="60"/>
      <c r="DI518" s="60"/>
      <c r="DJ518" s="60"/>
    </row>
    <row r="519" spans="3:114" s="25" customFormat="1">
      <c r="C519" s="24"/>
      <c r="D519" s="24"/>
      <c r="G519" s="57"/>
      <c r="H519" s="57"/>
      <c r="I519" s="57"/>
      <c r="J519" s="57"/>
      <c r="K519" s="57"/>
      <c r="L519" s="57"/>
      <c r="M519" s="57"/>
      <c r="N519" s="57"/>
      <c r="O519" s="57"/>
      <c r="P519" s="57"/>
      <c r="Q519" s="57"/>
      <c r="R519" s="57"/>
      <c r="S519" s="57"/>
      <c r="T519" s="559"/>
      <c r="U519" s="29"/>
      <c r="V519" s="29"/>
      <c r="AJ519" s="1215"/>
      <c r="AK519" s="1142"/>
      <c r="AM519" s="42"/>
      <c r="AN519" s="42"/>
      <c r="AO519" s="42"/>
      <c r="AP519" s="42"/>
      <c r="AQ519" s="42"/>
      <c r="AR519" s="42"/>
      <c r="AS519" s="42"/>
      <c r="AT519" s="42"/>
      <c r="AU519" s="42"/>
      <c r="AV519" s="42"/>
      <c r="AW519" s="42"/>
      <c r="AX519" s="42"/>
      <c r="AY519" s="42"/>
      <c r="AZ519" s="42"/>
      <c r="BA519" s="42"/>
      <c r="BB519" s="42"/>
      <c r="BC519" s="42"/>
      <c r="BD519" s="42"/>
      <c r="BE519" s="42"/>
      <c r="BF519" s="42"/>
      <c r="BG519" s="42"/>
      <c r="BH519" s="42"/>
      <c r="BI519" s="42"/>
      <c r="BJ519" s="42"/>
      <c r="BK519" s="42"/>
      <c r="BL519" s="42"/>
      <c r="BM519" s="42"/>
      <c r="BN519" s="42"/>
      <c r="BO519" s="42"/>
      <c r="BP519" s="42"/>
      <c r="BQ519" s="42"/>
      <c r="BR519" s="42"/>
      <c r="BS519" s="42"/>
      <c r="BT519" s="42"/>
      <c r="BU519" s="42"/>
      <c r="BV519" s="42"/>
      <c r="BW519" s="42"/>
      <c r="BX519" s="42"/>
      <c r="BY519" s="42"/>
      <c r="BZ519" s="42"/>
      <c r="CA519" s="42"/>
      <c r="CB519" s="42"/>
      <c r="CC519" s="42"/>
      <c r="CD519" s="42"/>
      <c r="CE519" s="42"/>
      <c r="CF519" s="42"/>
      <c r="CG519" s="42"/>
      <c r="CH519" s="42"/>
      <c r="CS519" s="29"/>
      <c r="CT519" s="29"/>
      <c r="CU519" s="29"/>
      <c r="CV519" s="522"/>
      <c r="CW519" s="522"/>
      <c r="CX519" s="211"/>
      <c r="CY519" s="211"/>
      <c r="CZ519" s="211"/>
      <c r="DA519" s="211"/>
      <c r="DB519" s="211"/>
      <c r="DC519" s="211"/>
      <c r="DD519" s="211"/>
      <c r="DE519" s="211"/>
      <c r="DF519" s="60"/>
      <c r="DG519" s="60"/>
      <c r="DH519" s="60"/>
      <c r="DI519" s="60"/>
      <c r="DJ519" s="60"/>
    </row>
    <row r="520" spans="3:114" s="25" customFormat="1">
      <c r="C520" s="24"/>
      <c r="D520" s="24"/>
      <c r="G520" s="57"/>
      <c r="H520" s="57"/>
      <c r="I520" s="57"/>
      <c r="J520" s="57"/>
      <c r="K520" s="57"/>
      <c r="L520" s="57"/>
      <c r="M520" s="57"/>
      <c r="N520" s="57"/>
      <c r="O520" s="57"/>
      <c r="P520" s="57"/>
      <c r="Q520" s="57"/>
      <c r="R520" s="57"/>
      <c r="S520" s="57"/>
      <c r="T520" s="559"/>
      <c r="U520" s="29"/>
      <c r="V520" s="29"/>
      <c r="AJ520" s="1215"/>
      <c r="AK520" s="1142"/>
      <c r="AM520" s="42"/>
      <c r="AN520" s="42"/>
      <c r="AO520" s="42"/>
      <c r="AP520" s="42"/>
      <c r="AQ520" s="42"/>
      <c r="AR520" s="42"/>
      <c r="AS520" s="42"/>
      <c r="AT520" s="42"/>
      <c r="AU520" s="42"/>
      <c r="AV520" s="42"/>
      <c r="AW520" s="42"/>
      <c r="AX520" s="42"/>
      <c r="AY520" s="42"/>
      <c r="AZ520" s="42"/>
      <c r="BA520" s="42"/>
      <c r="BB520" s="42"/>
      <c r="BC520" s="42"/>
      <c r="BD520" s="42"/>
      <c r="BE520" s="42"/>
      <c r="BF520" s="42"/>
      <c r="BG520" s="42"/>
      <c r="BH520" s="42"/>
      <c r="BI520" s="42"/>
      <c r="BJ520" s="42"/>
      <c r="BK520" s="42"/>
      <c r="BL520" s="42"/>
      <c r="BM520" s="42"/>
      <c r="BN520" s="42"/>
      <c r="BO520" s="42"/>
      <c r="BP520" s="42"/>
      <c r="BQ520" s="42"/>
      <c r="BR520" s="42"/>
      <c r="BS520" s="42"/>
      <c r="BT520" s="42"/>
      <c r="BU520" s="42"/>
      <c r="BV520" s="42"/>
      <c r="BW520" s="42"/>
      <c r="BX520" s="42"/>
      <c r="BY520" s="42"/>
      <c r="BZ520" s="42"/>
      <c r="CA520" s="42"/>
      <c r="CB520" s="42"/>
      <c r="CC520" s="42"/>
      <c r="CD520" s="42"/>
      <c r="CE520" s="42"/>
      <c r="CF520" s="42"/>
      <c r="CG520" s="42"/>
      <c r="CH520" s="42"/>
      <c r="CS520" s="29"/>
      <c r="CT520" s="29"/>
      <c r="CU520" s="29"/>
      <c r="CV520" s="522"/>
      <c r="CW520" s="522"/>
      <c r="CX520" s="211"/>
      <c r="CY520" s="211"/>
      <c r="CZ520" s="211"/>
      <c r="DA520" s="211"/>
      <c r="DB520" s="211"/>
      <c r="DC520" s="211"/>
      <c r="DD520" s="211"/>
      <c r="DE520" s="211"/>
      <c r="DF520" s="60"/>
      <c r="DG520" s="60"/>
      <c r="DH520" s="60"/>
      <c r="DI520" s="60"/>
      <c r="DJ520" s="60"/>
    </row>
    <row r="521" spans="3:114" s="25" customFormat="1">
      <c r="C521" s="24"/>
      <c r="D521" s="24"/>
      <c r="G521" s="57"/>
      <c r="H521" s="57"/>
      <c r="I521" s="57"/>
      <c r="J521" s="57"/>
      <c r="K521" s="57"/>
      <c r="L521" s="57"/>
      <c r="M521" s="57"/>
      <c r="N521" s="57"/>
      <c r="O521" s="57"/>
      <c r="P521" s="57"/>
      <c r="Q521" s="57"/>
      <c r="R521" s="57"/>
      <c r="S521" s="57"/>
      <c r="T521" s="559"/>
      <c r="U521" s="29"/>
      <c r="V521" s="29"/>
      <c r="AJ521" s="1215"/>
      <c r="AK521" s="1142"/>
      <c r="AM521" s="42"/>
      <c r="AN521" s="42"/>
      <c r="AO521" s="42"/>
      <c r="AP521" s="42"/>
      <c r="AQ521" s="42"/>
      <c r="AR521" s="42"/>
      <c r="AS521" s="42"/>
      <c r="AT521" s="42"/>
      <c r="AU521" s="42"/>
      <c r="AV521" s="42"/>
      <c r="AW521" s="42"/>
      <c r="AX521" s="42"/>
      <c r="AY521" s="42"/>
      <c r="AZ521" s="42"/>
      <c r="BA521" s="42"/>
      <c r="BB521" s="42"/>
      <c r="BC521" s="42"/>
      <c r="BD521" s="42"/>
      <c r="BE521" s="42"/>
      <c r="BF521" s="42"/>
      <c r="BG521" s="42"/>
      <c r="BH521" s="42"/>
      <c r="BI521" s="42"/>
      <c r="BJ521" s="42"/>
      <c r="BK521" s="42"/>
      <c r="BL521" s="42"/>
      <c r="BM521" s="42"/>
      <c r="BN521" s="42"/>
      <c r="BO521" s="42"/>
      <c r="BP521" s="42"/>
      <c r="BQ521" s="42"/>
      <c r="BR521" s="42"/>
      <c r="BS521" s="42"/>
      <c r="BT521" s="42"/>
      <c r="BU521" s="42"/>
      <c r="BV521" s="42"/>
      <c r="BW521" s="42"/>
      <c r="BX521" s="42"/>
      <c r="BY521" s="42"/>
      <c r="BZ521" s="42"/>
      <c r="CA521" s="42"/>
      <c r="CB521" s="42"/>
      <c r="CC521" s="42"/>
      <c r="CD521" s="42"/>
      <c r="CE521" s="42"/>
      <c r="CF521" s="42"/>
      <c r="CG521" s="42"/>
      <c r="CH521" s="42"/>
      <c r="CS521" s="29"/>
      <c r="CT521" s="29"/>
      <c r="CU521" s="29"/>
      <c r="CV521" s="522"/>
      <c r="CW521" s="522"/>
      <c r="CX521" s="211"/>
      <c r="CY521" s="211"/>
      <c r="CZ521" s="211"/>
      <c r="DA521" s="211"/>
      <c r="DB521" s="211"/>
      <c r="DC521" s="211"/>
      <c r="DD521" s="211"/>
      <c r="DE521" s="211"/>
      <c r="DF521" s="60"/>
      <c r="DG521" s="60"/>
      <c r="DH521" s="60"/>
      <c r="DI521" s="60"/>
      <c r="DJ521" s="60"/>
    </row>
    <row r="522" spans="3:114" s="25" customFormat="1">
      <c r="C522" s="24"/>
      <c r="D522" s="24"/>
      <c r="G522" s="57"/>
      <c r="H522" s="57"/>
      <c r="I522" s="57"/>
      <c r="J522" s="57"/>
      <c r="K522" s="57"/>
      <c r="L522" s="57"/>
      <c r="M522" s="57"/>
      <c r="N522" s="57"/>
      <c r="O522" s="57"/>
      <c r="P522" s="57"/>
      <c r="Q522" s="57"/>
      <c r="R522" s="57"/>
      <c r="S522" s="57"/>
      <c r="T522" s="559"/>
      <c r="U522" s="29"/>
      <c r="V522" s="29"/>
      <c r="AJ522" s="1215"/>
      <c r="AK522" s="1142"/>
      <c r="AM522" s="42"/>
      <c r="AN522" s="42"/>
      <c r="AO522" s="42"/>
      <c r="AP522" s="42"/>
      <c r="AQ522" s="42"/>
      <c r="AR522" s="42"/>
      <c r="AS522" s="42"/>
      <c r="AT522" s="42"/>
      <c r="AU522" s="42"/>
      <c r="AV522" s="42"/>
      <c r="AW522" s="42"/>
      <c r="AX522" s="42"/>
      <c r="AY522" s="42"/>
      <c r="AZ522" s="42"/>
      <c r="BA522" s="42"/>
      <c r="BB522" s="42"/>
      <c r="BC522" s="42"/>
      <c r="BD522" s="42"/>
      <c r="BE522" s="42"/>
      <c r="BF522" s="42"/>
      <c r="BG522" s="42"/>
      <c r="BH522" s="42"/>
      <c r="BI522" s="42"/>
      <c r="BJ522" s="42"/>
      <c r="BK522" s="42"/>
      <c r="BL522" s="42"/>
      <c r="BM522" s="42"/>
      <c r="BN522" s="42"/>
      <c r="BO522" s="42"/>
      <c r="BP522" s="42"/>
      <c r="BQ522" s="42"/>
      <c r="BR522" s="42"/>
      <c r="BS522" s="42"/>
      <c r="BT522" s="42"/>
      <c r="BU522" s="42"/>
      <c r="BV522" s="42"/>
      <c r="BW522" s="42"/>
      <c r="BX522" s="42"/>
      <c r="BY522" s="42"/>
      <c r="BZ522" s="42"/>
      <c r="CA522" s="42"/>
      <c r="CB522" s="42"/>
      <c r="CC522" s="42"/>
      <c r="CD522" s="42"/>
      <c r="CE522" s="42"/>
      <c r="CF522" s="42"/>
      <c r="CG522" s="42"/>
      <c r="CH522" s="42"/>
      <c r="CS522" s="29"/>
      <c r="CT522" s="29"/>
      <c r="CU522" s="29"/>
      <c r="CV522" s="522"/>
      <c r="CW522" s="522"/>
      <c r="CX522" s="211"/>
      <c r="CY522" s="211"/>
      <c r="CZ522" s="211"/>
      <c r="DA522" s="211"/>
      <c r="DB522" s="211"/>
      <c r="DC522" s="211"/>
      <c r="DD522" s="211"/>
      <c r="DE522" s="211"/>
      <c r="DF522" s="60"/>
      <c r="DG522" s="60"/>
      <c r="DH522" s="60"/>
      <c r="DI522" s="60"/>
      <c r="DJ522" s="60"/>
    </row>
    <row r="523" spans="3:114" s="25" customFormat="1">
      <c r="C523" s="24"/>
      <c r="D523" s="24"/>
      <c r="G523" s="57"/>
      <c r="H523" s="57"/>
      <c r="I523" s="57"/>
      <c r="J523" s="57"/>
      <c r="K523" s="57"/>
      <c r="L523" s="57"/>
      <c r="M523" s="57"/>
      <c r="N523" s="57"/>
      <c r="O523" s="57"/>
      <c r="P523" s="57"/>
      <c r="Q523" s="57"/>
      <c r="R523" s="57"/>
      <c r="S523" s="57"/>
      <c r="T523" s="559"/>
      <c r="U523" s="29"/>
      <c r="V523" s="29"/>
      <c r="AJ523" s="1215"/>
      <c r="AK523" s="1142"/>
      <c r="AM523" s="42"/>
      <c r="AN523" s="42"/>
      <c r="AO523" s="42"/>
      <c r="AP523" s="42"/>
      <c r="AQ523" s="42"/>
      <c r="AR523" s="42"/>
      <c r="AS523" s="42"/>
      <c r="AT523" s="42"/>
      <c r="AU523" s="42"/>
      <c r="AV523" s="42"/>
      <c r="AW523" s="42"/>
      <c r="AX523" s="42"/>
      <c r="AY523" s="42"/>
      <c r="AZ523" s="42"/>
      <c r="BA523" s="42"/>
      <c r="BB523" s="42"/>
      <c r="BC523" s="42"/>
      <c r="BD523" s="42"/>
      <c r="BE523" s="42"/>
      <c r="BF523" s="42"/>
      <c r="BG523" s="42"/>
      <c r="BH523" s="42"/>
      <c r="BI523" s="42"/>
      <c r="BJ523" s="42"/>
      <c r="BK523" s="42"/>
      <c r="BL523" s="42"/>
      <c r="BM523" s="42"/>
      <c r="BN523" s="42"/>
      <c r="BO523" s="42"/>
      <c r="BP523" s="42"/>
      <c r="BQ523" s="42"/>
      <c r="BR523" s="42"/>
      <c r="BS523" s="42"/>
      <c r="BT523" s="42"/>
      <c r="BU523" s="42"/>
      <c r="BV523" s="42"/>
      <c r="BW523" s="42"/>
      <c r="BX523" s="42"/>
      <c r="BY523" s="42"/>
      <c r="BZ523" s="42"/>
      <c r="CA523" s="42"/>
      <c r="CB523" s="42"/>
      <c r="CC523" s="42"/>
      <c r="CD523" s="42"/>
      <c r="CE523" s="42"/>
      <c r="CF523" s="42"/>
      <c r="CG523" s="42"/>
      <c r="CH523" s="42"/>
      <c r="CS523" s="29"/>
      <c r="CT523" s="29"/>
      <c r="CU523" s="29"/>
      <c r="CV523" s="522"/>
      <c r="CW523" s="522"/>
      <c r="CX523" s="211"/>
      <c r="CY523" s="211"/>
      <c r="CZ523" s="211"/>
      <c r="DA523" s="211"/>
      <c r="DB523" s="211"/>
      <c r="DC523" s="211"/>
      <c r="DD523" s="211"/>
      <c r="DE523" s="211"/>
      <c r="DF523" s="60"/>
      <c r="DG523" s="60"/>
      <c r="DH523" s="60"/>
      <c r="DI523" s="60"/>
      <c r="DJ523" s="60"/>
    </row>
    <row r="524" spans="3:114" s="25" customFormat="1">
      <c r="C524" s="24"/>
      <c r="D524" s="24"/>
      <c r="G524" s="57"/>
      <c r="H524" s="57"/>
      <c r="I524" s="57"/>
      <c r="J524" s="57"/>
      <c r="K524" s="57"/>
      <c r="L524" s="57"/>
      <c r="M524" s="57"/>
      <c r="N524" s="57"/>
      <c r="O524" s="57"/>
      <c r="P524" s="57"/>
      <c r="Q524" s="57"/>
      <c r="R524" s="57"/>
      <c r="S524" s="57"/>
      <c r="T524" s="559"/>
      <c r="U524" s="29"/>
      <c r="V524" s="29"/>
      <c r="AJ524" s="1215"/>
      <c r="AK524" s="1142"/>
      <c r="AM524" s="42"/>
      <c r="AN524" s="42"/>
      <c r="AO524" s="42"/>
      <c r="AP524" s="42"/>
      <c r="AQ524" s="42"/>
      <c r="AR524" s="42"/>
      <c r="AS524" s="42"/>
      <c r="AT524" s="42"/>
      <c r="AU524" s="42"/>
      <c r="AV524" s="42"/>
      <c r="AW524" s="42"/>
      <c r="AX524" s="42"/>
      <c r="AY524" s="42"/>
      <c r="AZ524" s="42"/>
      <c r="BA524" s="42"/>
      <c r="BB524" s="42"/>
      <c r="BC524" s="42"/>
      <c r="BD524" s="42"/>
      <c r="BE524" s="42"/>
      <c r="BF524" s="42"/>
      <c r="BG524" s="42"/>
      <c r="BH524" s="42"/>
      <c r="BI524" s="42"/>
      <c r="BJ524" s="42"/>
      <c r="BK524" s="42"/>
      <c r="BL524" s="42"/>
      <c r="BM524" s="42"/>
      <c r="BN524" s="42"/>
      <c r="BO524" s="42"/>
      <c r="BP524" s="42"/>
      <c r="BQ524" s="42"/>
      <c r="BR524" s="42"/>
      <c r="BS524" s="42"/>
      <c r="BT524" s="42"/>
      <c r="BU524" s="42"/>
      <c r="BV524" s="42"/>
      <c r="BW524" s="42"/>
      <c r="BX524" s="42"/>
      <c r="BY524" s="42"/>
      <c r="BZ524" s="42"/>
      <c r="CA524" s="42"/>
      <c r="CB524" s="42"/>
      <c r="CC524" s="42"/>
      <c r="CD524" s="42"/>
      <c r="CE524" s="42"/>
      <c r="CF524" s="42"/>
      <c r="CG524" s="42"/>
      <c r="CH524" s="42"/>
      <c r="CS524" s="29"/>
      <c r="CT524" s="29"/>
      <c r="CU524" s="29"/>
      <c r="CV524" s="522"/>
      <c r="CW524" s="522"/>
      <c r="CX524" s="211"/>
      <c r="CY524" s="211"/>
      <c r="CZ524" s="211"/>
      <c r="DA524" s="211"/>
      <c r="DB524" s="211"/>
      <c r="DC524" s="211"/>
      <c r="DD524" s="211"/>
      <c r="DE524" s="211"/>
      <c r="DF524" s="60"/>
      <c r="DG524" s="60"/>
      <c r="DH524" s="60"/>
      <c r="DI524" s="60"/>
      <c r="DJ524" s="60"/>
    </row>
    <row r="525" spans="3:114" s="25" customFormat="1">
      <c r="C525" s="24"/>
      <c r="D525" s="24"/>
      <c r="G525" s="57"/>
      <c r="H525" s="57"/>
      <c r="I525" s="57"/>
      <c r="J525" s="57"/>
      <c r="K525" s="57"/>
      <c r="L525" s="57"/>
      <c r="M525" s="57"/>
      <c r="N525" s="57"/>
      <c r="O525" s="57"/>
      <c r="P525" s="57"/>
      <c r="Q525" s="57"/>
      <c r="R525" s="57"/>
      <c r="S525" s="57"/>
      <c r="T525" s="559"/>
      <c r="U525" s="29"/>
      <c r="V525" s="29"/>
      <c r="AJ525" s="1215"/>
      <c r="AK525" s="1142"/>
      <c r="AM525" s="42"/>
      <c r="AN525" s="42"/>
      <c r="AO525" s="42"/>
      <c r="AP525" s="42"/>
      <c r="AQ525" s="42"/>
      <c r="AR525" s="42"/>
      <c r="AS525" s="42"/>
      <c r="AT525" s="42"/>
      <c r="AU525" s="42"/>
      <c r="AV525" s="42"/>
      <c r="AW525" s="42"/>
      <c r="AX525" s="42"/>
      <c r="AY525" s="42"/>
      <c r="AZ525" s="42"/>
      <c r="BA525" s="42"/>
      <c r="BB525" s="42"/>
      <c r="BC525" s="42"/>
      <c r="BD525" s="42"/>
      <c r="BE525" s="42"/>
      <c r="BF525" s="42"/>
      <c r="BG525" s="42"/>
      <c r="BH525" s="42"/>
      <c r="BI525" s="42"/>
      <c r="BJ525" s="42"/>
      <c r="BK525" s="42"/>
      <c r="BL525" s="42"/>
      <c r="BM525" s="42"/>
      <c r="BN525" s="42"/>
      <c r="BO525" s="42"/>
      <c r="BP525" s="42"/>
      <c r="BQ525" s="42"/>
      <c r="BR525" s="42"/>
      <c r="BS525" s="42"/>
      <c r="BT525" s="42"/>
      <c r="BU525" s="42"/>
      <c r="BV525" s="42"/>
      <c r="BW525" s="42"/>
      <c r="BX525" s="42"/>
      <c r="BY525" s="42"/>
      <c r="BZ525" s="42"/>
      <c r="CA525" s="42"/>
      <c r="CB525" s="42"/>
      <c r="CC525" s="42"/>
      <c r="CD525" s="42"/>
      <c r="CE525" s="42"/>
      <c r="CF525" s="42"/>
      <c r="CG525" s="42"/>
      <c r="CH525" s="42"/>
      <c r="CS525" s="29"/>
      <c r="CT525" s="29"/>
      <c r="CU525" s="29"/>
      <c r="CV525" s="522"/>
      <c r="CW525" s="522"/>
      <c r="CX525" s="211"/>
      <c r="CY525" s="211"/>
      <c r="CZ525" s="211"/>
      <c r="DA525" s="211"/>
      <c r="DB525" s="211"/>
      <c r="DC525" s="211"/>
      <c r="DD525" s="211"/>
      <c r="DE525" s="211"/>
      <c r="DF525" s="60"/>
      <c r="DG525" s="60"/>
      <c r="DH525" s="60"/>
      <c r="DI525" s="60"/>
      <c r="DJ525" s="60"/>
    </row>
    <row r="526" spans="3:114" s="25" customFormat="1">
      <c r="C526" s="24"/>
      <c r="D526" s="24"/>
      <c r="G526" s="57"/>
      <c r="H526" s="57"/>
      <c r="I526" s="57"/>
      <c r="J526" s="57"/>
      <c r="K526" s="57"/>
      <c r="L526" s="57"/>
      <c r="M526" s="57"/>
      <c r="N526" s="57"/>
      <c r="O526" s="57"/>
      <c r="P526" s="57"/>
      <c r="Q526" s="57"/>
      <c r="R526" s="57"/>
      <c r="S526" s="57"/>
      <c r="T526" s="559"/>
      <c r="U526" s="29"/>
      <c r="V526" s="29"/>
      <c r="AJ526" s="1215"/>
      <c r="AK526" s="1142"/>
      <c r="AM526" s="42"/>
      <c r="AN526" s="42"/>
      <c r="AO526" s="42"/>
      <c r="AP526" s="42"/>
      <c r="AQ526" s="42"/>
      <c r="AR526" s="42"/>
      <c r="AS526" s="42"/>
      <c r="AT526" s="42"/>
      <c r="AU526" s="42"/>
      <c r="AV526" s="42"/>
      <c r="AW526" s="42"/>
      <c r="AX526" s="42"/>
      <c r="AY526" s="42"/>
      <c r="AZ526" s="42"/>
      <c r="BA526" s="42"/>
      <c r="BB526" s="42"/>
      <c r="BC526" s="42"/>
      <c r="BD526" s="42"/>
      <c r="BE526" s="42"/>
      <c r="BF526" s="42"/>
      <c r="BG526" s="42"/>
      <c r="BH526" s="42"/>
      <c r="BI526" s="42"/>
      <c r="BJ526" s="42"/>
      <c r="BK526" s="42"/>
      <c r="BL526" s="42"/>
      <c r="BM526" s="42"/>
      <c r="BN526" s="42"/>
      <c r="BO526" s="42"/>
      <c r="BP526" s="42"/>
      <c r="BQ526" s="42"/>
      <c r="BR526" s="42"/>
      <c r="BS526" s="42"/>
      <c r="BT526" s="42"/>
      <c r="BU526" s="42"/>
      <c r="BV526" s="42"/>
      <c r="BW526" s="42"/>
      <c r="BX526" s="42"/>
      <c r="BY526" s="42"/>
      <c r="BZ526" s="42"/>
      <c r="CA526" s="42"/>
      <c r="CB526" s="42"/>
      <c r="CC526" s="42"/>
      <c r="CD526" s="42"/>
      <c r="CE526" s="42"/>
      <c r="CF526" s="42"/>
      <c r="CG526" s="42"/>
      <c r="CH526" s="42"/>
      <c r="CS526" s="29"/>
      <c r="CT526" s="29"/>
      <c r="CU526" s="29"/>
      <c r="CV526" s="522"/>
      <c r="CW526" s="522"/>
      <c r="CX526" s="211"/>
      <c r="CY526" s="211"/>
      <c r="CZ526" s="211"/>
      <c r="DA526" s="211"/>
      <c r="DB526" s="211"/>
      <c r="DC526" s="211"/>
      <c r="DD526" s="211"/>
      <c r="DE526" s="211"/>
      <c r="DF526" s="60"/>
      <c r="DG526" s="60"/>
      <c r="DH526" s="60"/>
      <c r="DI526" s="60"/>
      <c r="DJ526" s="60"/>
    </row>
    <row r="527" spans="3:114" s="25" customFormat="1">
      <c r="C527" s="24"/>
      <c r="D527" s="24"/>
      <c r="G527" s="57"/>
      <c r="H527" s="57"/>
      <c r="I527" s="57"/>
      <c r="J527" s="57"/>
      <c r="K527" s="57"/>
      <c r="L527" s="57"/>
      <c r="M527" s="57"/>
      <c r="N527" s="57"/>
      <c r="O527" s="57"/>
      <c r="P527" s="57"/>
      <c r="Q527" s="57"/>
      <c r="R527" s="57"/>
      <c r="S527" s="57"/>
      <c r="T527" s="559"/>
      <c r="U527" s="29"/>
      <c r="V527" s="29"/>
      <c r="AJ527" s="1215"/>
      <c r="AK527" s="1142"/>
      <c r="AM527" s="42"/>
      <c r="AN527" s="42"/>
      <c r="AO527" s="42"/>
      <c r="AP527" s="42"/>
      <c r="AQ527" s="42"/>
      <c r="AR527" s="42"/>
      <c r="AS527" s="42"/>
      <c r="AT527" s="42"/>
      <c r="AU527" s="42"/>
      <c r="AV527" s="42"/>
      <c r="AW527" s="42"/>
      <c r="AX527" s="42"/>
      <c r="AY527" s="42"/>
      <c r="AZ527" s="42"/>
      <c r="BA527" s="42"/>
      <c r="BB527" s="42"/>
      <c r="BC527" s="42"/>
      <c r="BD527" s="42"/>
      <c r="BE527" s="42"/>
      <c r="BF527" s="42"/>
      <c r="BG527" s="42"/>
      <c r="BH527" s="42"/>
      <c r="BI527" s="42"/>
      <c r="BJ527" s="42"/>
      <c r="BK527" s="42"/>
      <c r="BL527" s="42"/>
      <c r="BM527" s="42"/>
      <c r="BN527" s="42"/>
      <c r="BO527" s="42"/>
      <c r="BP527" s="42"/>
      <c r="BQ527" s="42"/>
      <c r="BR527" s="42"/>
      <c r="BS527" s="42"/>
      <c r="BT527" s="42"/>
      <c r="BU527" s="42"/>
      <c r="BV527" s="42"/>
      <c r="BW527" s="42"/>
      <c r="BX527" s="42"/>
      <c r="BY527" s="42"/>
      <c r="BZ527" s="42"/>
      <c r="CA527" s="42"/>
      <c r="CB527" s="42"/>
      <c r="CC527" s="42"/>
      <c r="CD527" s="42"/>
      <c r="CE527" s="42"/>
      <c r="CF527" s="42"/>
      <c r="CG527" s="42"/>
      <c r="CH527" s="42"/>
      <c r="CS527" s="29"/>
      <c r="CT527" s="29"/>
      <c r="CU527" s="29"/>
      <c r="CV527" s="522"/>
      <c r="CW527" s="522"/>
      <c r="CX527" s="211"/>
      <c r="CY527" s="211"/>
      <c r="CZ527" s="211"/>
      <c r="DA527" s="211"/>
      <c r="DB527" s="211"/>
      <c r="DC527" s="211"/>
      <c r="DD527" s="211"/>
      <c r="DE527" s="211"/>
      <c r="DF527" s="60"/>
      <c r="DG527" s="60"/>
      <c r="DH527" s="60"/>
      <c r="DI527" s="60"/>
      <c r="DJ527" s="60"/>
    </row>
    <row r="528" spans="3:114" s="25" customFormat="1">
      <c r="C528" s="24"/>
      <c r="D528" s="24"/>
      <c r="G528" s="57"/>
      <c r="H528" s="57"/>
      <c r="I528" s="57"/>
      <c r="J528" s="57"/>
      <c r="K528" s="57"/>
      <c r="L528" s="57"/>
      <c r="M528" s="57"/>
      <c r="N528" s="57"/>
      <c r="O528" s="57"/>
      <c r="P528" s="57"/>
      <c r="Q528" s="57"/>
      <c r="R528" s="57"/>
      <c r="S528" s="57"/>
      <c r="T528" s="559"/>
      <c r="U528" s="29"/>
      <c r="V528" s="29"/>
      <c r="AJ528" s="1215"/>
      <c r="AK528" s="1142"/>
      <c r="AM528" s="42"/>
      <c r="AN528" s="42"/>
      <c r="AO528" s="42"/>
      <c r="AP528" s="42"/>
      <c r="AQ528" s="42"/>
      <c r="AR528" s="42"/>
      <c r="AS528" s="42"/>
      <c r="AT528" s="42"/>
      <c r="AU528" s="42"/>
      <c r="AV528" s="42"/>
      <c r="AW528" s="42"/>
      <c r="AX528" s="42"/>
      <c r="AY528" s="42"/>
      <c r="AZ528" s="42"/>
      <c r="BA528" s="42"/>
      <c r="BB528" s="42"/>
      <c r="BC528" s="42"/>
      <c r="BD528" s="42"/>
      <c r="BE528" s="42"/>
      <c r="BF528" s="42"/>
      <c r="BG528" s="42"/>
      <c r="BH528" s="42"/>
      <c r="BI528" s="42"/>
      <c r="BJ528" s="42"/>
      <c r="BK528" s="42"/>
      <c r="BL528" s="42"/>
      <c r="BM528" s="42"/>
      <c r="BN528" s="42"/>
      <c r="BO528" s="42"/>
      <c r="BP528" s="42"/>
      <c r="BQ528" s="42"/>
      <c r="BR528" s="42"/>
      <c r="BS528" s="42"/>
      <c r="BT528" s="42"/>
      <c r="BU528" s="42"/>
      <c r="BV528" s="42"/>
      <c r="BW528" s="42"/>
      <c r="BX528" s="42"/>
      <c r="BY528" s="42"/>
      <c r="BZ528" s="42"/>
      <c r="CA528" s="42"/>
      <c r="CB528" s="42"/>
      <c r="CC528" s="42"/>
      <c r="CD528" s="42"/>
      <c r="CE528" s="42"/>
      <c r="CF528" s="42"/>
      <c r="CG528" s="42"/>
      <c r="CH528" s="42"/>
      <c r="CS528" s="29"/>
      <c r="CT528" s="29"/>
      <c r="CU528" s="29"/>
      <c r="CV528" s="522"/>
      <c r="CW528" s="522"/>
      <c r="CX528" s="211"/>
      <c r="CY528" s="211"/>
      <c r="CZ528" s="211"/>
      <c r="DA528" s="211"/>
      <c r="DB528" s="211"/>
      <c r="DC528" s="211"/>
      <c r="DD528" s="211"/>
      <c r="DE528" s="211"/>
      <c r="DF528" s="60"/>
      <c r="DG528" s="60"/>
      <c r="DH528" s="60"/>
      <c r="DI528" s="60"/>
      <c r="DJ528" s="60"/>
    </row>
    <row r="529" spans="3:114" s="25" customFormat="1">
      <c r="C529" s="24"/>
      <c r="D529" s="24"/>
      <c r="G529" s="57"/>
      <c r="H529" s="57"/>
      <c r="I529" s="57"/>
      <c r="J529" s="57"/>
      <c r="K529" s="57"/>
      <c r="L529" s="57"/>
      <c r="M529" s="57"/>
      <c r="N529" s="57"/>
      <c r="O529" s="57"/>
      <c r="P529" s="57"/>
      <c r="Q529" s="57"/>
      <c r="R529" s="57"/>
      <c r="S529" s="57"/>
      <c r="T529" s="559"/>
      <c r="U529" s="29"/>
      <c r="V529" s="29"/>
      <c r="AJ529" s="1215"/>
      <c r="AK529" s="1142"/>
      <c r="AM529" s="42"/>
      <c r="AN529" s="42"/>
      <c r="AO529" s="42"/>
      <c r="AP529" s="42"/>
      <c r="AQ529" s="42"/>
      <c r="AR529" s="42"/>
      <c r="AS529" s="42"/>
      <c r="AT529" s="42"/>
      <c r="AU529" s="42"/>
      <c r="AV529" s="42"/>
      <c r="AW529" s="42"/>
      <c r="AX529" s="42"/>
      <c r="AY529" s="42"/>
      <c r="AZ529" s="42"/>
      <c r="BA529" s="42"/>
      <c r="BB529" s="42"/>
      <c r="BC529" s="42"/>
      <c r="BD529" s="42"/>
      <c r="BE529" s="42"/>
      <c r="BF529" s="42"/>
      <c r="BG529" s="42"/>
      <c r="BH529" s="42"/>
      <c r="BI529" s="42"/>
      <c r="BJ529" s="42"/>
      <c r="BK529" s="42"/>
      <c r="BL529" s="42"/>
      <c r="BM529" s="42"/>
      <c r="BN529" s="42"/>
      <c r="BO529" s="42"/>
      <c r="BP529" s="42"/>
      <c r="BQ529" s="42"/>
      <c r="BR529" s="42"/>
      <c r="BS529" s="42"/>
      <c r="BT529" s="42"/>
      <c r="BU529" s="42"/>
      <c r="BV529" s="42"/>
      <c r="BW529" s="42"/>
      <c r="BX529" s="42"/>
      <c r="BY529" s="42"/>
      <c r="BZ529" s="42"/>
      <c r="CA529" s="42"/>
      <c r="CB529" s="42"/>
      <c r="CC529" s="42"/>
      <c r="CD529" s="42"/>
      <c r="CE529" s="42"/>
      <c r="CF529" s="42"/>
      <c r="CG529" s="42"/>
      <c r="CH529" s="42"/>
      <c r="CS529" s="29"/>
      <c r="CT529" s="29"/>
      <c r="CU529" s="29"/>
      <c r="CV529" s="522"/>
      <c r="CW529" s="522"/>
      <c r="CX529" s="211"/>
      <c r="CY529" s="211"/>
      <c r="CZ529" s="211"/>
      <c r="DA529" s="211"/>
      <c r="DB529" s="211"/>
      <c r="DC529" s="211"/>
      <c r="DD529" s="211"/>
      <c r="DE529" s="211"/>
      <c r="DF529" s="60"/>
      <c r="DG529" s="60"/>
      <c r="DH529" s="60"/>
      <c r="DI529" s="60"/>
      <c r="DJ529" s="60"/>
    </row>
    <row r="530" spans="3:114" s="25" customFormat="1">
      <c r="C530" s="24"/>
      <c r="D530" s="24"/>
      <c r="G530" s="57"/>
      <c r="H530" s="57"/>
      <c r="I530" s="57"/>
      <c r="J530" s="57"/>
      <c r="K530" s="57"/>
      <c r="L530" s="57"/>
      <c r="M530" s="57"/>
      <c r="N530" s="57"/>
      <c r="O530" s="57"/>
      <c r="P530" s="57"/>
      <c r="Q530" s="57"/>
      <c r="R530" s="57"/>
      <c r="S530" s="57"/>
      <c r="T530" s="559"/>
      <c r="U530" s="29"/>
      <c r="V530" s="29"/>
      <c r="AJ530" s="1215"/>
      <c r="AK530" s="1142"/>
      <c r="AM530" s="42"/>
      <c r="AN530" s="42"/>
      <c r="AO530" s="42"/>
      <c r="AP530" s="42"/>
      <c r="AQ530" s="42"/>
      <c r="AR530" s="42"/>
      <c r="AS530" s="42"/>
      <c r="AT530" s="42"/>
      <c r="AU530" s="42"/>
      <c r="AV530" s="42"/>
      <c r="AW530" s="42"/>
      <c r="AX530" s="42"/>
      <c r="AY530" s="42"/>
      <c r="AZ530" s="42"/>
      <c r="BA530" s="42"/>
      <c r="BB530" s="42"/>
      <c r="BC530" s="42"/>
      <c r="BD530" s="42"/>
      <c r="BE530" s="42"/>
      <c r="BF530" s="42"/>
      <c r="BG530" s="42"/>
      <c r="BH530" s="42"/>
      <c r="BI530" s="42"/>
      <c r="BJ530" s="42"/>
      <c r="BK530" s="42"/>
      <c r="BL530" s="42"/>
      <c r="BM530" s="42"/>
      <c r="BN530" s="42"/>
      <c r="BO530" s="42"/>
      <c r="BP530" s="42"/>
      <c r="BQ530" s="42"/>
      <c r="BR530" s="42"/>
      <c r="BS530" s="42"/>
      <c r="BT530" s="42"/>
      <c r="BU530" s="42"/>
      <c r="BV530" s="42"/>
      <c r="BW530" s="42"/>
      <c r="BX530" s="42"/>
      <c r="BY530" s="42"/>
      <c r="BZ530" s="42"/>
      <c r="CA530" s="42"/>
      <c r="CB530" s="42"/>
      <c r="CC530" s="42"/>
      <c r="CD530" s="42"/>
      <c r="CE530" s="42"/>
      <c r="CF530" s="42"/>
      <c r="CG530" s="42"/>
      <c r="CH530" s="42"/>
      <c r="CS530" s="29"/>
      <c r="CT530" s="29"/>
      <c r="CU530" s="29"/>
      <c r="CV530" s="522"/>
      <c r="CW530" s="522"/>
      <c r="CX530" s="211"/>
      <c r="CY530" s="211"/>
      <c r="CZ530" s="211"/>
      <c r="DA530" s="211"/>
      <c r="DB530" s="211"/>
      <c r="DC530" s="211"/>
      <c r="DD530" s="211"/>
      <c r="DE530" s="211"/>
      <c r="DF530" s="60"/>
      <c r="DG530" s="60"/>
      <c r="DH530" s="60"/>
      <c r="DI530" s="60"/>
      <c r="DJ530" s="60"/>
    </row>
    <row r="531" spans="3:114" s="25" customFormat="1">
      <c r="C531" s="24"/>
      <c r="D531" s="24"/>
      <c r="G531" s="57"/>
      <c r="H531" s="57"/>
      <c r="I531" s="57"/>
      <c r="J531" s="57"/>
      <c r="K531" s="57"/>
      <c r="L531" s="57"/>
      <c r="M531" s="57"/>
      <c r="N531" s="57"/>
      <c r="O531" s="57"/>
      <c r="P531" s="57"/>
      <c r="Q531" s="57"/>
      <c r="R531" s="57"/>
      <c r="S531" s="57"/>
      <c r="T531" s="559"/>
      <c r="U531" s="29"/>
      <c r="V531" s="29"/>
      <c r="AJ531" s="1215"/>
      <c r="AK531" s="1142"/>
      <c r="AM531" s="42"/>
      <c r="AN531" s="42"/>
      <c r="AO531" s="42"/>
      <c r="AP531" s="42"/>
      <c r="AQ531" s="42"/>
      <c r="AR531" s="42"/>
      <c r="AS531" s="42"/>
      <c r="AT531" s="42"/>
      <c r="AU531" s="42"/>
      <c r="AV531" s="42"/>
      <c r="AW531" s="42"/>
      <c r="AX531" s="42"/>
      <c r="AY531" s="42"/>
      <c r="AZ531" s="42"/>
      <c r="BA531" s="42"/>
      <c r="BB531" s="42"/>
      <c r="BC531" s="42"/>
      <c r="BD531" s="42"/>
      <c r="BE531" s="42"/>
      <c r="BF531" s="42"/>
      <c r="BG531" s="42"/>
      <c r="BH531" s="42"/>
      <c r="BI531" s="42"/>
      <c r="BJ531" s="42"/>
      <c r="BK531" s="42"/>
      <c r="BL531" s="42"/>
      <c r="BM531" s="42"/>
      <c r="BN531" s="42"/>
      <c r="BO531" s="42"/>
      <c r="BP531" s="42"/>
      <c r="BQ531" s="42"/>
      <c r="BR531" s="42"/>
      <c r="BS531" s="42"/>
      <c r="BT531" s="42"/>
      <c r="BU531" s="42"/>
      <c r="BV531" s="42"/>
      <c r="BW531" s="42"/>
      <c r="BX531" s="42"/>
      <c r="BY531" s="42"/>
      <c r="BZ531" s="42"/>
      <c r="CA531" s="42"/>
      <c r="CB531" s="42"/>
      <c r="CC531" s="42"/>
      <c r="CD531" s="42"/>
      <c r="CE531" s="42"/>
      <c r="CF531" s="42"/>
      <c r="CG531" s="42"/>
      <c r="CH531" s="42"/>
      <c r="CS531" s="29"/>
      <c r="CT531" s="29"/>
      <c r="CU531" s="29"/>
      <c r="CV531" s="522"/>
      <c r="CW531" s="522"/>
      <c r="CX531" s="211"/>
      <c r="CY531" s="211"/>
      <c r="CZ531" s="211"/>
      <c r="DA531" s="211"/>
      <c r="DB531" s="211"/>
      <c r="DC531" s="211"/>
      <c r="DD531" s="211"/>
      <c r="DE531" s="211"/>
      <c r="DF531" s="60"/>
      <c r="DG531" s="60"/>
      <c r="DH531" s="60"/>
      <c r="DI531" s="60"/>
      <c r="DJ531" s="60"/>
    </row>
    <row r="532" spans="3:114" s="25" customFormat="1">
      <c r="C532" s="24"/>
      <c r="D532" s="24"/>
      <c r="G532" s="57"/>
      <c r="H532" s="57"/>
      <c r="I532" s="57"/>
      <c r="J532" s="57"/>
      <c r="K532" s="57"/>
      <c r="L532" s="57"/>
      <c r="M532" s="57"/>
      <c r="N532" s="57"/>
      <c r="O532" s="57"/>
      <c r="P532" s="57"/>
      <c r="Q532" s="57"/>
      <c r="R532" s="57"/>
      <c r="S532" s="57"/>
      <c r="T532" s="559"/>
      <c r="U532" s="29"/>
      <c r="V532" s="29"/>
      <c r="AJ532" s="1215"/>
      <c r="AK532" s="1142"/>
      <c r="AM532" s="42"/>
      <c r="AN532" s="42"/>
      <c r="AO532" s="42"/>
      <c r="AP532" s="42"/>
      <c r="AQ532" s="42"/>
      <c r="AR532" s="42"/>
      <c r="AS532" s="42"/>
      <c r="AT532" s="42"/>
      <c r="AU532" s="42"/>
      <c r="AV532" s="42"/>
      <c r="AW532" s="42"/>
      <c r="AX532" s="42"/>
      <c r="AY532" s="42"/>
      <c r="AZ532" s="42"/>
      <c r="BA532" s="42"/>
      <c r="BB532" s="42"/>
      <c r="BC532" s="42"/>
      <c r="BD532" s="42"/>
      <c r="BE532" s="42"/>
      <c r="BF532" s="42"/>
      <c r="BG532" s="42"/>
      <c r="BH532" s="42"/>
      <c r="BI532" s="42"/>
      <c r="BJ532" s="42"/>
      <c r="BK532" s="42"/>
      <c r="BL532" s="42"/>
      <c r="BM532" s="42"/>
      <c r="BN532" s="42"/>
      <c r="BO532" s="42"/>
      <c r="BP532" s="42"/>
      <c r="BQ532" s="42"/>
      <c r="BR532" s="42"/>
      <c r="BS532" s="42"/>
      <c r="BT532" s="42"/>
      <c r="BU532" s="42"/>
      <c r="BV532" s="42"/>
      <c r="BW532" s="42"/>
      <c r="BX532" s="42"/>
      <c r="BY532" s="42"/>
      <c r="BZ532" s="42"/>
      <c r="CA532" s="42"/>
      <c r="CB532" s="42"/>
      <c r="CC532" s="42"/>
      <c r="CD532" s="42"/>
      <c r="CE532" s="42"/>
      <c r="CF532" s="42"/>
      <c r="CG532" s="42"/>
      <c r="CH532" s="42"/>
      <c r="CS532" s="29"/>
      <c r="CT532" s="29"/>
      <c r="CU532" s="29"/>
      <c r="CV532" s="522"/>
      <c r="CW532" s="522"/>
      <c r="CX532" s="211"/>
      <c r="CY532" s="211"/>
      <c r="CZ532" s="211"/>
      <c r="DA532" s="211"/>
      <c r="DB532" s="211"/>
      <c r="DC532" s="211"/>
      <c r="DD532" s="211"/>
      <c r="DE532" s="211"/>
      <c r="DF532" s="60"/>
      <c r="DG532" s="60"/>
      <c r="DH532" s="60"/>
      <c r="DI532" s="60"/>
      <c r="DJ532" s="60"/>
    </row>
    <row r="533" spans="3:114" s="25" customFormat="1">
      <c r="C533" s="24"/>
      <c r="D533" s="24"/>
      <c r="G533" s="57"/>
      <c r="H533" s="57"/>
      <c r="I533" s="57"/>
      <c r="J533" s="57"/>
      <c r="K533" s="57"/>
      <c r="L533" s="57"/>
      <c r="M533" s="57"/>
      <c r="N533" s="57"/>
      <c r="O533" s="57"/>
      <c r="P533" s="57"/>
      <c r="Q533" s="57"/>
      <c r="R533" s="57"/>
      <c r="S533" s="57"/>
      <c r="T533" s="559"/>
      <c r="U533" s="29"/>
      <c r="V533" s="29"/>
      <c r="AJ533" s="1215"/>
      <c r="AK533" s="1142"/>
      <c r="AM533" s="42"/>
      <c r="AN533" s="42"/>
      <c r="AO533" s="42"/>
      <c r="AP533" s="42"/>
      <c r="AQ533" s="42"/>
      <c r="AR533" s="42"/>
      <c r="AS533" s="42"/>
      <c r="AT533" s="42"/>
      <c r="AU533" s="42"/>
      <c r="AV533" s="42"/>
      <c r="AW533" s="42"/>
      <c r="AX533" s="42"/>
      <c r="AY533" s="42"/>
      <c r="AZ533" s="42"/>
      <c r="BA533" s="42"/>
      <c r="BB533" s="42"/>
      <c r="BC533" s="42"/>
      <c r="BD533" s="42"/>
      <c r="BE533" s="42"/>
      <c r="BF533" s="42"/>
      <c r="BG533" s="42"/>
      <c r="BH533" s="42"/>
      <c r="BI533" s="42"/>
      <c r="BJ533" s="42"/>
      <c r="BK533" s="42"/>
      <c r="BL533" s="42"/>
      <c r="BM533" s="42"/>
      <c r="BN533" s="42"/>
      <c r="BO533" s="42"/>
      <c r="BP533" s="42"/>
      <c r="BQ533" s="42"/>
      <c r="BR533" s="42"/>
      <c r="BS533" s="42"/>
      <c r="BT533" s="42"/>
      <c r="BU533" s="42"/>
      <c r="BV533" s="42"/>
      <c r="BW533" s="42"/>
      <c r="BX533" s="42"/>
      <c r="BY533" s="42"/>
      <c r="BZ533" s="42"/>
      <c r="CA533" s="42"/>
      <c r="CB533" s="42"/>
      <c r="CC533" s="42"/>
      <c r="CD533" s="42"/>
      <c r="CE533" s="42"/>
      <c r="CF533" s="42"/>
      <c r="CG533" s="42"/>
      <c r="CH533" s="42"/>
      <c r="CS533" s="29"/>
      <c r="CT533" s="29"/>
      <c r="CU533" s="29"/>
      <c r="CV533" s="522"/>
      <c r="CW533" s="522"/>
      <c r="CX533" s="211"/>
      <c r="CY533" s="211"/>
      <c r="CZ533" s="211"/>
      <c r="DA533" s="211"/>
      <c r="DB533" s="211"/>
      <c r="DC533" s="211"/>
      <c r="DD533" s="211"/>
      <c r="DE533" s="211"/>
      <c r="DF533" s="60"/>
      <c r="DG533" s="60"/>
      <c r="DH533" s="60"/>
      <c r="DI533" s="60"/>
      <c r="DJ533" s="60"/>
    </row>
    <row r="534" spans="3:114" s="25" customFormat="1">
      <c r="C534" s="24"/>
      <c r="D534" s="24"/>
      <c r="G534" s="57"/>
      <c r="H534" s="57"/>
      <c r="I534" s="57"/>
      <c r="J534" s="57"/>
      <c r="K534" s="57"/>
      <c r="L534" s="57"/>
      <c r="M534" s="57"/>
      <c r="N534" s="57"/>
      <c r="O534" s="57"/>
      <c r="P534" s="57"/>
      <c r="Q534" s="57"/>
      <c r="R534" s="57"/>
      <c r="S534" s="57"/>
      <c r="T534" s="559"/>
      <c r="U534" s="29"/>
      <c r="V534" s="29"/>
      <c r="AJ534" s="1215"/>
      <c r="AK534" s="1142"/>
      <c r="AM534" s="42"/>
      <c r="AN534" s="42"/>
      <c r="AO534" s="42"/>
      <c r="AP534" s="42"/>
      <c r="AQ534" s="42"/>
      <c r="AR534" s="42"/>
      <c r="AS534" s="42"/>
      <c r="AT534" s="42"/>
      <c r="AU534" s="42"/>
      <c r="AV534" s="42"/>
      <c r="AW534" s="42"/>
      <c r="AX534" s="42"/>
      <c r="AY534" s="42"/>
      <c r="AZ534" s="42"/>
      <c r="BA534" s="42"/>
      <c r="BB534" s="42"/>
      <c r="BC534" s="42"/>
      <c r="BD534" s="42"/>
      <c r="BE534" s="42"/>
      <c r="BF534" s="42"/>
      <c r="BG534" s="42"/>
      <c r="BH534" s="42"/>
      <c r="BI534" s="42"/>
      <c r="BJ534" s="42"/>
      <c r="BK534" s="42"/>
      <c r="BL534" s="42"/>
      <c r="BM534" s="42"/>
      <c r="BN534" s="42"/>
      <c r="BO534" s="42"/>
      <c r="BP534" s="42"/>
      <c r="BQ534" s="42"/>
      <c r="BR534" s="42"/>
      <c r="BS534" s="42"/>
      <c r="BT534" s="42"/>
      <c r="BU534" s="42"/>
      <c r="BV534" s="42"/>
      <c r="BW534" s="42"/>
      <c r="BX534" s="42"/>
      <c r="BY534" s="42"/>
      <c r="BZ534" s="42"/>
      <c r="CA534" s="42"/>
      <c r="CB534" s="42"/>
      <c r="CC534" s="42"/>
      <c r="CD534" s="42"/>
      <c r="CE534" s="42"/>
      <c r="CF534" s="42"/>
      <c r="CG534" s="42"/>
      <c r="CH534" s="42"/>
      <c r="CS534" s="29"/>
      <c r="CT534" s="29"/>
      <c r="CU534" s="29"/>
      <c r="CV534" s="522"/>
      <c r="CW534" s="522"/>
      <c r="CX534" s="211"/>
      <c r="CY534" s="211"/>
      <c r="CZ534" s="211"/>
      <c r="DA534" s="211"/>
      <c r="DB534" s="211"/>
      <c r="DC534" s="211"/>
      <c r="DD534" s="211"/>
      <c r="DE534" s="211"/>
      <c r="DF534" s="60"/>
      <c r="DG534" s="60"/>
      <c r="DH534" s="60"/>
      <c r="DI534" s="60"/>
      <c r="DJ534" s="60"/>
    </row>
    <row r="535" spans="3:114" s="25" customFormat="1">
      <c r="C535" s="24"/>
      <c r="D535" s="24"/>
      <c r="G535" s="57"/>
      <c r="H535" s="57"/>
      <c r="I535" s="57"/>
      <c r="J535" s="57"/>
      <c r="K535" s="57"/>
      <c r="L535" s="57"/>
      <c r="M535" s="57"/>
      <c r="N535" s="57"/>
      <c r="O535" s="57"/>
      <c r="P535" s="57"/>
      <c r="Q535" s="57"/>
      <c r="R535" s="57"/>
      <c r="S535" s="57"/>
      <c r="T535" s="559"/>
      <c r="U535" s="29"/>
      <c r="V535" s="29"/>
      <c r="AJ535" s="1215"/>
      <c r="AK535" s="1142"/>
      <c r="AM535" s="42"/>
      <c r="AN535" s="42"/>
      <c r="AO535" s="42"/>
      <c r="AP535" s="42"/>
      <c r="AQ535" s="42"/>
      <c r="AR535" s="42"/>
      <c r="AS535" s="42"/>
      <c r="AT535" s="42"/>
      <c r="AU535" s="42"/>
      <c r="AV535" s="42"/>
      <c r="AW535" s="42"/>
      <c r="AX535" s="42"/>
      <c r="AY535" s="42"/>
      <c r="AZ535" s="42"/>
      <c r="BA535" s="42"/>
      <c r="BB535" s="42"/>
      <c r="BC535" s="42"/>
      <c r="BD535" s="42"/>
      <c r="BE535" s="42"/>
      <c r="BF535" s="42"/>
      <c r="BG535" s="42"/>
      <c r="BH535" s="42"/>
      <c r="BI535" s="42"/>
      <c r="BJ535" s="42"/>
      <c r="BK535" s="42"/>
      <c r="BL535" s="42"/>
      <c r="BM535" s="42"/>
      <c r="BN535" s="42"/>
      <c r="BO535" s="42"/>
      <c r="BP535" s="42"/>
      <c r="BQ535" s="42"/>
      <c r="BR535" s="42"/>
      <c r="BS535" s="42"/>
      <c r="BT535" s="42"/>
      <c r="BU535" s="42"/>
      <c r="BV535" s="42"/>
      <c r="BW535" s="42"/>
      <c r="BX535" s="42"/>
      <c r="BY535" s="42"/>
      <c r="BZ535" s="42"/>
      <c r="CA535" s="42"/>
      <c r="CB535" s="42"/>
      <c r="CC535" s="42"/>
      <c r="CD535" s="42"/>
      <c r="CE535" s="42"/>
      <c r="CF535" s="42"/>
      <c r="CG535" s="42"/>
      <c r="CH535" s="42"/>
      <c r="CS535" s="29"/>
      <c r="CT535" s="29"/>
      <c r="CU535" s="29"/>
      <c r="CV535" s="522"/>
      <c r="CW535" s="522"/>
      <c r="CX535" s="211"/>
      <c r="CY535" s="211"/>
      <c r="CZ535" s="211"/>
      <c r="DA535" s="211"/>
      <c r="DB535" s="211"/>
      <c r="DC535" s="211"/>
      <c r="DD535" s="211"/>
      <c r="DE535" s="211"/>
      <c r="DF535" s="60"/>
      <c r="DG535" s="60"/>
      <c r="DH535" s="60"/>
      <c r="DI535" s="60"/>
      <c r="DJ535" s="60"/>
    </row>
    <row r="536" spans="3:114" s="25" customFormat="1">
      <c r="C536" s="24"/>
      <c r="D536" s="24"/>
      <c r="G536" s="57"/>
      <c r="H536" s="57"/>
      <c r="I536" s="57"/>
      <c r="J536" s="57"/>
      <c r="K536" s="57"/>
      <c r="L536" s="57"/>
      <c r="M536" s="57"/>
      <c r="N536" s="57"/>
      <c r="O536" s="57"/>
      <c r="P536" s="57"/>
      <c r="Q536" s="57"/>
      <c r="R536" s="57"/>
      <c r="S536" s="57"/>
      <c r="T536" s="559"/>
      <c r="U536" s="29"/>
      <c r="V536" s="29"/>
      <c r="AJ536" s="1215"/>
      <c r="AK536" s="1142"/>
      <c r="AM536" s="42"/>
      <c r="AN536" s="42"/>
      <c r="AO536" s="42"/>
      <c r="AP536" s="42"/>
      <c r="AQ536" s="42"/>
      <c r="AR536" s="42"/>
      <c r="AS536" s="42"/>
      <c r="AT536" s="42"/>
      <c r="AU536" s="42"/>
      <c r="AV536" s="42"/>
      <c r="AW536" s="42"/>
      <c r="AX536" s="42"/>
      <c r="AY536" s="42"/>
      <c r="AZ536" s="42"/>
      <c r="BA536" s="42"/>
      <c r="BB536" s="42"/>
      <c r="BC536" s="42"/>
      <c r="BD536" s="42"/>
      <c r="BE536" s="42"/>
      <c r="BF536" s="42"/>
      <c r="BG536" s="42"/>
      <c r="BH536" s="42"/>
      <c r="BI536" s="42"/>
      <c r="BJ536" s="42"/>
      <c r="BK536" s="42"/>
      <c r="BL536" s="42"/>
      <c r="BM536" s="42"/>
      <c r="BN536" s="42"/>
      <c r="BO536" s="42"/>
      <c r="BP536" s="42"/>
      <c r="BQ536" s="42"/>
      <c r="BR536" s="42"/>
      <c r="BS536" s="42"/>
      <c r="BT536" s="42"/>
      <c r="BU536" s="42"/>
      <c r="BV536" s="42"/>
      <c r="BW536" s="42"/>
      <c r="BX536" s="42"/>
      <c r="BY536" s="42"/>
      <c r="BZ536" s="42"/>
      <c r="CA536" s="42"/>
      <c r="CB536" s="42"/>
      <c r="CC536" s="42"/>
      <c r="CD536" s="42"/>
      <c r="CE536" s="42"/>
      <c r="CF536" s="42"/>
      <c r="CG536" s="42"/>
      <c r="CH536" s="42"/>
      <c r="CS536" s="29"/>
      <c r="CT536" s="29"/>
      <c r="CU536" s="29"/>
      <c r="CV536" s="522"/>
      <c r="CW536" s="522"/>
      <c r="CX536" s="211"/>
      <c r="CY536" s="211"/>
      <c r="CZ536" s="211"/>
      <c r="DA536" s="211"/>
      <c r="DB536" s="211"/>
      <c r="DC536" s="211"/>
      <c r="DD536" s="211"/>
      <c r="DE536" s="211"/>
      <c r="DF536" s="60"/>
      <c r="DG536" s="60"/>
      <c r="DH536" s="60"/>
      <c r="DI536" s="60"/>
      <c r="DJ536" s="60"/>
    </row>
    <row r="537" spans="3:114" s="25" customFormat="1">
      <c r="C537" s="24"/>
      <c r="D537" s="24"/>
      <c r="G537" s="57"/>
      <c r="H537" s="57"/>
      <c r="I537" s="57"/>
      <c r="J537" s="57"/>
      <c r="K537" s="57"/>
      <c r="L537" s="57"/>
      <c r="M537" s="57"/>
      <c r="N537" s="57"/>
      <c r="O537" s="57"/>
      <c r="P537" s="57"/>
      <c r="Q537" s="57"/>
      <c r="R537" s="57"/>
      <c r="S537" s="57"/>
      <c r="T537" s="559"/>
      <c r="U537" s="29"/>
      <c r="V537" s="29"/>
      <c r="AJ537" s="1215"/>
      <c r="AK537" s="1142"/>
      <c r="AM537" s="42"/>
      <c r="AN537" s="42"/>
      <c r="AO537" s="42"/>
      <c r="AP537" s="42"/>
      <c r="AQ537" s="42"/>
      <c r="AR537" s="42"/>
      <c r="AS537" s="42"/>
      <c r="AT537" s="42"/>
      <c r="AU537" s="42"/>
      <c r="AV537" s="42"/>
      <c r="AW537" s="42"/>
      <c r="AX537" s="42"/>
      <c r="AY537" s="42"/>
      <c r="AZ537" s="42"/>
      <c r="BA537" s="42"/>
      <c r="BB537" s="42"/>
      <c r="BC537" s="42"/>
      <c r="BD537" s="42"/>
      <c r="BE537" s="42"/>
      <c r="BF537" s="42"/>
      <c r="BG537" s="42"/>
      <c r="BH537" s="42"/>
      <c r="BI537" s="42"/>
      <c r="BJ537" s="42"/>
      <c r="BK537" s="42"/>
      <c r="BL537" s="42"/>
      <c r="BM537" s="42"/>
      <c r="BN537" s="42"/>
      <c r="BO537" s="42"/>
      <c r="BP537" s="42"/>
      <c r="BQ537" s="42"/>
      <c r="BR537" s="42"/>
      <c r="BS537" s="42"/>
      <c r="BT537" s="42"/>
      <c r="BU537" s="42"/>
      <c r="BV537" s="42"/>
      <c r="BW537" s="42"/>
      <c r="BX537" s="42"/>
      <c r="BY537" s="42"/>
      <c r="BZ537" s="42"/>
      <c r="CA537" s="42"/>
      <c r="CB537" s="42"/>
      <c r="CC537" s="42"/>
      <c r="CD537" s="42"/>
      <c r="CE537" s="42"/>
      <c r="CF537" s="42"/>
      <c r="CG537" s="42"/>
      <c r="CH537" s="42"/>
      <c r="CS537" s="29"/>
      <c r="CT537" s="29"/>
      <c r="CU537" s="29"/>
      <c r="CV537" s="522"/>
      <c r="CW537" s="522"/>
      <c r="CX537" s="211"/>
      <c r="CY537" s="211"/>
      <c r="CZ537" s="211"/>
      <c r="DA537" s="211"/>
      <c r="DB537" s="211"/>
      <c r="DC537" s="211"/>
      <c r="DD537" s="211"/>
      <c r="DE537" s="211"/>
      <c r="DF537" s="60"/>
      <c r="DG537" s="60"/>
      <c r="DH537" s="60"/>
      <c r="DI537" s="60"/>
      <c r="DJ537" s="60"/>
    </row>
    <row r="538" spans="3:114" s="25" customFormat="1">
      <c r="C538" s="24"/>
      <c r="D538" s="24"/>
      <c r="G538" s="57"/>
      <c r="H538" s="57"/>
      <c r="I538" s="57"/>
      <c r="J538" s="57"/>
      <c r="K538" s="57"/>
      <c r="L538" s="57"/>
      <c r="M538" s="57"/>
      <c r="N538" s="57"/>
      <c r="O538" s="57"/>
      <c r="P538" s="57"/>
      <c r="Q538" s="57"/>
      <c r="R538" s="57"/>
      <c r="S538" s="57"/>
      <c r="T538" s="559"/>
      <c r="U538" s="29"/>
      <c r="V538" s="29"/>
      <c r="AJ538" s="1215"/>
      <c r="AK538" s="1142"/>
      <c r="AM538" s="42"/>
      <c r="AN538" s="42"/>
      <c r="AO538" s="42"/>
      <c r="AP538" s="42"/>
      <c r="AQ538" s="42"/>
      <c r="AR538" s="42"/>
      <c r="AS538" s="42"/>
      <c r="AT538" s="42"/>
      <c r="AU538" s="42"/>
      <c r="AV538" s="42"/>
      <c r="AW538" s="42"/>
      <c r="AX538" s="42"/>
      <c r="AY538" s="42"/>
      <c r="AZ538" s="42"/>
      <c r="BA538" s="42"/>
      <c r="BB538" s="42"/>
      <c r="BC538" s="42"/>
      <c r="BD538" s="42"/>
      <c r="BE538" s="42"/>
      <c r="BF538" s="42"/>
      <c r="BG538" s="42"/>
      <c r="BH538" s="42"/>
      <c r="BI538" s="42"/>
      <c r="BJ538" s="42"/>
      <c r="BK538" s="42"/>
      <c r="BL538" s="42"/>
      <c r="BM538" s="42"/>
      <c r="BN538" s="42"/>
      <c r="BO538" s="42"/>
      <c r="BP538" s="42"/>
      <c r="BQ538" s="42"/>
      <c r="BR538" s="42"/>
      <c r="BS538" s="42"/>
      <c r="BT538" s="42"/>
      <c r="BU538" s="42"/>
      <c r="BV538" s="42"/>
      <c r="BW538" s="42"/>
      <c r="BX538" s="42"/>
      <c r="BY538" s="42"/>
      <c r="BZ538" s="42"/>
      <c r="CA538" s="42"/>
      <c r="CB538" s="42"/>
      <c r="CC538" s="42"/>
      <c r="CD538" s="42"/>
      <c r="CE538" s="42"/>
      <c r="CF538" s="42"/>
      <c r="CG538" s="42"/>
      <c r="CH538" s="42"/>
      <c r="CS538" s="29"/>
      <c r="CT538" s="29"/>
      <c r="CU538" s="29"/>
      <c r="CV538" s="522"/>
      <c r="CW538" s="522"/>
      <c r="CX538" s="211"/>
      <c r="CY538" s="211"/>
      <c r="CZ538" s="211"/>
      <c r="DA538" s="211"/>
      <c r="DB538" s="211"/>
      <c r="DC538" s="211"/>
      <c r="DD538" s="211"/>
      <c r="DE538" s="211"/>
      <c r="DF538" s="60"/>
      <c r="DG538" s="60"/>
      <c r="DH538" s="60"/>
      <c r="DI538" s="60"/>
      <c r="DJ538" s="60"/>
    </row>
    <row r="539" spans="3:114" s="25" customFormat="1">
      <c r="C539" s="24"/>
      <c r="D539" s="24"/>
      <c r="G539" s="57"/>
      <c r="H539" s="57"/>
      <c r="I539" s="57"/>
      <c r="J539" s="57"/>
      <c r="K539" s="57"/>
      <c r="L539" s="57"/>
      <c r="M539" s="57"/>
      <c r="N539" s="57"/>
      <c r="O539" s="57"/>
      <c r="P539" s="57"/>
      <c r="Q539" s="57"/>
      <c r="R539" s="57"/>
      <c r="S539" s="57"/>
      <c r="T539" s="559"/>
      <c r="U539" s="29"/>
      <c r="V539" s="29"/>
      <c r="AJ539" s="1215"/>
      <c r="AK539" s="1142"/>
      <c r="AM539" s="42"/>
      <c r="AN539" s="42"/>
      <c r="AO539" s="42"/>
      <c r="AP539" s="42"/>
      <c r="AQ539" s="42"/>
      <c r="AR539" s="42"/>
      <c r="AS539" s="42"/>
      <c r="AT539" s="42"/>
      <c r="AU539" s="42"/>
      <c r="AV539" s="42"/>
      <c r="AW539" s="42"/>
      <c r="AX539" s="42"/>
      <c r="AY539" s="42"/>
      <c r="AZ539" s="42"/>
      <c r="BA539" s="42"/>
      <c r="BB539" s="42"/>
      <c r="BC539" s="42"/>
      <c r="BD539" s="42"/>
      <c r="BE539" s="42"/>
      <c r="BF539" s="42"/>
      <c r="BG539" s="42"/>
      <c r="BH539" s="42"/>
      <c r="BI539" s="42"/>
      <c r="BJ539" s="42"/>
      <c r="BK539" s="42"/>
      <c r="BL539" s="42"/>
      <c r="BM539" s="42"/>
      <c r="BN539" s="42"/>
      <c r="BO539" s="42"/>
      <c r="BP539" s="42"/>
      <c r="BQ539" s="42"/>
      <c r="BR539" s="42"/>
      <c r="BS539" s="42"/>
      <c r="BT539" s="42"/>
      <c r="BU539" s="42"/>
      <c r="BV539" s="42"/>
      <c r="BW539" s="42"/>
      <c r="BX539" s="42"/>
      <c r="BY539" s="42"/>
      <c r="BZ539" s="42"/>
      <c r="CA539" s="42"/>
      <c r="CB539" s="42"/>
      <c r="CC539" s="42"/>
      <c r="CD539" s="42"/>
      <c r="CE539" s="42"/>
      <c r="CF539" s="42"/>
      <c r="CG539" s="42"/>
      <c r="CH539" s="42"/>
      <c r="CS539" s="29"/>
      <c r="CT539" s="29"/>
      <c r="CU539" s="29"/>
      <c r="CV539" s="522"/>
      <c r="CW539" s="522"/>
      <c r="CX539" s="211"/>
      <c r="CY539" s="211"/>
      <c r="CZ539" s="211"/>
      <c r="DA539" s="211"/>
      <c r="DB539" s="211"/>
      <c r="DC539" s="211"/>
      <c r="DD539" s="211"/>
      <c r="DE539" s="211"/>
      <c r="DF539" s="60"/>
      <c r="DG539" s="60"/>
      <c r="DH539" s="60"/>
      <c r="DI539" s="60"/>
      <c r="DJ539" s="60"/>
    </row>
    <row r="540" spans="3:114" s="25" customFormat="1">
      <c r="C540" s="24"/>
      <c r="D540" s="24"/>
      <c r="G540" s="57"/>
      <c r="H540" s="57"/>
      <c r="I540" s="57"/>
      <c r="J540" s="57"/>
      <c r="K540" s="57"/>
      <c r="L540" s="57"/>
      <c r="M540" s="57"/>
      <c r="N540" s="57"/>
      <c r="O540" s="57"/>
      <c r="P540" s="57"/>
      <c r="Q540" s="57"/>
      <c r="R540" s="57"/>
      <c r="S540" s="57"/>
      <c r="T540" s="559"/>
      <c r="U540" s="29"/>
      <c r="V540" s="29"/>
      <c r="AJ540" s="1215"/>
      <c r="AK540" s="1142"/>
      <c r="AM540" s="42"/>
      <c r="AN540" s="42"/>
      <c r="AO540" s="42"/>
      <c r="AP540" s="42"/>
      <c r="AQ540" s="42"/>
      <c r="AR540" s="42"/>
      <c r="AS540" s="42"/>
      <c r="AT540" s="42"/>
      <c r="AU540" s="42"/>
      <c r="AV540" s="42"/>
      <c r="AW540" s="42"/>
      <c r="AX540" s="42"/>
      <c r="AY540" s="42"/>
      <c r="AZ540" s="42"/>
      <c r="BA540" s="42"/>
      <c r="BB540" s="42"/>
      <c r="BC540" s="42"/>
      <c r="BD540" s="42"/>
      <c r="BE540" s="42"/>
      <c r="BF540" s="42"/>
      <c r="BG540" s="42"/>
      <c r="BH540" s="42"/>
      <c r="BI540" s="42"/>
      <c r="BJ540" s="42"/>
      <c r="BK540" s="42"/>
      <c r="BL540" s="42"/>
      <c r="BM540" s="42"/>
      <c r="BN540" s="42"/>
      <c r="BO540" s="42"/>
      <c r="BP540" s="42"/>
      <c r="BQ540" s="42"/>
      <c r="BR540" s="42"/>
      <c r="BS540" s="42"/>
      <c r="BT540" s="42"/>
      <c r="BU540" s="42"/>
      <c r="BV540" s="42"/>
      <c r="BW540" s="42"/>
      <c r="BX540" s="42"/>
      <c r="BY540" s="42"/>
      <c r="BZ540" s="42"/>
      <c r="CA540" s="42"/>
      <c r="CB540" s="42"/>
      <c r="CC540" s="42"/>
      <c r="CD540" s="42"/>
      <c r="CE540" s="42"/>
      <c r="CF540" s="42"/>
      <c r="CG540" s="42"/>
      <c r="CH540" s="42"/>
      <c r="CS540" s="29"/>
      <c r="CT540" s="29"/>
      <c r="CU540" s="29"/>
      <c r="CV540" s="522"/>
      <c r="CW540" s="522"/>
      <c r="CX540" s="211"/>
      <c r="CY540" s="211"/>
      <c r="CZ540" s="211"/>
      <c r="DA540" s="211"/>
      <c r="DB540" s="211"/>
      <c r="DC540" s="211"/>
      <c r="DD540" s="211"/>
      <c r="DE540" s="211"/>
      <c r="DF540" s="60"/>
      <c r="DG540" s="60"/>
      <c r="DH540" s="60"/>
      <c r="DI540" s="60"/>
      <c r="DJ540" s="60"/>
    </row>
    <row r="541" spans="3:114" s="25" customFormat="1">
      <c r="C541" s="24"/>
      <c r="D541" s="24"/>
      <c r="G541" s="57"/>
      <c r="H541" s="57"/>
      <c r="I541" s="57"/>
      <c r="J541" s="57"/>
      <c r="K541" s="57"/>
      <c r="L541" s="57"/>
      <c r="M541" s="57"/>
      <c r="N541" s="57"/>
      <c r="O541" s="57"/>
      <c r="P541" s="57"/>
      <c r="Q541" s="57"/>
      <c r="R541" s="57"/>
      <c r="S541" s="57"/>
      <c r="T541" s="559"/>
      <c r="U541" s="29"/>
      <c r="V541" s="29"/>
      <c r="AJ541" s="1215"/>
      <c r="AK541" s="1142"/>
      <c r="AM541" s="42"/>
      <c r="AN541" s="42"/>
      <c r="AO541" s="42"/>
      <c r="AP541" s="42"/>
      <c r="AQ541" s="42"/>
      <c r="AR541" s="42"/>
      <c r="AS541" s="42"/>
      <c r="AT541" s="42"/>
      <c r="AU541" s="42"/>
      <c r="AV541" s="42"/>
      <c r="AW541" s="42"/>
      <c r="AX541" s="42"/>
      <c r="AY541" s="42"/>
      <c r="AZ541" s="42"/>
      <c r="BA541" s="42"/>
      <c r="BB541" s="42"/>
      <c r="BC541" s="42"/>
      <c r="BD541" s="42"/>
      <c r="BE541" s="42"/>
      <c r="BF541" s="42"/>
      <c r="BG541" s="42"/>
      <c r="BH541" s="42"/>
      <c r="BI541" s="42"/>
      <c r="BJ541" s="42"/>
      <c r="BK541" s="42"/>
      <c r="BL541" s="42"/>
      <c r="BM541" s="42"/>
      <c r="BN541" s="42"/>
      <c r="BO541" s="42"/>
      <c r="BP541" s="42"/>
      <c r="BQ541" s="42"/>
      <c r="BR541" s="42"/>
      <c r="BS541" s="42"/>
      <c r="BT541" s="42"/>
      <c r="BU541" s="42"/>
      <c r="BV541" s="42"/>
      <c r="BW541" s="42"/>
      <c r="BX541" s="42"/>
      <c r="BY541" s="42"/>
      <c r="BZ541" s="42"/>
      <c r="CA541" s="42"/>
      <c r="CB541" s="42"/>
      <c r="CC541" s="42"/>
      <c r="CD541" s="42"/>
      <c r="CE541" s="42"/>
      <c r="CF541" s="42"/>
      <c r="CG541" s="42"/>
      <c r="CH541" s="42"/>
      <c r="CS541" s="29"/>
      <c r="CT541" s="29"/>
      <c r="CU541" s="29"/>
      <c r="CV541" s="522"/>
      <c r="CW541" s="522"/>
      <c r="CX541" s="211"/>
      <c r="CY541" s="211"/>
      <c r="CZ541" s="211"/>
      <c r="DA541" s="211"/>
      <c r="DB541" s="211"/>
      <c r="DC541" s="211"/>
      <c r="DD541" s="211"/>
      <c r="DE541" s="211"/>
      <c r="DF541" s="60"/>
      <c r="DG541" s="60"/>
      <c r="DH541" s="60"/>
      <c r="DI541" s="60"/>
      <c r="DJ541" s="60"/>
    </row>
    <row r="542" spans="3:114" s="25" customFormat="1">
      <c r="C542" s="24"/>
      <c r="D542" s="24"/>
      <c r="G542" s="57"/>
      <c r="H542" s="57"/>
      <c r="I542" s="57"/>
      <c r="J542" s="57"/>
      <c r="K542" s="57"/>
      <c r="L542" s="57"/>
      <c r="M542" s="57"/>
      <c r="N542" s="57"/>
      <c r="O542" s="57"/>
      <c r="P542" s="57"/>
      <c r="Q542" s="57"/>
      <c r="R542" s="57"/>
      <c r="S542" s="57"/>
      <c r="T542" s="559"/>
      <c r="U542" s="29"/>
      <c r="V542" s="29"/>
      <c r="AJ542" s="1215"/>
      <c r="AK542" s="1142"/>
      <c r="AM542" s="42"/>
      <c r="AN542" s="42"/>
      <c r="AO542" s="42"/>
      <c r="AP542" s="42"/>
      <c r="AQ542" s="42"/>
      <c r="AR542" s="42"/>
      <c r="AS542" s="42"/>
      <c r="AT542" s="42"/>
      <c r="AU542" s="42"/>
      <c r="AV542" s="42"/>
      <c r="AW542" s="42"/>
      <c r="AX542" s="42"/>
      <c r="AY542" s="42"/>
      <c r="AZ542" s="42"/>
      <c r="BA542" s="42"/>
      <c r="BB542" s="42"/>
      <c r="BC542" s="42"/>
      <c r="BD542" s="42"/>
      <c r="BE542" s="42"/>
      <c r="BF542" s="42"/>
      <c r="BG542" s="42"/>
      <c r="BH542" s="42"/>
      <c r="BI542" s="42"/>
      <c r="BJ542" s="42"/>
      <c r="BK542" s="42"/>
      <c r="BL542" s="42"/>
      <c r="BM542" s="42"/>
      <c r="BN542" s="42"/>
      <c r="BO542" s="42"/>
      <c r="BP542" s="42"/>
      <c r="BQ542" s="42"/>
      <c r="BR542" s="42"/>
      <c r="BS542" s="42"/>
      <c r="BT542" s="42"/>
      <c r="BU542" s="42"/>
      <c r="BV542" s="42"/>
      <c r="BW542" s="42"/>
      <c r="BX542" s="42"/>
      <c r="BY542" s="42"/>
      <c r="BZ542" s="42"/>
      <c r="CA542" s="42"/>
      <c r="CB542" s="42"/>
      <c r="CC542" s="42"/>
      <c r="CD542" s="42"/>
      <c r="CE542" s="42"/>
      <c r="CF542" s="42"/>
      <c r="CG542" s="42"/>
      <c r="CH542" s="42"/>
      <c r="CS542" s="29"/>
      <c r="CT542" s="29"/>
      <c r="CU542" s="29"/>
      <c r="CV542" s="522"/>
      <c r="CW542" s="522"/>
      <c r="CX542" s="211"/>
      <c r="CY542" s="211"/>
      <c r="CZ542" s="211"/>
      <c r="DA542" s="211"/>
      <c r="DB542" s="211"/>
      <c r="DC542" s="211"/>
      <c r="DD542" s="211"/>
      <c r="DE542" s="211"/>
      <c r="DF542" s="60"/>
      <c r="DG542" s="60"/>
      <c r="DH542" s="60"/>
      <c r="DI542" s="60"/>
      <c r="DJ542" s="60"/>
    </row>
    <row r="543" spans="3:114" s="25" customFormat="1">
      <c r="C543" s="24"/>
      <c r="D543" s="24"/>
      <c r="G543" s="57"/>
      <c r="H543" s="57"/>
      <c r="I543" s="57"/>
      <c r="J543" s="57"/>
      <c r="K543" s="57"/>
      <c r="L543" s="57"/>
      <c r="M543" s="57"/>
      <c r="N543" s="57"/>
      <c r="O543" s="57"/>
      <c r="P543" s="57"/>
      <c r="Q543" s="57"/>
      <c r="R543" s="57"/>
      <c r="S543" s="57"/>
      <c r="T543" s="559"/>
      <c r="U543" s="29"/>
      <c r="V543" s="29"/>
      <c r="AJ543" s="1215"/>
      <c r="AK543" s="1142"/>
      <c r="AM543" s="42"/>
      <c r="AN543" s="42"/>
      <c r="AO543" s="42"/>
      <c r="AP543" s="42"/>
      <c r="AQ543" s="42"/>
      <c r="AR543" s="42"/>
      <c r="AS543" s="42"/>
      <c r="AT543" s="42"/>
      <c r="AU543" s="42"/>
      <c r="AV543" s="42"/>
      <c r="AW543" s="42"/>
      <c r="AX543" s="42"/>
      <c r="AY543" s="42"/>
      <c r="AZ543" s="42"/>
      <c r="BA543" s="42"/>
      <c r="BB543" s="42"/>
      <c r="BC543" s="42"/>
      <c r="BD543" s="42"/>
      <c r="BE543" s="42"/>
      <c r="BF543" s="42"/>
      <c r="BG543" s="42"/>
      <c r="BH543" s="42"/>
      <c r="BI543" s="42"/>
      <c r="BJ543" s="42"/>
      <c r="BK543" s="42"/>
      <c r="BL543" s="42"/>
      <c r="BM543" s="42"/>
      <c r="BN543" s="42"/>
      <c r="BO543" s="42"/>
      <c r="BP543" s="42"/>
      <c r="BQ543" s="42"/>
      <c r="BR543" s="42"/>
      <c r="BS543" s="42"/>
      <c r="BT543" s="42"/>
      <c r="BU543" s="42"/>
      <c r="BV543" s="42"/>
      <c r="BW543" s="42"/>
      <c r="BX543" s="42"/>
      <c r="BY543" s="42"/>
      <c r="BZ543" s="42"/>
      <c r="CA543" s="42"/>
      <c r="CB543" s="42"/>
      <c r="CC543" s="42"/>
      <c r="CD543" s="42"/>
      <c r="CE543" s="42"/>
      <c r="CF543" s="42"/>
      <c r="CG543" s="42"/>
      <c r="CH543" s="42"/>
      <c r="CS543" s="29"/>
      <c r="CT543" s="29"/>
      <c r="CU543" s="29"/>
      <c r="CV543" s="522"/>
      <c r="CW543" s="522"/>
      <c r="CX543" s="211"/>
      <c r="CY543" s="211"/>
      <c r="CZ543" s="211"/>
      <c r="DA543" s="211"/>
      <c r="DB543" s="211"/>
      <c r="DC543" s="211"/>
      <c r="DD543" s="211"/>
      <c r="DE543" s="211"/>
      <c r="DF543" s="60"/>
      <c r="DG543" s="60"/>
      <c r="DH543" s="60"/>
      <c r="DI543" s="60"/>
      <c r="DJ543" s="60"/>
    </row>
    <row r="544" spans="3:114" s="25" customFormat="1">
      <c r="C544" s="24"/>
      <c r="D544" s="24"/>
      <c r="G544" s="57"/>
      <c r="H544" s="57"/>
      <c r="I544" s="57"/>
      <c r="J544" s="57"/>
      <c r="K544" s="57"/>
      <c r="L544" s="57"/>
      <c r="M544" s="57"/>
      <c r="N544" s="57"/>
      <c r="O544" s="57"/>
      <c r="P544" s="57"/>
      <c r="Q544" s="57"/>
      <c r="R544" s="57"/>
      <c r="S544" s="57"/>
      <c r="T544" s="559"/>
      <c r="U544" s="29"/>
      <c r="V544" s="29"/>
      <c r="AJ544" s="1215"/>
      <c r="AK544" s="1142"/>
      <c r="AM544" s="42"/>
      <c r="AN544" s="42"/>
      <c r="AO544" s="42"/>
      <c r="AP544" s="42"/>
      <c r="AQ544" s="42"/>
      <c r="AR544" s="42"/>
      <c r="AS544" s="42"/>
      <c r="AT544" s="42"/>
      <c r="AU544" s="42"/>
      <c r="AV544" s="42"/>
      <c r="AW544" s="42"/>
      <c r="AX544" s="42"/>
      <c r="AY544" s="42"/>
      <c r="AZ544" s="42"/>
      <c r="BA544" s="42"/>
      <c r="BB544" s="42"/>
      <c r="BC544" s="42"/>
      <c r="BD544" s="42"/>
      <c r="BE544" s="42"/>
      <c r="BF544" s="42"/>
      <c r="BG544" s="42"/>
      <c r="BH544" s="42"/>
      <c r="BI544" s="42"/>
      <c r="BJ544" s="42"/>
      <c r="BK544" s="42"/>
      <c r="BL544" s="42"/>
      <c r="BM544" s="42"/>
      <c r="BN544" s="42"/>
      <c r="BO544" s="42"/>
      <c r="BP544" s="42"/>
      <c r="BQ544" s="42"/>
      <c r="BR544" s="42"/>
      <c r="BS544" s="42"/>
      <c r="BT544" s="42"/>
      <c r="BU544" s="42"/>
      <c r="BV544" s="42"/>
      <c r="BW544" s="42"/>
      <c r="BX544" s="42"/>
      <c r="BY544" s="42"/>
      <c r="BZ544" s="42"/>
      <c r="CA544" s="42"/>
      <c r="CB544" s="42"/>
      <c r="CC544" s="42"/>
      <c r="CD544" s="42"/>
      <c r="CE544" s="42"/>
      <c r="CF544" s="42"/>
      <c r="CG544" s="42"/>
      <c r="CH544" s="42"/>
      <c r="CS544" s="29"/>
      <c r="CT544" s="29"/>
      <c r="CU544" s="29"/>
      <c r="CV544" s="522"/>
      <c r="CW544" s="522"/>
      <c r="CX544" s="211"/>
      <c r="CY544" s="211"/>
      <c r="CZ544" s="211"/>
      <c r="DA544" s="211"/>
      <c r="DB544" s="211"/>
      <c r="DC544" s="211"/>
      <c r="DD544" s="211"/>
      <c r="DE544" s="211"/>
      <c r="DF544" s="60"/>
      <c r="DG544" s="60"/>
      <c r="DH544" s="60"/>
      <c r="DI544" s="60"/>
      <c r="DJ544" s="60"/>
    </row>
    <row r="545" spans="3:114" s="25" customFormat="1">
      <c r="C545" s="24"/>
      <c r="D545" s="24"/>
      <c r="G545" s="57"/>
      <c r="H545" s="57"/>
      <c r="I545" s="57"/>
      <c r="J545" s="57"/>
      <c r="K545" s="57"/>
      <c r="L545" s="57"/>
      <c r="M545" s="57"/>
      <c r="N545" s="57"/>
      <c r="O545" s="57"/>
      <c r="P545" s="57"/>
      <c r="Q545" s="57"/>
      <c r="R545" s="57"/>
      <c r="S545" s="57"/>
      <c r="T545" s="559"/>
      <c r="U545" s="29"/>
      <c r="V545" s="29"/>
      <c r="AJ545" s="1215"/>
      <c r="AK545" s="1142"/>
      <c r="AM545" s="42"/>
      <c r="AN545" s="42"/>
      <c r="AO545" s="42"/>
      <c r="AP545" s="42"/>
      <c r="AQ545" s="42"/>
      <c r="AR545" s="42"/>
      <c r="AS545" s="42"/>
      <c r="AT545" s="42"/>
      <c r="AU545" s="42"/>
      <c r="AV545" s="42"/>
      <c r="AW545" s="42"/>
      <c r="AX545" s="42"/>
      <c r="AY545" s="42"/>
      <c r="AZ545" s="42"/>
      <c r="BA545" s="42"/>
      <c r="BB545" s="42"/>
      <c r="BC545" s="42"/>
      <c r="BD545" s="42"/>
      <c r="BE545" s="42"/>
      <c r="BF545" s="42"/>
      <c r="BG545" s="42"/>
      <c r="BH545" s="42"/>
      <c r="BI545" s="42"/>
      <c r="BJ545" s="42"/>
      <c r="BK545" s="42"/>
      <c r="BL545" s="42"/>
      <c r="BM545" s="42"/>
      <c r="BN545" s="42"/>
      <c r="BO545" s="42"/>
      <c r="BP545" s="42"/>
      <c r="BQ545" s="42"/>
      <c r="BR545" s="42"/>
      <c r="BS545" s="42"/>
      <c r="BT545" s="42"/>
      <c r="BU545" s="42"/>
      <c r="BV545" s="42"/>
      <c r="BW545" s="42"/>
      <c r="BX545" s="42"/>
      <c r="BY545" s="42"/>
      <c r="BZ545" s="42"/>
      <c r="CA545" s="42"/>
      <c r="CB545" s="42"/>
      <c r="CC545" s="42"/>
      <c r="CD545" s="42"/>
      <c r="CE545" s="42"/>
      <c r="CF545" s="42"/>
      <c r="CG545" s="42"/>
      <c r="CH545" s="42"/>
      <c r="CS545" s="29"/>
      <c r="CT545" s="29"/>
      <c r="CU545" s="29"/>
      <c r="CV545" s="522"/>
      <c r="CW545" s="522"/>
      <c r="CX545" s="211"/>
      <c r="CY545" s="211"/>
      <c r="CZ545" s="211"/>
      <c r="DA545" s="211"/>
      <c r="DB545" s="211"/>
      <c r="DC545" s="211"/>
      <c r="DD545" s="211"/>
      <c r="DE545" s="211"/>
      <c r="DF545" s="60"/>
      <c r="DG545" s="60"/>
      <c r="DH545" s="60"/>
      <c r="DI545" s="60"/>
      <c r="DJ545" s="60"/>
    </row>
    <row r="546" spans="3:114" s="25" customFormat="1">
      <c r="C546" s="24"/>
      <c r="D546" s="24"/>
      <c r="G546" s="57"/>
      <c r="H546" s="57"/>
      <c r="I546" s="57"/>
      <c r="J546" s="57"/>
      <c r="K546" s="57"/>
      <c r="L546" s="57"/>
      <c r="M546" s="57"/>
      <c r="N546" s="57"/>
      <c r="O546" s="57"/>
      <c r="P546" s="57"/>
      <c r="Q546" s="57"/>
      <c r="R546" s="57"/>
      <c r="S546" s="57"/>
      <c r="T546" s="559"/>
      <c r="U546" s="29"/>
      <c r="V546" s="29"/>
      <c r="AJ546" s="1215"/>
      <c r="AK546" s="1142"/>
      <c r="AM546" s="42"/>
      <c r="AN546" s="42"/>
      <c r="AO546" s="42"/>
      <c r="AP546" s="42"/>
      <c r="AQ546" s="42"/>
      <c r="AR546" s="42"/>
      <c r="AS546" s="42"/>
      <c r="AT546" s="42"/>
      <c r="AU546" s="42"/>
      <c r="AV546" s="42"/>
      <c r="AW546" s="42"/>
      <c r="AX546" s="42"/>
      <c r="AY546" s="42"/>
      <c r="AZ546" s="42"/>
      <c r="BA546" s="42"/>
      <c r="BB546" s="42"/>
      <c r="BC546" s="42"/>
      <c r="BD546" s="42"/>
      <c r="BE546" s="42"/>
      <c r="BF546" s="42"/>
      <c r="BG546" s="42"/>
      <c r="BH546" s="42"/>
      <c r="BI546" s="42"/>
      <c r="BJ546" s="42"/>
      <c r="BK546" s="42"/>
      <c r="BL546" s="42"/>
      <c r="BM546" s="42"/>
      <c r="BN546" s="42"/>
      <c r="BO546" s="42"/>
      <c r="BP546" s="42"/>
      <c r="BQ546" s="42"/>
      <c r="BR546" s="42"/>
      <c r="BS546" s="42"/>
      <c r="BT546" s="42"/>
      <c r="BU546" s="42"/>
      <c r="BV546" s="42"/>
      <c r="BW546" s="42"/>
      <c r="BX546" s="42"/>
      <c r="BY546" s="42"/>
      <c r="BZ546" s="42"/>
      <c r="CA546" s="42"/>
      <c r="CB546" s="42"/>
      <c r="CC546" s="42"/>
      <c r="CD546" s="42"/>
      <c r="CE546" s="42"/>
      <c r="CF546" s="42"/>
      <c r="CG546" s="42"/>
      <c r="CH546" s="42"/>
      <c r="CS546" s="29"/>
      <c r="CT546" s="29"/>
      <c r="CU546" s="29"/>
      <c r="CV546" s="522"/>
      <c r="CW546" s="522"/>
      <c r="CX546" s="211"/>
      <c r="CY546" s="211"/>
      <c r="CZ546" s="211"/>
      <c r="DA546" s="211"/>
      <c r="DB546" s="211"/>
      <c r="DC546" s="211"/>
      <c r="DD546" s="211"/>
      <c r="DE546" s="211"/>
      <c r="DF546" s="60"/>
      <c r="DG546" s="60"/>
      <c r="DH546" s="60"/>
      <c r="DI546" s="60"/>
      <c r="DJ546" s="60"/>
    </row>
    <row r="547" spans="3:114" s="25" customFormat="1">
      <c r="C547" s="24"/>
      <c r="D547" s="24"/>
      <c r="G547" s="57"/>
      <c r="H547" s="57"/>
      <c r="I547" s="57"/>
      <c r="J547" s="57"/>
      <c r="K547" s="57"/>
      <c r="L547" s="57"/>
      <c r="M547" s="57"/>
      <c r="N547" s="57"/>
      <c r="O547" s="57"/>
      <c r="P547" s="57"/>
      <c r="Q547" s="57"/>
      <c r="R547" s="57"/>
      <c r="S547" s="57"/>
      <c r="T547" s="559"/>
      <c r="U547" s="29"/>
      <c r="V547" s="29"/>
      <c r="AJ547" s="1215"/>
      <c r="AK547" s="1142"/>
      <c r="AM547" s="42"/>
      <c r="AN547" s="42"/>
      <c r="AO547" s="42"/>
      <c r="AP547" s="42"/>
      <c r="AQ547" s="42"/>
      <c r="AR547" s="42"/>
      <c r="AS547" s="42"/>
      <c r="AT547" s="42"/>
      <c r="AU547" s="42"/>
      <c r="AV547" s="42"/>
      <c r="AW547" s="42"/>
      <c r="AX547" s="42"/>
      <c r="AY547" s="42"/>
      <c r="AZ547" s="42"/>
      <c r="BA547" s="42"/>
      <c r="BB547" s="42"/>
      <c r="BC547" s="42"/>
      <c r="BD547" s="42"/>
      <c r="BE547" s="42"/>
      <c r="BF547" s="42"/>
      <c r="BG547" s="42"/>
      <c r="BH547" s="42"/>
      <c r="BI547" s="42"/>
      <c r="BJ547" s="42"/>
      <c r="BK547" s="42"/>
      <c r="BL547" s="42"/>
      <c r="BM547" s="42"/>
      <c r="BN547" s="42"/>
      <c r="BO547" s="42"/>
      <c r="BP547" s="42"/>
      <c r="BQ547" s="42"/>
      <c r="BR547" s="42"/>
      <c r="BS547" s="42"/>
      <c r="BT547" s="42"/>
      <c r="BU547" s="42"/>
      <c r="BV547" s="42"/>
      <c r="BW547" s="42"/>
      <c r="BX547" s="42"/>
      <c r="BY547" s="42"/>
      <c r="BZ547" s="42"/>
      <c r="CA547" s="42"/>
      <c r="CB547" s="42"/>
      <c r="CC547" s="42"/>
      <c r="CD547" s="42"/>
      <c r="CE547" s="42"/>
      <c r="CF547" s="42"/>
      <c r="CG547" s="42"/>
      <c r="CH547" s="42"/>
      <c r="CS547" s="29"/>
      <c r="CT547" s="29"/>
      <c r="CU547" s="29"/>
      <c r="CV547" s="522"/>
      <c r="CW547" s="522"/>
      <c r="CX547" s="211"/>
      <c r="CY547" s="211"/>
      <c r="CZ547" s="211"/>
      <c r="DA547" s="211"/>
      <c r="DB547" s="211"/>
      <c r="DC547" s="211"/>
      <c r="DD547" s="211"/>
      <c r="DE547" s="211"/>
      <c r="DF547" s="60"/>
      <c r="DG547" s="60"/>
      <c r="DH547" s="60"/>
      <c r="DI547" s="60"/>
      <c r="DJ547" s="60"/>
    </row>
    <row r="548" spans="3:114" s="25" customFormat="1">
      <c r="C548" s="24"/>
      <c r="D548" s="24"/>
      <c r="G548" s="57"/>
      <c r="H548" s="57"/>
      <c r="I548" s="57"/>
      <c r="J548" s="57"/>
      <c r="K548" s="57"/>
      <c r="L548" s="57"/>
      <c r="M548" s="57"/>
      <c r="N548" s="57"/>
      <c r="O548" s="57"/>
      <c r="P548" s="57"/>
      <c r="Q548" s="57"/>
      <c r="R548" s="57"/>
      <c r="S548" s="57"/>
      <c r="T548" s="559"/>
      <c r="U548" s="29"/>
      <c r="V548" s="29"/>
      <c r="AJ548" s="1215"/>
      <c r="AK548" s="1142"/>
      <c r="AM548" s="42"/>
      <c r="AN548" s="42"/>
      <c r="AO548" s="42"/>
      <c r="AP548" s="42"/>
      <c r="AQ548" s="42"/>
      <c r="AR548" s="42"/>
      <c r="AS548" s="42"/>
      <c r="AT548" s="42"/>
      <c r="AU548" s="42"/>
      <c r="AV548" s="42"/>
      <c r="AW548" s="42"/>
      <c r="AX548" s="42"/>
      <c r="AY548" s="42"/>
      <c r="AZ548" s="42"/>
      <c r="BA548" s="42"/>
      <c r="BB548" s="42"/>
      <c r="BC548" s="42"/>
      <c r="BD548" s="42"/>
      <c r="BE548" s="42"/>
      <c r="BF548" s="42"/>
      <c r="BG548" s="42"/>
      <c r="BH548" s="42"/>
      <c r="BI548" s="42"/>
      <c r="BJ548" s="42"/>
      <c r="BK548" s="42"/>
      <c r="BL548" s="42"/>
      <c r="BM548" s="42"/>
      <c r="BN548" s="42"/>
      <c r="BO548" s="42"/>
      <c r="BP548" s="42"/>
      <c r="BQ548" s="42"/>
      <c r="BR548" s="42"/>
      <c r="BS548" s="42"/>
      <c r="BT548" s="42"/>
      <c r="BU548" s="42"/>
      <c r="BV548" s="42"/>
      <c r="BW548" s="42"/>
      <c r="BX548" s="42"/>
      <c r="BY548" s="42"/>
      <c r="BZ548" s="42"/>
      <c r="CA548" s="42"/>
      <c r="CB548" s="42"/>
      <c r="CC548" s="42"/>
      <c r="CD548" s="42"/>
      <c r="CE548" s="42"/>
      <c r="CF548" s="42"/>
      <c r="CG548" s="42"/>
      <c r="CH548" s="42"/>
      <c r="CS548" s="29"/>
      <c r="CT548" s="29"/>
      <c r="CU548" s="29"/>
      <c r="CV548" s="522"/>
      <c r="CW548" s="522"/>
      <c r="CX548" s="211"/>
      <c r="CY548" s="211"/>
      <c r="CZ548" s="211"/>
      <c r="DA548" s="211"/>
      <c r="DB548" s="211"/>
      <c r="DC548" s="211"/>
      <c r="DD548" s="211"/>
      <c r="DE548" s="211"/>
      <c r="DF548" s="60"/>
      <c r="DG548" s="60"/>
      <c r="DH548" s="60"/>
      <c r="DI548" s="60"/>
      <c r="DJ548" s="60"/>
    </row>
    <row r="549" spans="3:114" s="25" customFormat="1">
      <c r="C549" s="24"/>
      <c r="D549" s="24"/>
      <c r="G549" s="57"/>
      <c r="H549" s="57"/>
      <c r="I549" s="57"/>
      <c r="J549" s="57"/>
      <c r="K549" s="57"/>
      <c r="L549" s="57"/>
      <c r="M549" s="57"/>
      <c r="N549" s="57"/>
      <c r="O549" s="57"/>
      <c r="P549" s="57"/>
      <c r="Q549" s="57"/>
      <c r="R549" s="57"/>
      <c r="S549" s="57"/>
      <c r="T549" s="559"/>
      <c r="U549" s="29"/>
      <c r="V549" s="29"/>
      <c r="AJ549" s="1215"/>
      <c r="AK549" s="1142"/>
      <c r="AM549" s="42"/>
      <c r="AN549" s="42"/>
      <c r="AO549" s="42"/>
      <c r="AP549" s="42"/>
      <c r="AQ549" s="42"/>
      <c r="AR549" s="42"/>
      <c r="AS549" s="42"/>
      <c r="AT549" s="42"/>
      <c r="AU549" s="42"/>
      <c r="AV549" s="42"/>
      <c r="AW549" s="42"/>
      <c r="AX549" s="42"/>
      <c r="AY549" s="42"/>
      <c r="AZ549" s="42"/>
      <c r="BA549" s="42"/>
      <c r="BB549" s="42"/>
      <c r="BC549" s="42"/>
      <c r="BD549" s="42"/>
      <c r="BE549" s="42"/>
      <c r="BF549" s="42"/>
      <c r="BG549" s="42"/>
      <c r="BH549" s="42"/>
      <c r="BI549" s="42"/>
      <c r="BJ549" s="42"/>
      <c r="BK549" s="42"/>
      <c r="BL549" s="42"/>
      <c r="BM549" s="42"/>
      <c r="BN549" s="42"/>
      <c r="BO549" s="42"/>
      <c r="BP549" s="42"/>
      <c r="BQ549" s="42"/>
      <c r="BR549" s="42"/>
      <c r="BS549" s="42"/>
      <c r="BT549" s="42"/>
      <c r="BU549" s="42"/>
      <c r="BV549" s="42"/>
      <c r="BW549" s="42"/>
      <c r="BX549" s="42"/>
      <c r="BY549" s="42"/>
      <c r="BZ549" s="42"/>
      <c r="CA549" s="42"/>
      <c r="CB549" s="42"/>
      <c r="CC549" s="42"/>
      <c r="CD549" s="42"/>
      <c r="CE549" s="42"/>
      <c r="CF549" s="42"/>
      <c r="CG549" s="42"/>
      <c r="CH549" s="42"/>
      <c r="CS549" s="29"/>
      <c r="CT549" s="29"/>
      <c r="CU549" s="29"/>
      <c r="CV549" s="522"/>
      <c r="CW549" s="522"/>
      <c r="CX549" s="211"/>
      <c r="CY549" s="211"/>
      <c r="CZ549" s="211"/>
      <c r="DA549" s="211"/>
      <c r="DB549" s="211"/>
      <c r="DC549" s="211"/>
      <c r="DD549" s="211"/>
      <c r="DE549" s="211"/>
      <c r="DF549" s="60"/>
      <c r="DG549" s="60"/>
      <c r="DH549" s="60"/>
      <c r="DI549" s="60"/>
      <c r="DJ549" s="60"/>
    </row>
    <row r="550" spans="3:114" s="25" customFormat="1">
      <c r="C550" s="24"/>
      <c r="D550" s="24"/>
      <c r="G550" s="57"/>
      <c r="H550" s="57"/>
      <c r="I550" s="57"/>
      <c r="J550" s="57"/>
      <c r="K550" s="57"/>
      <c r="L550" s="57"/>
      <c r="M550" s="57"/>
      <c r="N550" s="57"/>
      <c r="O550" s="57"/>
      <c r="P550" s="57"/>
      <c r="Q550" s="57"/>
      <c r="R550" s="57"/>
      <c r="S550" s="57"/>
      <c r="T550" s="559"/>
      <c r="U550" s="29"/>
      <c r="V550" s="29"/>
      <c r="AJ550" s="1215"/>
      <c r="AK550" s="1142"/>
      <c r="AM550" s="42"/>
      <c r="AN550" s="42"/>
      <c r="AO550" s="42"/>
      <c r="AP550" s="42"/>
      <c r="AQ550" s="42"/>
      <c r="AR550" s="42"/>
      <c r="AS550" s="42"/>
      <c r="AT550" s="42"/>
      <c r="AU550" s="42"/>
      <c r="AV550" s="42"/>
      <c r="AW550" s="42"/>
      <c r="AX550" s="42"/>
      <c r="AY550" s="42"/>
      <c r="AZ550" s="42"/>
      <c r="BA550" s="42"/>
      <c r="BB550" s="42"/>
      <c r="BC550" s="42"/>
      <c r="BD550" s="42"/>
      <c r="BE550" s="42"/>
      <c r="BF550" s="42"/>
      <c r="BG550" s="42"/>
      <c r="BH550" s="42"/>
      <c r="BI550" s="42"/>
      <c r="BJ550" s="42"/>
      <c r="BK550" s="42"/>
      <c r="BL550" s="42"/>
      <c r="BM550" s="42"/>
      <c r="BN550" s="42"/>
      <c r="BO550" s="42"/>
      <c r="BP550" s="42"/>
      <c r="BQ550" s="42"/>
      <c r="BR550" s="42"/>
      <c r="BS550" s="42"/>
      <c r="BT550" s="42"/>
      <c r="BU550" s="42"/>
      <c r="BV550" s="42"/>
      <c r="BW550" s="42"/>
      <c r="BX550" s="42"/>
      <c r="BY550" s="42"/>
      <c r="BZ550" s="42"/>
      <c r="CA550" s="42"/>
      <c r="CB550" s="42"/>
      <c r="CC550" s="42"/>
      <c r="CD550" s="42"/>
      <c r="CE550" s="42"/>
      <c r="CF550" s="42"/>
      <c r="CG550" s="42"/>
      <c r="CH550" s="42"/>
      <c r="CS550" s="29"/>
      <c r="CT550" s="29"/>
      <c r="CU550" s="29"/>
      <c r="CV550" s="522"/>
      <c r="CW550" s="522"/>
      <c r="CX550" s="211"/>
      <c r="CY550" s="211"/>
      <c r="CZ550" s="211"/>
      <c r="DA550" s="211"/>
      <c r="DB550" s="211"/>
      <c r="DC550" s="211"/>
      <c r="DD550" s="211"/>
      <c r="DE550" s="211"/>
      <c r="DF550" s="60"/>
      <c r="DG550" s="60"/>
      <c r="DH550" s="60"/>
      <c r="DI550" s="60"/>
      <c r="DJ550" s="60"/>
    </row>
    <row r="551" spans="3:114" s="25" customFormat="1">
      <c r="C551" s="24"/>
      <c r="D551" s="24"/>
      <c r="G551" s="57"/>
      <c r="H551" s="57"/>
      <c r="I551" s="57"/>
      <c r="J551" s="57"/>
      <c r="K551" s="57"/>
      <c r="L551" s="57"/>
      <c r="M551" s="57"/>
      <c r="N551" s="57"/>
      <c r="O551" s="57"/>
      <c r="P551" s="57"/>
      <c r="Q551" s="57"/>
      <c r="R551" s="57"/>
      <c r="S551" s="57"/>
      <c r="T551" s="559"/>
      <c r="U551" s="29"/>
      <c r="V551" s="29"/>
      <c r="AJ551" s="1215"/>
      <c r="AK551" s="1142"/>
      <c r="AM551" s="42"/>
      <c r="AN551" s="42"/>
      <c r="AO551" s="42"/>
      <c r="AP551" s="42"/>
      <c r="AQ551" s="42"/>
      <c r="AR551" s="42"/>
      <c r="AS551" s="42"/>
      <c r="AT551" s="42"/>
      <c r="AU551" s="42"/>
      <c r="AV551" s="42"/>
      <c r="AW551" s="42"/>
      <c r="AX551" s="42"/>
      <c r="AY551" s="42"/>
      <c r="AZ551" s="42"/>
      <c r="BA551" s="42"/>
      <c r="BB551" s="42"/>
      <c r="BC551" s="42"/>
      <c r="BD551" s="42"/>
      <c r="BE551" s="42"/>
      <c r="BF551" s="42"/>
      <c r="BG551" s="42"/>
      <c r="BH551" s="42"/>
      <c r="BI551" s="42"/>
      <c r="BJ551" s="42"/>
      <c r="BK551" s="42"/>
      <c r="BL551" s="42"/>
      <c r="BM551" s="42"/>
      <c r="BN551" s="42"/>
      <c r="BO551" s="42"/>
      <c r="BP551" s="42"/>
      <c r="BQ551" s="42"/>
      <c r="BR551" s="42"/>
      <c r="BS551" s="42"/>
      <c r="BT551" s="42"/>
      <c r="BU551" s="42"/>
      <c r="BV551" s="42"/>
      <c r="BW551" s="42"/>
      <c r="BX551" s="42"/>
      <c r="BY551" s="42"/>
      <c r="BZ551" s="42"/>
      <c r="CA551" s="42"/>
      <c r="CB551" s="42"/>
      <c r="CC551" s="42"/>
      <c r="CD551" s="42"/>
      <c r="CE551" s="42"/>
      <c r="CF551" s="42"/>
      <c r="CG551" s="42"/>
      <c r="CH551" s="42"/>
      <c r="CS551" s="29"/>
      <c r="CT551" s="29"/>
      <c r="CU551" s="29"/>
      <c r="CV551" s="522"/>
      <c r="CW551" s="522"/>
      <c r="CX551" s="211"/>
      <c r="CY551" s="211"/>
      <c r="CZ551" s="211"/>
      <c r="DA551" s="211"/>
      <c r="DB551" s="211"/>
      <c r="DC551" s="211"/>
      <c r="DD551" s="211"/>
      <c r="DE551" s="211"/>
      <c r="DF551" s="60"/>
      <c r="DG551" s="60"/>
      <c r="DH551" s="60"/>
      <c r="DI551" s="60"/>
      <c r="DJ551" s="60"/>
    </row>
    <row r="552" spans="3:114" s="25" customFormat="1">
      <c r="C552" s="24"/>
      <c r="D552" s="24"/>
      <c r="G552" s="57"/>
      <c r="H552" s="57"/>
      <c r="I552" s="57"/>
      <c r="J552" s="57"/>
      <c r="K552" s="57"/>
      <c r="L552" s="57"/>
      <c r="M552" s="57"/>
      <c r="N552" s="57"/>
      <c r="O552" s="57"/>
      <c r="P552" s="57"/>
      <c r="Q552" s="57"/>
      <c r="R552" s="57"/>
      <c r="S552" s="57"/>
      <c r="T552" s="559"/>
      <c r="U552" s="29"/>
      <c r="V552" s="29"/>
      <c r="AJ552" s="1215"/>
      <c r="AK552" s="1142"/>
      <c r="AM552" s="42"/>
      <c r="AN552" s="42"/>
      <c r="AO552" s="42"/>
      <c r="AP552" s="42"/>
      <c r="AQ552" s="42"/>
      <c r="AR552" s="42"/>
      <c r="AS552" s="42"/>
      <c r="AT552" s="42"/>
      <c r="AU552" s="42"/>
      <c r="AV552" s="42"/>
      <c r="AW552" s="42"/>
      <c r="AX552" s="42"/>
      <c r="AY552" s="42"/>
      <c r="AZ552" s="42"/>
      <c r="BA552" s="42"/>
      <c r="BB552" s="42"/>
      <c r="BC552" s="42"/>
      <c r="BD552" s="42"/>
      <c r="BE552" s="42"/>
      <c r="BF552" s="42"/>
      <c r="BG552" s="42"/>
      <c r="BH552" s="42"/>
      <c r="BI552" s="42"/>
      <c r="BJ552" s="42"/>
      <c r="BK552" s="42"/>
      <c r="BL552" s="42"/>
      <c r="BM552" s="42"/>
      <c r="BN552" s="42"/>
      <c r="BO552" s="42"/>
      <c r="BP552" s="42"/>
      <c r="BQ552" s="42"/>
      <c r="BR552" s="42"/>
      <c r="BS552" s="42"/>
      <c r="BT552" s="42"/>
      <c r="BU552" s="42"/>
      <c r="BV552" s="42"/>
      <c r="BW552" s="42"/>
      <c r="BX552" s="42"/>
      <c r="BY552" s="42"/>
      <c r="BZ552" s="42"/>
      <c r="CA552" s="42"/>
      <c r="CB552" s="42"/>
      <c r="CC552" s="42"/>
      <c r="CD552" s="42"/>
      <c r="CE552" s="42"/>
      <c r="CF552" s="42"/>
      <c r="CG552" s="42"/>
      <c r="CH552" s="42"/>
      <c r="CS552" s="29"/>
      <c r="CT552" s="29"/>
      <c r="CU552" s="29"/>
      <c r="CV552" s="522"/>
      <c r="CW552" s="522"/>
      <c r="CX552" s="211"/>
      <c r="CY552" s="211"/>
      <c r="CZ552" s="211"/>
      <c r="DA552" s="211"/>
      <c r="DB552" s="211"/>
      <c r="DC552" s="211"/>
      <c r="DD552" s="211"/>
      <c r="DE552" s="211"/>
      <c r="DF552" s="60"/>
      <c r="DG552" s="60"/>
      <c r="DH552" s="60"/>
      <c r="DI552" s="60"/>
      <c r="DJ552" s="60"/>
    </row>
    <row r="553" spans="3:114" s="25" customFormat="1">
      <c r="C553" s="24"/>
      <c r="D553" s="24"/>
      <c r="G553" s="57"/>
      <c r="H553" s="57"/>
      <c r="I553" s="57"/>
      <c r="J553" s="57"/>
      <c r="K553" s="57"/>
      <c r="L553" s="57"/>
      <c r="M553" s="57"/>
      <c r="N553" s="57"/>
      <c r="O553" s="57"/>
      <c r="P553" s="57"/>
      <c r="Q553" s="57"/>
      <c r="R553" s="57"/>
      <c r="S553" s="57"/>
      <c r="T553" s="559"/>
      <c r="U553" s="29"/>
      <c r="V553" s="29"/>
      <c r="AJ553" s="1215"/>
      <c r="AK553" s="1142"/>
      <c r="AM553" s="42"/>
      <c r="AN553" s="42"/>
      <c r="AO553" s="42"/>
      <c r="AP553" s="42"/>
      <c r="AQ553" s="42"/>
      <c r="AR553" s="42"/>
      <c r="AS553" s="42"/>
      <c r="AT553" s="42"/>
      <c r="AU553" s="42"/>
      <c r="AV553" s="42"/>
      <c r="AW553" s="42"/>
      <c r="AX553" s="42"/>
      <c r="AY553" s="42"/>
      <c r="AZ553" s="42"/>
      <c r="BA553" s="42"/>
      <c r="BB553" s="42"/>
      <c r="BC553" s="42"/>
      <c r="BD553" s="42"/>
      <c r="BE553" s="42"/>
      <c r="BF553" s="42"/>
      <c r="BG553" s="42"/>
      <c r="BH553" s="42"/>
      <c r="BI553" s="42"/>
      <c r="BJ553" s="42"/>
      <c r="BK553" s="42"/>
      <c r="BL553" s="42"/>
      <c r="BM553" s="42"/>
      <c r="BN553" s="42"/>
      <c r="BO553" s="42"/>
      <c r="BP553" s="42"/>
      <c r="BQ553" s="42"/>
      <c r="BR553" s="42"/>
      <c r="BS553" s="42"/>
      <c r="BT553" s="42"/>
      <c r="BU553" s="42"/>
      <c r="BV553" s="42"/>
      <c r="BW553" s="42"/>
      <c r="BX553" s="42"/>
      <c r="BY553" s="42"/>
      <c r="BZ553" s="42"/>
      <c r="CA553" s="42"/>
      <c r="CB553" s="42"/>
      <c r="CC553" s="42"/>
      <c r="CD553" s="42"/>
      <c r="CE553" s="42"/>
      <c r="CF553" s="42"/>
      <c r="CG553" s="42"/>
      <c r="CH553" s="42"/>
      <c r="CS553" s="29"/>
      <c r="CT553" s="29"/>
      <c r="CU553" s="29"/>
      <c r="CV553" s="522"/>
      <c r="CW553" s="522"/>
      <c r="CX553" s="211"/>
      <c r="CY553" s="211"/>
      <c r="CZ553" s="211"/>
      <c r="DA553" s="211"/>
      <c r="DB553" s="211"/>
      <c r="DC553" s="211"/>
      <c r="DD553" s="211"/>
      <c r="DE553" s="211"/>
      <c r="DF553" s="60"/>
      <c r="DG553" s="60"/>
      <c r="DH553" s="60"/>
      <c r="DI553" s="60"/>
      <c r="DJ553" s="60"/>
    </row>
    <row r="554" spans="3:114" s="25" customFormat="1">
      <c r="C554" s="24"/>
      <c r="D554" s="24"/>
      <c r="G554" s="57"/>
      <c r="H554" s="57"/>
      <c r="I554" s="57"/>
      <c r="J554" s="57"/>
      <c r="K554" s="57"/>
      <c r="L554" s="57"/>
      <c r="M554" s="57"/>
      <c r="N554" s="57"/>
      <c r="O554" s="57"/>
      <c r="P554" s="57"/>
      <c r="Q554" s="57"/>
      <c r="R554" s="57"/>
      <c r="S554" s="57"/>
      <c r="T554" s="559"/>
      <c r="U554" s="29"/>
      <c r="V554" s="29"/>
      <c r="AJ554" s="1215"/>
      <c r="AK554" s="1142"/>
      <c r="AM554" s="42"/>
      <c r="AN554" s="42"/>
      <c r="AO554" s="42"/>
      <c r="AP554" s="42"/>
      <c r="AQ554" s="42"/>
      <c r="AR554" s="42"/>
      <c r="AS554" s="42"/>
      <c r="AT554" s="42"/>
      <c r="AU554" s="42"/>
      <c r="AV554" s="42"/>
      <c r="AW554" s="42"/>
      <c r="AX554" s="42"/>
      <c r="AY554" s="42"/>
      <c r="AZ554" s="42"/>
      <c r="BA554" s="42"/>
      <c r="BB554" s="42"/>
      <c r="BC554" s="42"/>
      <c r="BD554" s="42"/>
      <c r="BE554" s="42"/>
      <c r="BF554" s="42"/>
      <c r="BG554" s="42"/>
      <c r="BH554" s="42"/>
      <c r="BI554" s="42"/>
      <c r="BJ554" s="42"/>
      <c r="BK554" s="42"/>
      <c r="BL554" s="42"/>
      <c r="BM554" s="42"/>
      <c r="BN554" s="42"/>
      <c r="BO554" s="42"/>
      <c r="BP554" s="42"/>
      <c r="BQ554" s="42"/>
      <c r="BR554" s="42"/>
      <c r="BS554" s="42"/>
      <c r="BT554" s="42"/>
      <c r="BU554" s="42"/>
      <c r="BV554" s="42"/>
      <c r="BW554" s="42"/>
      <c r="BX554" s="42"/>
      <c r="BY554" s="42"/>
      <c r="BZ554" s="42"/>
      <c r="CA554" s="42"/>
      <c r="CB554" s="42"/>
      <c r="CC554" s="42"/>
      <c r="CD554" s="42"/>
      <c r="CE554" s="42"/>
      <c r="CF554" s="42"/>
      <c r="CG554" s="42"/>
      <c r="CH554" s="42"/>
      <c r="CS554" s="29"/>
      <c r="CT554" s="29"/>
      <c r="CU554" s="29"/>
      <c r="CV554" s="522"/>
      <c r="CW554" s="522"/>
      <c r="CX554" s="211"/>
      <c r="CY554" s="211"/>
      <c r="CZ554" s="211"/>
      <c r="DA554" s="211"/>
      <c r="DB554" s="211"/>
      <c r="DC554" s="211"/>
      <c r="DD554" s="211"/>
      <c r="DE554" s="211"/>
      <c r="DF554" s="60"/>
      <c r="DG554" s="60"/>
      <c r="DH554" s="60"/>
      <c r="DI554" s="60"/>
      <c r="DJ554" s="60"/>
    </row>
    <row r="555" spans="3:114" s="25" customFormat="1">
      <c r="C555" s="24"/>
      <c r="D555" s="24"/>
      <c r="G555" s="57"/>
      <c r="H555" s="57"/>
      <c r="I555" s="57"/>
      <c r="J555" s="57"/>
      <c r="K555" s="57"/>
      <c r="L555" s="57"/>
      <c r="M555" s="57"/>
      <c r="N555" s="57"/>
      <c r="O555" s="57"/>
      <c r="P555" s="57"/>
      <c r="Q555" s="57"/>
      <c r="R555" s="57"/>
      <c r="S555" s="57"/>
      <c r="T555" s="559"/>
      <c r="U555" s="29"/>
      <c r="V555" s="29"/>
      <c r="AJ555" s="1215"/>
      <c r="AK555" s="1142"/>
      <c r="AM555" s="42"/>
      <c r="AN555" s="42"/>
      <c r="AO555" s="42"/>
      <c r="AP555" s="42"/>
      <c r="AQ555" s="42"/>
      <c r="AR555" s="42"/>
      <c r="AS555" s="42"/>
      <c r="AT555" s="42"/>
      <c r="AU555" s="42"/>
      <c r="AV555" s="42"/>
      <c r="AW555" s="42"/>
      <c r="AX555" s="42"/>
      <c r="AY555" s="42"/>
      <c r="AZ555" s="42"/>
      <c r="BA555" s="42"/>
      <c r="BB555" s="42"/>
      <c r="BC555" s="42"/>
      <c r="BD555" s="42"/>
      <c r="BE555" s="42"/>
      <c r="BF555" s="42"/>
      <c r="BG555" s="42"/>
      <c r="BH555" s="42"/>
      <c r="BI555" s="42"/>
      <c r="BJ555" s="42"/>
      <c r="BK555" s="42"/>
      <c r="BL555" s="42"/>
      <c r="BM555" s="42"/>
      <c r="BN555" s="42"/>
      <c r="BO555" s="42"/>
      <c r="BP555" s="42"/>
      <c r="BQ555" s="42"/>
      <c r="BR555" s="42"/>
      <c r="BS555" s="42"/>
      <c r="BT555" s="42"/>
      <c r="BU555" s="42"/>
      <c r="BV555" s="42"/>
      <c r="BW555" s="42"/>
      <c r="BX555" s="42"/>
      <c r="BY555" s="42"/>
      <c r="BZ555" s="42"/>
      <c r="CA555" s="42"/>
      <c r="CB555" s="42"/>
      <c r="CC555" s="42"/>
      <c r="CD555" s="42"/>
      <c r="CE555" s="42"/>
      <c r="CF555" s="42"/>
      <c r="CG555" s="42"/>
      <c r="CH555" s="42"/>
      <c r="CS555" s="29"/>
      <c r="CT555" s="29"/>
      <c r="CU555" s="29"/>
      <c r="CV555" s="522"/>
      <c r="CW555" s="522"/>
      <c r="CX555" s="211"/>
      <c r="CY555" s="211"/>
      <c r="CZ555" s="211"/>
      <c r="DA555" s="211"/>
      <c r="DB555" s="211"/>
      <c r="DC555" s="211"/>
      <c r="DD555" s="211"/>
      <c r="DE555" s="211"/>
      <c r="DF555" s="60"/>
      <c r="DG555" s="60"/>
      <c r="DH555" s="60"/>
      <c r="DI555" s="60"/>
      <c r="DJ555" s="60"/>
    </row>
    <row r="556" spans="3:114" s="25" customFormat="1">
      <c r="C556" s="24"/>
      <c r="D556" s="24"/>
      <c r="G556" s="57"/>
      <c r="H556" s="57"/>
      <c r="I556" s="57"/>
      <c r="J556" s="57"/>
      <c r="K556" s="57"/>
      <c r="L556" s="57"/>
      <c r="M556" s="57"/>
      <c r="N556" s="57"/>
      <c r="O556" s="57"/>
      <c r="P556" s="57"/>
      <c r="Q556" s="57"/>
      <c r="R556" s="57"/>
      <c r="S556" s="57"/>
      <c r="T556" s="559"/>
      <c r="U556" s="29"/>
      <c r="V556" s="29"/>
      <c r="AJ556" s="1215"/>
      <c r="AK556" s="1142"/>
      <c r="AM556" s="42"/>
      <c r="AN556" s="42"/>
      <c r="AO556" s="42"/>
      <c r="AP556" s="42"/>
      <c r="AQ556" s="42"/>
      <c r="AR556" s="42"/>
      <c r="AS556" s="42"/>
      <c r="AT556" s="42"/>
      <c r="AU556" s="42"/>
      <c r="AV556" s="42"/>
      <c r="AW556" s="42"/>
      <c r="AX556" s="42"/>
      <c r="AY556" s="42"/>
      <c r="AZ556" s="42"/>
      <c r="BA556" s="42"/>
      <c r="BB556" s="42"/>
      <c r="BC556" s="42"/>
      <c r="BD556" s="42"/>
      <c r="BE556" s="42"/>
      <c r="BF556" s="42"/>
      <c r="BG556" s="42"/>
      <c r="BH556" s="42"/>
      <c r="BI556" s="42"/>
      <c r="BJ556" s="42"/>
      <c r="BK556" s="42"/>
      <c r="BL556" s="42"/>
      <c r="BM556" s="42"/>
      <c r="BN556" s="42"/>
      <c r="BO556" s="42"/>
      <c r="BP556" s="42"/>
      <c r="BQ556" s="42"/>
      <c r="BR556" s="42"/>
      <c r="BS556" s="42"/>
      <c r="BT556" s="42"/>
      <c r="BU556" s="42"/>
      <c r="BV556" s="42"/>
      <c r="BW556" s="42"/>
      <c r="BX556" s="42"/>
      <c r="BY556" s="42"/>
      <c r="BZ556" s="42"/>
      <c r="CA556" s="42"/>
      <c r="CB556" s="42"/>
      <c r="CC556" s="42"/>
      <c r="CD556" s="42"/>
      <c r="CE556" s="42"/>
      <c r="CF556" s="42"/>
      <c r="CG556" s="42"/>
      <c r="CH556" s="42"/>
      <c r="CS556" s="29"/>
      <c r="CT556" s="29"/>
      <c r="CU556" s="29"/>
      <c r="CV556" s="522"/>
      <c r="CW556" s="522"/>
      <c r="CX556" s="211"/>
      <c r="CY556" s="211"/>
      <c r="CZ556" s="211"/>
      <c r="DA556" s="211"/>
      <c r="DB556" s="211"/>
      <c r="DC556" s="211"/>
      <c r="DD556" s="211"/>
      <c r="DE556" s="211"/>
      <c r="DF556" s="60"/>
      <c r="DG556" s="60"/>
      <c r="DH556" s="60"/>
      <c r="DI556" s="60"/>
      <c r="DJ556" s="60"/>
    </row>
    <row r="557" spans="3:114" s="25" customFormat="1">
      <c r="C557" s="24"/>
      <c r="D557" s="24"/>
      <c r="G557" s="57"/>
      <c r="H557" s="57"/>
      <c r="I557" s="57"/>
      <c r="J557" s="57"/>
      <c r="K557" s="57"/>
      <c r="L557" s="57"/>
      <c r="M557" s="57"/>
      <c r="N557" s="57"/>
      <c r="O557" s="57"/>
      <c r="P557" s="57"/>
      <c r="Q557" s="57"/>
      <c r="R557" s="57"/>
      <c r="S557" s="57"/>
      <c r="T557" s="559"/>
      <c r="U557" s="29"/>
      <c r="V557" s="29"/>
      <c r="AJ557" s="1215"/>
      <c r="AK557" s="1142"/>
      <c r="AM557" s="42"/>
      <c r="AN557" s="42"/>
      <c r="AO557" s="42"/>
      <c r="AP557" s="42"/>
      <c r="AQ557" s="42"/>
      <c r="AR557" s="42"/>
      <c r="AS557" s="42"/>
      <c r="AT557" s="42"/>
      <c r="AU557" s="42"/>
      <c r="AV557" s="42"/>
      <c r="AW557" s="42"/>
      <c r="AX557" s="42"/>
      <c r="AY557" s="42"/>
      <c r="AZ557" s="42"/>
      <c r="BA557" s="42"/>
      <c r="BB557" s="42"/>
      <c r="BC557" s="42"/>
      <c r="BD557" s="42"/>
      <c r="BE557" s="42"/>
      <c r="BF557" s="42"/>
      <c r="BG557" s="42"/>
      <c r="BH557" s="42"/>
      <c r="BI557" s="42"/>
      <c r="BJ557" s="42"/>
      <c r="BK557" s="42"/>
      <c r="BL557" s="42"/>
      <c r="BM557" s="42"/>
      <c r="BN557" s="42"/>
      <c r="BO557" s="42"/>
      <c r="BP557" s="42"/>
      <c r="BQ557" s="42"/>
      <c r="BR557" s="42"/>
      <c r="BS557" s="42"/>
      <c r="BT557" s="42"/>
      <c r="BU557" s="42"/>
      <c r="BV557" s="42"/>
      <c r="BW557" s="42"/>
      <c r="BX557" s="42"/>
      <c r="BY557" s="42"/>
      <c r="BZ557" s="42"/>
      <c r="CA557" s="42"/>
      <c r="CB557" s="42"/>
      <c r="CC557" s="42"/>
      <c r="CD557" s="42"/>
      <c r="CE557" s="42"/>
      <c r="CF557" s="42"/>
      <c r="CG557" s="42"/>
      <c r="CH557" s="42"/>
      <c r="CS557" s="29"/>
      <c r="CT557" s="29"/>
      <c r="CU557" s="29"/>
      <c r="CV557" s="522"/>
      <c r="CW557" s="522"/>
      <c r="CX557" s="211"/>
      <c r="CY557" s="211"/>
      <c r="CZ557" s="211"/>
      <c r="DA557" s="211"/>
      <c r="DB557" s="211"/>
      <c r="DC557" s="211"/>
      <c r="DD557" s="211"/>
      <c r="DE557" s="211"/>
      <c r="DF557" s="60"/>
      <c r="DG557" s="60"/>
      <c r="DH557" s="60"/>
      <c r="DI557" s="60"/>
      <c r="DJ557" s="60"/>
    </row>
    <row r="558" spans="3:114" s="25" customFormat="1">
      <c r="C558" s="24"/>
      <c r="D558" s="24"/>
      <c r="G558" s="57"/>
      <c r="H558" s="57"/>
      <c r="I558" s="57"/>
      <c r="J558" s="57"/>
      <c r="K558" s="57"/>
      <c r="L558" s="57"/>
      <c r="M558" s="57"/>
      <c r="N558" s="57"/>
      <c r="O558" s="57"/>
      <c r="P558" s="57"/>
      <c r="Q558" s="57"/>
      <c r="R558" s="57"/>
      <c r="S558" s="57"/>
      <c r="T558" s="559"/>
      <c r="U558" s="29"/>
      <c r="V558" s="29"/>
      <c r="AJ558" s="1215"/>
      <c r="AK558" s="1142"/>
      <c r="AM558" s="42"/>
      <c r="AN558" s="42"/>
      <c r="AO558" s="42"/>
      <c r="AP558" s="42"/>
      <c r="AQ558" s="42"/>
      <c r="AR558" s="42"/>
      <c r="AS558" s="42"/>
      <c r="AT558" s="42"/>
      <c r="AU558" s="42"/>
      <c r="AV558" s="42"/>
      <c r="AW558" s="42"/>
      <c r="AX558" s="42"/>
      <c r="AY558" s="42"/>
      <c r="AZ558" s="42"/>
      <c r="BA558" s="42"/>
      <c r="BB558" s="42"/>
      <c r="BC558" s="42"/>
      <c r="BD558" s="42"/>
      <c r="BE558" s="42"/>
      <c r="BF558" s="42"/>
      <c r="BG558" s="42"/>
      <c r="BH558" s="42"/>
      <c r="BI558" s="42"/>
      <c r="BJ558" s="42"/>
      <c r="BK558" s="42"/>
      <c r="BL558" s="42"/>
      <c r="BM558" s="42"/>
      <c r="BN558" s="42"/>
      <c r="BO558" s="42"/>
      <c r="BP558" s="42"/>
      <c r="BQ558" s="42"/>
      <c r="BR558" s="42"/>
      <c r="BS558" s="42"/>
      <c r="BT558" s="42"/>
      <c r="BU558" s="42"/>
      <c r="BV558" s="42"/>
      <c r="BW558" s="42"/>
      <c r="BX558" s="42"/>
      <c r="BY558" s="42"/>
      <c r="BZ558" s="42"/>
      <c r="CA558" s="42"/>
      <c r="CB558" s="42"/>
      <c r="CC558" s="42"/>
      <c r="CD558" s="42"/>
      <c r="CE558" s="42"/>
      <c r="CF558" s="42"/>
      <c r="CG558" s="42"/>
      <c r="CH558" s="42"/>
      <c r="CS558" s="29"/>
      <c r="CT558" s="29"/>
      <c r="CU558" s="29"/>
      <c r="CV558" s="522"/>
      <c r="CW558" s="522"/>
      <c r="CX558" s="211"/>
      <c r="CY558" s="211"/>
      <c r="CZ558" s="211"/>
      <c r="DA558" s="211"/>
      <c r="DB558" s="211"/>
      <c r="DC558" s="211"/>
      <c r="DD558" s="211"/>
      <c r="DE558" s="211"/>
      <c r="DF558" s="60"/>
      <c r="DG558" s="60"/>
      <c r="DH558" s="60"/>
      <c r="DI558" s="60"/>
      <c r="DJ558" s="60"/>
    </row>
    <row r="559" spans="3:114" s="25" customFormat="1">
      <c r="C559" s="24"/>
      <c r="D559" s="24"/>
      <c r="G559" s="57"/>
      <c r="H559" s="57"/>
      <c r="I559" s="57"/>
      <c r="J559" s="57"/>
      <c r="K559" s="57"/>
      <c r="L559" s="57"/>
      <c r="M559" s="57"/>
      <c r="N559" s="57"/>
      <c r="O559" s="57"/>
      <c r="P559" s="57"/>
      <c r="Q559" s="57"/>
      <c r="R559" s="57"/>
      <c r="S559" s="57"/>
      <c r="T559" s="559"/>
      <c r="U559" s="29"/>
      <c r="V559" s="29"/>
      <c r="AJ559" s="1215"/>
      <c r="AK559" s="1142"/>
      <c r="AM559" s="42"/>
      <c r="AN559" s="42"/>
      <c r="AO559" s="42"/>
      <c r="AP559" s="42"/>
      <c r="AQ559" s="42"/>
      <c r="AR559" s="42"/>
      <c r="AS559" s="42"/>
      <c r="AT559" s="42"/>
      <c r="AU559" s="42"/>
      <c r="AV559" s="42"/>
      <c r="AW559" s="42"/>
      <c r="AX559" s="42"/>
      <c r="AY559" s="42"/>
      <c r="AZ559" s="42"/>
      <c r="BA559" s="42"/>
      <c r="BB559" s="42"/>
      <c r="BC559" s="42"/>
      <c r="BD559" s="42"/>
      <c r="BE559" s="42"/>
      <c r="BF559" s="42"/>
      <c r="BG559" s="42"/>
      <c r="BH559" s="42"/>
      <c r="BI559" s="42"/>
      <c r="BJ559" s="42"/>
      <c r="BK559" s="42"/>
      <c r="BL559" s="42"/>
      <c r="BM559" s="42"/>
      <c r="BN559" s="42"/>
      <c r="BO559" s="42"/>
      <c r="BP559" s="42"/>
      <c r="BQ559" s="42"/>
      <c r="BR559" s="42"/>
      <c r="BS559" s="42"/>
      <c r="BT559" s="42"/>
      <c r="BU559" s="42"/>
      <c r="BV559" s="42"/>
      <c r="BW559" s="42"/>
      <c r="BX559" s="42"/>
      <c r="BY559" s="42"/>
      <c r="BZ559" s="42"/>
      <c r="CA559" s="42"/>
      <c r="CB559" s="42"/>
      <c r="CC559" s="42"/>
      <c r="CD559" s="42"/>
      <c r="CE559" s="42"/>
      <c r="CF559" s="42"/>
      <c r="CG559" s="42"/>
      <c r="CH559" s="42"/>
      <c r="CS559" s="29"/>
      <c r="CT559" s="29"/>
      <c r="CU559" s="29"/>
      <c r="CV559" s="522"/>
      <c r="CW559" s="522"/>
      <c r="CX559" s="211"/>
      <c r="CY559" s="211"/>
      <c r="CZ559" s="211"/>
      <c r="DA559" s="211"/>
      <c r="DB559" s="211"/>
      <c r="DC559" s="211"/>
      <c r="DD559" s="211"/>
      <c r="DE559" s="211"/>
      <c r="DF559" s="60"/>
      <c r="DG559" s="60"/>
      <c r="DH559" s="60"/>
      <c r="DI559" s="60"/>
      <c r="DJ559" s="60"/>
    </row>
    <row r="560" spans="3:114" s="25" customFormat="1">
      <c r="C560" s="24"/>
      <c r="D560" s="24"/>
      <c r="G560" s="57"/>
      <c r="H560" s="57"/>
      <c r="I560" s="57"/>
      <c r="J560" s="57"/>
      <c r="K560" s="57"/>
      <c r="L560" s="57"/>
      <c r="M560" s="57"/>
      <c r="N560" s="57"/>
      <c r="O560" s="57"/>
      <c r="P560" s="57"/>
      <c r="Q560" s="57"/>
      <c r="R560" s="57"/>
      <c r="S560" s="57"/>
      <c r="T560" s="559"/>
      <c r="U560" s="29"/>
      <c r="V560" s="29"/>
      <c r="AJ560" s="1215"/>
      <c r="AK560" s="1142"/>
      <c r="AM560" s="42"/>
      <c r="AN560" s="42"/>
      <c r="AO560" s="42"/>
      <c r="AP560" s="42"/>
      <c r="AQ560" s="42"/>
      <c r="AR560" s="42"/>
      <c r="AS560" s="42"/>
      <c r="AT560" s="42"/>
      <c r="AU560" s="42"/>
      <c r="AV560" s="42"/>
      <c r="AW560" s="42"/>
      <c r="AX560" s="42"/>
      <c r="AY560" s="42"/>
      <c r="AZ560" s="42"/>
      <c r="BA560" s="42"/>
      <c r="BB560" s="42"/>
      <c r="BC560" s="42"/>
      <c r="BD560" s="42"/>
      <c r="BE560" s="42"/>
      <c r="BF560" s="42"/>
      <c r="BG560" s="42"/>
      <c r="BH560" s="42"/>
      <c r="BI560" s="42"/>
      <c r="BJ560" s="42"/>
      <c r="BK560" s="42"/>
      <c r="BL560" s="42"/>
      <c r="BM560" s="42"/>
      <c r="BN560" s="42"/>
      <c r="BO560" s="42"/>
      <c r="BP560" s="42"/>
      <c r="BQ560" s="42"/>
      <c r="BR560" s="42"/>
      <c r="BS560" s="42"/>
      <c r="BT560" s="42"/>
      <c r="BU560" s="42"/>
      <c r="BV560" s="42"/>
      <c r="BW560" s="42"/>
      <c r="BX560" s="42"/>
      <c r="BY560" s="42"/>
      <c r="BZ560" s="42"/>
      <c r="CA560" s="42"/>
      <c r="CB560" s="42"/>
      <c r="CC560" s="42"/>
      <c r="CD560" s="42"/>
      <c r="CE560" s="42"/>
      <c r="CF560" s="42"/>
      <c r="CG560" s="42"/>
      <c r="CH560" s="42"/>
      <c r="CS560" s="29"/>
      <c r="CT560" s="29"/>
      <c r="CU560" s="29"/>
      <c r="CV560" s="522"/>
      <c r="CW560" s="522"/>
      <c r="CX560" s="211"/>
      <c r="CY560" s="211"/>
      <c r="CZ560" s="211"/>
      <c r="DA560" s="211"/>
      <c r="DB560" s="211"/>
      <c r="DC560" s="211"/>
      <c r="DD560" s="211"/>
      <c r="DE560" s="211"/>
      <c r="DF560" s="60"/>
      <c r="DG560" s="60"/>
      <c r="DH560" s="60"/>
      <c r="DI560" s="60"/>
      <c r="DJ560" s="60"/>
    </row>
    <row r="561" spans="3:114" s="25" customFormat="1">
      <c r="C561" s="24"/>
      <c r="D561" s="24"/>
      <c r="G561" s="57"/>
      <c r="H561" s="57"/>
      <c r="I561" s="57"/>
      <c r="J561" s="57"/>
      <c r="K561" s="57"/>
      <c r="L561" s="57"/>
      <c r="M561" s="57"/>
      <c r="N561" s="57"/>
      <c r="O561" s="57"/>
      <c r="P561" s="57"/>
      <c r="Q561" s="57"/>
      <c r="R561" s="57"/>
      <c r="S561" s="57"/>
      <c r="T561" s="559"/>
      <c r="U561" s="29"/>
      <c r="V561" s="29"/>
      <c r="AJ561" s="1215"/>
      <c r="AK561" s="1142"/>
      <c r="AM561" s="42"/>
      <c r="AN561" s="42"/>
      <c r="AO561" s="42"/>
      <c r="AP561" s="42"/>
      <c r="AQ561" s="42"/>
      <c r="AR561" s="42"/>
      <c r="AS561" s="42"/>
      <c r="AT561" s="42"/>
      <c r="AU561" s="42"/>
      <c r="AV561" s="42"/>
      <c r="AW561" s="42"/>
      <c r="AX561" s="42"/>
      <c r="AY561" s="42"/>
      <c r="AZ561" s="42"/>
      <c r="BA561" s="42"/>
      <c r="BB561" s="42"/>
      <c r="BC561" s="42"/>
      <c r="BD561" s="42"/>
      <c r="BE561" s="42"/>
      <c r="BF561" s="42"/>
      <c r="BG561" s="42"/>
      <c r="BH561" s="42"/>
      <c r="BI561" s="42"/>
      <c r="BJ561" s="42"/>
      <c r="BK561" s="42"/>
      <c r="BL561" s="42"/>
      <c r="BM561" s="42"/>
      <c r="BN561" s="42"/>
      <c r="BO561" s="42"/>
      <c r="BP561" s="42"/>
      <c r="BQ561" s="42"/>
      <c r="BR561" s="42"/>
      <c r="BS561" s="42"/>
      <c r="BT561" s="42"/>
      <c r="BU561" s="42"/>
      <c r="BV561" s="42"/>
      <c r="BW561" s="42"/>
      <c r="BX561" s="42"/>
      <c r="BY561" s="42"/>
      <c r="BZ561" s="42"/>
      <c r="CA561" s="42"/>
      <c r="CB561" s="42"/>
      <c r="CC561" s="42"/>
      <c r="CD561" s="42"/>
      <c r="CE561" s="42"/>
      <c r="CF561" s="42"/>
      <c r="CG561" s="42"/>
      <c r="CH561" s="42"/>
      <c r="CS561" s="29"/>
      <c r="CT561" s="29"/>
      <c r="CU561" s="29"/>
      <c r="CV561" s="522"/>
      <c r="CW561" s="522"/>
      <c r="CX561" s="211"/>
      <c r="CY561" s="211"/>
      <c r="CZ561" s="211"/>
      <c r="DA561" s="211"/>
      <c r="DB561" s="211"/>
      <c r="DC561" s="211"/>
      <c r="DD561" s="211"/>
      <c r="DE561" s="211"/>
      <c r="DF561" s="60"/>
      <c r="DG561" s="60"/>
      <c r="DH561" s="60"/>
      <c r="DI561" s="60"/>
      <c r="DJ561" s="60"/>
    </row>
    <row r="562" spans="3:114" s="25" customFormat="1">
      <c r="C562" s="24"/>
      <c r="D562" s="24"/>
      <c r="G562" s="57"/>
      <c r="H562" s="57"/>
      <c r="I562" s="57"/>
      <c r="J562" s="57"/>
      <c r="K562" s="57"/>
      <c r="L562" s="57"/>
      <c r="M562" s="57"/>
      <c r="N562" s="57"/>
      <c r="O562" s="57"/>
      <c r="P562" s="57"/>
      <c r="Q562" s="57"/>
      <c r="R562" s="57"/>
      <c r="S562" s="57"/>
      <c r="T562" s="559"/>
      <c r="U562" s="29"/>
      <c r="V562" s="29"/>
      <c r="AJ562" s="1215"/>
      <c r="AK562" s="1142"/>
      <c r="AM562" s="42"/>
      <c r="AN562" s="42"/>
      <c r="AO562" s="42"/>
      <c r="AP562" s="42"/>
      <c r="AQ562" s="42"/>
      <c r="AR562" s="42"/>
      <c r="AS562" s="42"/>
      <c r="AT562" s="42"/>
      <c r="AU562" s="42"/>
      <c r="AV562" s="42"/>
      <c r="AW562" s="42"/>
      <c r="AX562" s="42"/>
      <c r="AY562" s="42"/>
      <c r="AZ562" s="42"/>
      <c r="BA562" s="42"/>
      <c r="BB562" s="42"/>
      <c r="BC562" s="42"/>
      <c r="BD562" s="42"/>
      <c r="BE562" s="42"/>
      <c r="BF562" s="42"/>
      <c r="BG562" s="42"/>
      <c r="BH562" s="42"/>
      <c r="BI562" s="42"/>
      <c r="BJ562" s="42"/>
      <c r="BK562" s="42"/>
      <c r="BL562" s="42"/>
      <c r="BM562" s="42"/>
      <c r="BN562" s="42"/>
      <c r="BO562" s="42"/>
      <c r="BP562" s="42"/>
      <c r="BQ562" s="42"/>
      <c r="BR562" s="42"/>
      <c r="BS562" s="42"/>
      <c r="BT562" s="42"/>
      <c r="BU562" s="42"/>
      <c r="BV562" s="42"/>
      <c r="BW562" s="42"/>
      <c r="BX562" s="42"/>
      <c r="BY562" s="42"/>
      <c r="BZ562" s="42"/>
      <c r="CA562" s="42"/>
      <c r="CB562" s="42"/>
      <c r="CC562" s="42"/>
      <c r="CD562" s="42"/>
      <c r="CE562" s="42"/>
      <c r="CF562" s="42"/>
      <c r="CG562" s="42"/>
      <c r="CH562" s="42"/>
      <c r="CS562" s="29"/>
      <c r="CT562" s="29"/>
      <c r="CU562" s="29"/>
      <c r="CV562" s="522"/>
      <c r="CW562" s="522"/>
      <c r="CX562" s="211"/>
      <c r="CY562" s="211"/>
      <c r="CZ562" s="211"/>
      <c r="DA562" s="211"/>
      <c r="DB562" s="211"/>
      <c r="DC562" s="211"/>
      <c r="DD562" s="211"/>
      <c r="DE562" s="211"/>
      <c r="DF562" s="60"/>
      <c r="DG562" s="60"/>
      <c r="DH562" s="60"/>
      <c r="DI562" s="60"/>
      <c r="DJ562" s="60"/>
    </row>
    <row r="563" spans="3:114" s="25" customFormat="1">
      <c r="C563" s="24"/>
      <c r="D563" s="24"/>
      <c r="G563" s="57"/>
      <c r="H563" s="57"/>
      <c r="I563" s="57"/>
      <c r="J563" s="57"/>
      <c r="K563" s="57"/>
      <c r="L563" s="57"/>
      <c r="M563" s="57"/>
      <c r="N563" s="57"/>
      <c r="O563" s="57"/>
      <c r="P563" s="57"/>
      <c r="Q563" s="57"/>
      <c r="R563" s="57"/>
      <c r="S563" s="57"/>
      <c r="T563" s="559"/>
      <c r="U563" s="29"/>
      <c r="V563" s="29"/>
      <c r="AJ563" s="1215"/>
      <c r="AK563" s="1142"/>
      <c r="AM563" s="42"/>
      <c r="AN563" s="42"/>
      <c r="AO563" s="42"/>
      <c r="AP563" s="42"/>
      <c r="AQ563" s="42"/>
      <c r="AR563" s="42"/>
      <c r="AS563" s="42"/>
      <c r="AT563" s="42"/>
      <c r="AU563" s="42"/>
      <c r="AV563" s="42"/>
      <c r="AW563" s="42"/>
      <c r="AX563" s="42"/>
      <c r="AY563" s="42"/>
      <c r="AZ563" s="42"/>
      <c r="BA563" s="42"/>
      <c r="BB563" s="42"/>
      <c r="BC563" s="42"/>
      <c r="BD563" s="42"/>
      <c r="BE563" s="42"/>
      <c r="BF563" s="42"/>
      <c r="BG563" s="42"/>
      <c r="BH563" s="42"/>
      <c r="BI563" s="42"/>
      <c r="BJ563" s="42"/>
      <c r="BK563" s="42"/>
      <c r="BL563" s="42"/>
      <c r="BM563" s="42"/>
      <c r="BN563" s="42"/>
      <c r="BO563" s="42"/>
      <c r="BP563" s="42"/>
      <c r="BQ563" s="42"/>
      <c r="BR563" s="42"/>
      <c r="BS563" s="42"/>
      <c r="BT563" s="42"/>
      <c r="BU563" s="42"/>
      <c r="BV563" s="42"/>
      <c r="BW563" s="42"/>
      <c r="BX563" s="42"/>
      <c r="BY563" s="42"/>
      <c r="BZ563" s="42"/>
      <c r="CA563" s="42"/>
      <c r="CB563" s="42"/>
      <c r="CC563" s="42"/>
      <c r="CD563" s="42"/>
      <c r="CE563" s="42"/>
      <c r="CF563" s="42"/>
      <c r="CG563" s="42"/>
      <c r="CH563" s="42"/>
      <c r="CS563" s="29"/>
      <c r="CT563" s="29"/>
      <c r="CU563" s="29"/>
      <c r="CV563" s="522"/>
      <c r="CW563" s="522"/>
      <c r="CX563" s="211"/>
      <c r="CY563" s="211"/>
      <c r="CZ563" s="211"/>
      <c r="DA563" s="211"/>
      <c r="DB563" s="211"/>
      <c r="DC563" s="211"/>
      <c r="DD563" s="211"/>
      <c r="DE563" s="211"/>
      <c r="DF563" s="60"/>
      <c r="DG563" s="60"/>
      <c r="DH563" s="60"/>
      <c r="DI563" s="60"/>
      <c r="DJ563" s="60"/>
    </row>
    <row r="564" spans="3:114" s="25" customFormat="1">
      <c r="C564" s="24"/>
      <c r="D564" s="24"/>
      <c r="G564" s="57"/>
      <c r="H564" s="57"/>
      <c r="I564" s="57"/>
      <c r="J564" s="57"/>
      <c r="K564" s="57"/>
      <c r="L564" s="57"/>
      <c r="M564" s="57"/>
      <c r="N564" s="57"/>
      <c r="O564" s="57"/>
      <c r="P564" s="57"/>
      <c r="Q564" s="57"/>
      <c r="R564" s="57"/>
      <c r="S564" s="57"/>
      <c r="T564" s="559"/>
      <c r="U564" s="29"/>
      <c r="V564" s="29"/>
      <c r="AJ564" s="1215"/>
      <c r="AK564" s="1142"/>
      <c r="AM564" s="42"/>
      <c r="AN564" s="42"/>
      <c r="AO564" s="42"/>
      <c r="AP564" s="42"/>
      <c r="AQ564" s="42"/>
      <c r="AR564" s="42"/>
      <c r="AS564" s="42"/>
      <c r="AT564" s="42"/>
      <c r="AU564" s="42"/>
      <c r="AV564" s="42"/>
      <c r="AW564" s="42"/>
      <c r="AX564" s="42"/>
      <c r="AY564" s="42"/>
      <c r="AZ564" s="42"/>
      <c r="BA564" s="42"/>
      <c r="BB564" s="42"/>
      <c r="BC564" s="42"/>
      <c r="BD564" s="42"/>
      <c r="BE564" s="42"/>
      <c r="BF564" s="42"/>
      <c r="BG564" s="42"/>
      <c r="BH564" s="42"/>
      <c r="BI564" s="42"/>
      <c r="BJ564" s="42"/>
      <c r="BK564" s="42"/>
      <c r="BL564" s="42"/>
      <c r="BM564" s="42"/>
      <c r="BN564" s="42"/>
      <c r="BO564" s="42"/>
      <c r="BP564" s="42"/>
      <c r="BQ564" s="42"/>
      <c r="BR564" s="42"/>
      <c r="BS564" s="42"/>
      <c r="BT564" s="42"/>
      <c r="BU564" s="42"/>
      <c r="BV564" s="42"/>
      <c r="BW564" s="42"/>
      <c r="BX564" s="42"/>
      <c r="BY564" s="42"/>
      <c r="BZ564" s="42"/>
      <c r="CA564" s="42"/>
      <c r="CB564" s="42"/>
      <c r="CC564" s="42"/>
      <c r="CD564" s="42"/>
      <c r="CE564" s="42"/>
      <c r="CF564" s="42"/>
      <c r="CG564" s="42"/>
      <c r="CH564" s="42"/>
      <c r="CS564" s="29"/>
      <c r="CT564" s="29"/>
      <c r="CU564" s="29"/>
      <c r="CV564" s="522"/>
      <c r="CW564" s="522"/>
      <c r="CX564" s="211"/>
      <c r="CY564" s="211"/>
      <c r="CZ564" s="211"/>
      <c r="DA564" s="211"/>
      <c r="DB564" s="211"/>
      <c r="DC564" s="211"/>
      <c r="DD564" s="211"/>
      <c r="DE564" s="211"/>
      <c r="DF564" s="60"/>
      <c r="DG564" s="60"/>
      <c r="DH564" s="60"/>
      <c r="DI564" s="60"/>
      <c r="DJ564" s="60"/>
    </row>
    <row r="565" spans="3:114" s="25" customFormat="1">
      <c r="C565" s="24"/>
      <c r="D565" s="24"/>
      <c r="G565" s="57"/>
      <c r="H565" s="57"/>
      <c r="I565" s="57"/>
      <c r="J565" s="57"/>
      <c r="K565" s="57"/>
      <c r="L565" s="57"/>
      <c r="M565" s="57"/>
      <c r="N565" s="57"/>
      <c r="O565" s="57"/>
      <c r="P565" s="57"/>
      <c r="Q565" s="57"/>
      <c r="R565" s="57"/>
      <c r="S565" s="57"/>
      <c r="T565" s="559"/>
      <c r="U565" s="29"/>
      <c r="V565" s="29"/>
      <c r="AJ565" s="1215"/>
      <c r="AK565" s="1142"/>
      <c r="AM565" s="42"/>
      <c r="AN565" s="42"/>
      <c r="AO565" s="42"/>
      <c r="AP565" s="42"/>
      <c r="AQ565" s="42"/>
      <c r="AR565" s="42"/>
      <c r="AS565" s="42"/>
      <c r="AT565" s="42"/>
      <c r="AU565" s="42"/>
      <c r="AV565" s="42"/>
      <c r="AW565" s="42"/>
      <c r="AX565" s="42"/>
      <c r="AY565" s="42"/>
      <c r="AZ565" s="42"/>
      <c r="BA565" s="42"/>
      <c r="BB565" s="42"/>
      <c r="BC565" s="42"/>
      <c r="BD565" s="42"/>
      <c r="BE565" s="42"/>
      <c r="BF565" s="42"/>
      <c r="BG565" s="42"/>
      <c r="BH565" s="42"/>
      <c r="BI565" s="42"/>
      <c r="BJ565" s="42"/>
      <c r="BK565" s="42"/>
      <c r="BL565" s="42"/>
      <c r="BM565" s="42"/>
      <c r="BN565" s="42"/>
      <c r="BO565" s="42"/>
      <c r="BP565" s="42"/>
      <c r="BQ565" s="42"/>
      <c r="BR565" s="42"/>
      <c r="BS565" s="42"/>
      <c r="BT565" s="42"/>
      <c r="BU565" s="42"/>
      <c r="BV565" s="42"/>
      <c r="BW565" s="42"/>
      <c r="BX565" s="42"/>
      <c r="BY565" s="42"/>
      <c r="BZ565" s="42"/>
      <c r="CA565" s="42"/>
      <c r="CB565" s="42"/>
      <c r="CC565" s="42"/>
      <c r="CD565" s="42"/>
      <c r="CE565" s="42"/>
      <c r="CF565" s="42"/>
      <c r="CG565" s="42"/>
      <c r="CH565" s="42"/>
      <c r="CS565" s="29"/>
      <c r="CT565" s="29"/>
      <c r="CU565" s="29"/>
      <c r="CV565" s="522"/>
      <c r="CW565" s="522"/>
      <c r="CX565" s="211"/>
      <c r="CY565" s="211"/>
      <c r="CZ565" s="211"/>
      <c r="DA565" s="211"/>
      <c r="DB565" s="211"/>
      <c r="DC565" s="211"/>
      <c r="DD565" s="211"/>
      <c r="DE565" s="211"/>
      <c r="DF565" s="60"/>
      <c r="DG565" s="60"/>
      <c r="DH565" s="60"/>
      <c r="DI565" s="60"/>
      <c r="DJ565" s="60"/>
    </row>
    <row r="566" spans="3:114" s="25" customFormat="1">
      <c r="C566" s="24"/>
      <c r="D566" s="24"/>
      <c r="G566" s="57"/>
      <c r="H566" s="57"/>
      <c r="I566" s="57"/>
      <c r="J566" s="57"/>
      <c r="K566" s="57"/>
      <c r="L566" s="57"/>
      <c r="M566" s="57"/>
      <c r="N566" s="57"/>
      <c r="O566" s="57"/>
      <c r="P566" s="57"/>
      <c r="Q566" s="57"/>
      <c r="R566" s="57"/>
      <c r="S566" s="57"/>
      <c r="T566" s="559"/>
      <c r="U566" s="29"/>
      <c r="V566" s="29"/>
      <c r="AJ566" s="1215"/>
      <c r="AK566" s="1142"/>
      <c r="AM566" s="42"/>
      <c r="AN566" s="42"/>
      <c r="AO566" s="42"/>
      <c r="AP566" s="42"/>
      <c r="AQ566" s="42"/>
      <c r="AR566" s="42"/>
      <c r="AS566" s="42"/>
      <c r="AT566" s="42"/>
      <c r="AU566" s="42"/>
      <c r="AV566" s="42"/>
      <c r="AW566" s="42"/>
      <c r="AX566" s="42"/>
      <c r="AY566" s="42"/>
      <c r="AZ566" s="42"/>
      <c r="BA566" s="42"/>
      <c r="BB566" s="42"/>
      <c r="BC566" s="42"/>
      <c r="BD566" s="42"/>
      <c r="BE566" s="42"/>
      <c r="BF566" s="42"/>
      <c r="BG566" s="42"/>
      <c r="BH566" s="42"/>
      <c r="BI566" s="42"/>
      <c r="BJ566" s="42"/>
      <c r="BK566" s="42"/>
      <c r="BL566" s="42"/>
      <c r="BM566" s="42"/>
      <c r="BN566" s="42"/>
      <c r="BO566" s="42"/>
      <c r="BP566" s="42"/>
      <c r="BQ566" s="42"/>
      <c r="BR566" s="42"/>
      <c r="BS566" s="42"/>
      <c r="BT566" s="42"/>
      <c r="BU566" s="42"/>
      <c r="BV566" s="42"/>
      <c r="BW566" s="42"/>
      <c r="BX566" s="42"/>
      <c r="BY566" s="42"/>
      <c r="BZ566" s="42"/>
      <c r="CA566" s="42"/>
      <c r="CB566" s="42"/>
      <c r="CC566" s="42"/>
      <c r="CD566" s="42"/>
      <c r="CE566" s="42"/>
      <c r="CF566" s="42"/>
      <c r="CG566" s="42"/>
      <c r="CH566" s="42"/>
      <c r="CS566" s="29"/>
      <c r="CT566" s="29"/>
      <c r="CU566" s="29"/>
      <c r="CV566" s="522"/>
      <c r="CW566" s="522"/>
      <c r="CX566" s="211"/>
      <c r="CY566" s="211"/>
      <c r="CZ566" s="211"/>
      <c r="DA566" s="211"/>
      <c r="DB566" s="211"/>
      <c r="DC566" s="211"/>
      <c r="DD566" s="211"/>
      <c r="DE566" s="211"/>
      <c r="DF566" s="60"/>
      <c r="DG566" s="60"/>
      <c r="DH566" s="60"/>
      <c r="DI566" s="60"/>
      <c r="DJ566" s="60"/>
    </row>
    <row r="567" spans="3:114" s="25" customFormat="1">
      <c r="C567" s="24"/>
      <c r="D567" s="24"/>
      <c r="G567" s="57"/>
      <c r="H567" s="57"/>
      <c r="I567" s="57"/>
      <c r="J567" s="57"/>
      <c r="K567" s="57"/>
      <c r="L567" s="57"/>
      <c r="M567" s="57"/>
      <c r="N567" s="57"/>
      <c r="O567" s="57"/>
      <c r="P567" s="57"/>
      <c r="Q567" s="57"/>
      <c r="R567" s="57"/>
      <c r="S567" s="57"/>
      <c r="T567" s="559"/>
      <c r="U567" s="29"/>
      <c r="V567" s="29"/>
      <c r="AJ567" s="1215"/>
      <c r="AK567" s="1142"/>
      <c r="AM567" s="42"/>
      <c r="AN567" s="42"/>
      <c r="AO567" s="42"/>
      <c r="AP567" s="42"/>
      <c r="AQ567" s="42"/>
      <c r="AR567" s="42"/>
      <c r="AS567" s="42"/>
      <c r="AT567" s="42"/>
      <c r="AU567" s="42"/>
      <c r="AV567" s="42"/>
      <c r="AW567" s="42"/>
      <c r="AX567" s="42"/>
      <c r="AY567" s="42"/>
      <c r="AZ567" s="42"/>
      <c r="BA567" s="42"/>
      <c r="BB567" s="42"/>
      <c r="BC567" s="42"/>
      <c r="BD567" s="42"/>
      <c r="BE567" s="42"/>
      <c r="BF567" s="42"/>
      <c r="BG567" s="42"/>
      <c r="BH567" s="42"/>
      <c r="BI567" s="42"/>
      <c r="BJ567" s="42"/>
      <c r="BK567" s="42"/>
      <c r="BL567" s="42"/>
      <c r="BM567" s="42"/>
      <c r="BN567" s="42"/>
      <c r="BO567" s="42"/>
      <c r="BP567" s="42"/>
      <c r="BQ567" s="42"/>
      <c r="BR567" s="42"/>
      <c r="BS567" s="42"/>
      <c r="BT567" s="42"/>
      <c r="BU567" s="42"/>
      <c r="BV567" s="42"/>
      <c r="BW567" s="42"/>
      <c r="BX567" s="42"/>
      <c r="BY567" s="42"/>
      <c r="BZ567" s="42"/>
      <c r="CA567" s="42"/>
      <c r="CB567" s="42"/>
      <c r="CC567" s="42"/>
      <c r="CD567" s="42"/>
      <c r="CE567" s="42"/>
      <c r="CF567" s="42"/>
      <c r="CG567" s="42"/>
      <c r="CH567" s="42"/>
      <c r="CS567" s="29"/>
      <c r="CT567" s="29"/>
      <c r="CU567" s="29"/>
      <c r="CV567" s="522"/>
      <c r="CW567" s="522"/>
      <c r="CX567" s="211"/>
      <c r="CY567" s="211"/>
      <c r="CZ567" s="211"/>
      <c r="DA567" s="211"/>
      <c r="DB567" s="211"/>
      <c r="DC567" s="211"/>
      <c r="DD567" s="211"/>
      <c r="DE567" s="211"/>
      <c r="DF567" s="60"/>
      <c r="DG567" s="60"/>
      <c r="DH567" s="60"/>
      <c r="DI567" s="60"/>
      <c r="DJ567" s="60"/>
    </row>
    <row r="568" spans="3:114" s="25" customFormat="1">
      <c r="C568" s="24"/>
      <c r="D568" s="24"/>
      <c r="G568" s="57"/>
      <c r="H568" s="57"/>
      <c r="I568" s="57"/>
      <c r="J568" s="57"/>
      <c r="K568" s="57"/>
      <c r="L568" s="57"/>
      <c r="M568" s="57"/>
      <c r="N568" s="57"/>
      <c r="O568" s="57"/>
      <c r="P568" s="57"/>
      <c r="Q568" s="57"/>
      <c r="R568" s="57"/>
      <c r="S568" s="57"/>
      <c r="T568" s="559"/>
      <c r="U568" s="29"/>
      <c r="V568" s="29"/>
      <c r="AJ568" s="1215"/>
      <c r="AK568" s="1142"/>
      <c r="AM568" s="42"/>
      <c r="AN568" s="42"/>
      <c r="AO568" s="42"/>
      <c r="AP568" s="42"/>
      <c r="AQ568" s="42"/>
      <c r="AR568" s="42"/>
      <c r="AS568" s="42"/>
      <c r="AT568" s="42"/>
      <c r="AU568" s="42"/>
      <c r="AV568" s="42"/>
      <c r="AW568" s="42"/>
      <c r="AX568" s="42"/>
      <c r="AY568" s="42"/>
      <c r="AZ568" s="42"/>
      <c r="BA568" s="42"/>
      <c r="BB568" s="42"/>
      <c r="BC568" s="42"/>
      <c r="BD568" s="42"/>
      <c r="BE568" s="42"/>
      <c r="BF568" s="42"/>
      <c r="BG568" s="42"/>
      <c r="BH568" s="42"/>
      <c r="BI568" s="42"/>
      <c r="BJ568" s="42"/>
      <c r="BK568" s="42"/>
      <c r="BL568" s="42"/>
      <c r="BM568" s="42"/>
      <c r="BN568" s="42"/>
      <c r="BO568" s="42"/>
      <c r="BP568" s="42"/>
      <c r="BQ568" s="42"/>
      <c r="BR568" s="42"/>
      <c r="BS568" s="42"/>
      <c r="BT568" s="42"/>
      <c r="BU568" s="42"/>
      <c r="BV568" s="42"/>
      <c r="BW568" s="42"/>
      <c r="BX568" s="42"/>
      <c r="BY568" s="42"/>
      <c r="BZ568" s="42"/>
      <c r="CA568" s="42"/>
      <c r="CB568" s="42"/>
      <c r="CC568" s="42"/>
      <c r="CD568" s="42"/>
      <c r="CE568" s="42"/>
      <c r="CF568" s="42"/>
      <c r="CG568" s="42"/>
      <c r="CH568" s="42"/>
      <c r="CS568" s="29"/>
      <c r="CT568" s="29"/>
      <c r="CU568" s="29"/>
      <c r="CV568" s="522"/>
      <c r="CW568" s="522"/>
      <c r="CX568" s="211"/>
      <c r="CY568" s="211"/>
      <c r="CZ568" s="211"/>
      <c r="DA568" s="211"/>
      <c r="DB568" s="211"/>
      <c r="DC568" s="211"/>
      <c r="DD568" s="211"/>
      <c r="DE568" s="211"/>
      <c r="DF568" s="60"/>
      <c r="DG568" s="60"/>
      <c r="DH568" s="60"/>
      <c r="DI568" s="60"/>
      <c r="DJ568" s="60"/>
    </row>
    <row r="569" spans="3:114" s="25" customFormat="1">
      <c r="C569" s="24"/>
      <c r="D569" s="24"/>
      <c r="G569" s="57"/>
      <c r="H569" s="57"/>
      <c r="I569" s="57"/>
      <c r="J569" s="57"/>
      <c r="K569" s="57"/>
      <c r="L569" s="57"/>
      <c r="M569" s="57"/>
      <c r="N569" s="57"/>
      <c r="O569" s="57"/>
      <c r="P569" s="57"/>
      <c r="Q569" s="57"/>
      <c r="R569" s="57"/>
      <c r="S569" s="57"/>
      <c r="T569" s="559"/>
      <c r="U569" s="29"/>
      <c r="V569" s="29"/>
      <c r="AJ569" s="1215"/>
      <c r="AK569" s="1142"/>
      <c r="AM569" s="42"/>
      <c r="AN569" s="42"/>
      <c r="AO569" s="42"/>
      <c r="AP569" s="42"/>
      <c r="AQ569" s="42"/>
      <c r="AR569" s="42"/>
      <c r="AS569" s="42"/>
      <c r="AT569" s="42"/>
      <c r="AU569" s="42"/>
      <c r="AV569" s="42"/>
      <c r="AW569" s="42"/>
      <c r="AX569" s="42"/>
      <c r="AY569" s="42"/>
      <c r="AZ569" s="42"/>
      <c r="BA569" s="42"/>
      <c r="BB569" s="42"/>
      <c r="BC569" s="42"/>
      <c r="BD569" s="42"/>
      <c r="BE569" s="42"/>
      <c r="BF569" s="42"/>
      <c r="BG569" s="42"/>
      <c r="BH569" s="42"/>
      <c r="BI569" s="42"/>
      <c r="BJ569" s="42"/>
      <c r="BK569" s="42"/>
      <c r="BL569" s="42"/>
      <c r="BM569" s="42"/>
      <c r="BN569" s="42"/>
      <c r="BO569" s="42"/>
      <c r="BP569" s="42"/>
      <c r="BQ569" s="42"/>
      <c r="BR569" s="42"/>
      <c r="BS569" s="42"/>
      <c r="BT569" s="42"/>
      <c r="BU569" s="42"/>
      <c r="BV569" s="42"/>
      <c r="BW569" s="42"/>
      <c r="BX569" s="42"/>
      <c r="BY569" s="42"/>
      <c r="BZ569" s="42"/>
      <c r="CA569" s="42"/>
      <c r="CB569" s="42"/>
      <c r="CC569" s="42"/>
      <c r="CD569" s="42"/>
      <c r="CE569" s="42"/>
      <c r="CF569" s="42"/>
      <c r="CG569" s="42"/>
      <c r="CH569" s="42"/>
      <c r="CS569" s="29"/>
      <c r="CT569" s="29"/>
      <c r="CU569" s="29"/>
      <c r="CV569" s="522"/>
      <c r="CW569" s="522"/>
      <c r="CX569" s="211"/>
      <c r="CY569" s="211"/>
      <c r="CZ569" s="211"/>
      <c r="DA569" s="211"/>
      <c r="DB569" s="211"/>
      <c r="DC569" s="211"/>
      <c r="DD569" s="211"/>
      <c r="DE569" s="211"/>
      <c r="DF569" s="60"/>
      <c r="DG569" s="60"/>
      <c r="DH569" s="60"/>
      <c r="DI569" s="60"/>
      <c r="DJ569" s="60"/>
    </row>
    <row r="570" spans="3:114" s="25" customFormat="1">
      <c r="C570" s="24"/>
      <c r="D570" s="24"/>
      <c r="G570" s="57"/>
      <c r="H570" s="57"/>
      <c r="I570" s="57"/>
      <c r="J570" s="57"/>
      <c r="K570" s="57"/>
      <c r="L570" s="57"/>
      <c r="M570" s="57"/>
      <c r="N570" s="57"/>
      <c r="O570" s="57"/>
      <c r="P570" s="57"/>
      <c r="Q570" s="57"/>
      <c r="R570" s="57"/>
      <c r="S570" s="57"/>
      <c r="T570" s="559"/>
      <c r="U570" s="29"/>
      <c r="V570" s="29"/>
      <c r="AJ570" s="1215"/>
      <c r="AK570" s="1142"/>
      <c r="AM570" s="42"/>
      <c r="AN570" s="42"/>
      <c r="AO570" s="42"/>
      <c r="AP570" s="42"/>
      <c r="AQ570" s="42"/>
      <c r="AR570" s="42"/>
      <c r="AS570" s="42"/>
      <c r="AT570" s="42"/>
      <c r="AU570" s="42"/>
      <c r="AV570" s="42"/>
      <c r="AW570" s="42"/>
      <c r="AX570" s="42"/>
      <c r="AY570" s="42"/>
      <c r="AZ570" s="42"/>
      <c r="BA570" s="42"/>
      <c r="BB570" s="42"/>
      <c r="BC570" s="42"/>
      <c r="BD570" s="42"/>
      <c r="BE570" s="42"/>
      <c r="BF570" s="42"/>
      <c r="BG570" s="42"/>
      <c r="BH570" s="42"/>
      <c r="BI570" s="42"/>
      <c r="BJ570" s="42"/>
      <c r="BK570" s="42"/>
      <c r="BL570" s="42"/>
      <c r="BM570" s="42"/>
      <c r="BN570" s="42"/>
      <c r="BO570" s="42"/>
      <c r="BP570" s="42"/>
      <c r="BQ570" s="42"/>
      <c r="BR570" s="42"/>
      <c r="BS570" s="42"/>
      <c r="BT570" s="42"/>
      <c r="BU570" s="42"/>
      <c r="BV570" s="42"/>
      <c r="BW570" s="42"/>
      <c r="BX570" s="42"/>
      <c r="BY570" s="42"/>
      <c r="BZ570" s="42"/>
      <c r="CA570" s="42"/>
      <c r="CB570" s="42"/>
      <c r="CC570" s="42"/>
      <c r="CD570" s="42"/>
      <c r="CE570" s="42"/>
      <c r="CF570" s="42"/>
      <c r="CG570" s="42"/>
      <c r="CH570" s="42"/>
      <c r="CS570" s="29"/>
      <c r="CT570" s="29"/>
      <c r="CU570" s="29"/>
      <c r="CV570" s="522"/>
      <c r="CW570" s="522"/>
      <c r="CX570" s="211"/>
      <c r="CY570" s="211"/>
      <c r="CZ570" s="211"/>
      <c r="DA570" s="211"/>
      <c r="DB570" s="211"/>
      <c r="DC570" s="211"/>
      <c r="DD570" s="211"/>
      <c r="DE570" s="211"/>
      <c r="DF570" s="60"/>
      <c r="DG570" s="60"/>
      <c r="DH570" s="60"/>
      <c r="DI570" s="60"/>
      <c r="DJ570" s="60"/>
    </row>
    <row r="571" spans="3:114" s="25" customFormat="1">
      <c r="C571" s="24"/>
      <c r="D571" s="24"/>
      <c r="G571" s="57"/>
      <c r="H571" s="57"/>
      <c r="I571" s="57"/>
      <c r="J571" s="57"/>
      <c r="K571" s="57"/>
      <c r="L571" s="57"/>
      <c r="M571" s="57"/>
      <c r="N571" s="57"/>
      <c r="O571" s="57"/>
      <c r="P571" s="57"/>
      <c r="Q571" s="57"/>
      <c r="R571" s="57"/>
      <c r="S571" s="57"/>
      <c r="T571" s="559"/>
      <c r="U571" s="29"/>
      <c r="V571" s="29"/>
      <c r="AJ571" s="1215"/>
      <c r="AK571" s="1142"/>
      <c r="AM571" s="42"/>
      <c r="AN571" s="42"/>
      <c r="AO571" s="42"/>
      <c r="AP571" s="42"/>
      <c r="AQ571" s="42"/>
      <c r="AR571" s="42"/>
      <c r="AS571" s="42"/>
      <c r="AT571" s="42"/>
      <c r="AU571" s="42"/>
      <c r="AV571" s="42"/>
      <c r="AW571" s="42"/>
      <c r="AX571" s="42"/>
      <c r="AY571" s="42"/>
      <c r="AZ571" s="42"/>
      <c r="BA571" s="42"/>
      <c r="BB571" s="42"/>
      <c r="BC571" s="42"/>
      <c r="BD571" s="42"/>
      <c r="BE571" s="42"/>
      <c r="BF571" s="42"/>
      <c r="BG571" s="42"/>
      <c r="BH571" s="42"/>
      <c r="BI571" s="42"/>
      <c r="BJ571" s="42"/>
      <c r="BK571" s="42"/>
      <c r="BL571" s="42"/>
      <c r="BM571" s="42"/>
      <c r="BN571" s="42"/>
      <c r="BO571" s="42"/>
      <c r="BP571" s="42"/>
      <c r="BQ571" s="42"/>
      <c r="BR571" s="42"/>
      <c r="BS571" s="42"/>
      <c r="BT571" s="42"/>
      <c r="BU571" s="42"/>
      <c r="BV571" s="42"/>
      <c r="BW571" s="42"/>
      <c r="BX571" s="42"/>
      <c r="BY571" s="42"/>
      <c r="BZ571" s="42"/>
      <c r="CA571" s="42"/>
      <c r="CB571" s="42"/>
      <c r="CC571" s="42"/>
      <c r="CD571" s="42"/>
      <c r="CE571" s="42"/>
      <c r="CF571" s="42"/>
      <c r="CG571" s="42"/>
      <c r="CH571" s="42"/>
      <c r="CS571" s="29"/>
      <c r="CT571" s="29"/>
      <c r="CU571" s="29"/>
      <c r="CV571" s="522"/>
      <c r="CW571" s="522"/>
      <c r="CX571" s="211"/>
      <c r="CY571" s="211"/>
      <c r="CZ571" s="211"/>
      <c r="DA571" s="211"/>
      <c r="DB571" s="211"/>
      <c r="DC571" s="211"/>
      <c r="DD571" s="211"/>
      <c r="DE571" s="211"/>
      <c r="DF571" s="60"/>
      <c r="DG571" s="60"/>
      <c r="DH571" s="60"/>
      <c r="DI571" s="60"/>
      <c r="DJ571" s="60"/>
    </row>
    <row r="572" spans="3:114" s="25" customFormat="1">
      <c r="C572" s="24"/>
      <c r="D572" s="24"/>
      <c r="G572" s="57"/>
      <c r="H572" s="57"/>
      <c r="I572" s="57"/>
      <c r="J572" s="57"/>
      <c r="K572" s="57"/>
      <c r="L572" s="57"/>
      <c r="M572" s="57"/>
      <c r="N572" s="57"/>
      <c r="O572" s="57"/>
      <c r="P572" s="57"/>
      <c r="Q572" s="57"/>
      <c r="R572" s="57"/>
      <c r="S572" s="57"/>
      <c r="T572" s="559"/>
      <c r="U572" s="29"/>
      <c r="V572" s="29"/>
      <c r="AJ572" s="1215"/>
      <c r="AK572" s="1142"/>
      <c r="AM572" s="42"/>
      <c r="AN572" s="42"/>
      <c r="AO572" s="42"/>
      <c r="AP572" s="42"/>
      <c r="AQ572" s="42"/>
      <c r="AR572" s="42"/>
      <c r="AS572" s="42"/>
      <c r="AT572" s="42"/>
      <c r="AU572" s="42"/>
      <c r="AV572" s="42"/>
      <c r="AW572" s="42"/>
      <c r="AX572" s="42"/>
      <c r="AY572" s="42"/>
      <c r="AZ572" s="42"/>
      <c r="BA572" s="42"/>
      <c r="BB572" s="42"/>
      <c r="BC572" s="42"/>
      <c r="BD572" s="42"/>
      <c r="BE572" s="42"/>
      <c r="BF572" s="42"/>
      <c r="BG572" s="42"/>
      <c r="BH572" s="42"/>
      <c r="BI572" s="42"/>
      <c r="BJ572" s="42"/>
      <c r="BK572" s="42"/>
      <c r="BL572" s="42"/>
      <c r="BM572" s="42"/>
      <c r="BN572" s="42"/>
      <c r="BO572" s="42"/>
      <c r="BP572" s="42"/>
      <c r="BQ572" s="42"/>
      <c r="BR572" s="42"/>
      <c r="BS572" s="42"/>
      <c r="BT572" s="42"/>
      <c r="BU572" s="42"/>
      <c r="BV572" s="42"/>
      <c r="BW572" s="42"/>
      <c r="BX572" s="42"/>
      <c r="BY572" s="42"/>
      <c r="BZ572" s="42"/>
      <c r="CA572" s="42"/>
      <c r="CB572" s="42"/>
      <c r="CC572" s="42"/>
      <c r="CD572" s="42"/>
      <c r="CE572" s="42"/>
      <c r="CF572" s="42"/>
      <c r="CG572" s="42"/>
      <c r="CH572" s="42"/>
      <c r="CS572" s="29"/>
      <c r="CT572" s="29"/>
      <c r="CU572" s="29"/>
      <c r="CV572" s="522"/>
      <c r="CW572" s="522"/>
      <c r="CX572" s="211"/>
      <c r="CY572" s="211"/>
      <c r="CZ572" s="211"/>
      <c r="DA572" s="211"/>
      <c r="DB572" s="211"/>
      <c r="DC572" s="211"/>
      <c r="DD572" s="211"/>
      <c r="DE572" s="211"/>
      <c r="DF572" s="60"/>
      <c r="DG572" s="60"/>
      <c r="DH572" s="60"/>
      <c r="DI572" s="60"/>
      <c r="DJ572" s="60"/>
    </row>
    <row r="573" spans="3:114" s="25" customFormat="1">
      <c r="C573" s="24"/>
      <c r="D573" s="24"/>
      <c r="G573" s="57"/>
      <c r="H573" s="57"/>
      <c r="I573" s="57"/>
      <c r="J573" s="57"/>
      <c r="K573" s="57"/>
      <c r="L573" s="57"/>
      <c r="M573" s="57"/>
      <c r="N573" s="57"/>
      <c r="O573" s="57"/>
      <c r="P573" s="57"/>
      <c r="Q573" s="57"/>
      <c r="R573" s="57"/>
      <c r="S573" s="57"/>
      <c r="T573" s="559"/>
      <c r="U573" s="29"/>
      <c r="V573" s="29"/>
      <c r="AJ573" s="1215"/>
      <c r="AK573" s="1142"/>
      <c r="AM573" s="42"/>
      <c r="AN573" s="42"/>
      <c r="AO573" s="42"/>
      <c r="AP573" s="42"/>
      <c r="AQ573" s="42"/>
      <c r="AR573" s="42"/>
      <c r="AS573" s="42"/>
      <c r="AT573" s="42"/>
      <c r="AU573" s="42"/>
      <c r="AV573" s="42"/>
      <c r="AW573" s="42"/>
      <c r="AX573" s="42"/>
      <c r="AY573" s="42"/>
      <c r="AZ573" s="42"/>
      <c r="BA573" s="42"/>
      <c r="BB573" s="42"/>
      <c r="BC573" s="42"/>
      <c r="BD573" s="42"/>
      <c r="BE573" s="42"/>
      <c r="BF573" s="42"/>
      <c r="BG573" s="42"/>
      <c r="BH573" s="42"/>
      <c r="BI573" s="42"/>
      <c r="BJ573" s="42"/>
      <c r="BK573" s="42"/>
      <c r="BL573" s="42"/>
      <c r="BM573" s="42"/>
      <c r="BN573" s="42"/>
      <c r="BO573" s="42"/>
      <c r="BP573" s="42"/>
      <c r="BQ573" s="42"/>
      <c r="BR573" s="42"/>
      <c r="BS573" s="42"/>
      <c r="BT573" s="42"/>
      <c r="BU573" s="42"/>
      <c r="BV573" s="42"/>
      <c r="BW573" s="42"/>
      <c r="BX573" s="42"/>
      <c r="BY573" s="42"/>
      <c r="BZ573" s="42"/>
      <c r="CA573" s="42"/>
      <c r="CB573" s="42"/>
      <c r="CC573" s="42"/>
      <c r="CD573" s="42"/>
      <c r="CE573" s="42"/>
      <c r="CF573" s="42"/>
      <c r="CG573" s="42"/>
      <c r="CH573" s="42"/>
      <c r="CS573" s="29"/>
      <c r="CT573" s="29"/>
      <c r="CU573" s="29"/>
      <c r="CV573" s="522"/>
      <c r="CW573" s="522"/>
      <c r="CX573" s="211"/>
      <c r="CY573" s="211"/>
      <c r="CZ573" s="211"/>
      <c r="DA573" s="211"/>
      <c r="DB573" s="211"/>
      <c r="DC573" s="211"/>
      <c r="DD573" s="211"/>
      <c r="DE573" s="211"/>
      <c r="DF573" s="60"/>
      <c r="DG573" s="60"/>
      <c r="DH573" s="60"/>
      <c r="DI573" s="60"/>
      <c r="DJ573" s="60"/>
    </row>
    <row r="574" spans="3:114" s="25" customFormat="1">
      <c r="C574" s="24"/>
      <c r="D574" s="24"/>
      <c r="G574" s="57"/>
      <c r="H574" s="57"/>
      <c r="I574" s="57"/>
      <c r="J574" s="57"/>
      <c r="K574" s="57"/>
      <c r="L574" s="57"/>
      <c r="M574" s="57"/>
      <c r="N574" s="57"/>
      <c r="O574" s="57"/>
      <c r="P574" s="57"/>
      <c r="Q574" s="57"/>
      <c r="R574" s="57"/>
      <c r="S574" s="57"/>
      <c r="T574" s="559"/>
      <c r="U574" s="29"/>
      <c r="V574" s="29"/>
      <c r="AJ574" s="1215"/>
      <c r="AK574" s="1142"/>
      <c r="AM574" s="42"/>
      <c r="AN574" s="42"/>
      <c r="AO574" s="42"/>
      <c r="AP574" s="42"/>
      <c r="AQ574" s="42"/>
      <c r="AR574" s="42"/>
      <c r="AS574" s="42"/>
      <c r="AT574" s="42"/>
      <c r="AU574" s="42"/>
      <c r="AV574" s="42"/>
      <c r="AW574" s="42"/>
      <c r="AX574" s="42"/>
      <c r="AY574" s="42"/>
      <c r="AZ574" s="42"/>
      <c r="BA574" s="42"/>
      <c r="BB574" s="42"/>
      <c r="BC574" s="42"/>
      <c r="BD574" s="42"/>
      <c r="BE574" s="42"/>
      <c r="BF574" s="42"/>
      <c r="BG574" s="42"/>
      <c r="BH574" s="42"/>
      <c r="BI574" s="42"/>
      <c r="BJ574" s="42"/>
      <c r="BK574" s="42"/>
      <c r="BL574" s="42"/>
      <c r="BM574" s="42"/>
      <c r="BN574" s="42"/>
      <c r="BO574" s="42"/>
      <c r="BP574" s="42"/>
      <c r="BQ574" s="42"/>
      <c r="BR574" s="42"/>
      <c r="BS574" s="42"/>
      <c r="BT574" s="42"/>
      <c r="BU574" s="42"/>
      <c r="BV574" s="42"/>
      <c r="BW574" s="42"/>
      <c r="BX574" s="42"/>
      <c r="BY574" s="42"/>
      <c r="BZ574" s="42"/>
      <c r="CA574" s="42"/>
      <c r="CB574" s="42"/>
      <c r="CC574" s="42"/>
      <c r="CD574" s="42"/>
      <c r="CE574" s="42"/>
      <c r="CF574" s="42"/>
      <c r="CG574" s="42"/>
      <c r="CH574" s="42"/>
      <c r="CS574" s="29"/>
      <c r="CT574" s="29"/>
      <c r="CU574" s="29"/>
      <c r="CV574" s="522"/>
      <c r="CW574" s="522"/>
      <c r="CX574" s="211"/>
      <c r="CY574" s="211"/>
      <c r="CZ574" s="211"/>
      <c r="DA574" s="211"/>
      <c r="DB574" s="211"/>
      <c r="DC574" s="211"/>
      <c r="DD574" s="211"/>
      <c r="DE574" s="211"/>
      <c r="DF574" s="60"/>
      <c r="DG574" s="60"/>
      <c r="DH574" s="60"/>
      <c r="DI574" s="60"/>
      <c r="DJ574" s="60"/>
    </row>
    <row r="575" spans="3:114" s="25" customFormat="1">
      <c r="C575" s="24"/>
      <c r="D575" s="24"/>
      <c r="G575" s="57"/>
      <c r="H575" s="57"/>
      <c r="I575" s="57"/>
      <c r="J575" s="57"/>
      <c r="K575" s="57"/>
      <c r="L575" s="57"/>
      <c r="M575" s="57"/>
      <c r="N575" s="57"/>
      <c r="O575" s="57"/>
      <c r="P575" s="57"/>
      <c r="Q575" s="57"/>
      <c r="R575" s="57"/>
      <c r="S575" s="57"/>
      <c r="T575" s="559"/>
      <c r="U575" s="29"/>
      <c r="V575" s="29"/>
      <c r="AJ575" s="1215"/>
      <c r="AK575" s="1142"/>
      <c r="AM575" s="42"/>
      <c r="AN575" s="42"/>
      <c r="AO575" s="42"/>
      <c r="AP575" s="42"/>
      <c r="AQ575" s="42"/>
      <c r="AR575" s="42"/>
      <c r="AS575" s="42"/>
      <c r="AT575" s="42"/>
      <c r="AU575" s="42"/>
      <c r="AV575" s="42"/>
      <c r="AW575" s="42"/>
      <c r="AX575" s="42"/>
      <c r="AY575" s="42"/>
      <c r="AZ575" s="42"/>
      <c r="BA575" s="42"/>
      <c r="BB575" s="42"/>
      <c r="BC575" s="42"/>
      <c r="BD575" s="42"/>
      <c r="BE575" s="42"/>
      <c r="BF575" s="42"/>
      <c r="BG575" s="42"/>
      <c r="BH575" s="42"/>
      <c r="BI575" s="42"/>
      <c r="BJ575" s="42"/>
      <c r="BK575" s="42"/>
      <c r="BL575" s="42"/>
      <c r="BM575" s="42"/>
      <c r="BN575" s="42"/>
      <c r="BO575" s="42"/>
      <c r="BP575" s="42"/>
      <c r="BQ575" s="42"/>
      <c r="BR575" s="42"/>
      <c r="BS575" s="42"/>
      <c r="BT575" s="42"/>
      <c r="BU575" s="42"/>
      <c r="BV575" s="42"/>
      <c r="BW575" s="42"/>
      <c r="BX575" s="42"/>
      <c r="BY575" s="42"/>
      <c r="BZ575" s="42"/>
      <c r="CA575" s="42"/>
      <c r="CB575" s="42"/>
      <c r="CC575" s="42"/>
      <c r="CD575" s="42"/>
      <c r="CE575" s="42"/>
      <c r="CF575" s="42"/>
      <c r="CG575" s="42"/>
      <c r="CH575" s="42"/>
      <c r="CS575" s="29"/>
      <c r="CT575" s="29"/>
      <c r="CU575" s="29"/>
      <c r="CV575" s="522"/>
      <c r="CW575" s="522"/>
      <c r="CX575" s="211"/>
      <c r="CY575" s="211"/>
      <c r="CZ575" s="211"/>
      <c r="DA575" s="211"/>
      <c r="DB575" s="211"/>
      <c r="DC575" s="211"/>
      <c r="DD575" s="211"/>
      <c r="DE575" s="211"/>
      <c r="DF575" s="60"/>
      <c r="DG575" s="60"/>
      <c r="DH575" s="60"/>
      <c r="DI575" s="60"/>
      <c r="DJ575" s="60"/>
    </row>
    <row r="576" spans="3:114" s="25" customFormat="1">
      <c r="C576" s="24"/>
      <c r="D576" s="24"/>
      <c r="G576" s="57"/>
      <c r="H576" s="57"/>
      <c r="I576" s="57"/>
      <c r="J576" s="57"/>
      <c r="K576" s="57"/>
      <c r="L576" s="57"/>
      <c r="M576" s="57"/>
      <c r="N576" s="57"/>
      <c r="O576" s="57"/>
      <c r="P576" s="57"/>
      <c r="Q576" s="57"/>
      <c r="R576" s="57"/>
      <c r="S576" s="57"/>
      <c r="T576" s="559"/>
      <c r="U576" s="29"/>
      <c r="V576" s="29"/>
      <c r="AJ576" s="1215"/>
      <c r="AK576" s="1142"/>
      <c r="AM576" s="42"/>
      <c r="AN576" s="42"/>
      <c r="AO576" s="42"/>
      <c r="AP576" s="42"/>
      <c r="AQ576" s="42"/>
      <c r="AR576" s="42"/>
      <c r="AS576" s="42"/>
      <c r="AT576" s="42"/>
      <c r="AU576" s="42"/>
      <c r="AV576" s="42"/>
      <c r="AW576" s="42"/>
      <c r="AX576" s="42"/>
      <c r="AY576" s="42"/>
      <c r="AZ576" s="42"/>
      <c r="BA576" s="42"/>
      <c r="BB576" s="42"/>
      <c r="BC576" s="42"/>
      <c r="BD576" s="42"/>
      <c r="BE576" s="42"/>
      <c r="BF576" s="42"/>
      <c r="BG576" s="42"/>
      <c r="BH576" s="42"/>
      <c r="BI576" s="42"/>
      <c r="BJ576" s="42"/>
      <c r="BK576" s="42"/>
      <c r="BL576" s="42"/>
      <c r="BM576" s="42"/>
      <c r="BN576" s="42"/>
      <c r="BO576" s="42"/>
      <c r="BP576" s="42"/>
      <c r="BQ576" s="42"/>
      <c r="BR576" s="42"/>
      <c r="BS576" s="42"/>
      <c r="BT576" s="42"/>
      <c r="BU576" s="42"/>
      <c r="BV576" s="42"/>
      <c r="BW576" s="42"/>
      <c r="BX576" s="42"/>
      <c r="BY576" s="42"/>
      <c r="BZ576" s="42"/>
      <c r="CA576" s="42"/>
      <c r="CB576" s="42"/>
      <c r="CC576" s="42"/>
      <c r="CD576" s="42"/>
      <c r="CE576" s="42"/>
      <c r="CF576" s="42"/>
      <c r="CG576" s="42"/>
      <c r="CH576" s="42"/>
      <c r="CS576" s="29"/>
      <c r="CT576" s="29"/>
      <c r="CU576" s="29"/>
      <c r="CV576" s="522"/>
      <c r="CW576" s="522"/>
      <c r="CX576" s="211"/>
      <c r="CY576" s="211"/>
      <c r="CZ576" s="211"/>
      <c r="DA576" s="211"/>
      <c r="DB576" s="211"/>
      <c r="DC576" s="211"/>
      <c r="DD576" s="211"/>
      <c r="DE576" s="211"/>
      <c r="DF576" s="60"/>
      <c r="DG576" s="60"/>
      <c r="DH576" s="60"/>
      <c r="DI576" s="60"/>
      <c r="DJ576" s="60"/>
    </row>
    <row r="577" spans="3:114" s="25" customFormat="1">
      <c r="C577" s="24"/>
      <c r="D577" s="24"/>
      <c r="G577" s="57"/>
      <c r="H577" s="57"/>
      <c r="I577" s="57"/>
      <c r="J577" s="57"/>
      <c r="K577" s="57"/>
      <c r="L577" s="57"/>
      <c r="M577" s="57"/>
      <c r="N577" s="57"/>
      <c r="O577" s="57"/>
      <c r="P577" s="57"/>
      <c r="Q577" s="57"/>
      <c r="R577" s="57"/>
      <c r="S577" s="57"/>
      <c r="T577" s="559"/>
      <c r="U577" s="29"/>
      <c r="V577" s="29"/>
      <c r="AJ577" s="1215"/>
      <c r="AK577" s="1142"/>
      <c r="AM577" s="42"/>
      <c r="AN577" s="42"/>
      <c r="AO577" s="42"/>
      <c r="AP577" s="42"/>
      <c r="AQ577" s="42"/>
      <c r="AR577" s="42"/>
      <c r="AS577" s="42"/>
      <c r="AT577" s="42"/>
      <c r="AU577" s="42"/>
      <c r="AV577" s="42"/>
      <c r="AW577" s="42"/>
      <c r="AX577" s="42"/>
      <c r="AY577" s="42"/>
      <c r="AZ577" s="42"/>
      <c r="BA577" s="42"/>
      <c r="BB577" s="42"/>
      <c r="BC577" s="42"/>
      <c r="BD577" s="42"/>
      <c r="BE577" s="42"/>
      <c r="BF577" s="42"/>
      <c r="BG577" s="42"/>
      <c r="BH577" s="42"/>
      <c r="BI577" s="42"/>
      <c r="BJ577" s="42"/>
      <c r="BK577" s="42"/>
      <c r="BL577" s="42"/>
      <c r="BM577" s="42"/>
      <c r="BN577" s="42"/>
      <c r="BO577" s="42"/>
      <c r="BP577" s="42"/>
      <c r="BQ577" s="42"/>
      <c r="BR577" s="42"/>
      <c r="BS577" s="42"/>
      <c r="BT577" s="42"/>
      <c r="BU577" s="42"/>
      <c r="BV577" s="42"/>
      <c r="BW577" s="42"/>
      <c r="BX577" s="42"/>
      <c r="BY577" s="42"/>
      <c r="BZ577" s="42"/>
      <c r="CA577" s="42"/>
      <c r="CB577" s="42"/>
      <c r="CC577" s="42"/>
      <c r="CD577" s="42"/>
      <c r="CE577" s="42"/>
      <c r="CF577" s="42"/>
      <c r="CG577" s="42"/>
      <c r="CH577" s="42"/>
      <c r="CS577" s="29"/>
      <c r="CT577" s="29"/>
      <c r="CU577" s="29"/>
      <c r="CV577" s="522"/>
      <c r="CW577" s="522"/>
      <c r="CX577" s="211"/>
      <c r="CY577" s="211"/>
      <c r="CZ577" s="211"/>
      <c r="DA577" s="211"/>
      <c r="DB577" s="211"/>
      <c r="DC577" s="211"/>
      <c r="DD577" s="211"/>
      <c r="DE577" s="211"/>
      <c r="DF577" s="60"/>
      <c r="DG577" s="60"/>
      <c r="DH577" s="60"/>
      <c r="DI577" s="60"/>
      <c r="DJ577" s="60"/>
    </row>
    <row r="578" spans="3:114" s="25" customFormat="1">
      <c r="C578" s="24"/>
      <c r="D578" s="24"/>
      <c r="G578" s="57"/>
      <c r="H578" s="57"/>
      <c r="I578" s="57"/>
      <c r="J578" s="57"/>
      <c r="K578" s="57"/>
      <c r="L578" s="57"/>
      <c r="M578" s="57"/>
      <c r="N578" s="57"/>
      <c r="O578" s="57"/>
      <c r="P578" s="57"/>
      <c r="Q578" s="57"/>
      <c r="R578" s="57"/>
      <c r="S578" s="57"/>
      <c r="T578" s="559"/>
      <c r="U578" s="29"/>
      <c r="V578" s="29"/>
      <c r="AJ578" s="1215"/>
      <c r="AK578" s="1142"/>
      <c r="AM578" s="42"/>
      <c r="AN578" s="42"/>
      <c r="AO578" s="42"/>
      <c r="AP578" s="42"/>
      <c r="AQ578" s="42"/>
      <c r="AR578" s="42"/>
      <c r="AS578" s="42"/>
      <c r="AT578" s="42"/>
      <c r="AU578" s="42"/>
      <c r="AV578" s="42"/>
      <c r="AW578" s="42"/>
      <c r="AX578" s="42"/>
      <c r="AY578" s="42"/>
      <c r="AZ578" s="42"/>
      <c r="BA578" s="42"/>
      <c r="BB578" s="42"/>
      <c r="BC578" s="42"/>
      <c r="BD578" s="42"/>
      <c r="BE578" s="42"/>
      <c r="BF578" s="42"/>
      <c r="BG578" s="42"/>
      <c r="BH578" s="42"/>
      <c r="BI578" s="42"/>
      <c r="BJ578" s="42"/>
      <c r="BK578" s="42"/>
      <c r="BL578" s="42"/>
      <c r="BM578" s="42"/>
      <c r="BN578" s="42"/>
      <c r="BO578" s="42"/>
      <c r="BP578" s="42"/>
      <c r="BQ578" s="42"/>
      <c r="BR578" s="42"/>
      <c r="BS578" s="42"/>
      <c r="BT578" s="42"/>
      <c r="BU578" s="42"/>
      <c r="BV578" s="42"/>
      <c r="BW578" s="42"/>
      <c r="BX578" s="42"/>
      <c r="BY578" s="42"/>
      <c r="BZ578" s="42"/>
      <c r="CA578" s="42"/>
      <c r="CB578" s="42"/>
      <c r="CC578" s="42"/>
      <c r="CD578" s="42"/>
      <c r="CE578" s="42"/>
      <c r="CF578" s="42"/>
      <c r="CG578" s="42"/>
      <c r="CH578" s="42"/>
      <c r="CS578" s="29"/>
      <c r="CT578" s="29"/>
      <c r="CU578" s="29"/>
      <c r="CV578" s="522"/>
      <c r="CW578" s="522"/>
      <c r="CX578" s="211"/>
      <c r="CY578" s="211"/>
      <c r="CZ578" s="211"/>
      <c r="DA578" s="211"/>
      <c r="DB578" s="211"/>
      <c r="DC578" s="211"/>
      <c r="DD578" s="211"/>
      <c r="DE578" s="211"/>
      <c r="DF578" s="60"/>
      <c r="DG578" s="60"/>
      <c r="DH578" s="60"/>
      <c r="DI578" s="60"/>
      <c r="DJ578" s="60"/>
    </row>
    <row r="579" spans="3:114" s="25" customFormat="1">
      <c r="C579" s="24"/>
      <c r="D579" s="24"/>
      <c r="G579" s="57"/>
      <c r="H579" s="57"/>
      <c r="I579" s="57"/>
      <c r="J579" s="57"/>
      <c r="K579" s="57"/>
      <c r="L579" s="57"/>
      <c r="M579" s="57"/>
      <c r="N579" s="57"/>
      <c r="O579" s="57"/>
      <c r="P579" s="57"/>
      <c r="Q579" s="57"/>
      <c r="R579" s="57"/>
      <c r="S579" s="57"/>
      <c r="T579" s="559"/>
      <c r="U579" s="29"/>
      <c r="V579" s="29"/>
      <c r="AJ579" s="1215"/>
      <c r="AK579" s="1142"/>
      <c r="AM579" s="42"/>
      <c r="AN579" s="42"/>
      <c r="AO579" s="42"/>
      <c r="AP579" s="42"/>
      <c r="AQ579" s="42"/>
      <c r="AR579" s="42"/>
      <c r="AS579" s="42"/>
      <c r="AT579" s="42"/>
      <c r="AU579" s="42"/>
      <c r="AV579" s="42"/>
      <c r="AW579" s="42"/>
      <c r="AX579" s="42"/>
      <c r="AY579" s="42"/>
      <c r="AZ579" s="42"/>
      <c r="BA579" s="42"/>
      <c r="BB579" s="42"/>
      <c r="BC579" s="42"/>
      <c r="BD579" s="42"/>
      <c r="BE579" s="42"/>
      <c r="BF579" s="42"/>
      <c r="BG579" s="42"/>
      <c r="BH579" s="42"/>
      <c r="BI579" s="42"/>
      <c r="BJ579" s="42"/>
      <c r="BK579" s="42"/>
      <c r="BL579" s="42"/>
      <c r="BM579" s="42"/>
      <c r="BN579" s="42"/>
      <c r="BO579" s="42"/>
      <c r="BP579" s="42"/>
      <c r="BQ579" s="42"/>
      <c r="BR579" s="42"/>
      <c r="BS579" s="42"/>
      <c r="BT579" s="42"/>
      <c r="BU579" s="42"/>
      <c r="BV579" s="42"/>
      <c r="BW579" s="42"/>
      <c r="BX579" s="42"/>
      <c r="BY579" s="42"/>
      <c r="BZ579" s="42"/>
      <c r="CA579" s="42"/>
      <c r="CB579" s="42"/>
      <c r="CC579" s="42"/>
      <c r="CD579" s="42"/>
      <c r="CE579" s="42"/>
      <c r="CF579" s="42"/>
      <c r="CG579" s="42"/>
      <c r="CH579" s="42"/>
      <c r="CS579" s="29"/>
      <c r="CT579" s="29"/>
      <c r="CU579" s="29"/>
      <c r="CV579" s="522"/>
      <c r="CW579" s="522"/>
      <c r="CX579" s="211"/>
      <c r="CY579" s="211"/>
      <c r="CZ579" s="211"/>
      <c r="DA579" s="211"/>
      <c r="DB579" s="211"/>
      <c r="DC579" s="211"/>
      <c r="DD579" s="211"/>
      <c r="DE579" s="211"/>
      <c r="DF579" s="60"/>
      <c r="DG579" s="60"/>
      <c r="DH579" s="60"/>
      <c r="DI579" s="60"/>
      <c r="DJ579" s="60"/>
    </row>
    <row r="580" spans="3:114" s="25" customFormat="1">
      <c r="C580" s="24"/>
      <c r="D580" s="24"/>
      <c r="G580" s="57"/>
      <c r="H580" s="57"/>
      <c r="I580" s="57"/>
      <c r="J580" s="57"/>
      <c r="K580" s="57"/>
      <c r="L580" s="57"/>
      <c r="M580" s="57"/>
      <c r="N580" s="57"/>
      <c r="O580" s="57"/>
      <c r="P580" s="57"/>
      <c r="Q580" s="57"/>
      <c r="R580" s="57"/>
      <c r="S580" s="57"/>
      <c r="T580" s="559"/>
      <c r="U580" s="29"/>
      <c r="V580" s="29"/>
      <c r="AJ580" s="1215"/>
      <c r="AK580" s="1142"/>
      <c r="AM580" s="42"/>
      <c r="AN580" s="42"/>
      <c r="AO580" s="42"/>
      <c r="AP580" s="42"/>
      <c r="AQ580" s="42"/>
      <c r="AR580" s="42"/>
      <c r="AS580" s="42"/>
      <c r="AT580" s="42"/>
      <c r="AU580" s="42"/>
      <c r="AV580" s="42"/>
      <c r="AW580" s="42"/>
      <c r="AX580" s="42"/>
      <c r="AY580" s="42"/>
      <c r="AZ580" s="42"/>
      <c r="BA580" s="42"/>
      <c r="BB580" s="42"/>
      <c r="BC580" s="42"/>
      <c r="BD580" s="42"/>
      <c r="BE580" s="42"/>
      <c r="BF580" s="42"/>
      <c r="BG580" s="42"/>
      <c r="BH580" s="42"/>
      <c r="BI580" s="42"/>
      <c r="BJ580" s="42"/>
      <c r="BK580" s="42"/>
      <c r="BL580" s="42"/>
      <c r="BM580" s="42"/>
      <c r="BN580" s="42"/>
      <c r="BO580" s="42"/>
      <c r="BP580" s="42"/>
      <c r="BQ580" s="42"/>
      <c r="BR580" s="42"/>
      <c r="BS580" s="42"/>
      <c r="BT580" s="42"/>
      <c r="BU580" s="42"/>
      <c r="BV580" s="42"/>
      <c r="BW580" s="42"/>
      <c r="BX580" s="42"/>
      <c r="BY580" s="42"/>
      <c r="BZ580" s="42"/>
      <c r="CA580" s="42"/>
      <c r="CB580" s="42"/>
      <c r="CC580" s="42"/>
      <c r="CD580" s="42"/>
      <c r="CE580" s="42"/>
      <c r="CF580" s="42"/>
      <c r="CG580" s="42"/>
      <c r="CH580" s="42"/>
      <c r="CS580" s="29"/>
      <c r="CT580" s="29"/>
      <c r="CU580" s="29"/>
      <c r="CV580" s="522"/>
      <c r="CW580" s="522"/>
      <c r="CX580" s="211"/>
      <c r="CY580" s="211"/>
      <c r="CZ580" s="211"/>
      <c r="DA580" s="211"/>
      <c r="DB580" s="211"/>
      <c r="DC580" s="211"/>
      <c r="DD580" s="211"/>
      <c r="DE580" s="211"/>
      <c r="DF580" s="60"/>
      <c r="DG580" s="60"/>
      <c r="DH580" s="60"/>
      <c r="DI580" s="60"/>
      <c r="DJ580" s="60"/>
    </row>
    <row r="581" spans="3:114" s="25" customFormat="1">
      <c r="C581" s="24"/>
      <c r="D581" s="24"/>
      <c r="G581" s="57"/>
      <c r="H581" s="57"/>
      <c r="I581" s="57"/>
      <c r="J581" s="57"/>
      <c r="K581" s="57"/>
      <c r="L581" s="57"/>
      <c r="M581" s="57"/>
      <c r="N581" s="57"/>
      <c r="O581" s="57"/>
      <c r="P581" s="57"/>
      <c r="Q581" s="57"/>
      <c r="R581" s="57"/>
      <c r="S581" s="57"/>
      <c r="T581" s="559"/>
      <c r="U581" s="29"/>
      <c r="V581" s="29"/>
      <c r="AJ581" s="1215"/>
      <c r="AK581" s="1142"/>
      <c r="AM581" s="42"/>
      <c r="AN581" s="42"/>
      <c r="AO581" s="42"/>
      <c r="AP581" s="42"/>
      <c r="AQ581" s="42"/>
      <c r="AR581" s="42"/>
      <c r="AS581" s="42"/>
      <c r="AT581" s="42"/>
      <c r="AU581" s="42"/>
      <c r="AV581" s="42"/>
      <c r="AW581" s="42"/>
      <c r="AX581" s="42"/>
      <c r="AY581" s="42"/>
      <c r="AZ581" s="42"/>
      <c r="BA581" s="42"/>
      <c r="BB581" s="42"/>
      <c r="BC581" s="42"/>
      <c r="BD581" s="42"/>
      <c r="BE581" s="42"/>
      <c r="BF581" s="42"/>
      <c r="BG581" s="42"/>
      <c r="BH581" s="42"/>
      <c r="BI581" s="42"/>
      <c r="BJ581" s="42"/>
      <c r="BK581" s="42"/>
      <c r="BL581" s="42"/>
      <c r="BM581" s="42"/>
      <c r="BN581" s="42"/>
      <c r="BO581" s="42"/>
      <c r="BP581" s="42"/>
      <c r="BQ581" s="42"/>
      <c r="BR581" s="42"/>
      <c r="BS581" s="42"/>
      <c r="BT581" s="42"/>
      <c r="BU581" s="42"/>
      <c r="BV581" s="42"/>
      <c r="BW581" s="42"/>
      <c r="BX581" s="42"/>
      <c r="BY581" s="42"/>
      <c r="BZ581" s="42"/>
      <c r="CA581" s="42"/>
      <c r="CB581" s="42"/>
      <c r="CC581" s="42"/>
      <c r="CD581" s="42"/>
      <c r="CE581" s="42"/>
      <c r="CF581" s="42"/>
      <c r="CG581" s="42"/>
      <c r="CH581" s="42"/>
      <c r="CS581" s="29"/>
      <c r="CT581" s="29"/>
      <c r="CU581" s="29"/>
      <c r="CV581" s="522"/>
      <c r="CW581" s="522"/>
      <c r="CX581" s="211"/>
      <c r="CY581" s="211"/>
      <c r="CZ581" s="211"/>
      <c r="DA581" s="211"/>
      <c r="DB581" s="211"/>
      <c r="DC581" s="211"/>
      <c r="DD581" s="211"/>
      <c r="DE581" s="211"/>
      <c r="DF581" s="60"/>
      <c r="DG581" s="60"/>
      <c r="DH581" s="60"/>
      <c r="DI581" s="60"/>
      <c r="DJ581" s="60"/>
    </row>
    <row r="582" spans="3:114" s="25" customFormat="1">
      <c r="C582" s="24"/>
      <c r="D582" s="24"/>
      <c r="G582" s="57"/>
      <c r="H582" s="57"/>
      <c r="I582" s="57"/>
      <c r="J582" s="57"/>
      <c r="K582" s="57"/>
      <c r="L582" s="57"/>
      <c r="M582" s="57"/>
      <c r="N582" s="57"/>
      <c r="O582" s="57"/>
      <c r="P582" s="57"/>
      <c r="Q582" s="57"/>
      <c r="R582" s="57"/>
      <c r="S582" s="57"/>
      <c r="T582" s="559"/>
      <c r="U582" s="29"/>
      <c r="V582" s="29"/>
      <c r="AJ582" s="1215"/>
      <c r="AK582" s="1142"/>
      <c r="AM582" s="42"/>
      <c r="AN582" s="42"/>
      <c r="AO582" s="42"/>
      <c r="AP582" s="42"/>
      <c r="AQ582" s="42"/>
      <c r="AR582" s="42"/>
      <c r="AS582" s="42"/>
      <c r="AT582" s="42"/>
      <c r="AU582" s="42"/>
      <c r="AV582" s="42"/>
      <c r="AW582" s="42"/>
      <c r="AX582" s="42"/>
      <c r="AY582" s="42"/>
      <c r="AZ582" s="42"/>
      <c r="BA582" s="42"/>
      <c r="BB582" s="42"/>
      <c r="BC582" s="42"/>
      <c r="BD582" s="42"/>
      <c r="BE582" s="42"/>
      <c r="BF582" s="42"/>
      <c r="BG582" s="42"/>
      <c r="BH582" s="42"/>
      <c r="BI582" s="42"/>
      <c r="BJ582" s="42"/>
      <c r="BK582" s="42"/>
      <c r="BL582" s="42"/>
      <c r="BM582" s="42"/>
      <c r="BN582" s="42"/>
      <c r="BO582" s="42"/>
      <c r="BP582" s="42"/>
      <c r="BQ582" s="42"/>
      <c r="BR582" s="42"/>
      <c r="BS582" s="42"/>
      <c r="BT582" s="42"/>
      <c r="BU582" s="42"/>
      <c r="BV582" s="42"/>
      <c r="BW582" s="42"/>
      <c r="BX582" s="42"/>
      <c r="BY582" s="42"/>
      <c r="BZ582" s="42"/>
      <c r="CA582" s="42"/>
      <c r="CB582" s="42"/>
      <c r="CC582" s="42"/>
      <c r="CD582" s="42"/>
      <c r="CE582" s="42"/>
      <c r="CF582" s="42"/>
      <c r="CG582" s="42"/>
      <c r="CH582" s="42"/>
      <c r="CS582" s="29"/>
      <c r="CT582" s="29"/>
      <c r="CU582" s="29"/>
      <c r="CV582" s="522"/>
      <c r="CW582" s="522"/>
      <c r="CX582" s="211"/>
      <c r="CY582" s="211"/>
      <c r="CZ582" s="211"/>
      <c r="DA582" s="211"/>
      <c r="DB582" s="211"/>
      <c r="DC582" s="211"/>
      <c r="DD582" s="211"/>
      <c r="DE582" s="211"/>
      <c r="DF582" s="60"/>
      <c r="DG582" s="60"/>
      <c r="DH582" s="60"/>
      <c r="DI582" s="60"/>
      <c r="DJ582" s="60"/>
    </row>
    <row r="583" spans="3:114" s="25" customFormat="1">
      <c r="C583" s="24"/>
      <c r="D583" s="24"/>
      <c r="G583" s="57"/>
      <c r="H583" s="57"/>
      <c r="I583" s="57"/>
      <c r="J583" s="57"/>
      <c r="K583" s="57"/>
      <c r="L583" s="57"/>
      <c r="M583" s="57"/>
      <c r="N583" s="57"/>
      <c r="O583" s="57"/>
      <c r="P583" s="57"/>
      <c r="Q583" s="57"/>
      <c r="R583" s="57"/>
      <c r="S583" s="57"/>
      <c r="T583" s="559"/>
      <c r="U583" s="29"/>
      <c r="V583" s="29"/>
      <c r="AJ583" s="1215"/>
      <c r="AK583" s="1142"/>
      <c r="AM583" s="42"/>
      <c r="AN583" s="42"/>
      <c r="AO583" s="42"/>
      <c r="AP583" s="42"/>
      <c r="AQ583" s="42"/>
      <c r="AR583" s="42"/>
      <c r="AS583" s="42"/>
      <c r="AT583" s="42"/>
      <c r="AU583" s="42"/>
      <c r="AV583" s="42"/>
      <c r="AW583" s="42"/>
      <c r="AX583" s="42"/>
      <c r="AY583" s="42"/>
      <c r="AZ583" s="42"/>
      <c r="BA583" s="42"/>
      <c r="BB583" s="42"/>
      <c r="BC583" s="42"/>
      <c r="BD583" s="42"/>
      <c r="BE583" s="42"/>
      <c r="BF583" s="42"/>
      <c r="BG583" s="42"/>
      <c r="BH583" s="42"/>
      <c r="BI583" s="42"/>
      <c r="BJ583" s="42"/>
      <c r="BK583" s="42"/>
      <c r="BL583" s="42"/>
      <c r="BM583" s="42"/>
      <c r="BN583" s="42"/>
      <c r="BO583" s="42"/>
      <c r="BP583" s="42"/>
      <c r="BQ583" s="42"/>
      <c r="BR583" s="42"/>
      <c r="BS583" s="42"/>
      <c r="BT583" s="42"/>
      <c r="BU583" s="42"/>
      <c r="BV583" s="42"/>
      <c r="BW583" s="42"/>
      <c r="BX583" s="42"/>
      <c r="BY583" s="42"/>
      <c r="BZ583" s="42"/>
      <c r="CA583" s="42"/>
      <c r="CB583" s="42"/>
      <c r="CC583" s="42"/>
      <c r="CD583" s="42"/>
      <c r="CE583" s="42"/>
      <c r="CF583" s="42"/>
      <c r="CG583" s="42"/>
      <c r="CH583" s="42"/>
      <c r="CS583" s="29"/>
      <c r="CT583" s="29"/>
      <c r="CU583" s="29"/>
      <c r="CV583" s="522"/>
      <c r="CW583" s="522"/>
      <c r="CX583" s="211"/>
      <c r="CY583" s="211"/>
      <c r="CZ583" s="211"/>
      <c r="DA583" s="211"/>
      <c r="DB583" s="211"/>
      <c r="DC583" s="211"/>
      <c r="DD583" s="211"/>
      <c r="DE583" s="211"/>
      <c r="DF583" s="60"/>
      <c r="DG583" s="60"/>
      <c r="DH583" s="60"/>
      <c r="DI583" s="60"/>
      <c r="DJ583" s="60"/>
    </row>
    <row r="584" spans="3:114" s="25" customFormat="1">
      <c r="C584" s="24"/>
      <c r="D584" s="24"/>
      <c r="G584" s="57"/>
      <c r="H584" s="57"/>
      <c r="I584" s="57"/>
      <c r="J584" s="57"/>
      <c r="K584" s="57"/>
      <c r="L584" s="57"/>
      <c r="M584" s="57"/>
      <c r="N584" s="57"/>
      <c r="O584" s="57"/>
      <c r="P584" s="57"/>
      <c r="Q584" s="57"/>
      <c r="R584" s="57"/>
      <c r="S584" s="57"/>
      <c r="T584" s="559"/>
      <c r="U584" s="29"/>
      <c r="V584" s="29"/>
      <c r="AJ584" s="1215"/>
      <c r="AK584" s="1142"/>
      <c r="AM584" s="42"/>
      <c r="AN584" s="42"/>
      <c r="AO584" s="42"/>
      <c r="AP584" s="42"/>
      <c r="AQ584" s="42"/>
      <c r="AR584" s="42"/>
      <c r="AS584" s="42"/>
      <c r="AT584" s="42"/>
      <c r="AU584" s="42"/>
      <c r="AV584" s="42"/>
      <c r="AW584" s="42"/>
      <c r="AX584" s="42"/>
      <c r="AY584" s="42"/>
      <c r="AZ584" s="42"/>
      <c r="BA584" s="42"/>
      <c r="BB584" s="42"/>
      <c r="BC584" s="42"/>
      <c r="BD584" s="42"/>
      <c r="BE584" s="42"/>
      <c r="BF584" s="42"/>
      <c r="BG584" s="42"/>
      <c r="BH584" s="42"/>
      <c r="BI584" s="42"/>
      <c r="BJ584" s="42"/>
      <c r="BK584" s="42"/>
      <c r="BL584" s="42"/>
      <c r="BM584" s="42"/>
      <c r="BN584" s="42"/>
      <c r="BO584" s="42"/>
      <c r="BP584" s="42"/>
      <c r="BQ584" s="42"/>
      <c r="BR584" s="42"/>
      <c r="BS584" s="42"/>
      <c r="BT584" s="42"/>
      <c r="BU584" s="42"/>
      <c r="BV584" s="42"/>
      <c r="BW584" s="42"/>
      <c r="BX584" s="42"/>
      <c r="BY584" s="42"/>
      <c r="BZ584" s="42"/>
      <c r="CA584" s="42"/>
      <c r="CB584" s="42"/>
      <c r="CC584" s="42"/>
      <c r="CD584" s="42"/>
      <c r="CE584" s="42"/>
      <c r="CF584" s="42"/>
      <c r="CG584" s="42"/>
      <c r="CH584" s="42"/>
      <c r="CS584" s="29"/>
      <c r="CT584" s="29"/>
      <c r="CU584" s="29"/>
      <c r="CV584" s="522"/>
      <c r="CW584" s="522"/>
      <c r="CX584" s="211"/>
      <c r="CY584" s="211"/>
      <c r="CZ584" s="211"/>
      <c r="DA584" s="211"/>
      <c r="DB584" s="211"/>
      <c r="DC584" s="211"/>
      <c r="DD584" s="211"/>
      <c r="DE584" s="211"/>
      <c r="DF584" s="60"/>
      <c r="DG584" s="60"/>
      <c r="DH584" s="60"/>
      <c r="DI584" s="60"/>
      <c r="DJ584" s="60"/>
    </row>
    <row r="585" spans="3:114" s="25" customFormat="1">
      <c r="C585" s="24"/>
      <c r="D585" s="24"/>
      <c r="G585" s="57"/>
      <c r="H585" s="57"/>
      <c r="I585" s="57"/>
      <c r="J585" s="57"/>
      <c r="K585" s="57"/>
      <c r="L585" s="57"/>
      <c r="M585" s="57"/>
      <c r="N585" s="57"/>
      <c r="O585" s="57"/>
      <c r="P585" s="57"/>
      <c r="Q585" s="57"/>
      <c r="R585" s="57"/>
      <c r="S585" s="57"/>
      <c r="T585" s="559"/>
      <c r="U585" s="29"/>
      <c r="V585" s="29"/>
      <c r="AJ585" s="1215"/>
      <c r="AK585" s="1142"/>
      <c r="AM585" s="42"/>
      <c r="AN585" s="42"/>
      <c r="AO585" s="42"/>
      <c r="AP585" s="42"/>
      <c r="AQ585" s="42"/>
      <c r="AR585" s="42"/>
      <c r="AS585" s="42"/>
      <c r="AT585" s="42"/>
      <c r="AU585" s="42"/>
      <c r="AV585" s="42"/>
      <c r="AW585" s="42"/>
      <c r="AX585" s="42"/>
      <c r="AY585" s="42"/>
      <c r="AZ585" s="42"/>
      <c r="BA585" s="42"/>
      <c r="BB585" s="42"/>
      <c r="BC585" s="42"/>
      <c r="BD585" s="42"/>
      <c r="BE585" s="42"/>
      <c r="BF585" s="42"/>
      <c r="BG585" s="42"/>
      <c r="BH585" s="42"/>
      <c r="BI585" s="42"/>
      <c r="BJ585" s="42"/>
      <c r="BK585" s="42"/>
      <c r="BL585" s="42"/>
      <c r="BM585" s="42"/>
      <c r="BN585" s="42"/>
      <c r="BO585" s="42"/>
      <c r="BP585" s="42"/>
      <c r="BQ585" s="42"/>
      <c r="BR585" s="42"/>
      <c r="BS585" s="42"/>
      <c r="BT585" s="42"/>
      <c r="BU585" s="42"/>
      <c r="BV585" s="42"/>
      <c r="BW585" s="42"/>
      <c r="BX585" s="42"/>
      <c r="BY585" s="42"/>
      <c r="BZ585" s="42"/>
      <c r="CA585" s="42"/>
      <c r="CB585" s="42"/>
      <c r="CC585" s="42"/>
      <c r="CD585" s="42"/>
      <c r="CE585" s="42"/>
      <c r="CF585" s="42"/>
      <c r="CG585" s="42"/>
      <c r="CH585" s="42"/>
      <c r="CS585" s="29"/>
      <c r="CT585" s="29"/>
      <c r="CU585" s="29"/>
      <c r="CV585" s="522"/>
      <c r="CW585" s="522"/>
      <c r="CX585" s="211"/>
      <c r="CY585" s="211"/>
      <c r="CZ585" s="211"/>
      <c r="DA585" s="211"/>
      <c r="DB585" s="211"/>
      <c r="DC585" s="211"/>
      <c r="DD585" s="211"/>
      <c r="DE585" s="211"/>
      <c r="DF585" s="60"/>
      <c r="DG585" s="60"/>
      <c r="DH585" s="60"/>
      <c r="DI585" s="60"/>
      <c r="DJ585" s="60"/>
    </row>
    <row r="586" spans="3:114" s="25" customFormat="1">
      <c r="C586" s="24"/>
      <c r="D586" s="24"/>
      <c r="G586" s="57"/>
      <c r="H586" s="57"/>
      <c r="I586" s="57"/>
      <c r="J586" s="57"/>
      <c r="K586" s="57"/>
      <c r="L586" s="57"/>
      <c r="M586" s="57"/>
      <c r="N586" s="57"/>
      <c r="O586" s="57"/>
      <c r="P586" s="57"/>
      <c r="Q586" s="57"/>
      <c r="R586" s="57"/>
      <c r="S586" s="57"/>
      <c r="T586" s="559"/>
      <c r="U586" s="29"/>
      <c r="V586" s="29"/>
      <c r="AJ586" s="1215"/>
      <c r="AK586" s="1142"/>
      <c r="AM586" s="42"/>
      <c r="AN586" s="42"/>
      <c r="AO586" s="42"/>
      <c r="AP586" s="42"/>
      <c r="AQ586" s="42"/>
      <c r="AR586" s="42"/>
      <c r="AS586" s="42"/>
      <c r="AT586" s="42"/>
      <c r="AU586" s="42"/>
      <c r="AV586" s="42"/>
      <c r="AW586" s="42"/>
      <c r="AX586" s="42"/>
      <c r="AY586" s="42"/>
      <c r="AZ586" s="42"/>
      <c r="BA586" s="42"/>
      <c r="BB586" s="42"/>
      <c r="BC586" s="42"/>
      <c r="BD586" s="42"/>
      <c r="BE586" s="42"/>
      <c r="BF586" s="42"/>
      <c r="BG586" s="42"/>
      <c r="BH586" s="42"/>
      <c r="BI586" s="42"/>
      <c r="BJ586" s="42"/>
      <c r="BK586" s="42"/>
      <c r="BL586" s="42"/>
      <c r="BM586" s="42"/>
      <c r="BN586" s="42"/>
      <c r="BO586" s="42"/>
      <c r="BP586" s="42"/>
      <c r="BQ586" s="42"/>
      <c r="BR586" s="42"/>
      <c r="BS586" s="42"/>
      <c r="BT586" s="42"/>
      <c r="BU586" s="42"/>
      <c r="BV586" s="42"/>
      <c r="BW586" s="42"/>
      <c r="BX586" s="42"/>
      <c r="BY586" s="42"/>
      <c r="BZ586" s="42"/>
      <c r="CA586" s="42"/>
      <c r="CB586" s="42"/>
      <c r="CC586" s="42"/>
      <c r="CD586" s="42"/>
      <c r="CE586" s="42"/>
      <c r="CF586" s="42"/>
      <c r="CG586" s="42"/>
      <c r="CH586" s="42"/>
      <c r="CS586" s="29"/>
      <c r="CT586" s="29"/>
      <c r="CU586" s="29"/>
      <c r="CV586" s="522"/>
      <c r="CW586" s="522"/>
      <c r="CX586" s="211"/>
      <c r="CY586" s="211"/>
      <c r="CZ586" s="211"/>
      <c r="DA586" s="211"/>
      <c r="DB586" s="211"/>
      <c r="DC586" s="211"/>
      <c r="DD586" s="211"/>
      <c r="DE586" s="211"/>
      <c r="DF586" s="60"/>
      <c r="DG586" s="60"/>
      <c r="DH586" s="60"/>
      <c r="DI586" s="60"/>
      <c r="DJ586" s="60"/>
    </row>
    <row r="587" spans="3:114" s="25" customFormat="1">
      <c r="C587" s="24"/>
      <c r="D587" s="24"/>
      <c r="G587" s="57"/>
      <c r="H587" s="57"/>
      <c r="I587" s="57"/>
      <c r="J587" s="57"/>
      <c r="K587" s="57"/>
      <c r="L587" s="57"/>
      <c r="M587" s="57"/>
      <c r="N587" s="57"/>
      <c r="O587" s="57"/>
      <c r="P587" s="57"/>
      <c r="Q587" s="57"/>
      <c r="R587" s="57"/>
      <c r="S587" s="57"/>
      <c r="T587" s="559"/>
      <c r="U587" s="29"/>
      <c r="V587" s="29"/>
      <c r="AJ587" s="1215"/>
      <c r="AK587" s="1142"/>
      <c r="AM587" s="42"/>
      <c r="AN587" s="42"/>
      <c r="AO587" s="42"/>
      <c r="AP587" s="42"/>
      <c r="AQ587" s="42"/>
      <c r="AR587" s="42"/>
      <c r="AS587" s="42"/>
      <c r="AT587" s="42"/>
      <c r="AU587" s="42"/>
      <c r="AV587" s="42"/>
      <c r="AW587" s="42"/>
      <c r="AX587" s="42"/>
      <c r="AY587" s="42"/>
      <c r="AZ587" s="42"/>
      <c r="BA587" s="42"/>
      <c r="BB587" s="42"/>
      <c r="BC587" s="42"/>
      <c r="BD587" s="42"/>
      <c r="BE587" s="42"/>
      <c r="BF587" s="42"/>
      <c r="BG587" s="42"/>
      <c r="BH587" s="42"/>
      <c r="BI587" s="42"/>
      <c r="BJ587" s="42"/>
      <c r="BK587" s="42"/>
      <c r="BL587" s="42"/>
      <c r="BM587" s="42"/>
      <c r="BN587" s="42"/>
      <c r="BO587" s="42"/>
      <c r="BP587" s="42"/>
      <c r="BQ587" s="42"/>
      <c r="BR587" s="42"/>
      <c r="BS587" s="42"/>
      <c r="BT587" s="42"/>
      <c r="BU587" s="42"/>
      <c r="BV587" s="42"/>
      <c r="BW587" s="42"/>
      <c r="BX587" s="42"/>
      <c r="BY587" s="42"/>
      <c r="BZ587" s="42"/>
      <c r="CA587" s="42"/>
      <c r="CB587" s="42"/>
      <c r="CC587" s="42"/>
      <c r="CD587" s="42"/>
      <c r="CE587" s="42"/>
      <c r="CF587" s="42"/>
      <c r="CG587" s="42"/>
      <c r="CH587" s="42"/>
      <c r="CS587" s="29"/>
      <c r="CT587" s="29"/>
      <c r="CU587" s="29"/>
      <c r="CV587" s="522"/>
      <c r="CW587" s="522"/>
      <c r="CX587" s="211"/>
      <c r="CY587" s="211"/>
      <c r="CZ587" s="211"/>
      <c r="DA587" s="211"/>
      <c r="DB587" s="211"/>
      <c r="DC587" s="211"/>
      <c r="DD587" s="211"/>
      <c r="DE587" s="211"/>
      <c r="DF587" s="60"/>
      <c r="DG587" s="60"/>
      <c r="DH587" s="60"/>
      <c r="DI587" s="60"/>
      <c r="DJ587" s="60"/>
    </row>
    <row r="588" spans="3:114" s="25" customFormat="1">
      <c r="C588" s="24"/>
      <c r="D588" s="24"/>
      <c r="G588" s="57"/>
      <c r="H588" s="57"/>
      <c r="I588" s="57"/>
      <c r="J588" s="57"/>
      <c r="K588" s="57"/>
      <c r="L588" s="57"/>
      <c r="M588" s="57"/>
      <c r="N588" s="57"/>
      <c r="O588" s="57"/>
      <c r="P588" s="57"/>
      <c r="Q588" s="57"/>
      <c r="R588" s="57"/>
      <c r="S588" s="57"/>
      <c r="T588" s="559"/>
      <c r="U588" s="29"/>
      <c r="V588" s="29"/>
      <c r="AJ588" s="1215"/>
      <c r="AK588" s="1142"/>
      <c r="AM588" s="42"/>
      <c r="AN588" s="42"/>
      <c r="AO588" s="42"/>
      <c r="AP588" s="42"/>
      <c r="AQ588" s="42"/>
      <c r="AR588" s="42"/>
      <c r="AS588" s="42"/>
      <c r="AT588" s="42"/>
      <c r="AU588" s="42"/>
      <c r="AV588" s="42"/>
      <c r="AW588" s="42"/>
      <c r="AX588" s="42"/>
      <c r="AY588" s="42"/>
      <c r="AZ588" s="42"/>
      <c r="BA588" s="42"/>
      <c r="BB588" s="42"/>
      <c r="BC588" s="42"/>
      <c r="BD588" s="42"/>
      <c r="BE588" s="42"/>
      <c r="BF588" s="42"/>
      <c r="BG588" s="42"/>
      <c r="BH588" s="42"/>
      <c r="BI588" s="42"/>
      <c r="BJ588" s="42"/>
      <c r="BK588" s="42"/>
      <c r="BL588" s="42"/>
      <c r="BM588" s="42"/>
      <c r="BN588" s="42"/>
      <c r="BO588" s="42"/>
      <c r="BP588" s="42"/>
      <c r="BQ588" s="42"/>
      <c r="BR588" s="42"/>
      <c r="BS588" s="42"/>
      <c r="BT588" s="42"/>
      <c r="BU588" s="42"/>
      <c r="BV588" s="42"/>
      <c r="BW588" s="42"/>
      <c r="BX588" s="42"/>
      <c r="BY588" s="42"/>
      <c r="BZ588" s="42"/>
      <c r="CA588" s="42"/>
      <c r="CB588" s="42"/>
      <c r="CC588" s="42"/>
      <c r="CD588" s="42"/>
      <c r="CE588" s="42"/>
      <c r="CF588" s="42"/>
      <c r="CG588" s="42"/>
      <c r="CH588" s="42"/>
      <c r="CS588" s="29"/>
      <c r="CT588" s="29"/>
      <c r="CU588" s="29"/>
      <c r="CV588" s="522"/>
      <c r="CW588" s="522"/>
      <c r="CX588" s="211"/>
      <c r="CY588" s="211"/>
      <c r="CZ588" s="211"/>
      <c r="DA588" s="211"/>
      <c r="DB588" s="211"/>
      <c r="DC588" s="211"/>
      <c r="DD588" s="211"/>
      <c r="DE588" s="211"/>
      <c r="DF588" s="60"/>
      <c r="DG588" s="60"/>
      <c r="DH588" s="60"/>
      <c r="DI588" s="60"/>
      <c r="DJ588" s="60"/>
    </row>
    <row r="589" spans="3:114" s="25" customFormat="1">
      <c r="C589" s="24"/>
      <c r="D589" s="24"/>
      <c r="G589" s="57"/>
      <c r="H589" s="57"/>
      <c r="I589" s="57"/>
      <c r="J589" s="57"/>
      <c r="K589" s="57"/>
      <c r="L589" s="57"/>
      <c r="M589" s="57"/>
      <c r="N589" s="57"/>
      <c r="O589" s="57"/>
      <c r="P589" s="57"/>
      <c r="Q589" s="57"/>
      <c r="R589" s="57"/>
      <c r="S589" s="57"/>
      <c r="T589" s="559"/>
      <c r="U589" s="29"/>
      <c r="V589" s="29"/>
      <c r="AJ589" s="1215"/>
      <c r="AK589" s="1142"/>
      <c r="AM589" s="42"/>
      <c r="AN589" s="42"/>
      <c r="AO589" s="42"/>
      <c r="AP589" s="42"/>
      <c r="AQ589" s="42"/>
      <c r="AR589" s="42"/>
      <c r="AS589" s="42"/>
      <c r="AT589" s="42"/>
      <c r="AU589" s="42"/>
      <c r="AV589" s="42"/>
      <c r="AW589" s="42"/>
      <c r="AX589" s="42"/>
      <c r="AY589" s="42"/>
      <c r="AZ589" s="42"/>
      <c r="BA589" s="42"/>
      <c r="BB589" s="42"/>
      <c r="BC589" s="42"/>
      <c r="BD589" s="42"/>
      <c r="BE589" s="42"/>
      <c r="BF589" s="42"/>
      <c r="BG589" s="42"/>
      <c r="BH589" s="42"/>
      <c r="BI589" s="42"/>
      <c r="BJ589" s="42"/>
      <c r="BK589" s="42"/>
      <c r="BL589" s="42"/>
      <c r="BM589" s="42"/>
      <c r="BN589" s="42"/>
      <c r="BO589" s="42"/>
      <c r="BP589" s="42"/>
      <c r="BQ589" s="42"/>
      <c r="BR589" s="42"/>
      <c r="BS589" s="42"/>
      <c r="BT589" s="42"/>
      <c r="BU589" s="42"/>
      <c r="BV589" s="42"/>
      <c r="BW589" s="42"/>
      <c r="BX589" s="42"/>
      <c r="BY589" s="42"/>
      <c r="BZ589" s="42"/>
      <c r="CA589" s="42"/>
      <c r="CB589" s="42"/>
      <c r="CC589" s="42"/>
      <c r="CD589" s="42"/>
      <c r="CE589" s="42"/>
      <c r="CF589" s="42"/>
      <c r="CG589" s="42"/>
      <c r="CH589" s="42"/>
      <c r="CS589" s="29"/>
      <c r="CT589" s="29"/>
      <c r="CU589" s="29"/>
      <c r="CV589" s="522"/>
      <c r="CW589" s="522"/>
      <c r="CX589" s="211"/>
      <c r="CY589" s="211"/>
      <c r="CZ589" s="211"/>
      <c r="DA589" s="211"/>
      <c r="DB589" s="211"/>
      <c r="DC589" s="211"/>
      <c r="DD589" s="211"/>
      <c r="DE589" s="211"/>
      <c r="DF589" s="60"/>
      <c r="DG589" s="60"/>
      <c r="DH589" s="60"/>
      <c r="DI589" s="60"/>
      <c r="DJ589" s="60"/>
    </row>
    <row r="590" spans="3:114" s="25" customFormat="1">
      <c r="C590" s="24"/>
      <c r="D590" s="24"/>
      <c r="G590" s="57"/>
      <c r="H590" s="57"/>
      <c r="I590" s="57"/>
      <c r="J590" s="57"/>
      <c r="K590" s="57"/>
      <c r="L590" s="57"/>
      <c r="M590" s="57"/>
      <c r="N590" s="57"/>
      <c r="O590" s="57"/>
      <c r="P590" s="57"/>
      <c r="Q590" s="57"/>
      <c r="R590" s="57"/>
      <c r="S590" s="57"/>
      <c r="T590" s="559"/>
      <c r="U590" s="29"/>
      <c r="V590" s="29"/>
      <c r="AJ590" s="1215"/>
      <c r="AK590" s="1142"/>
      <c r="AM590" s="42"/>
      <c r="AN590" s="42"/>
      <c r="AO590" s="42"/>
      <c r="AP590" s="42"/>
      <c r="AQ590" s="42"/>
      <c r="AR590" s="42"/>
      <c r="AS590" s="42"/>
      <c r="AT590" s="42"/>
      <c r="AU590" s="42"/>
      <c r="AV590" s="42"/>
      <c r="AW590" s="42"/>
      <c r="AX590" s="42"/>
      <c r="AY590" s="42"/>
      <c r="AZ590" s="42"/>
      <c r="BA590" s="42"/>
      <c r="BB590" s="42"/>
      <c r="BC590" s="42"/>
      <c r="BD590" s="42"/>
      <c r="BE590" s="42"/>
      <c r="BF590" s="42"/>
      <c r="BG590" s="42"/>
      <c r="BH590" s="42"/>
      <c r="BI590" s="42"/>
      <c r="BJ590" s="42"/>
      <c r="BK590" s="42"/>
      <c r="BL590" s="42"/>
      <c r="BM590" s="42"/>
      <c r="BN590" s="42"/>
      <c r="BO590" s="42"/>
      <c r="BP590" s="42"/>
      <c r="BQ590" s="42"/>
      <c r="BR590" s="42"/>
      <c r="BS590" s="42"/>
      <c r="BT590" s="42"/>
      <c r="BU590" s="42"/>
      <c r="BV590" s="42"/>
      <c r="BW590" s="42"/>
      <c r="BX590" s="42"/>
      <c r="BY590" s="42"/>
      <c r="BZ590" s="42"/>
      <c r="CA590" s="42"/>
      <c r="CB590" s="42"/>
      <c r="CC590" s="42"/>
      <c r="CD590" s="42"/>
      <c r="CE590" s="42"/>
      <c r="CF590" s="42"/>
      <c r="CG590" s="42"/>
      <c r="CH590" s="42"/>
      <c r="CS590" s="29"/>
      <c r="CT590" s="29"/>
      <c r="CU590" s="29"/>
      <c r="CV590" s="522"/>
      <c r="CW590" s="522"/>
      <c r="CX590" s="211"/>
      <c r="CY590" s="211"/>
      <c r="CZ590" s="211"/>
      <c r="DA590" s="211"/>
      <c r="DB590" s="211"/>
      <c r="DC590" s="211"/>
      <c r="DD590" s="211"/>
      <c r="DE590" s="211"/>
      <c r="DF590" s="60"/>
      <c r="DG590" s="60"/>
      <c r="DH590" s="60"/>
      <c r="DI590" s="60"/>
      <c r="DJ590" s="60"/>
    </row>
    <row r="591" spans="3:114" s="25" customFormat="1">
      <c r="C591" s="24"/>
      <c r="D591" s="24"/>
      <c r="G591" s="57"/>
      <c r="H591" s="57"/>
      <c r="I591" s="57"/>
      <c r="J591" s="57"/>
      <c r="K591" s="57"/>
      <c r="L591" s="57"/>
      <c r="M591" s="57"/>
      <c r="N591" s="57"/>
      <c r="O591" s="57"/>
      <c r="P591" s="57"/>
      <c r="Q591" s="57"/>
      <c r="R591" s="57"/>
      <c r="S591" s="57"/>
      <c r="T591" s="559"/>
      <c r="U591" s="29"/>
      <c r="V591" s="29"/>
      <c r="AJ591" s="1215"/>
      <c r="AK591" s="1142"/>
      <c r="AM591" s="42"/>
      <c r="AN591" s="42"/>
      <c r="AO591" s="42"/>
      <c r="AP591" s="42"/>
      <c r="AQ591" s="42"/>
      <c r="AR591" s="42"/>
      <c r="AS591" s="42"/>
      <c r="AT591" s="42"/>
      <c r="AU591" s="42"/>
      <c r="AV591" s="42"/>
      <c r="AW591" s="42"/>
      <c r="AX591" s="42"/>
      <c r="AY591" s="42"/>
      <c r="AZ591" s="42"/>
      <c r="BA591" s="42"/>
      <c r="BB591" s="42"/>
      <c r="BC591" s="42"/>
      <c r="BD591" s="42"/>
      <c r="BE591" s="42"/>
      <c r="BF591" s="42"/>
      <c r="BG591" s="42"/>
      <c r="BH591" s="42"/>
      <c r="BI591" s="42"/>
      <c r="BJ591" s="42"/>
      <c r="BK591" s="42"/>
      <c r="BL591" s="42"/>
      <c r="BM591" s="42"/>
      <c r="BN591" s="42"/>
      <c r="BO591" s="42"/>
      <c r="BP591" s="42"/>
      <c r="BQ591" s="42"/>
      <c r="BR591" s="42"/>
      <c r="BS591" s="42"/>
      <c r="BT591" s="42"/>
      <c r="BU591" s="42"/>
      <c r="BV591" s="42"/>
      <c r="BW591" s="42"/>
      <c r="BX591" s="42"/>
      <c r="BY591" s="42"/>
      <c r="BZ591" s="42"/>
      <c r="CA591" s="42"/>
      <c r="CB591" s="42"/>
      <c r="CC591" s="42"/>
      <c r="CD591" s="42"/>
      <c r="CE591" s="42"/>
      <c r="CF591" s="42"/>
      <c r="CG591" s="42"/>
      <c r="CH591" s="42"/>
      <c r="CS591" s="29"/>
      <c r="CT591" s="29"/>
      <c r="CU591" s="29"/>
      <c r="CV591" s="522"/>
      <c r="CW591" s="522"/>
      <c r="CX591" s="211"/>
      <c r="CY591" s="211"/>
      <c r="CZ591" s="211"/>
      <c r="DA591" s="211"/>
      <c r="DB591" s="211"/>
      <c r="DC591" s="211"/>
      <c r="DD591" s="211"/>
      <c r="DE591" s="211"/>
      <c r="DF591" s="60"/>
      <c r="DG591" s="60"/>
      <c r="DH591" s="60"/>
      <c r="DI591" s="60"/>
      <c r="DJ591" s="60"/>
    </row>
    <row r="592" spans="3:114" s="25" customFormat="1">
      <c r="C592" s="24"/>
      <c r="D592" s="24"/>
      <c r="G592" s="57"/>
      <c r="H592" s="57"/>
      <c r="I592" s="57"/>
      <c r="J592" s="57"/>
      <c r="K592" s="57"/>
      <c r="L592" s="57"/>
      <c r="M592" s="57"/>
      <c r="N592" s="57"/>
      <c r="O592" s="57"/>
      <c r="P592" s="57"/>
      <c r="Q592" s="57"/>
      <c r="R592" s="57"/>
      <c r="S592" s="57"/>
      <c r="T592" s="559"/>
      <c r="U592" s="29"/>
      <c r="V592" s="29"/>
      <c r="AJ592" s="1215"/>
      <c r="AK592" s="1142"/>
      <c r="AM592" s="42"/>
      <c r="AN592" s="42"/>
      <c r="AO592" s="42"/>
      <c r="AP592" s="42"/>
      <c r="AQ592" s="42"/>
      <c r="AR592" s="42"/>
      <c r="AS592" s="42"/>
      <c r="AT592" s="42"/>
      <c r="AU592" s="42"/>
      <c r="AV592" s="42"/>
      <c r="AW592" s="42"/>
      <c r="AX592" s="42"/>
      <c r="AY592" s="42"/>
      <c r="AZ592" s="42"/>
      <c r="BA592" s="42"/>
      <c r="BB592" s="42"/>
      <c r="BC592" s="42"/>
      <c r="BD592" s="42"/>
      <c r="BE592" s="42"/>
      <c r="BF592" s="42"/>
      <c r="BG592" s="42"/>
      <c r="BH592" s="42"/>
      <c r="BI592" s="42"/>
      <c r="BJ592" s="42"/>
      <c r="BK592" s="42"/>
      <c r="BL592" s="42"/>
      <c r="BM592" s="42"/>
      <c r="BN592" s="42"/>
      <c r="BO592" s="42"/>
      <c r="BP592" s="42"/>
      <c r="BQ592" s="42"/>
      <c r="BR592" s="42"/>
      <c r="BS592" s="42"/>
      <c r="BT592" s="42"/>
      <c r="BU592" s="42"/>
      <c r="BV592" s="42"/>
      <c r="BW592" s="42"/>
      <c r="BX592" s="42"/>
      <c r="BY592" s="42"/>
      <c r="BZ592" s="42"/>
      <c r="CA592" s="42"/>
      <c r="CB592" s="42"/>
      <c r="CC592" s="42"/>
      <c r="CD592" s="42"/>
      <c r="CE592" s="42"/>
      <c r="CF592" s="42"/>
      <c r="CG592" s="42"/>
      <c r="CH592" s="42"/>
      <c r="CS592" s="29"/>
      <c r="CT592" s="29"/>
      <c r="CU592" s="29"/>
      <c r="CV592" s="522"/>
      <c r="CW592" s="522"/>
      <c r="CX592" s="211"/>
      <c r="CY592" s="211"/>
      <c r="CZ592" s="211"/>
      <c r="DA592" s="211"/>
      <c r="DB592" s="211"/>
      <c r="DC592" s="211"/>
      <c r="DD592" s="211"/>
      <c r="DE592" s="211"/>
      <c r="DF592" s="60"/>
      <c r="DG592" s="60"/>
      <c r="DH592" s="60"/>
      <c r="DI592" s="60"/>
      <c r="DJ592" s="60"/>
    </row>
    <row r="593" spans="3:114" s="25" customFormat="1">
      <c r="C593" s="24"/>
      <c r="D593" s="24"/>
      <c r="G593" s="57"/>
      <c r="H593" s="57"/>
      <c r="I593" s="57"/>
      <c r="J593" s="57"/>
      <c r="K593" s="57"/>
      <c r="L593" s="57"/>
      <c r="M593" s="57"/>
      <c r="N593" s="57"/>
      <c r="O593" s="57"/>
      <c r="P593" s="57"/>
      <c r="Q593" s="57"/>
      <c r="R593" s="57"/>
      <c r="S593" s="57"/>
      <c r="T593" s="559"/>
      <c r="U593" s="29"/>
      <c r="V593" s="29"/>
      <c r="AJ593" s="1215"/>
      <c r="AK593" s="1142"/>
      <c r="AM593" s="42"/>
      <c r="AN593" s="42"/>
      <c r="AO593" s="42"/>
      <c r="AP593" s="42"/>
      <c r="AQ593" s="42"/>
      <c r="AR593" s="42"/>
      <c r="AS593" s="42"/>
      <c r="AT593" s="42"/>
      <c r="AU593" s="42"/>
      <c r="AV593" s="42"/>
      <c r="AW593" s="42"/>
      <c r="AX593" s="42"/>
      <c r="AY593" s="42"/>
      <c r="AZ593" s="42"/>
      <c r="BA593" s="42"/>
      <c r="BB593" s="42"/>
      <c r="BC593" s="42"/>
      <c r="BD593" s="42"/>
      <c r="BE593" s="42"/>
      <c r="BF593" s="42"/>
      <c r="BG593" s="42"/>
      <c r="BH593" s="42"/>
      <c r="BI593" s="42"/>
      <c r="BJ593" s="42"/>
      <c r="BK593" s="42"/>
      <c r="BL593" s="42"/>
      <c r="BM593" s="42"/>
      <c r="BN593" s="42"/>
      <c r="BO593" s="42"/>
      <c r="BP593" s="42"/>
      <c r="BQ593" s="42"/>
      <c r="BR593" s="42"/>
      <c r="BS593" s="42"/>
      <c r="BT593" s="42"/>
      <c r="BU593" s="42"/>
      <c r="BV593" s="42"/>
      <c r="BW593" s="42"/>
      <c r="BX593" s="42"/>
      <c r="BY593" s="42"/>
      <c r="BZ593" s="42"/>
      <c r="CA593" s="42"/>
      <c r="CB593" s="42"/>
      <c r="CC593" s="42"/>
      <c r="CD593" s="42"/>
      <c r="CE593" s="42"/>
      <c r="CF593" s="42"/>
      <c r="CG593" s="42"/>
      <c r="CH593" s="42"/>
      <c r="CS593" s="29"/>
      <c r="CT593" s="29"/>
      <c r="CU593" s="29"/>
      <c r="CV593" s="522"/>
      <c r="CW593" s="522"/>
      <c r="CX593" s="211"/>
      <c r="CY593" s="211"/>
      <c r="CZ593" s="211"/>
      <c r="DA593" s="211"/>
      <c r="DB593" s="211"/>
      <c r="DC593" s="211"/>
      <c r="DD593" s="211"/>
      <c r="DE593" s="211"/>
      <c r="DF593" s="60"/>
      <c r="DG593" s="60"/>
      <c r="DH593" s="60"/>
      <c r="DI593" s="60"/>
      <c r="DJ593" s="60"/>
    </row>
    <row r="594" spans="3:114" s="25" customFormat="1">
      <c r="C594" s="24"/>
      <c r="D594" s="24"/>
      <c r="G594" s="57"/>
      <c r="H594" s="57"/>
      <c r="I594" s="57"/>
      <c r="J594" s="57"/>
      <c r="K594" s="57"/>
      <c r="L594" s="57"/>
      <c r="M594" s="57"/>
      <c r="N594" s="57"/>
      <c r="O594" s="57"/>
      <c r="P594" s="57"/>
      <c r="Q594" s="57"/>
      <c r="R594" s="57"/>
      <c r="S594" s="57"/>
      <c r="T594" s="559"/>
      <c r="U594" s="29"/>
      <c r="V594" s="29"/>
      <c r="AJ594" s="1215"/>
      <c r="AK594" s="1142"/>
      <c r="AM594" s="42"/>
      <c r="AN594" s="42"/>
      <c r="AO594" s="42"/>
      <c r="AP594" s="42"/>
      <c r="AQ594" s="42"/>
      <c r="AR594" s="42"/>
      <c r="AS594" s="42"/>
      <c r="AT594" s="42"/>
      <c r="AU594" s="42"/>
      <c r="AV594" s="42"/>
      <c r="AW594" s="42"/>
      <c r="AX594" s="42"/>
      <c r="AY594" s="42"/>
      <c r="AZ594" s="42"/>
      <c r="BA594" s="42"/>
      <c r="BB594" s="42"/>
      <c r="BC594" s="42"/>
      <c r="BD594" s="42"/>
      <c r="BE594" s="42"/>
      <c r="BF594" s="42"/>
      <c r="BG594" s="42"/>
      <c r="BH594" s="42"/>
      <c r="BI594" s="42"/>
      <c r="BJ594" s="42"/>
      <c r="BK594" s="42"/>
      <c r="BL594" s="42"/>
      <c r="BM594" s="42"/>
      <c r="BN594" s="42"/>
      <c r="BO594" s="42"/>
      <c r="BP594" s="42"/>
      <c r="BQ594" s="42"/>
      <c r="BR594" s="42"/>
      <c r="BS594" s="42"/>
      <c r="BT594" s="42"/>
      <c r="BU594" s="42"/>
      <c r="BV594" s="42"/>
      <c r="BW594" s="42"/>
      <c r="BX594" s="42"/>
      <c r="BY594" s="42"/>
      <c r="BZ594" s="42"/>
      <c r="CA594" s="42"/>
      <c r="CB594" s="42"/>
      <c r="CC594" s="42"/>
      <c r="CD594" s="42"/>
      <c r="CE594" s="42"/>
      <c r="CF594" s="42"/>
      <c r="CG594" s="42"/>
      <c r="CH594" s="42"/>
      <c r="CS594" s="29"/>
      <c r="CT594" s="29"/>
      <c r="CU594" s="29"/>
      <c r="CV594" s="522"/>
      <c r="CW594" s="522"/>
      <c r="CX594" s="211"/>
      <c r="CY594" s="211"/>
      <c r="CZ594" s="211"/>
      <c r="DA594" s="211"/>
      <c r="DB594" s="211"/>
      <c r="DC594" s="211"/>
      <c r="DD594" s="211"/>
      <c r="DE594" s="211"/>
      <c r="DF594" s="60"/>
      <c r="DG594" s="60"/>
      <c r="DH594" s="60"/>
      <c r="DI594" s="60"/>
      <c r="DJ594" s="60"/>
    </row>
    <row r="595" spans="3:114" s="25" customFormat="1">
      <c r="C595" s="24"/>
      <c r="D595" s="24"/>
      <c r="G595" s="57"/>
      <c r="H595" s="57"/>
      <c r="I595" s="57"/>
      <c r="J595" s="57"/>
      <c r="K595" s="57"/>
      <c r="L595" s="57"/>
      <c r="M595" s="57"/>
      <c r="N595" s="57"/>
      <c r="O595" s="57"/>
      <c r="P595" s="57"/>
      <c r="Q595" s="57"/>
      <c r="R595" s="57"/>
      <c r="S595" s="57"/>
      <c r="T595" s="559"/>
      <c r="U595" s="29"/>
      <c r="V595" s="29"/>
      <c r="AJ595" s="1215"/>
      <c r="AK595" s="1142"/>
      <c r="AM595" s="42"/>
      <c r="AN595" s="42"/>
      <c r="AO595" s="42"/>
      <c r="AP595" s="42"/>
      <c r="AQ595" s="42"/>
      <c r="AR595" s="42"/>
      <c r="AS595" s="42"/>
      <c r="AT595" s="42"/>
      <c r="AU595" s="42"/>
      <c r="AV595" s="42"/>
      <c r="AW595" s="42"/>
      <c r="AX595" s="42"/>
      <c r="AY595" s="42"/>
      <c r="AZ595" s="42"/>
      <c r="BA595" s="42"/>
      <c r="BB595" s="42"/>
      <c r="BC595" s="42"/>
      <c r="BD595" s="42"/>
      <c r="BE595" s="42"/>
      <c r="BF595" s="42"/>
      <c r="BG595" s="42"/>
      <c r="BH595" s="42"/>
      <c r="BI595" s="42"/>
      <c r="BJ595" s="42"/>
      <c r="BK595" s="42"/>
      <c r="BL595" s="42"/>
      <c r="BM595" s="42"/>
      <c r="BN595" s="42"/>
      <c r="BO595" s="42"/>
      <c r="BP595" s="42"/>
      <c r="BQ595" s="42"/>
      <c r="BR595" s="42"/>
      <c r="BS595" s="42"/>
      <c r="BT595" s="42"/>
      <c r="BU595" s="42"/>
      <c r="BV595" s="42"/>
      <c r="BW595" s="42"/>
      <c r="BX595" s="42"/>
      <c r="BY595" s="42"/>
      <c r="BZ595" s="42"/>
      <c r="CA595" s="42"/>
      <c r="CB595" s="42"/>
      <c r="CC595" s="42"/>
      <c r="CD595" s="42"/>
      <c r="CE595" s="42"/>
      <c r="CF595" s="42"/>
      <c r="CG595" s="42"/>
      <c r="CH595" s="42"/>
      <c r="CS595" s="29"/>
      <c r="CT595" s="29"/>
      <c r="CU595" s="29"/>
      <c r="CV595" s="522"/>
      <c r="CW595" s="522"/>
      <c r="CX595" s="211"/>
      <c r="CY595" s="211"/>
      <c r="CZ595" s="211"/>
      <c r="DA595" s="211"/>
      <c r="DB595" s="211"/>
      <c r="DC595" s="211"/>
      <c r="DD595" s="211"/>
      <c r="DE595" s="211"/>
      <c r="DF595" s="60"/>
      <c r="DG595" s="60"/>
      <c r="DH595" s="60"/>
      <c r="DI595" s="60"/>
      <c r="DJ595" s="60"/>
    </row>
    <row r="596" spans="3:114" s="25" customFormat="1">
      <c r="C596" s="24"/>
      <c r="D596" s="24"/>
      <c r="G596" s="57"/>
      <c r="H596" s="57"/>
      <c r="I596" s="57"/>
      <c r="J596" s="57"/>
      <c r="K596" s="57"/>
      <c r="L596" s="57"/>
      <c r="M596" s="57"/>
      <c r="N596" s="57"/>
      <c r="O596" s="57"/>
      <c r="P596" s="57"/>
      <c r="Q596" s="57"/>
      <c r="R596" s="57"/>
      <c r="S596" s="57"/>
      <c r="T596" s="559"/>
      <c r="U596" s="29"/>
      <c r="V596" s="29"/>
      <c r="AJ596" s="1215"/>
      <c r="AK596" s="1142"/>
      <c r="AM596" s="42"/>
      <c r="AN596" s="42"/>
      <c r="AO596" s="42"/>
      <c r="AP596" s="42"/>
      <c r="AQ596" s="42"/>
      <c r="AR596" s="42"/>
      <c r="AS596" s="42"/>
      <c r="AT596" s="42"/>
      <c r="AU596" s="42"/>
      <c r="AV596" s="42"/>
      <c r="AW596" s="42"/>
      <c r="AX596" s="42"/>
      <c r="AY596" s="42"/>
      <c r="AZ596" s="42"/>
      <c r="BA596" s="42"/>
      <c r="BB596" s="42"/>
      <c r="BC596" s="42"/>
      <c r="BD596" s="42"/>
      <c r="BE596" s="42"/>
      <c r="BF596" s="42"/>
      <c r="BG596" s="42"/>
      <c r="BH596" s="42"/>
      <c r="BI596" s="42"/>
      <c r="BJ596" s="42"/>
      <c r="BK596" s="42"/>
      <c r="BL596" s="42"/>
      <c r="BM596" s="42"/>
      <c r="BN596" s="42"/>
      <c r="BO596" s="42"/>
      <c r="BP596" s="42"/>
      <c r="BQ596" s="42"/>
      <c r="BR596" s="42"/>
      <c r="BS596" s="42"/>
      <c r="BT596" s="42"/>
      <c r="BU596" s="42"/>
      <c r="BV596" s="42"/>
      <c r="BW596" s="42"/>
      <c r="BX596" s="42"/>
      <c r="BY596" s="42"/>
      <c r="BZ596" s="42"/>
      <c r="CA596" s="42"/>
      <c r="CB596" s="42"/>
      <c r="CC596" s="42"/>
      <c r="CD596" s="42"/>
      <c r="CE596" s="42"/>
      <c r="CF596" s="42"/>
      <c r="CG596" s="42"/>
      <c r="CH596" s="42"/>
      <c r="CS596" s="29"/>
      <c r="CT596" s="29"/>
      <c r="CU596" s="29"/>
      <c r="CV596" s="522"/>
      <c r="CW596" s="522"/>
      <c r="CX596" s="211"/>
      <c r="CY596" s="211"/>
      <c r="CZ596" s="211"/>
      <c r="DA596" s="211"/>
      <c r="DB596" s="211"/>
      <c r="DC596" s="211"/>
      <c r="DD596" s="211"/>
      <c r="DE596" s="211"/>
      <c r="DF596" s="60"/>
      <c r="DG596" s="60"/>
      <c r="DH596" s="60"/>
      <c r="DI596" s="60"/>
      <c r="DJ596" s="60"/>
    </row>
    <row r="597" spans="3:114" s="25" customFormat="1">
      <c r="C597" s="24"/>
      <c r="D597" s="24"/>
      <c r="G597" s="57"/>
      <c r="H597" s="57"/>
      <c r="I597" s="57"/>
      <c r="J597" s="57"/>
      <c r="K597" s="57"/>
      <c r="L597" s="57"/>
      <c r="M597" s="57"/>
      <c r="N597" s="57"/>
      <c r="O597" s="57"/>
      <c r="P597" s="57"/>
      <c r="Q597" s="57"/>
      <c r="R597" s="57"/>
      <c r="S597" s="57"/>
      <c r="T597" s="559"/>
      <c r="U597" s="29"/>
      <c r="V597" s="29"/>
      <c r="AJ597" s="1215"/>
      <c r="AK597" s="1142"/>
      <c r="AM597" s="42"/>
      <c r="AN597" s="42"/>
      <c r="AO597" s="42"/>
      <c r="AP597" s="42"/>
      <c r="AQ597" s="42"/>
      <c r="AR597" s="42"/>
      <c r="AS597" s="42"/>
      <c r="AT597" s="42"/>
      <c r="AU597" s="42"/>
      <c r="AV597" s="42"/>
      <c r="AW597" s="42"/>
      <c r="AX597" s="42"/>
      <c r="AY597" s="42"/>
      <c r="AZ597" s="42"/>
      <c r="BA597" s="42"/>
      <c r="BB597" s="42"/>
      <c r="BC597" s="42"/>
      <c r="BD597" s="42"/>
      <c r="BE597" s="42"/>
      <c r="BF597" s="42"/>
      <c r="BG597" s="42"/>
      <c r="BH597" s="42"/>
      <c r="BI597" s="42"/>
      <c r="BJ597" s="42"/>
      <c r="BK597" s="42"/>
      <c r="BL597" s="42"/>
      <c r="BM597" s="42"/>
      <c r="BN597" s="42"/>
      <c r="BO597" s="42"/>
      <c r="BP597" s="42"/>
      <c r="BQ597" s="42"/>
      <c r="BR597" s="42"/>
      <c r="BS597" s="42"/>
      <c r="BT597" s="42"/>
      <c r="BU597" s="42"/>
      <c r="BV597" s="42"/>
      <c r="BW597" s="42"/>
      <c r="BX597" s="42"/>
      <c r="BY597" s="42"/>
      <c r="BZ597" s="42"/>
      <c r="CA597" s="42"/>
      <c r="CB597" s="42"/>
      <c r="CC597" s="42"/>
      <c r="CD597" s="42"/>
      <c r="CE597" s="42"/>
      <c r="CF597" s="42"/>
      <c r="CG597" s="42"/>
      <c r="CH597" s="42"/>
      <c r="CS597" s="29"/>
      <c r="CT597" s="29"/>
      <c r="CU597" s="29"/>
      <c r="CV597" s="522"/>
      <c r="CW597" s="522"/>
      <c r="CX597" s="211"/>
      <c r="CY597" s="211"/>
      <c r="CZ597" s="211"/>
      <c r="DA597" s="211"/>
      <c r="DB597" s="211"/>
      <c r="DC597" s="211"/>
      <c r="DD597" s="211"/>
      <c r="DE597" s="211"/>
      <c r="DF597" s="60"/>
      <c r="DG597" s="60"/>
      <c r="DH597" s="60"/>
      <c r="DI597" s="60"/>
      <c r="DJ597" s="60"/>
    </row>
    <row r="598" spans="3:114" s="25" customFormat="1">
      <c r="C598" s="24"/>
      <c r="D598" s="24"/>
      <c r="G598" s="57"/>
      <c r="H598" s="57"/>
      <c r="I598" s="57"/>
      <c r="J598" s="57"/>
      <c r="K598" s="57"/>
      <c r="L598" s="57"/>
      <c r="M598" s="57"/>
      <c r="N598" s="57"/>
      <c r="O598" s="57"/>
      <c r="P598" s="57"/>
      <c r="Q598" s="57"/>
      <c r="R598" s="57"/>
      <c r="S598" s="57"/>
      <c r="T598" s="559"/>
      <c r="U598" s="29"/>
      <c r="V598" s="29"/>
      <c r="AJ598" s="1215"/>
      <c r="AK598" s="1142"/>
      <c r="AM598" s="42"/>
      <c r="AN598" s="42"/>
      <c r="AO598" s="42"/>
      <c r="AP598" s="42"/>
      <c r="AQ598" s="42"/>
      <c r="AR598" s="42"/>
      <c r="AS598" s="42"/>
      <c r="AT598" s="42"/>
      <c r="AU598" s="42"/>
      <c r="AV598" s="42"/>
      <c r="AW598" s="42"/>
      <c r="AX598" s="42"/>
      <c r="AY598" s="42"/>
      <c r="AZ598" s="42"/>
      <c r="BA598" s="42"/>
      <c r="BB598" s="42"/>
      <c r="BC598" s="42"/>
      <c r="BD598" s="42"/>
      <c r="BE598" s="42"/>
      <c r="BF598" s="42"/>
      <c r="BG598" s="42"/>
      <c r="BH598" s="42"/>
      <c r="BI598" s="42"/>
      <c r="BJ598" s="42"/>
      <c r="BK598" s="42"/>
      <c r="BL598" s="42"/>
      <c r="BM598" s="42"/>
      <c r="BN598" s="42"/>
      <c r="BO598" s="42"/>
      <c r="BP598" s="42"/>
      <c r="BQ598" s="42"/>
      <c r="BR598" s="42"/>
      <c r="BS598" s="42"/>
      <c r="BT598" s="42"/>
      <c r="BU598" s="42"/>
      <c r="BV598" s="42"/>
      <c r="BW598" s="42"/>
      <c r="BX598" s="42"/>
      <c r="BY598" s="42"/>
      <c r="BZ598" s="42"/>
      <c r="CA598" s="42"/>
      <c r="CB598" s="42"/>
      <c r="CC598" s="42"/>
      <c r="CD598" s="42"/>
      <c r="CE598" s="42"/>
      <c r="CF598" s="42"/>
      <c r="CG598" s="42"/>
      <c r="CH598" s="42"/>
      <c r="CS598" s="29"/>
      <c r="CT598" s="29"/>
      <c r="CU598" s="29"/>
      <c r="CV598" s="522"/>
      <c r="CW598" s="522"/>
      <c r="CX598" s="211"/>
      <c r="CY598" s="211"/>
      <c r="CZ598" s="211"/>
      <c r="DA598" s="211"/>
      <c r="DB598" s="211"/>
      <c r="DC598" s="211"/>
      <c r="DD598" s="211"/>
      <c r="DE598" s="211"/>
      <c r="DF598" s="60"/>
      <c r="DG598" s="60"/>
      <c r="DH598" s="60"/>
      <c r="DI598" s="60"/>
      <c r="DJ598" s="60"/>
    </row>
    <row r="599" spans="3:114" s="25" customFormat="1">
      <c r="C599" s="24"/>
      <c r="D599" s="24"/>
      <c r="G599" s="57"/>
      <c r="H599" s="57"/>
      <c r="I599" s="57"/>
      <c r="J599" s="57"/>
      <c r="K599" s="57"/>
      <c r="L599" s="57"/>
      <c r="M599" s="57"/>
      <c r="N599" s="57"/>
      <c r="O599" s="57"/>
      <c r="P599" s="57"/>
      <c r="Q599" s="57"/>
      <c r="R599" s="57"/>
      <c r="S599" s="57"/>
      <c r="T599" s="559"/>
      <c r="U599" s="29"/>
      <c r="V599" s="29"/>
      <c r="AJ599" s="1215"/>
      <c r="AK599" s="1142"/>
      <c r="AM599" s="42"/>
      <c r="AN599" s="42"/>
      <c r="AO599" s="42"/>
      <c r="AP599" s="42"/>
      <c r="AQ599" s="42"/>
      <c r="AR599" s="42"/>
      <c r="AS599" s="42"/>
      <c r="AT599" s="42"/>
      <c r="AU599" s="42"/>
      <c r="AV599" s="42"/>
      <c r="AW599" s="42"/>
      <c r="AX599" s="42"/>
      <c r="AY599" s="42"/>
      <c r="AZ599" s="42"/>
      <c r="BA599" s="42"/>
      <c r="BB599" s="42"/>
      <c r="BC599" s="42"/>
      <c r="BD599" s="42"/>
      <c r="BE599" s="42"/>
      <c r="BF599" s="42"/>
      <c r="BG599" s="42"/>
      <c r="BH599" s="42"/>
      <c r="BI599" s="42"/>
      <c r="BJ599" s="42"/>
      <c r="BK599" s="42"/>
      <c r="BL599" s="42"/>
      <c r="BM599" s="42"/>
      <c r="BN599" s="42"/>
      <c r="BO599" s="42"/>
      <c r="BP599" s="42"/>
      <c r="BQ599" s="42"/>
      <c r="BR599" s="42"/>
      <c r="BS599" s="42"/>
      <c r="BT599" s="42"/>
      <c r="BU599" s="42"/>
      <c r="BV599" s="42"/>
      <c r="BW599" s="42"/>
      <c r="BX599" s="42"/>
      <c r="BY599" s="42"/>
      <c r="BZ599" s="42"/>
      <c r="CA599" s="42"/>
      <c r="CB599" s="42"/>
      <c r="CC599" s="42"/>
      <c r="CD599" s="42"/>
      <c r="CE599" s="42"/>
      <c r="CF599" s="42"/>
      <c r="CG599" s="42"/>
      <c r="CH599" s="42"/>
      <c r="CS599" s="29"/>
      <c r="CT599" s="29"/>
      <c r="CU599" s="29"/>
      <c r="CV599" s="522"/>
      <c r="CW599" s="522"/>
      <c r="CX599" s="211"/>
      <c r="CY599" s="211"/>
      <c r="CZ599" s="211"/>
      <c r="DA599" s="211"/>
      <c r="DB599" s="211"/>
      <c r="DC599" s="211"/>
      <c r="DD599" s="211"/>
      <c r="DE599" s="211"/>
      <c r="DF599" s="60"/>
      <c r="DG599" s="60"/>
      <c r="DH599" s="60"/>
      <c r="DI599" s="60"/>
      <c r="DJ599" s="60"/>
    </row>
    <row r="600" spans="3:114" s="25" customFormat="1">
      <c r="C600" s="24"/>
      <c r="D600" s="24"/>
      <c r="G600" s="57"/>
      <c r="H600" s="57"/>
      <c r="I600" s="57"/>
      <c r="J600" s="57"/>
      <c r="K600" s="57"/>
      <c r="L600" s="57"/>
      <c r="M600" s="57"/>
      <c r="N600" s="57"/>
      <c r="O600" s="57"/>
      <c r="P600" s="57"/>
      <c r="Q600" s="57"/>
      <c r="R600" s="57"/>
      <c r="S600" s="57"/>
      <c r="T600" s="559"/>
      <c r="U600" s="29"/>
      <c r="V600" s="29"/>
      <c r="AJ600" s="1215"/>
      <c r="AK600" s="1142"/>
      <c r="AM600" s="42"/>
      <c r="AN600" s="42"/>
      <c r="AO600" s="42"/>
      <c r="AP600" s="42"/>
      <c r="AQ600" s="42"/>
      <c r="AR600" s="42"/>
      <c r="AS600" s="42"/>
      <c r="AT600" s="42"/>
      <c r="AU600" s="42"/>
      <c r="AV600" s="42"/>
      <c r="AW600" s="42"/>
      <c r="AX600" s="42"/>
      <c r="AY600" s="42"/>
      <c r="AZ600" s="42"/>
      <c r="BA600" s="42"/>
      <c r="BB600" s="42"/>
      <c r="BC600" s="42"/>
      <c r="BD600" s="42"/>
      <c r="BE600" s="42"/>
      <c r="BF600" s="42"/>
      <c r="BG600" s="42"/>
      <c r="BH600" s="42"/>
      <c r="BI600" s="42"/>
      <c r="BJ600" s="42"/>
      <c r="BK600" s="42"/>
      <c r="BL600" s="42"/>
      <c r="BM600" s="42"/>
      <c r="BN600" s="42"/>
      <c r="BO600" s="42"/>
      <c r="BP600" s="42"/>
      <c r="BQ600" s="42"/>
      <c r="BR600" s="42"/>
      <c r="BS600" s="42"/>
      <c r="BT600" s="42"/>
      <c r="BU600" s="42"/>
      <c r="BV600" s="42"/>
      <c r="BW600" s="42"/>
      <c r="BX600" s="42"/>
      <c r="BY600" s="42"/>
      <c r="BZ600" s="42"/>
      <c r="CA600" s="42"/>
      <c r="CB600" s="42"/>
      <c r="CC600" s="42"/>
      <c r="CD600" s="42"/>
      <c r="CE600" s="42"/>
      <c r="CF600" s="42"/>
      <c r="CG600" s="42"/>
      <c r="CH600" s="42"/>
      <c r="CS600" s="29"/>
      <c r="CT600" s="29"/>
      <c r="CU600" s="29"/>
      <c r="CV600" s="522"/>
      <c r="CW600" s="522"/>
      <c r="CX600" s="211"/>
      <c r="CY600" s="211"/>
      <c r="CZ600" s="211"/>
      <c r="DA600" s="211"/>
      <c r="DB600" s="211"/>
      <c r="DC600" s="211"/>
      <c r="DD600" s="211"/>
      <c r="DE600" s="211"/>
      <c r="DF600" s="60"/>
      <c r="DG600" s="60"/>
      <c r="DH600" s="60"/>
      <c r="DI600" s="60"/>
      <c r="DJ600" s="60"/>
    </row>
    <row r="601" spans="3:114" s="25" customFormat="1">
      <c r="C601" s="24"/>
      <c r="D601" s="24"/>
      <c r="G601" s="57"/>
      <c r="H601" s="57"/>
      <c r="I601" s="57"/>
      <c r="J601" s="57"/>
      <c r="K601" s="57"/>
      <c r="L601" s="57"/>
      <c r="M601" s="57"/>
      <c r="N601" s="57"/>
      <c r="O601" s="57"/>
      <c r="P601" s="57"/>
      <c r="Q601" s="57"/>
      <c r="R601" s="57"/>
      <c r="S601" s="57"/>
      <c r="T601" s="559"/>
      <c r="U601" s="29"/>
      <c r="V601" s="29"/>
      <c r="AJ601" s="1215"/>
      <c r="AK601" s="1142"/>
      <c r="AM601" s="42"/>
      <c r="AN601" s="42"/>
      <c r="AO601" s="42"/>
      <c r="AP601" s="42"/>
      <c r="AQ601" s="42"/>
      <c r="AR601" s="42"/>
      <c r="AS601" s="42"/>
      <c r="AT601" s="42"/>
      <c r="AU601" s="42"/>
      <c r="AV601" s="42"/>
      <c r="AW601" s="42"/>
      <c r="AX601" s="42"/>
      <c r="AY601" s="42"/>
      <c r="AZ601" s="42"/>
      <c r="BA601" s="42"/>
      <c r="BB601" s="42"/>
      <c r="BC601" s="42"/>
      <c r="BD601" s="42"/>
      <c r="BE601" s="42"/>
      <c r="BF601" s="42"/>
      <c r="BG601" s="42"/>
      <c r="BH601" s="42"/>
      <c r="BI601" s="42"/>
      <c r="BJ601" s="42"/>
      <c r="BK601" s="42"/>
      <c r="BL601" s="42"/>
      <c r="BM601" s="42"/>
      <c r="BN601" s="42"/>
      <c r="BO601" s="42"/>
      <c r="BP601" s="42"/>
      <c r="BQ601" s="42"/>
      <c r="BR601" s="42"/>
      <c r="BS601" s="42"/>
      <c r="BT601" s="42"/>
      <c r="BU601" s="42"/>
      <c r="BV601" s="42"/>
      <c r="BW601" s="42"/>
      <c r="BX601" s="42"/>
      <c r="BY601" s="42"/>
      <c r="BZ601" s="42"/>
      <c r="CA601" s="42"/>
      <c r="CB601" s="42"/>
      <c r="CC601" s="42"/>
      <c r="CD601" s="42"/>
      <c r="CE601" s="42"/>
      <c r="CF601" s="42"/>
      <c r="CG601" s="42"/>
      <c r="CH601" s="42"/>
      <c r="CS601" s="29"/>
      <c r="CT601" s="29"/>
      <c r="CU601" s="29"/>
      <c r="CV601" s="522"/>
      <c r="CW601" s="522"/>
      <c r="CX601" s="211"/>
      <c r="CY601" s="211"/>
      <c r="CZ601" s="211"/>
      <c r="DA601" s="211"/>
      <c r="DB601" s="211"/>
      <c r="DC601" s="211"/>
      <c r="DD601" s="211"/>
      <c r="DE601" s="211"/>
      <c r="DF601" s="60"/>
      <c r="DG601" s="60"/>
      <c r="DH601" s="60"/>
      <c r="DI601" s="60"/>
      <c r="DJ601" s="60"/>
    </row>
    <row r="602" spans="3:114" s="25" customFormat="1">
      <c r="C602" s="24"/>
      <c r="D602" s="24"/>
      <c r="G602" s="57"/>
      <c r="H602" s="57"/>
      <c r="I602" s="57"/>
      <c r="J602" s="57"/>
      <c r="K602" s="57"/>
      <c r="L602" s="57"/>
      <c r="M602" s="57"/>
      <c r="N602" s="57"/>
      <c r="O602" s="57"/>
      <c r="P602" s="57"/>
      <c r="Q602" s="57"/>
      <c r="R602" s="57"/>
      <c r="S602" s="57"/>
      <c r="T602" s="559"/>
      <c r="U602" s="29"/>
      <c r="V602" s="29"/>
      <c r="AJ602" s="1215"/>
      <c r="AK602" s="1142"/>
      <c r="AM602" s="42"/>
      <c r="AN602" s="42"/>
      <c r="AO602" s="42"/>
      <c r="AP602" s="42"/>
      <c r="AQ602" s="42"/>
      <c r="AR602" s="42"/>
      <c r="AS602" s="42"/>
      <c r="AT602" s="42"/>
      <c r="AU602" s="42"/>
      <c r="AV602" s="42"/>
      <c r="AW602" s="42"/>
      <c r="AX602" s="42"/>
      <c r="AY602" s="42"/>
      <c r="AZ602" s="42"/>
      <c r="BA602" s="42"/>
      <c r="BB602" s="42"/>
      <c r="BC602" s="42"/>
      <c r="BD602" s="42"/>
      <c r="BE602" s="42"/>
      <c r="BF602" s="42"/>
      <c r="BG602" s="42"/>
      <c r="BH602" s="42"/>
      <c r="BI602" s="42"/>
      <c r="BJ602" s="42"/>
      <c r="BK602" s="42"/>
      <c r="BL602" s="42"/>
      <c r="BM602" s="42"/>
      <c r="BN602" s="42"/>
      <c r="BO602" s="42"/>
      <c r="BP602" s="42"/>
      <c r="BQ602" s="42"/>
      <c r="BR602" s="42"/>
      <c r="BS602" s="42"/>
      <c r="BT602" s="42"/>
      <c r="BU602" s="42"/>
      <c r="BV602" s="42"/>
      <c r="BW602" s="42"/>
      <c r="BX602" s="42"/>
      <c r="BY602" s="42"/>
      <c r="BZ602" s="42"/>
      <c r="CA602" s="42"/>
      <c r="CB602" s="42"/>
      <c r="CC602" s="42"/>
      <c r="CD602" s="42"/>
      <c r="CE602" s="42"/>
      <c r="CF602" s="42"/>
      <c r="CG602" s="42"/>
      <c r="CH602" s="42"/>
      <c r="CS602" s="29"/>
      <c r="CT602" s="29"/>
      <c r="CU602" s="29"/>
      <c r="CV602" s="522"/>
      <c r="CW602" s="522"/>
      <c r="CX602" s="211"/>
      <c r="CY602" s="211"/>
      <c r="CZ602" s="211"/>
      <c r="DA602" s="211"/>
      <c r="DB602" s="211"/>
      <c r="DC602" s="211"/>
      <c r="DD602" s="211"/>
      <c r="DE602" s="211"/>
      <c r="DF602" s="60"/>
      <c r="DG602" s="60"/>
      <c r="DH602" s="60"/>
      <c r="DI602" s="60"/>
      <c r="DJ602" s="60"/>
    </row>
    <row r="603" spans="3:114" s="25" customFormat="1">
      <c r="C603" s="24"/>
      <c r="D603" s="24"/>
      <c r="G603" s="57"/>
      <c r="H603" s="57"/>
      <c r="I603" s="57"/>
      <c r="J603" s="57"/>
      <c r="K603" s="57"/>
      <c r="L603" s="57"/>
      <c r="M603" s="57"/>
      <c r="N603" s="57"/>
      <c r="O603" s="57"/>
      <c r="P603" s="57"/>
      <c r="Q603" s="57"/>
      <c r="R603" s="57"/>
      <c r="S603" s="57"/>
      <c r="T603" s="559"/>
      <c r="U603" s="29"/>
      <c r="V603" s="29"/>
      <c r="AJ603" s="1215"/>
      <c r="AK603" s="1142"/>
      <c r="AM603" s="42"/>
      <c r="AN603" s="42"/>
      <c r="AO603" s="42"/>
      <c r="AP603" s="42"/>
      <c r="AQ603" s="42"/>
      <c r="AR603" s="42"/>
      <c r="AS603" s="42"/>
      <c r="AT603" s="42"/>
      <c r="AU603" s="42"/>
      <c r="AV603" s="42"/>
      <c r="AW603" s="42"/>
      <c r="AX603" s="42"/>
      <c r="AY603" s="42"/>
      <c r="AZ603" s="42"/>
      <c r="BA603" s="42"/>
      <c r="BB603" s="42"/>
      <c r="BC603" s="42"/>
      <c r="BD603" s="42"/>
      <c r="BE603" s="42"/>
      <c r="BF603" s="42"/>
      <c r="BG603" s="42"/>
      <c r="BH603" s="42"/>
      <c r="BI603" s="42"/>
      <c r="BJ603" s="42"/>
      <c r="BK603" s="42"/>
      <c r="BL603" s="42"/>
      <c r="BM603" s="42"/>
      <c r="BN603" s="42"/>
      <c r="BO603" s="42"/>
      <c r="BP603" s="42"/>
      <c r="BQ603" s="42"/>
      <c r="BR603" s="42"/>
      <c r="BS603" s="42"/>
      <c r="BT603" s="42"/>
      <c r="BU603" s="42"/>
      <c r="BV603" s="42"/>
      <c r="BW603" s="42"/>
      <c r="BX603" s="42"/>
      <c r="BY603" s="42"/>
      <c r="BZ603" s="42"/>
      <c r="CA603" s="42"/>
      <c r="CB603" s="42"/>
      <c r="CC603" s="42"/>
      <c r="CD603" s="42"/>
      <c r="CE603" s="42"/>
      <c r="CF603" s="42"/>
      <c r="CG603" s="42"/>
      <c r="CH603" s="42"/>
      <c r="CS603" s="29"/>
      <c r="CT603" s="29"/>
      <c r="CU603" s="29"/>
      <c r="CV603" s="522"/>
      <c r="CW603" s="522"/>
      <c r="CX603" s="211"/>
      <c r="CY603" s="211"/>
      <c r="CZ603" s="211"/>
      <c r="DA603" s="211"/>
      <c r="DB603" s="211"/>
      <c r="DC603" s="211"/>
      <c r="DD603" s="211"/>
      <c r="DE603" s="211"/>
      <c r="DF603" s="60"/>
      <c r="DG603" s="60"/>
      <c r="DH603" s="60"/>
      <c r="DI603" s="60"/>
      <c r="DJ603" s="60"/>
    </row>
    <row r="604" spans="3:114" s="25" customFormat="1">
      <c r="C604" s="24"/>
      <c r="D604" s="24"/>
      <c r="G604" s="57"/>
      <c r="H604" s="57"/>
      <c r="I604" s="57"/>
      <c r="J604" s="57"/>
      <c r="K604" s="57"/>
      <c r="L604" s="57"/>
      <c r="M604" s="57"/>
      <c r="N604" s="57"/>
      <c r="O604" s="57"/>
      <c r="P604" s="57"/>
      <c r="Q604" s="57"/>
      <c r="R604" s="57"/>
      <c r="S604" s="57"/>
      <c r="T604" s="559"/>
      <c r="U604" s="29"/>
      <c r="V604" s="29"/>
      <c r="AJ604" s="1215"/>
      <c r="AK604" s="1142"/>
      <c r="AM604" s="42"/>
      <c r="AN604" s="42"/>
      <c r="AO604" s="42"/>
      <c r="AP604" s="42"/>
      <c r="AQ604" s="42"/>
      <c r="AR604" s="42"/>
      <c r="AS604" s="42"/>
      <c r="AT604" s="42"/>
      <c r="AU604" s="42"/>
      <c r="AV604" s="42"/>
      <c r="AW604" s="42"/>
      <c r="AX604" s="42"/>
      <c r="AY604" s="42"/>
      <c r="AZ604" s="42"/>
      <c r="BA604" s="42"/>
      <c r="BB604" s="42"/>
      <c r="BC604" s="42"/>
      <c r="BD604" s="42"/>
      <c r="BE604" s="42"/>
      <c r="BF604" s="42"/>
      <c r="BG604" s="42"/>
      <c r="BH604" s="42"/>
      <c r="BI604" s="42"/>
      <c r="BJ604" s="42"/>
      <c r="BK604" s="42"/>
      <c r="BL604" s="42"/>
      <c r="BM604" s="42"/>
      <c r="BN604" s="42"/>
      <c r="BO604" s="42"/>
      <c r="BP604" s="42"/>
      <c r="BQ604" s="42"/>
      <c r="BR604" s="42"/>
      <c r="BS604" s="42"/>
      <c r="BT604" s="42"/>
      <c r="BU604" s="42"/>
      <c r="BV604" s="42"/>
      <c r="BW604" s="42"/>
      <c r="BX604" s="42"/>
      <c r="BY604" s="42"/>
      <c r="BZ604" s="42"/>
      <c r="CA604" s="42"/>
      <c r="CB604" s="42"/>
      <c r="CC604" s="42"/>
      <c r="CD604" s="42"/>
      <c r="CE604" s="42"/>
      <c r="CF604" s="42"/>
      <c r="CG604" s="42"/>
      <c r="CH604" s="42"/>
      <c r="CS604" s="29"/>
      <c r="CT604" s="29"/>
      <c r="CU604" s="29"/>
      <c r="CV604" s="522"/>
      <c r="CW604" s="522"/>
      <c r="CX604" s="211"/>
      <c r="CY604" s="211"/>
      <c r="CZ604" s="211"/>
      <c r="DA604" s="211"/>
      <c r="DB604" s="211"/>
      <c r="DC604" s="211"/>
      <c r="DD604" s="211"/>
      <c r="DE604" s="211"/>
      <c r="DF604" s="60"/>
      <c r="DG604" s="60"/>
      <c r="DH604" s="60"/>
      <c r="DI604" s="60"/>
      <c r="DJ604" s="60"/>
    </row>
    <row r="605" spans="3:114" s="25" customFormat="1">
      <c r="C605" s="24"/>
      <c r="D605" s="24"/>
      <c r="G605" s="57"/>
      <c r="H605" s="57"/>
      <c r="I605" s="57"/>
      <c r="J605" s="57"/>
      <c r="K605" s="57"/>
      <c r="L605" s="57"/>
      <c r="M605" s="57"/>
      <c r="N605" s="57"/>
      <c r="O605" s="57"/>
      <c r="P605" s="57"/>
      <c r="Q605" s="57"/>
      <c r="R605" s="57"/>
      <c r="S605" s="57"/>
      <c r="T605" s="559"/>
      <c r="U605" s="29"/>
      <c r="V605" s="29"/>
      <c r="AJ605" s="1215"/>
      <c r="AK605" s="1142"/>
      <c r="AM605" s="42"/>
      <c r="AN605" s="42"/>
      <c r="AO605" s="42"/>
      <c r="AP605" s="42"/>
      <c r="AQ605" s="42"/>
      <c r="AR605" s="42"/>
      <c r="AS605" s="42"/>
      <c r="AT605" s="42"/>
      <c r="AU605" s="42"/>
      <c r="AV605" s="42"/>
      <c r="AW605" s="42"/>
      <c r="AX605" s="42"/>
      <c r="AY605" s="42"/>
      <c r="AZ605" s="42"/>
      <c r="BA605" s="42"/>
      <c r="BB605" s="42"/>
      <c r="BC605" s="42"/>
      <c r="BD605" s="42"/>
      <c r="BE605" s="42"/>
      <c r="BF605" s="42"/>
      <c r="BG605" s="42"/>
      <c r="BH605" s="42"/>
      <c r="BI605" s="42"/>
      <c r="BJ605" s="42"/>
      <c r="BK605" s="42"/>
      <c r="BL605" s="42"/>
      <c r="BM605" s="42"/>
      <c r="BN605" s="42"/>
      <c r="BO605" s="42"/>
      <c r="BP605" s="42"/>
      <c r="BQ605" s="42"/>
      <c r="BR605" s="42"/>
      <c r="BS605" s="42"/>
      <c r="BT605" s="42"/>
      <c r="BU605" s="42"/>
      <c r="BV605" s="42"/>
      <c r="BW605" s="42"/>
      <c r="BX605" s="42"/>
      <c r="BY605" s="42"/>
      <c r="BZ605" s="42"/>
      <c r="CA605" s="42"/>
      <c r="CB605" s="42"/>
      <c r="CC605" s="42"/>
      <c r="CD605" s="42"/>
      <c r="CE605" s="42"/>
      <c r="CF605" s="42"/>
      <c r="CG605" s="42"/>
      <c r="CH605" s="42"/>
      <c r="CS605" s="29"/>
      <c r="CT605" s="29"/>
      <c r="CU605" s="29"/>
      <c r="CV605" s="522"/>
      <c r="CW605" s="522"/>
      <c r="CX605" s="211"/>
      <c r="CY605" s="211"/>
      <c r="CZ605" s="211"/>
      <c r="DA605" s="211"/>
      <c r="DB605" s="211"/>
      <c r="DC605" s="211"/>
      <c r="DD605" s="211"/>
      <c r="DE605" s="211"/>
      <c r="DF605" s="60"/>
      <c r="DG605" s="60"/>
      <c r="DH605" s="60"/>
      <c r="DI605" s="60"/>
      <c r="DJ605" s="60"/>
    </row>
    <row r="606" spans="3:114" s="25" customFormat="1">
      <c r="C606" s="24"/>
      <c r="D606" s="24"/>
      <c r="G606" s="57"/>
      <c r="H606" s="57"/>
      <c r="I606" s="57"/>
      <c r="J606" s="57"/>
      <c r="K606" s="57"/>
      <c r="L606" s="57"/>
      <c r="M606" s="57"/>
      <c r="N606" s="57"/>
      <c r="O606" s="57"/>
      <c r="P606" s="57"/>
      <c r="Q606" s="57"/>
      <c r="R606" s="57"/>
      <c r="S606" s="57"/>
      <c r="T606" s="559"/>
      <c r="U606" s="29"/>
      <c r="V606" s="29"/>
      <c r="AJ606" s="1215"/>
      <c r="AK606" s="1142"/>
      <c r="AM606" s="42"/>
      <c r="AN606" s="42"/>
      <c r="AO606" s="42"/>
      <c r="AP606" s="42"/>
      <c r="AQ606" s="42"/>
      <c r="AR606" s="42"/>
      <c r="AS606" s="42"/>
      <c r="AT606" s="42"/>
      <c r="AU606" s="42"/>
      <c r="AV606" s="42"/>
      <c r="AW606" s="42"/>
      <c r="AX606" s="42"/>
      <c r="AY606" s="42"/>
      <c r="AZ606" s="42"/>
      <c r="BA606" s="42"/>
      <c r="BB606" s="42"/>
      <c r="BC606" s="42"/>
      <c r="BD606" s="42"/>
      <c r="BE606" s="42"/>
      <c r="BF606" s="42"/>
      <c r="BG606" s="42"/>
      <c r="BH606" s="42"/>
      <c r="BI606" s="42"/>
      <c r="BJ606" s="42"/>
      <c r="BK606" s="42"/>
      <c r="BL606" s="42"/>
      <c r="BM606" s="42"/>
      <c r="BN606" s="42"/>
      <c r="BO606" s="42"/>
      <c r="BP606" s="42"/>
      <c r="BQ606" s="42"/>
      <c r="BR606" s="42"/>
      <c r="BS606" s="42"/>
      <c r="BT606" s="42"/>
      <c r="BU606" s="42"/>
      <c r="BV606" s="42"/>
      <c r="BW606" s="42"/>
      <c r="BX606" s="42"/>
      <c r="BY606" s="42"/>
      <c r="BZ606" s="42"/>
      <c r="CA606" s="42"/>
      <c r="CB606" s="42"/>
      <c r="CC606" s="42"/>
      <c r="CD606" s="42"/>
      <c r="CE606" s="42"/>
      <c r="CF606" s="42"/>
      <c r="CG606" s="42"/>
      <c r="CH606" s="42"/>
      <c r="CS606" s="29"/>
      <c r="CT606" s="29"/>
      <c r="CU606" s="29"/>
      <c r="CV606" s="522"/>
      <c r="CW606" s="522"/>
      <c r="CX606" s="211"/>
      <c r="CY606" s="211"/>
      <c r="CZ606" s="211"/>
      <c r="DA606" s="211"/>
      <c r="DB606" s="211"/>
      <c r="DC606" s="211"/>
      <c r="DD606" s="211"/>
      <c r="DE606" s="211"/>
      <c r="DF606" s="60"/>
      <c r="DG606" s="60"/>
      <c r="DH606" s="60"/>
      <c r="DI606" s="60"/>
      <c r="DJ606" s="60"/>
    </row>
    <row r="607" spans="3:114" s="25" customFormat="1">
      <c r="C607" s="24"/>
      <c r="D607" s="24"/>
      <c r="G607" s="57"/>
      <c r="H607" s="57"/>
      <c r="I607" s="57"/>
      <c r="J607" s="57"/>
      <c r="K607" s="57"/>
      <c r="L607" s="57"/>
      <c r="M607" s="57"/>
      <c r="N607" s="57"/>
      <c r="O607" s="57"/>
      <c r="P607" s="57"/>
      <c r="Q607" s="57"/>
      <c r="R607" s="57"/>
      <c r="S607" s="57"/>
      <c r="T607" s="559"/>
      <c r="U607" s="29"/>
      <c r="V607" s="29"/>
      <c r="AJ607" s="1215"/>
      <c r="AK607" s="1142"/>
      <c r="AM607" s="42"/>
      <c r="AN607" s="42"/>
      <c r="AO607" s="42"/>
      <c r="AP607" s="42"/>
      <c r="AQ607" s="42"/>
      <c r="AR607" s="42"/>
      <c r="AS607" s="42"/>
      <c r="AT607" s="42"/>
      <c r="AU607" s="42"/>
      <c r="AV607" s="42"/>
      <c r="AW607" s="42"/>
      <c r="AX607" s="42"/>
      <c r="AY607" s="42"/>
      <c r="AZ607" s="42"/>
      <c r="BA607" s="42"/>
      <c r="BB607" s="42"/>
      <c r="BC607" s="42"/>
      <c r="BD607" s="42"/>
      <c r="BE607" s="42"/>
      <c r="BF607" s="42"/>
      <c r="BG607" s="42"/>
      <c r="BH607" s="42"/>
      <c r="BI607" s="42"/>
      <c r="BJ607" s="42"/>
      <c r="BK607" s="42"/>
      <c r="BL607" s="42"/>
      <c r="BM607" s="42"/>
      <c r="BN607" s="42"/>
      <c r="BO607" s="42"/>
      <c r="BP607" s="42"/>
      <c r="BQ607" s="42"/>
      <c r="BR607" s="42"/>
      <c r="BS607" s="42"/>
      <c r="BT607" s="42"/>
      <c r="BU607" s="42"/>
      <c r="BV607" s="42"/>
      <c r="BW607" s="42"/>
      <c r="BX607" s="42"/>
      <c r="BY607" s="42"/>
      <c r="BZ607" s="42"/>
      <c r="CA607" s="42"/>
      <c r="CB607" s="42"/>
      <c r="CC607" s="42"/>
      <c r="CD607" s="42"/>
      <c r="CE607" s="42"/>
      <c r="CF607" s="42"/>
      <c r="CG607" s="42"/>
      <c r="CH607" s="42"/>
      <c r="CS607" s="29"/>
      <c r="CT607" s="29"/>
      <c r="CU607" s="29"/>
      <c r="CV607" s="522"/>
      <c r="CW607" s="522"/>
      <c r="CX607" s="211"/>
      <c r="CY607" s="211"/>
      <c r="CZ607" s="211"/>
      <c r="DA607" s="211"/>
      <c r="DB607" s="211"/>
      <c r="DC607" s="211"/>
      <c r="DD607" s="211"/>
      <c r="DE607" s="211"/>
      <c r="DF607" s="60"/>
      <c r="DG607" s="60"/>
      <c r="DH607" s="60"/>
      <c r="DI607" s="60"/>
      <c r="DJ607" s="60"/>
    </row>
    <row r="608" spans="3:114" s="25" customFormat="1">
      <c r="C608" s="24"/>
      <c r="D608" s="24"/>
      <c r="G608" s="57"/>
      <c r="H608" s="57"/>
      <c r="I608" s="57"/>
      <c r="J608" s="57"/>
      <c r="K608" s="57"/>
      <c r="L608" s="57"/>
      <c r="M608" s="57"/>
      <c r="N608" s="57"/>
      <c r="O608" s="57"/>
      <c r="P608" s="57"/>
      <c r="Q608" s="57"/>
      <c r="R608" s="57"/>
      <c r="S608" s="57"/>
      <c r="T608" s="559"/>
      <c r="U608" s="29"/>
      <c r="V608" s="29"/>
      <c r="AJ608" s="1215"/>
      <c r="AK608" s="1142"/>
      <c r="AM608" s="42"/>
      <c r="AN608" s="42"/>
      <c r="AO608" s="42"/>
      <c r="AP608" s="42"/>
      <c r="AQ608" s="42"/>
      <c r="AR608" s="42"/>
      <c r="AS608" s="42"/>
      <c r="AT608" s="42"/>
      <c r="AU608" s="42"/>
      <c r="AV608" s="42"/>
      <c r="AW608" s="42"/>
      <c r="AX608" s="42"/>
      <c r="AY608" s="42"/>
      <c r="AZ608" s="42"/>
      <c r="BA608" s="42"/>
      <c r="BB608" s="42"/>
      <c r="BC608" s="42"/>
      <c r="BD608" s="42"/>
      <c r="BE608" s="42"/>
      <c r="BF608" s="42"/>
      <c r="BG608" s="42"/>
      <c r="BH608" s="42"/>
      <c r="BI608" s="42"/>
      <c r="BJ608" s="42"/>
      <c r="BK608" s="42"/>
      <c r="BL608" s="42"/>
      <c r="BM608" s="42"/>
      <c r="BN608" s="42"/>
      <c r="BO608" s="42"/>
      <c r="BP608" s="42"/>
      <c r="BQ608" s="42"/>
      <c r="BR608" s="42"/>
      <c r="BS608" s="42"/>
      <c r="BT608" s="42"/>
      <c r="BU608" s="42"/>
      <c r="BV608" s="42"/>
      <c r="BW608" s="42"/>
      <c r="BX608" s="42"/>
      <c r="BY608" s="42"/>
      <c r="BZ608" s="42"/>
      <c r="CA608" s="42"/>
      <c r="CB608" s="42"/>
      <c r="CC608" s="42"/>
      <c r="CD608" s="42"/>
      <c r="CE608" s="42"/>
      <c r="CF608" s="42"/>
      <c r="CG608" s="42"/>
      <c r="CH608" s="42"/>
      <c r="CS608" s="29"/>
      <c r="CT608" s="29"/>
      <c r="CU608" s="29"/>
      <c r="CV608" s="522"/>
      <c r="CW608" s="522"/>
      <c r="CX608" s="211"/>
      <c r="CY608" s="211"/>
      <c r="CZ608" s="211"/>
      <c r="DA608" s="211"/>
      <c r="DB608" s="211"/>
      <c r="DC608" s="211"/>
      <c r="DD608" s="211"/>
      <c r="DE608" s="211"/>
      <c r="DF608" s="60"/>
      <c r="DG608" s="60"/>
      <c r="DH608" s="60"/>
      <c r="DI608" s="60"/>
      <c r="DJ608" s="60"/>
    </row>
    <row r="609" spans="3:114" s="25" customFormat="1">
      <c r="C609" s="24"/>
      <c r="D609" s="24"/>
      <c r="G609" s="57"/>
      <c r="H609" s="57"/>
      <c r="I609" s="57"/>
      <c r="J609" s="57"/>
      <c r="K609" s="57"/>
      <c r="L609" s="57"/>
      <c r="M609" s="57"/>
      <c r="N609" s="57"/>
      <c r="O609" s="57"/>
      <c r="P609" s="57"/>
      <c r="Q609" s="57"/>
      <c r="R609" s="57"/>
      <c r="S609" s="57"/>
      <c r="T609" s="559"/>
      <c r="U609" s="29"/>
      <c r="V609" s="29"/>
      <c r="AJ609" s="1215"/>
      <c r="AK609" s="1142"/>
      <c r="AM609" s="42"/>
      <c r="AN609" s="42"/>
      <c r="AO609" s="42"/>
      <c r="AP609" s="42"/>
      <c r="AQ609" s="42"/>
      <c r="AR609" s="42"/>
      <c r="AS609" s="42"/>
      <c r="AT609" s="42"/>
      <c r="AU609" s="42"/>
      <c r="AV609" s="42"/>
      <c r="AW609" s="42"/>
      <c r="AX609" s="42"/>
      <c r="AY609" s="42"/>
      <c r="AZ609" s="42"/>
      <c r="BA609" s="42"/>
      <c r="BB609" s="42"/>
      <c r="BC609" s="42"/>
      <c r="BD609" s="42"/>
      <c r="BE609" s="42"/>
      <c r="BF609" s="42"/>
      <c r="BG609" s="42"/>
      <c r="BH609" s="42"/>
      <c r="BI609" s="42"/>
      <c r="BJ609" s="42"/>
      <c r="BK609" s="42"/>
      <c r="BL609" s="42"/>
      <c r="BM609" s="42"/>
      <c r="BN609" s="42"/>
      <c r="BO609" s="42"/>
      <c r="BP609" s="42"/>
      <c r="BQ609" s="42"/>
      <c r="BR609" s="42"/>
      <c r="BS609" s="42"/>
      <c r="BT609" s="42"/>
      <c r="BU609" s="42"/>
      <c r="BV609" s="42"/>
      <c r="BW609" s="42"/>
      <c r="BX609" s="42"/>
      <c r="BY609" s="42"/>
      <c r="BZ609" s="42"/>
      <c r="CA609" s="42"/>
      <c r="CB609" s="42"/>
      <c r="CC609" s="42"/>
      <c r="CD609" s="42"/>
      <c r="CE609" s="42"/>
      <c r="CF609" s="42"/>
      <c r="CG609" s="42"/>
      <c r="CH609" s="42"/>
      <c r="CS609" s="29"/>
      <c r="CT609" s="29"/>
      <c r="CU609" s="29"/>
      <c r="CV609" s="522"/>
      <c r="CW609" s="522"/>
      <c r="CX609" s="211"/>
      <c r="CY609" s="211"/>
      <c r="CZ609" s="211"/>
      <c r="DA609" s="211"/>
      <c r="DB609" s="211"/>
      <c r="DC609" s="211"/>
      <c r="DD609" s="211"/>
      <c r="DE609" s="211"/>
      <c r="DF609" s="60"/>
      <c r="DG609" s="60"/>
      <c r="DH609" s="60"/>
      <c r="DI609" s="60"/>
      <c r="DJ609" s="60"/>
    </row>
    <row r="610" spans="3:114" s="25" customFormat="1">
      <c r="C610" s="24"/>
      <c r="D610" s="24"/>
      <c r="G610" s="57"/>
      <c r="H610" s="57"/>
      <c r="I610" s="57"/>
      <c r="J610" s="57"/>
      <c r="K610" s="57"/>
      <c r="L610" s="57"/>
      <c r="M610" s="57"/>
      <c r="N610" s="57"/>
      <c r="O610" s="57"/>
      <c r="P610" s="57"/>
      <c r="Q610" s="57"/>
      <c r="R610" s="57"/>
      <c r="S610" s="57"/>
      <c r="T610" s="559"/>
      <c r="U610" s="29"/>
      <c r="V610" s="29"/>
      <c r="AJ610" s="1215"/>
      <c r="AK610" s="1142"/>
      <c r="AM610" s="42"/>
      <c r="AN610" s="42"/>
      <c r="AO610" s="42"/>
      <c r="AP610" s="42"/>
      <c r="AQ610" s="42"/>
      <c r="AR610" s="42"/>
      <c r="AS610" s="42"/>
      <c r="AT610" s="42"/>
      <c r="AU610" s="42"/>
      <c r="AV610" s="42"/>
      <c r="AW610" s="42"/>
      <c r="AX610" s="42"/>
      <c r="AY610" s="42"/>
      <c r="AZ610" s="42"/>
      <c r="BA610" s="42"/>
      <c r="BB610" s="42"/>
      <c r="BC610" s="42"/>
      <c r="BD610" s="42"/>
      <c r="BE610" s="42"/>
      <c r="BF610" s="42"/>
      <c r="BG610" s="42"/>
      <c r="BH610" s="42"/>
      <c r="BI610" s="42"/>
      <c r="BJ610" s="42"/>
      <c r="BK610" s="42"/>
      <c r="BL610" s="42"/>
      <c r="BM610" s="42"/>
      <c r="BN610" s="42"/>
      <c r="BO610" s="42"/>
      <c r="BP610" s="42"/>
      <c r="BQ610" s="42"/>
      <c r="BR610" s="42"/>
      <c r="BS610" s="42"/>
      <c r="BT610" s="42"/>
      <c r="BU610" s="42"/>
      <c r="BV610" s="42"/>
      <c r="BW610" s="42"/>
      <c r="BX610" s="42"/>
      <c r="BY610" s="42"/>
      <c r="BZ610" s="42"/>
      <c r="CA610" s="42"/>
      <c r="CB610" s="42"/>
      <c r="CC610" s="42"/>
      <c r="CD610" s="42"/>
      <c r="CE610" s="42"/>
      <c r="CF610" s="42"/>
      <c r="CG610" s="42"/>
      <c r="CH610" s="42"/>
      <c r="CS610" s="29"/>
      <c r="CT610" s="29"/>
      <c r="CU610" s="29"/>
      <c r="CV610" s="522"/>
      <c r="CW610" s="522"/>
      <c r="CX610" s="211"/>
      <c r="CY610" s="211"/>
      <c r="CZ610" s="211"/>
      <c r="DA610" s="211"/>
      <c r="DB610" s="211"/>
      <c r="DC610" s="211"/>
      <c r="DD610" s="211"/>
      <c r="DE610" s="211"/>
      <c r="DF610" s="60"/>
      <c r="DG610" s="60"/>
      <c r="DH610" s="60"/>
      <c r="DI610" s="60"/>
      <c r="DJ610" s="60"/>
    </row>
    <row r="611" spans="3:114" s="25" customFormat="1">
      <c r="C611" s="24"/>
      <c r="D611" s="24"/>
      <c r="G611" s="57"/>
      <c r="H611" s="57"/>
      <c r="I611" s="57"/>
      <c r="J611" s="57"/>
      <c r="K611" s="57"/>
      <c r="L611" s="57"/>
      <c r="M611" s="57"/>
      <c r="N611" s="57"/>
      <c r="O611" s="57"/>
      <c r="P611" s="57"/>
      <c r="Q611" s="57"/>
      <c r="R611" s="57"/>
      <c r="S611" s="57"/>
      <c r="T611" s="559"/>
      <c r="U611" s="29"/>
      <c r="V611" s="29"/>
      <c r="AJ611" s="1215"/>
      <c r="AK611" s="1142"/>
      <c r="AM611" s="42"/>
      <c r="AN611" s="42"/>
      <c r="AO611" s="42"/>
      <c r="AP611" s="42"/>
      <c r="AQ611" s="42"/>
      <c r="AR611" s="42"/>
      <c r="AS611" s="42"/>
      <c r="AT611" s="42"/>
      <c r="AU611" s="42"/>
      <c r="AV611" s="42"/>
      <c r="AW611" s="42"/>
      <c r="AX611" s="42"/>
      <c r="AY611" s="42"/>
      <c r="AZ611" s="42"/>
      <c r="BA611" s="42"/>
      <c r="BB611" s="42"/>
      <c r="BC611" s="42"/>
      <c r="BD611" s="42"/>
      <c r="BE611" s="42"/>
      <c r="BF611" s="42"/>
      <c r="BG611" s="42"/>
      <c r="BH611" s="42"/>
      <c r="BI611" s="42"/>
      <c r="BJ611" s="42"/>
      <c r="BK611" s="42"/>
      <c r="BL611" s="42"/>
      <c r="BM611" s="42"/>
      <c r="BN611" s="42"/>
      <c r="BO611" s="42"/>
      <c r="BP611" s="42"/>
      <c r="BQ611" s="42"/>
      <c r="BR611" s="42"/>
      <c r="BS611" s="42"/>
      <c r="BT611" s="42"/>
      <c r="BU611" s="42"/>
      <c r="BV611" s="42"/>
      <c r="BW611" s="42"/>
      <c r="BX611" s="42"/>
      <c r="BY611" s="42"/>
      <c r="BZ611" s="42"/>
      <c r="CA611" s="42"/>
      <c r="CB611" s="42"/>
      <c r="CC611" s="42"/>
      <c r="CD611" s="42"/>
      <c r="CE611" s="42"/>
      <c r="CF611" s="42"/>
      <c r="CG611" s="42"/>
      <c r="CH611" s="42"/>
      <c r="CS611" s="29"/>
      <c r="CT611" s="29"/>
      <c r="CU611" s="29"/>
      <c r="CV611" s="522"/>
      <c r="CW611" s="522"/>
      <c r="CX611" s="211"/>
      <c r="CY611" s="211"/>
      <c r="CZ611" s="211"/>
      <c r="DA611" s="211"/>
      <c r="DB611" s="211"/>
      <c r="DC611" s="211"/>
      <c r="DD611" s="211"/>
      <c r="DE611" s="211"/>
      <c r="DF611" s="60"/>
      <c r="DG611" s="60"/>
      <c r="DH611" s="60"/>
      <c r="DI611" s="60"/>
      <c r="DJ611" s="60"/>
    </row>
    <row r="612" spans="3:114" s="25" customFormat="1">
      <c r="C612" s="24"/>
      <c r="D612" s="24"/>
      <c r="G612" s="57"/>
      <c r="H612" s="57"/>
      <c r="I612" s="57"/>
      <c r="J612" s="57"/>
      <c r="K612" s="57"/>
      <c r="L612" s="57"/>
      <c r="M612" s="57"/>
      <c r="N612" s="57"/>
      <c r="O612" s="57"/>
      <c r="P612" s="57"/>
      <c r="Q612" s="57"/>
      <c r="R612" s="57"/>
      <c r="S612" s="57"/>
      <c r="T612" s="559"/>
      <c r="U612" s="29"/>
      <c r="V612" s="29"/>
      <c r="AJ612" s="1215"/>
      <c r="AK612" s="1142"/>
      <c r="AM612" s="42"/>
      <c r="AN612" s="42"/>
      <c r="AO612" s="42"/>
      <c r="AP612" s="42"/>
      <c r="AQ612" s="42"/>
      <c r="AR612" s="42"/>
      <c r="AS612" s="42"/>
      <c r="AT612" s="42"/>
      <c r="AU612" s="42"/>
      <c r="AV612" s="42"/>
      <c r="AW612" s="42"/>
      <c r="AX612" s="42"/>
      <c r="AY612" s="42"/>
      <c r="AZ612" s="42"/>
      <c r="BA612" s="42"/>
      <c r="BB612" s="42"/>
      <c r="BC612" s="42"/>
      <c r="BD612" s="42"/>
      <c r="BE612" s="42"/>
      <c r="BF612" s="42"/>
      <c r="BG612" s="42"/>
      <c r="BH612" s="42"/>
      <c r="BI612" s="42"/>
      <c r="BJ612" s="42"/>
      <c r="BK612" s="42"/>
      <c r="BL612" s="42"/>
      <c r="BM612" s="42"/>
      <c r="BN612" s="42"/>
      <c r="BO612" s="42"/>
      <c r="BP612" s="42"/>
      <c r="BQ612" s="42"/>
      <c r="BR612" s="42"/>
      <c r="BS612" s="42"/>
      <c r="BT612" s="42"/>
      <c r="BU612" s="42"/>
      <c r="BV612" s="42"/>
      <c r="BW612" s="42"/>
      <c r="BX612" s="42"/>
      <c r="BY612" s="42"/>
      <c r="BZ612" s="42"/>
      <c r="CA612" s="42"/>
      <c r="CB612" s="42"/>
      <c r="CC612" s="42"/>
      <c r="CD612" s="42"/>
      <c r="CE612" s="42"/>
      <c r="CF612" s="42"/>
      <c r="CG612" s="42"/>
      <c r="CH612" s="42"/>
      <c r="CS612" s="29"/>
      <c r="CT612" s="29"/>
      <c r="CU612" s="29"/>
      <c r="CV612" s="522"/>
      <c r="CW612" s="522"/>
      <c r="CX612" s="211"/>
      <c r="CY612" s="211"/>
      <c r="CZ612" s="211"/>
      <c r="DA612" s="211"/>
      <c r="DB612" s="211"/>
      <c r="DC612" s="211"/>
      <c r="DD612" s="211"/>
      <c r="DE612" s="211"/>
      <c r="DF612" s="60"/>
      <c r="DG612" s="60"/>
      <c r="DH612" s="60"/>
      <c r="DI612" s="60"/>
      <c r="DJ612" s="60"/>
    </row>
    <row r="613" spans="3:114" s="25" customFormat="1">
      <c r="C613" s="24"/>
      <c r="D613" s="24"/>
      <c r="G613" s="57"/>
      <c r="H613" s="57"/>
      <c r="I613" s="57"/>
      <c r="J613" s="57"/>
      <c r="K613" s="57"/>
      <c r="L613" s="57"/>
      <c r="M613" s="57"/>
      <c r="N613" s="57"/>
      <c r="O613" s="57"/>
      <c r="P613" s="57"/>
      <c r="Q613" s="57"/>
      <c r="R613" s="57"/>
      <c r="S613" s="57"/>
      <c r="T613" s="559"/>
      <c r="U613" s="29"/>
      <c r="V613" s="29"/>
      <c r="AJ613" s="1215"/>
      <c r="AK613" s="1142"/>
      <c r="AM613" s="42"/>
      <c r="AN613" s="42"/>
      <c r="AO613" s="42"/>
      <c r="AP613" s="42"/>
      <c r="AQ613" s="42"/>
      <c r="AR613" s="42"/>
      <c r="AS613" s="42"/>
      <c r="AT613" s="42"/>
      <c r="AU613" s="42"/>
      <c r="AV613" s="42"/>
      <c r="AW613" s="42"/>
      <c r="AX613" s="42"/>
      <c r="AY613" s="42"/>
      <c r="AZ613" s="42"/>
      <c r="BA613" s="42"/>
      <c r="BB613" s="42"/>
      <c r="BC613" s="42"/>
      <c r="BD613" s="42"/>
      <c r="BE613" s="42"/>
      <c r="BF613" s="42"/>
      <c r="BG613" s="42"/>
      <c r="BH613" s="42"/>
      <c r="BI613" s="42"/>
      <c r="BJ613" s="42"/>
      <c r="BK613" s="42"/>
      <c r="BL613" s="42"/>
      <c r="BM613" s="42"/>
      <c r="BN613" s="42"/>
      <c r="BO613" s="42"/>
      <c r="BP613" s="42"/>
      <c r="BQ613" s="42"/>
      <c r="BR613" s="42"/>
      <c r="BS613" s="42"/>
      <c r="BT613" s="42"/>
      <c r="BU613" s="42"/>
      <c r="BV613" s="42"/>
      <c r="BW613" s="42"/>
      <c r="BX613" s="42"/>
      <c r="BY613" s="42"/>
      <c r="BZ613" s="42"/>
      <c r="CA613" s="42"/>
      <c r="CB613" s="42"/>
      <c r="CC613" s="42"/>
      <c r="CD613" s="42"/>
      <c r="CE613" s="42"/>
      <c r="CF613" s="42"/>
      <c r="CG613" s="42"/>
      <c r="CH613" s="42"/>
      <c r="CS613" s="29"/>
      <c r="CT613" s="29"/>
      <c r="CU613" s="29"/>
      <c r="CV613" s="522"/>
      <c r="CW613" s="522"/>
      <c r="CX613" s="211"/>
      <c r="CY613" s="211"/>
      <c r="CZ613" s="211"/>
      <c r="DA613" s="211"/>
      <c r="DB613" s="211"/>
      <c r="DC613" s="211"/>
      <c r="DD613" s="211"/>
      <c r="DE613" s="211"/>
      <c r="DF613" s="60"/>
      <c r="DG613" s="60"/>
      <c r="DH613" s="60"/>
      <c r="DI613" s="60"/>
      <c r="DJ613" s="60"/>
    </row>
    <row r="614" spans="3:114" s="25" customFormat="1">
      <c r="C614" s="24"/>
      <c r="D614" s="24"/>
      <c r="G614" s="57"/>
      <c r="H614" s="57"/>
      <c r="I614" s="57"/>
      <c r="J614" s="57"/>
      <c r="K614" s="57"/>
      <c r="L614" s="57"/>
      <c r="M614" s="57"/>
      <c r="N614" s="57"/>
      <c r="O614" s="57"/>
      <c r="P614" s="57"/>
      <c r="Q614" s="57"/>
      <c r="R614" s="57"/>
      <c r="S614" s="57"/>
      <c r="T614" s="559"/>
      <c r="U614" s="29"/>
      <c r="V614" s="29"/>
      <c r="AJ614" s="1215"/>
      <c r="AK614" s="1142"/>
      <c r="AM614" s="42"/>
      <c r="AN614" s="42"/>
      <c r="AO614" s="42"/>
      <c r="AP614" s="42"/>
      <c r="AQ614" s="42"/>
      <c r="AR614" s="42"/>
      <c r="AS614" s="42"/>
      <c r="AT614" s="42"/>
      <c r="AU614" s="42"/>
      <c r="AV614" s="42"/>
      <c r="AW614" s="42"/>
      <c r="AX614" s="42"/>
      <c r="AY614" s="42"/>
      <c r="AZ614" s="42"/>
      <c r="BA614" s="42"/>
      <c r="BB614" s="42"/>
      <c r="BC614" s="42"/>
      <c r="BD614" s="42"/>
      <c r="BE614" s="42"/>
      <c r="BF614" s="42"/>
      <c r="BG614" s="42"/>
      <c r="BH614" s="42"/>
      <c r="BI614" s="42"/>
      <c r="BJ614" s="42"/>
      <c r="BK614" s="42"/>
      <c r="BL614" s="42"/>
      <c r="BM614" s="42"/>
      <c r="BN614" s="42"/>
      <c r="BO614" s="42"/>
      <c r="BP614" s="42"/>
      <c r="BQ614" s="42"/>
      <c r="BR614" s="42"/>
      <c r="BS614" s="42"/>
      <c r="BT614" s="42"/>
      <c r="BU614" s="42"/>
      <c r="BV614" s="42"/>
      <c r="BW614" s="42"/>
      <c r="BX614" s="42"/>
      <c r="BY614" s="42"/>
      <c r="BZ614" s="42"/>
      <c r="CA614" s="42"/>
      <c r="CB614" s="42"/>
      <c r="CC614" s="42"/>
      <c r="CD614" s="42"/>
      <c r="CE614" s="42"/>
      <c r="CF614" s="42"/>
      <c r="CG614" s="42"/>
      <c r="CH614" s="42"/>
      <c r="CS614" s="29"/>
      <c r="CT614" s="29"/>
      <c r="CU614" s="29"/>
      <c r="CV614" s="522"/>
      <c r="CW614" s="522"/>
      <c r="CX614" s="211"/>
      <c r="CY614" s="211"/>
      <c r="CZ614" s="211"/>
      <c r="DA614" s="211"/>
      <c r="DB614" s="211"/>
      <c r="DC614" s="211"/>
      <c r="DD614" s="211"/>
      <c r="DE614" s="211"/>
      <c r="DF614" s="60"/>
      <c r="DG614" s="60"/>
      <c r="DH614" s="60"/>
      <c r="DI614" s="60"/>
      <c r="DJ614" s="60"/>
    </row>
    <row r="615" spans="3:114" s="25" customFormat="1">
      <c r="C615" s="24"/>
      <c r="D615" s="24"/>
      <c r="G615" s="57"/>
      <c r="H615" s="57"/>
      <c r="I615" s="57"/>
      <c r="J615" s="57"/>
      <c r="K615" s="57"/>
      <c r="L615" s="57"/>
      <c r="M615" s="57"/>
      <c r="N615" s="57"/>
      <c r="O615" s="57"/>
      <c r="P615" s="57"/>
      <c r="Q615" s="57"/>
      <c r="R615" s="57"/>
      <c r="S615" s="57"/>
      <c r="T615" s="559"/>
      <c r="U615" s="29"/>
      <c r="V615" s="29"/>
      <c r="AJ615" s="1215"/>
      <c r="AK615" s="1142"/>
      <c r="AM615" s="42"/>
      <c r="AN615" s="42"/>
      <c r="AO615" s="42"/>
      <c r="AP615" s="42"/>
      <c r="AQ615" s="42"/>
      <c r="AR615" s="42"/>
      <c r="AS615" s="42"/>
      <c r="AT615" s="42"/>
      <c r="AU615" s="42"/>
      <c r="AV615" s="42"/>
      <c r="AW615" s="42"/>
      <c r="AX615" s="42"/>
      <c r="AY615" s="42"/>
      <c r="AZ615" s="42"/>
      <c r="BA615" s="42"/>
      <c r="BB615" s="42"/>
      <c r="BC615" s="42"/>
      <c r="BD615" s="42"/>
      <c r="BE615" s="42"/>
      <c r="BF615" s="42"/>
      <c r="BG615" s="42"/>
      <c r="BH615" s="42"/>
      <c r="BI615" s="42"/>
      <c r="BJ615" s="42"/>
      <c r="BK615" s="42"/>
      <c r="BL615" s="42"/>
      <c r="BM615" s="42"/>
      <c r="BN615" s="42"/>
      <c r="BO615" s="42"/>
      <c r="BP615" s="42"/>
      <c r="BQ615" s="42"/>
      <c r="BR615" s="42"/>
      <c r="BS615" s="42"/>
      <c r="BT615" s="42"/>
      <c r="BU615" s="42"/>
      <c r="BV615" s="42"/>
      <c r="BW615" s="42"/>
      <c r="BX615" s="42"/>
      <c r="BY615" s="42"/>
      <c r="BZ615" s="42"/>
      <c r="CA615" s="42"/>
      <c r="CB615" s="42"/>
      <c r="CC615" s="42"/>
      <c r="CD615" s="42"/>
      <c r="CE615" s="42"/>
      <c r="CF615" s="42"/>
      <c r="CG615" s="42"/>
      <c r="CH615" s="42"/>
      <c r="CS615" s="29"/>
      <c r="CT615" s="29"/>
      <c r="CU615" s="29"/>
      <c r="CV615" s="522"/>
      <c r="CW615" s="522"/>
      <c r="CX615" s="211"/>
      <c r="CY615" s="211"/>
      <c r="CZ615" s="211"/>
      <c r="DA615" s="211"/>
      <c r="DB615" s="211"/>
      <c r="DC615" s="211"/>
      <c r="DD615" s="211"/>
      <c r="DE615" s="211"/>
      <c r="DF615" s="60"/>
      <c r="DG615" s="60"/>
      <c r="DH615" s="60"/>
      <c r="DI615" s="60"/>
      <c r="DJ615" s="60"/>
    </row>
    <row r="616" spans="3:114" s="25" customFormat="1">
      <c r="C616" s="24"/>
      <c r="D616" s="24"/>
      <c r="G616" s="57"/>
      <c r="H616" s="57"/>
      <c r="I616" s="57"/>
      <c r="J616" s="57"/>
      <c r="K616" s="57"/>
      <c r="L616" s="57"/>
      <c r="M616" s="57"/>
      <c r="N616" s="57"/>
      <c r="O616" s="57"/>
      <c r="P616" s="57"/>
      <c r="Q616" s="57"/>
      <c r="R616" s="57"/>
      <c r="S616" s="57"/>
      <c r="T616" s="559"/>
      <c r="U616" s="29"/>
      <c r="V616" s="29"/>
      <c r="AJ616" s="1215"/>
      <c r="AK616" s="1142"/>
      <c r="AM616" s="42"/>
      <c r="AN616" s="42"/>
      <c r="AO616" s="42"/>
      <c r="AP616" s="42"/>
      <c r="AQ616" s="42"/>
      <c r="AR616" s="42"/>
      <c r="AS616" s="42"/>
      <c r="AT616" s="42"/>
      <c r="AU616" s="42"/>
      <c r="AV616" s="42"/>
      <c r="AW616" s="42"/>
      <c r="AX616" s="42"/>
      <c r="AY616" s="42"/>
      <c r="AZ616" s="42"/>
      <c r="BA616" s="42"/>
      <c r="BB616" s="42"/>
      <c r="BC616" s="42"/>
      <c r="BD616" s="42"/>
      <c r="BE616" s="42"/>
      <c r="BF616" s="42"/>
      <c r="BG616" s="42"/>
      <c r="BH616" s="42"/>
      <c r="BI616" s="42"/>
      <c r="BJ616" s="42"/>
      <c r="BK616" s="42"/>
      <c r="BL616" s="42"/>
      <c r="BM616" s="42"/>
      <c r="BN616" s="42"/>
      <c r="BO616" s="42"/>
      <c r="BP616" s="42"/>
      <c r="BQ616" s="42"/>
      <c r="BR616" s="42"/>
      <c r="BS616" s="42"/>
      <c r="BT616" s="42"/>
      <c r="BU616" s="42"/>
      <c r="BV616" s="42"/>
      <c r="BW616" s="42"/>
      <c r="BX616" s="42"/>
      <c r="BY616" s="42"/>
      <c r="BZ616" s="42"/>
      <c r="CA616" s="42"/>
      <c r="CB616" s="42"/>
      <c r="CC616" s="42"/>
      <c r="CD616" s="42"/>
      <c r="CE616" s="42"/>
      <c r="CF616" s="42"/>
      <c r="CG616" s="42"/>
      <c r="CH616" s="42"/>
      <c r="CS616" s="29"/>
      <c r="CT616" s="29"/>
      <c r="CU616" s="29"/>
      <c r="CV616" s="522"/>
      <c r="CW616" s="522"/>
      <c r="CX616" s="211"/>
      <c r="CY616" s="211"/>
      <c r="CZ616" s="211"/>
      <c r="DA616" s="211"/>
      <c r="DB616" s="211"/>
      <c r="DC616" s="211"/>
      <c r="DD616" s="211"/>
      <c r="DE616" s="211"/>
      <c r="DF616" s="60"/>
      <c r="DG616" s="60"/>
      <c r="DH616" s="60"/>
      <c r="DI616" s="60"/>
      <c r="DJ616" s="60"/>
    </row>
    <row r="617" spans="3:114" s="25" customFormat="1">
      <c r="C617" s="24"/>
      <c r="D617" s="24"/>
      <c r="G617" s="57"/>
      <c r="H617" s="57"/>
      <c r="I617" s="57"/>
      <c r="J617" s="57"/>
      <c r="K617" s="57"/>
      <c r="L617" s="57"/>
      <c r="M617" s="57"/>
      <c r="N617" s="57"/>
      <c r="O617" s="57"/>
      <c r="P617" s="57"/>
      <c r="Q617" s="57"/>
      <c r="R617" s="57"/>
      <c r="S617" s="57"/>
      <c r="T617" s="559"/>
      <c r="U617" s="29"/>
      <c r="V617" s="29"/>
      <c r="AJ617" s="1215"/>
      <c r="AK617" s="1142"/>
      <c r="AM617" s="42"/>
      <c r="AN617" s="42"/>
      <c r="AO617" s="42"/>
      <c r="AP617" s="42"/>
      <c r="AQ617" s="42"/>
      <c r="AR617" s="42"/>
      <c r="AS617" s="42"/>
      <c r="AT617" s="42"/>
      <c r="AU617" s="42"/>
      <c r="AV617" s="42"/>
      <c r="AW617" s="42"/>
      <c r="AX617" s="42"/>
      <c r="AY617" s="42"/>
      <c r="AZ617" s="42"/>
      <c r="BA617" s="42"/>
      <c r="BB617" s="42"/>
      <c r="BC617" s="42"/>
      <c r="BD617" s="42"/>
      <c r="BE617" s="42"/>
      <c r="BF617" s="42"/>
      <c r="BG617" s="42"/>
      <c r="BH617" s="42"/>
      <c r="BI617" s="42"/>
      <c r="BJ617" s="42"/>
      <c r="BK617" s="42"/>
      <c r="BL617" s="42"/>
      <c r="BM617" s="42"/>
      <c r="BN617" s="42"/>
      <c r="BO617" s="42"/>
      <c r="BP617" s="42"/>
      <c r="BQ617" s="42"/>
      <c r="BR617" s="42"/>
      <c r="BS617" s="42"/>
      <c r="BT617" s="42"/>
      <c r="BU617" s="42"/>
      <c r="BV617" s="42"/>
      <c r="BW617" s="42"/>
      <c r="BX617" s="42"/>
      <c r="BY617" s="42"/>
      <c r="BZ617" s="42"/>
      <c r="CA617" s="42"/>
      <c r="CB617" s="42"/>
      <c r="CC617" s="42"/>
      <c r="CD617" s="42"/>
      <c r="CE617" s="42"/>
      <c r="CF617" s="42"/>
      <c r="CG617" s="42"/>
      <c r="CH617" s="42"/>
      <c r="CS617" s="29"/>
      <c r="CT617" s="29"/>
      <c r="CU617" s="29"/>
      <c r="CV617" s="522"/>
      <c r="CW617" s="522"/>
      <c r="CX617" s="211"/>
      <c r="CY617" s="211"/>
      <c r="CZ617" s="211"/>
      <c r="DA617" s="211"/>
      <c r="DB617" s="211"/>
      <c r="DC617" s="211"/>
      <c r="DD617" s="211"/>
      <c r="DE617" s="211"/>
      <c r="DF617" s="60"/>
      <c r="DG617" s="60"/>
      <c r="DH617" s="60"/>
      <c r="DI617" s="60"/>
      <c r="DJ617" s="60"/>
    </row>
    <row r="618" spans="3:114" s="25" customFormat="1">
      <c r="C618" s="24"/>
      <c r="D618" s="24"/>
      <c r="G618" s="57"/>
      <c r="H618" s="57"/>
      <c r="I618" s="57"/>
      <c r="J618" s="57"/>
      <c r="K618" s="57"/>
      <c r="L618" s="57"/>
      <c r="M618" s="57"/>
      <c r="N618" s="57"/>
      <c r="O618" s="57"/>
      <c r="P618" s="57"/>
      <c r="Q618" s="57"/>
      <c r="R618" s="57"/>
      <c r="S618" s="57"/>
      <c r="T618" s="559"/>
      <c r="U618" s="29"/>
      <c r="V618" s="29"/>
      <c r="AJ618" s="1215"/>
      <c r="AK618" s="1142"/>
      <c r="AM618" s="42"/>
      <c r="AN618" s="42"/>
      <c r="AO618" s="42"/>
      <c r="AP618" s="42"/>
      <c r="AQ618" s="42"/>
      <c r="AR618" s="42"/>
      <c r="AS618" s="42"/>
      <c r="AT618" s="42"/>
      <c r="AU618" s="42"/>
      <c r="AV618" s="42"/>
      <c r="AW618" s="42"/>
      <c r="AX618" s="42"/>
      <c r="AY618" s="42"/>
      <c r="AZ618" s="42"/>
      <c r="BA618" s="42"/>
      <c r="BB618" s="42"/>
      <c r="BC618" s="42"/>
      <c r="BD618" s="42"/>
      <c r="BE618" s="42"/>
      <c r="BF618" s="42"/>
      <c r="BG618" s="42"/>
      <c r="BH618" s="42"/>
      <c r="BI618" s="42"/>
      <c r="BJ618" s="42"/>
      <c r="BK618" s="42"/>
      <c r="BL618" s="42"/>
      <c r="BM618" s="42"/>
      <c r="BN618" s="42"/>
      <c r="BO618" s="42"/>
      <c r="BP618" s="42"/>
      <c r="BQ618" s="42"/>
      <c r="BR618" s="42"/>
      <c r="BS618" s="42"/>
      <c r="BT618" s="42"/>
      <c r="BU618" s="42"/>
      <c r="BV618" s="42"/>
      <c r="BW618" s="42"/>
      <c r="BX618" s="42"/>
      <c r="BY618" s="42"/>
      <c r="BZ618" s="42"/>
      <c r="CA618" s="42"/>
      <c r="CB618" s="42"/>
      <c r="CC618" s="42"/>
      <c r="CD618" s="42"/>
      <c r="CE618" s="42"/>
      <c r="CF618" s="42"/>
      <c r="CG618" s="42"/>
      <c r="CH618" s="42"/>
      <c r="CS618" s="29"/>
      <c r="CT618" s="29"/>
      <c r="CU618" s="29"/>
      <c r="CV618" s="522"/>
      <c r="CW618" s="522"/>
      <c r="CX618" s="211"/>
      <c r="CY618" s="211"/>
      <c r="CZ618" s="211"/>
      <c r="DA618" s="211"/>
      <c r="DB618" s="211"/>
      <c r="DC618" s="211"/>
      <c r="DD618" s="211"/>
      <c r="DE618" s="211"/>
      <c r="DF618" s="60"/>
      <c r="DG618" s="60"/>
      <c r="DH618" s="60"/>
      <c r="DI618" s="60"/>
      <c r="DJ618" s="60"/>
    </row>
    <row r="619" spans="3:114" s="25" customFormat="1">
      <c r="C619" s="24"/>
      <c r="D619" s="24"/>
      <c r="G619" s="57"/>
      <c r="H619" s="57"/>
      <c r="I619" s="57"/>
      <c r="J619" s="57"/>
      <c r="K619" s="57"/>
      <c r="L619" s="57"/>
      <c r="M619" s="57"/>
      <c r="N619" s="57"/>
      <c r="O619" s="57"/>
      <c r="P619" s="57"/>
      <c r="Q619" s="57"/>
      <c r="R619" s="57"/>
      <c r="S619" s="57"/>
      <c r="T619" s="559"/>
      <c r="U619" s="29"/>
      <c r="V619" s="29"/>
      <c r="AJ619" s="1215"/>
      <c r="AK619" s="1142"/>
      <c r="AM619" s="42"/>
      <c r="AN619" s="42"/>
      <c r="AO619" s="42"/>
      <c r="AP619" s="42"/>
      <c r="AQ619" s="42"/>
      <c r="AR619" s="42"/>
      <c r="AS619" s="42"/>
      <c r="AT619" s="42"/>
      <c r="AU619" s="42"/>
      <c r="AV619" s="42"/>
      <c r="AW619" s="42"/>
      <c r="AX619" s="42"/>
      <c r="AY619" s="42"/>
      <c r="AZ619" s="42"/>
      <c r="BA619" s="42"/>
      <c r="BB619" s="42"/>
      <c r="BC619" s="42"/>
      <c r="BD619" s="42"/>
      <c r="BE619" s="42"/>
      <c r="BF619" s="42"/>
      <c r="BG619" s="42"/>
      <c r="BH619" s="42"/>
      <c r="BI619" s="42"/>
      <c r="BJ619" s="42"/>
      <c r="BK619" s="42"/>
      <c r="BL619" s="42"/>
      <c r="BM619" s="42"/>
      <c r="BN619" s="42"/>
      <c r="BO619" s="42"/>
      <c r="BP619" s="42"/>
      <c r="BQ619" s="42"/>
      <c r="BR619" s="42"/>
      <c r="BS619" s="42"/>
      <c r="BT619" s="42"/>
      <c r="BU619" s="42"/>
      <c r="BV619" s="42"/>
      <c r="BW619" s="42"/>
      <c r="BX619" s="42"/>
      <c r="BY619" s="42"/>
      <c r="BZ619" s="42"/>
      <c r="CA619" s="42"/>
      <c r="CB619" s="42"/>
      <c r="CC619" s="42"/>
      <c r="CD619" s="42"/>
      <c r="CE619" s="42"/>
      <c r="CF619" s="42"/>
      <c r="CG619" s="42"/>
      <c r="CH619" s="42"/>
      <c r="CS619" s="29"/>
      <c r="CT619" s="29"/>
      <c r="CU619" s="29"/>
      <c r="CV619" s="522"/>
      <c r="CW619" s="522"/>
      <c r="CX619" s="211"/>
      <c r="CY619" s="211"/>
      <c r="CZ619" s="211"/>
      <c r="DA619" s="211"/>
      <c r="DB619" s="211"/>
      <c r="DC619" s="211"/>
      <c r="DD619" s="211"/>
      <c r="DE619" s="211"/>
      <c r="DF619" s="60"/>
      <c r="DG619" s="60"/>
      <c r="DH619" s="60"/>
      <c r="DI619" s="60"/>
      <c r="DJ619" s="60"/>
    </row>
    <row r="620" spans="3:114" s="25" customFormat="1">
      <c r="C620" s="24"/>
      <c r="D620" s="24"/>
      <c r="G620" s="57"/>
      <c r="H620" s="57"/>
      <c r="I620" s="57"/>
      <c r="J620" s="57"/>
      <c r="K620" s="57"/>
      <c r="L620" s="57"/>
      <c r="M620" s="57"/>
      <c r="N620" s="57"/>
      <c r="O620" s="57"/>
      <c r="P620" s="57"/>
      <c r="Q620" s="57"/>
      <c r="R620" s="57"/>
      <c r="S620" s="57"/>
      <c r="T620" s="559"/>
      <c r="U620" s="29"/>
      <c r="V620" s="29"/>
      <c r="AJ620" s="1215"/>
      <c r="AK620" s="1142"/>
      <c r="AM620" s="42"/>
      <c r="AN620" s="42"/>
      <c r="AO620" s="42"/>
      <c r="AP620" s="42"/>
      <c r="AQ620" s="42"/>
      <c r="AR620" s="42"/>
      <c r="AS620" s="42"/>
      <c r="AT620" s="42"/>
      <c r="AU620" s="42"/>
      <c r="AV620" s="42"/>
      <c r="AW620" s="42"/>
      <c r="AX620" s="42"/>
      <c r="AY620" s="42"/>
      <c r="AZ620" s="42"/>
      <c r="BA620" s="42"/>
      <c r="BB620" s="42"/>
      <c r="BC620" s="42"/>
      <c r="BD620" s="42"/>
      <c r="BE620" s="42"/>
      <c r="BF620" s="42"/>
      <c r="BG620" s="42"/>
      <c r="BH620" s="42"/>
      <c r="BI620" s="42"/>
      <c r="BJ620" s="42"/>
      <c r="BK620" s="42"/>
      <c r="BL620" s="42"/>
      <c r="BM620" s="42"/>
      <c r="BN620" s="42"/>
      <c r="BO620" s="42"/>
      <c r="BP620" s="42"/>
      <c r="BQ620" s="42"/>
      <c r="BR620" s="42"/>
      <c r="BS620" s="42"/>
      <c r="BT620" s="42"/>
      <c r="BU620" s="42"/>
      <c r="BV620" s="42"/>
      <c r="BW620" s="42"/>
      <c r="BX620" s="42"/>
      <c r="BY620" s="42"/>
      <c r="BZ620" s="42"/>
      <c r="CA620" s="42"/>
      <c r="CB620" s="42"/>
      <c r="CC620" s="42"/>
      <c r="CD620" s="42"/>
      <c r="CE620" s="42"/>
      <c r="CF620" s="42"/>
      <c r="CG620" s="42"/>
      <c r="CH620" s="42"/>
      <c r="CS620" s="29"/>
      <c r="CT620" s="29"/>
      <c r="CU620" s="29"/>
      <c r="CV620" s="522"/>
      <c r="CW620" s="522"/>
      <c r="CX620" s="211"/>
      <c r="CY620" s="211"/>
      <c r="CZ620" s="211"/>
      <c r="DA620" s="211"/>
      <c r="DB620" s="211"/>
      <c r="DC620" s="211"/>
      <c r="DD620" s="211"/>
      <c r="DE620" s="211"/>
      <c r="DF620" s="60"/>
      <c r="DG620" s="60"/>
      <c r="DH620" s="60"/>
      <c r="DI620" s="60"/>
      <c r="DJ620" s="60"/>
    </row>
    <row r="621" spans="3:114" s="25" customFormat="1">
      <c r="C621" s="24"/>
      <c r="D621" s="24"/>
      <c r="G621" s="57"/>
      <c r="H621" s="57"/>
      <c r="I621" s="57"/>
      <c r="J621" s="57"/>
      <c r="K621" s="57"/>
      <c r="L621" s="57"/>
      <c r="M621" s="57"/>
      <c r="N621" s="57"/>
      <c r="O621" s="57"/>
      <c r="P621" s="57"/>
      <c r="Q621" s="57"/>
      <c r="R621" s="57"/>
      <c r="S621" s="57"/>
      <c r="T621" s="559"/>
      <c r="U621" s="29"/>
      <c r="V621" s="29"/>
      <c r="AJ621" s="1215"/>
      <c r="AK621" s="1142"/>
      <c r="AM621" s="42"/>
      <c r="AN621" s="42"/>
      <c r="AO621" s="42"/>
      <c r="AP621" s="42"/>
      <c r="AQ621" s="42"/>
      <c r="AR621" s="42"/>
      <c r="AS621" s="42"/>
      <c r="AT621" s="42"/>
      <c r="AU621" s="42"/>
      <c r="AV621" s="42"/>
      <c r="AW621" s="42"/>
      <c r="AX621" s="42"/>
      <c r="AY621" s="42"/>
      <c r="AZ621" s="42"/>
      <c r="BA621" s="42"/>
      <c r="BB621" s="42"/>
      <c r="BC621" s="42"/>
      <c r="BD621" s="42"/>
      <c r="BE621" s="42"/>
      <c r="BF621" s="42"/>
      <c r="BG621" s="42"/>
      <c r="BH621" s="42"/>
      <c r="BI621" s="42"/>
      <c r="BJ621" s="42"/>
      <c r="BK621" s="42"/>
      <c r="BL621" s="42"/>
      <c r="BM621" s="42"/>
      <c r="BN621" s="42"/>
      <c r="BO621" s="42"/>
      <c r="BP621" s="42"/>
      <c r="BQ621" s="42"/>
      <c r="BR621" s="42"/>
      <c r="BS621" s="42"/>
      <c r="BT621" s="42"/>
      <c r="BU621" s="42"/>
      <c r="BV621" s="42"/>
      <c r="BW621" s="42"/>
      <c r="BX621" s="42"/>
      <c r="BY621" s="42"/>
      <c r="BZ621" s="42"/>
      <c r="CA621" s="42"/>
      <c r="CB621" s="42"/>
      <c r="CC621" s="42"/>
      <c r="CD621" s="42"/>
      <c r="CE621" s="42"/>
      <c r="CF621" s="42"/>
      <c r="CG621" s="42"/>
      <c r="CH621" s="42"/>
      <c r="CS621" s="29"/>
      <c r="CT621" s="29"/>
      <c r="CU621" s="29"/>
      <c r="CV621" s="522"/>
      <c r="CW621" s="522"/>
      <c r="CX621" s="211"/>
      <c r="CY621" s="211"/>
      <c r="CZ621" s="211"/>
      <c r="DA621" s="211"/>
      <c r="DB621" s="211"/>
      <c r="DC621" s="211"/>
      <c r="DD621" s="211"/>
      <c r="DE621" s="211"/>
      <c r="DF621" s="60"/>
      <c r="DG621" s="60"/>
      <c r="DH621" s="60"/>
      <c r="DI621" s="60"/>
      <c r="DJ621" s="60"/>
    </row>
    <row r="622" spans="3:114" s="25" customFormat="1">
      <c r="C622" s="24"/>
      <c r="D622" s="24"/>
      <c r="G622" s="57"/>
      <c r="H622" s="57"/>
      <c r="I622" s="57"/>
      <c r="J622" s="57"/>
      <c r="K622" s="57"/>
      <c r="L622" s="57"/>
      <c r="M622" s="57"/>
      <c r="N622" s="57"/>
      <c r="O622" s="57"/>
      <c r="P622" s="57"/>
      <c r="Q622" s="57"/>
      <c r="R622" s="57"/>
      <c r="S622" s="57"/>
      <c r="T622" s="559"/>
      <c r="U622" s="29"/>
      <c r="V622" s="29"/>
      <c r="AJ622" s="1215"/>
      <c r="AK622" s="1142"/>
      <c r="AM622" s="42"/>
      <c r="AN622" s="42"/>
      <c r="AO622" s="42"/>
      <c r="AP622" s="42"/>
      <c r="AQ622" s="42"/>
      <c r="AR622" s="42"/>
      <c r="AS622" s="42"/>
      <c r="AT622" s="42"/>
      <c r="AU622" s="42"/>
      <c r="AV622" s="42"/>
      <c r="AW622" s="42"/>
      <c r="AX622" s="42"/>
      <c r="AY622" s="42"/>
      <c r="AZ622" s="42"/>
      <c r="BA622" s="42"/>
      <c r="BB622" s="42"/>
      <c r="BC622" s="42"/>
      <c r="BD622" s="42"/>
      <c r="BE622" s="42"/>
      <c r="BF622" s="42"/>
      <c r="BG622" s="42"/>
      <c r="BH622" s="42"/>
      <c r="BI622" s="42"/>
      <c r="BJ622" s="42"/>
      <c r="BK622" s="42"/>
      <c r="BL622" s="42"/>
      <c r="BM622" s="42"/>
      <c r="BN622" s="42"/>
      <c r="BO622" s="42"/>
      <c r="BP622" s="42"/>
      <c r="BQ622" s="42"/>
      <c r="BR622" s="42"/>
      <c r="BS622" s="42"/>
      <c r="BT622" s="42"/>
      <c r="BU622" s="42"/>
      <c r="BV622" s="42"/>
      <c r="BW622" s="42"/>
      <c r="BX622" s="42"/>
      <c r="BY622" s="42"/>
      <c r="BZ622" s="42"/>
      <c r="CA622" s="42"/>
      <c r="CB622" s="42"/>
      <c r="CC622" s="42"/>
      <c r="CD622" s="42"/>
      <c r="CE622" s="42"/>
      <c r="CF622" s="42"/>
      <c r="CG622" s="42"/>
      <c r="CH622" s="42"/>
      <c r="CS622" s="29"/>
      <c r="CT622" s="29"/>
      <c r="CU622" s="29"/>
      <c r="CV622" s="522"/>
      <c r="CW622" s="522"/>
      <c r="CX622" s="211"/>
      <c r="CY622" s="211"/>
      <c r="CZ622" s="211"/>
      <c r="DA622" s="211"/>
      <c r="DB622" s="211"/>
      <c r="DC622" s="211"/>
      <c r="DD622" s="211"/>
      <c r="DE622" s="211"/>
      <c r="DF622" s="60"/>
      <c r="DG622" s="60"/>
      <c r="DH622" s="60"/>
      <c r="DI622" s="60"/>
      <c r="DJ622" s="60"/>
    </row>
    <row r="623" spans="3:114" s="25" customFormat="1">
      <c r="C623" s="24"/>
      <c r="D623" s="24"/>
      <c r="G623" s="57"/>
      <c r="H623" s="57"/>
      <c r="I623" s="57"/>
      <c r="J623" s="57"/>
      <c r="K623" s="57"/>
      <c r="L623" s="57"/>
      <c r="M623" s="57"/>
      <c r="N623" s="57"/>
      <c r="O623" s="57"/>
      <c r="P623" s="57"/>
      <c r="Q623" s="57"/>
      <c r="R623" s="57"/>
      <c r="S623" s="57"/>
      <c r="T623" s="559"/>
      <c r="U623" s="29"/>
      <c r="V623" s="29"/>
      <c r="AJ623" s="1215"/>
      <c r="AK623" s="1142"/>
      <c r="AM623" s="42"/>
      <c r="AN623" s="42"/>
      <c r="AO623" s="42"/>
      <c r="AP623" s="42"/>
      <c r="AQ623" s="42"/>
      <c r="AR623" s="42"/>
      <c r="AS623" s="42"/>
      <c r="AT623" s="42"/>
      <c r="AU623" s="42"/>
      <c r="AV623" s="42"/>
      <c r="AW623" s="42"/>
      <c r="AX623" s="42"/>
      <c r="AY623" s="42"/>
      <c r="AZ623" s="42"/>
      <c r="BA623" s="42"/>
      <c r="BB623" s="42"/>
      <c r="BC623" s="42"/>
      <c r="BD623" s="42"/>
      <c r="BE623" s="42"/>
      <c r="BF623" s="42"/>
      <c r="BG623" s="42"/>
      <c r="BH623" s="42"/>
      <c r="BI623" s="42"/>
      <c r="BJ623" s="42"/>
      <c r="BK623" s="42"/>
      <c r="BL623" s="42"/>
      <c r="BM623" s="42"/>
      <c r="BN623" s="42"/>
      <c r="BO623" s="42"/>
      <c r="BP623" s="42"/>
      <c r="BQ623" s="42"/>
      <c r="BR623" s="42"/>
      <c r="BS623" s="42"/>
      <c r="BT623" s="42"/>
      <c r="BU623" s="42"/>
      <c r="BV623" s="42"/>
      <c r="BW623" s="42"/>
      <c r="BX623" s="42"/>
      <c r="BY623" s="42"/>
      <c r="BZ623" s="42"/>
      <c r="CA623" s="42"/>
      <c r="CB623" s="42"/>
      <c r="CC623" s="42"/>
      <c r="CD623" s="42"/>
      <c r="CE623" s="42"/>
      <c r="CF623" s="42"/>
      <c r="CG623" s="42"/>
      <c r="CH623" s="42"/>
      <c r="CS623" s="29"/>
      <c r="CT623" s="29"/>
      <c r="CU623" s="29"/>
      <c r="CV623" s="522"/>
      <c r="CW623" s="522"/>
      <c r="CX623" s="211"/>
      <c r="CY623" s="211"/>
      <c r="CZ623" s="211"/>
      <c r="DA623" s="211"/>
      <c r="DB623" s="211"/>
      <c r="DC623" s="211"/>
      <c r="DD623" s="211"/>
      <c r="DE623" s="211"/>
      <c r="DF623" s="60"/>
      <c r="DG623" s="60"/>
      <c r="DH623" s="60"/>
      <c r="DI623" s="60"/>
      <c r="DJ623" s="60"/>
    </row>
    <row r="624" spans="3:114" s="25" customFormat="1">
      <c r="C624" s="24"/>
      <c r="D624" s="24"/>
      <c r="G624" s="57"/>
      <c r="H624" s="57"/>
      <c r="I624" s="57"/>
      <c r="J624" s="57"/>
      <c r="K624" s="57"/>
      <c r="L624" s="57"/>
      <c r="M624" s="57"/>
      <c r="N624" s="57"/>
      <c r="O624" s="57"/>
      <c r="P624" s="57"/>
      <c r="Q624" s="57"/>
      <c r="R624" s="57"/>
      <c r="S624" s="57"/>
      <c r="T624" s="559"/>
      <c r="U624" s="29"/>
      <c r="V624" s="29"/>
      <c r="AJ624" s="1215"/>
      <c r="AK624" s="1142"/>
      <c r="AM624" s="42"/>
      <c r="AN624" s="42"/>
      <c r="AO624" s="42"/>
      <c r="AP624" s="42"/>
      <c r="AQ624" s="42"/>
      <c r="AR624" s="42"/>
      <c r="AS624" s="42"/>
      <c r="AT624" s="42"/>
      <c r="AU624" s="42"/>
      <c r="AV624" s="42"/>
      <c r="AW624" s="42"/>
      <c r="AX624" s="42"/>
      <c r="AY624" s="42"/>
      <c r="AZ624" s="42"/>
      <c r="BA624" s="42"/>
      <c r="BB624" s="42"/>
      <c r="BC624" s="42"/>
      <c r="BD624" s="42"/>
      <c r="BE624" s="42"/>
      <c r="BF624" s="42"/>
      <c r="BG624" s="42"/>
      <c r="BH624" s="42"/>
      <c r="BI624" s="42"/>
      <c r="BJ624" s="42"/>
      <c r="BK624" s="42"/>
      <c r="BL624" s="42"/>
      <c r="BM624" s="42"/>
      <c r="BN624" s="42"/>
      <c r="BO624" s="42"/>
      <c r="BP624" s="42"/>
      <c r="BQ624" s="42"/>
      <c r="BR624" s="42"/>
      <c r="BS624" s="42"/>
      <c r="BT624" s="42"/>
      <c r="BU624" s="42"/>
      <c r="BV624" s="42"/>
      <c r="BW624" s="42"/>
      <c r="BX624" s="42"/>
      <c r="BY624" s="42"/>
      <c r="BZ624" s="42"/>
      <c r="CA624" s="42"/>
      <c r="CB624" s="42"/>
      <c r="CC624" s="42"/>
      <c r="CD624" s="42"/>
      <c r="CE624" s="42"/>
      <c r="CF624" s="42"/>
      <c r="CG624" s="42"/>
      <c r="CH624" s="42"/>
      <c r="CS624" s="29"/>
      <c r="CT624" s="29"/>
      <c r="CU624" s="29"/>
      <c r="CV624" s="522"/>
      <c r="CW624" s="522"/>
      <c r="CX624" s="211"/>
      <c r="CY624" s="211"/>
      <c r="CZ624" s="211"/>
      <c r="DA624" s="211"/>
      <c r="DB624" s="211"/>
      <c r="DC624" s="211"/>
      <c r="DD624" s="211"/>
      <c r="DE624" s="211"/>
      <c r="DF624" s="60"/>
      <c r="DG624" s="60"/>
      <c r="DH624" s="60"/>
      <c r="DI624" s="60"/>
      <c r="DJ624" s="60"/>
    </row>
    <row r="625" spans="3:114" s="25" customFormat="1">
      <c r="C625" s="24"/>
      <c r="D625" s="24"/>
      <c r="G625" s="57"/>
      <c r="H625" s="57"/>
      <c r="I625" s="57"/>
      <c r="J625" s="57"/>
      <c r="K625" s="57"/>
      <c r="L625" s="57"/>
      <c r="M625" s="57"/>
      <c r="N625" s="57"/>
      <c r="O625" s="57"/>
      <c r="P625" s="57"/>
      <c r="Q625" s="57"/>
      <c r="R625" s="57"/>
      <c r="S625" s="57"/>
      <c r="T625" s="559"/>
      <c r="U625" s="29"/>
      <c r="V625" s="29"/>
      <c r="AJ625" s="1215"/>
      <c r="AK625" s="1142"/>
      <c r="AM625" s="42"/>
      <c r="AN625" s="42"/>
      <c r="AO625" s="42"/>
      <c r="AP625" s="42"/>
      <c r="AQ625" s="42"/>
      <c r="AR625" s="42"/>
      <c r="AS625" s="42"/>
      <c r="AT625" s="42"/>
      <c r="AU625" s="42"/>
      <c r="AV625" s="42"/>
      <c r="AW625" s="42"/>
      <c r="AX625" s="42"/>
      <c r="AY625" s="42"/>
      <c r="AZ625" s="42"/>
      <c r="BA625" s="42"/>
      <c r="BB625" s="42"/>
      <c r="BC625" s="42"/>
      <c r="BD625" s="42"/>
      <c r="BE625" s="42"/>
      <c r="BF625" s="42"/>
      <c r="BG625" s="42"/>
      <c r="BH625" s="42"/>
      <c r="BI625" s="42"/>
      <c r="BJ625" s="42"/>
      <c r="BK625" s="42"/>
      <c r="BL625" s="42"/>
      <c r="BM625" s="42"/>
      <c r="BN625" s="42"/>
      <c r="BO625" s="42"/>
      <c r="BP625" s="42"/>
      <c r="BQ625" s="42"/>
      <c r="BR625" s="42"/>
      <c r="BS625" s="42"/>
      <c r="BT625" s="42"/>
      <c r="BU625" s="42"/>
      <c r="BV625" s="42"/>
      <c r="BW625" s="42"/>
      <c r="BX625" s="42"/>
      <c r="BY625" s="42"/>
      <c r="BZ625" s="42"/>
      <c r="CA625" s="42"/>
      <c r="CB625" s="42"/>
      <c r="CC625" s="42"/>
      <c r="CD625" s="42"/>
      <c r="CE625" s="42"/>
      <c r="CF625" s="42"/>
      <c r="CG625" s="42"/>
      <c r="CH625" s="42"/>
      <c r="CS625" s="29"/>
      <c r="CT625" s="29"/>
      <c r="CU625" s="29"/>
      <c r="CV625" s="522"/>
      <c r="CW625" s="522"/>
      <c r="CX625" s="211"/>
      <c r="CY625" s="211"/>
      <c r="CZ625" s="211"/>
      <c r="DA625" s="211"/>
      <c r="DB625" s="211"/>
      <c r="DC625" s="211"/>
      <c r="DD625" s="211"/>
      <c r="DE625" s="211"/>
      <c r="DF625" s="60"/>
      <c r="DG625" s="60"/>
      <c r="DH625" s="60"/>
      <c r="DI625" s="60"/>
      <c r="DJ625" s="60"/>
    </row>
    <row r="626" spans="3:114" s="25" customFormat="1">
      <c r="C626" s="24"/>
      <c r="D626" s="24"/>
      <c r="G626" s="57"/>
      <c r="H626" s="57"/>
      <c r="I626" s="57"/>
      <c r="J626" s="57"/>
      <c r="K626" s="57"/>
      <c r="L626" s="57"/>
      <c r="M626" s="57"/>
      <c r="N626" s="57"/>
      <c r="O626" s="57"/>
      <c r="P626" s="57"/>
      <c r="Q626" s="57"/>
      <c r="R626" s="57"/>
      <c r="S626" s="57"/>
      <c r="T626" s="559"/>
      <c r="U626" s="29"/>
      <c r="V626" s="29"/>
      <c r="AJ626" s="1215"/>
      <c r="AK626" s="1142"/>
      <c r="AM626" s="42"/>
      <c r="AN626" s="42"/>
      <c r="AO626" s="42"/>
      <c r="AP626" s="42"/>
      <c r="AQ626" s="42"/>
      <c r="AR626" s="42"/>
      <c r="AS626" s="42"/>
      <c r="AT626" s="42"/>
      <c r="AU626" s="42"/>
      <c r="AV626" s="42"/>
      <c r="AW626" s="42"/>
      <c r="AX626" s="42"/>
      <c r="AY626" s="42"/>
      <c r="AZ626" s="42"/>
      <c r="BA626" s="42"/>
      <c r="BB626" s="42"/>
      <c r="BC626" s="42"/>
      <c r="BD626" s="42"/>
      <c r="BE626" s="42"/>
      <c r="BF626" s="42"/>
      <c r="BG626" s="42"/>
      <c r="BH626" s="42"/>
      <c r="BI626" s="42"/>
      <c r="BJ626" s="42"/>
      <c r="BK626" s="42"/>
      <c r="BL626" s="42"/>
      <c r="BM626" s="42"/>
      <c r="BN626" s="42"/>
      <c r="BO626" s="42"/>
      <c r="BP626" s="42"/>
      <c r="BQ626" s="42"/>
      <c r="BR626" s="42"/>
      <c r="BS626" s="42"/>
      <c r="BT626" s="42"/>
      <c r="BU626" s="42"/>
      <c r="BV626" s="42"/>
      <c r="BW626" s="42"/>
      <c r="BX626" s="42"/>
      <c r="BY626" s="42"/>
      <c r="BZ626" s="42"/>
      <c r="CA626" s="42"/>
      <c r="CB626" s="42"/>
      <c r="CC626" s="42"/>
      <c r="CD626" s="42"/>
      <c r="CE626" s="42"/>
      <c r="CF626" s="42"/>
      <c r="CG626" s="42"/>
      <c r="CH626" s="42"/>
      <c r="CS626" s="29"/>
      <c r="CT626" s="29"/>
      <c r="CU626" s="29"/>
      <c r="CV626" s="522"/>
      <c r="CW626" s="522"/>
      <c r="CX626" s="211"/>
      <c r="CY626" s="211"/>
      <c r="CZ626" s="211"/>
      <c r="DA626" s="211"/>
      <c r="DB626" s="211"/>
      <c r="DC626" s="211"/>
      <c r="DD626" s="211"/>
      <c r="DE626" s="211"/>
      <c r="DF626" s="60"/>
      <c r="DG626" s="60"/>
      <c r="DH626" s="60"/>
      <c r="DI626" s="60"/>
      <c r="DJ626" s="60"/>
    </row>
    <row r="627" spans="3:114" s="25" customFormat="1">
      <c r="C627" s="24"/>
      <c r="D627" s="24"/>
      <c r="G627" s="57"/>
      <c r="H627" s="57"/>
      <c r="I627" s="57"/>
      <c r="J627" s="57"/>
      <c r="K627" s="57"/>
      <c r="L627" s="57"/>
      <c r="M627" s="57"/>
      <c r="N627" s="57"/>
      <c r="O627" s="57"/>
      <c r="P627" s="57"/>
      <c r="Q627" s="57"/>
      <c r="R627" s="57"/>
      <c r="S627" s="57"/>
      <c r="T627" s="559"/>
      <c r="U627" s="29"/>
      <c r="V627" s="29"/>
      <c r="AJ627" s="1215"/>
      <c r="AK627" s="1142"/>
      <c r="AM627" s="42"/>
      <c r="AN627" s="42"/>
      <c r="AO627" s="42"/>
      <c r="AP627" s="42"/>
      <c r="AQ627" s="42"/>
      <c r="AR627" s="42"/>
      <c r="AS627" s="42"/>
      <c r="AT627" s="42"/>
      <c r="AU627" s="42"/>
      <c r="AV627" s="42"/>
      <c r="AW627" s="42"/>
      <c r="AX627" s="42"/>
      <c r="AY627" s="42"/>
      <c r="AZ627" s="42"/>
      <c r="BA627" s="42"/>
      <c r="BB627" s="42"/>
      <c r="BC627" s="42"/>
      <c r="BD627" s="42"/>
      <c r="BE627" s="42"/>
      <c r="BF627" s="42"/>
      <c r="BG627" s="42"/>
      <c r="BH627" s="42"/>
      <c r="BI627" s="42"/>
      <c r="BJ627" s="42"/>
      <c r="BK627" s="42"/>
      <c r="BL627" s="42"/>
      <c r="BM627" s="42"/>
      <c r="BN627" s="42"/>
      <c r="BO627" s="42"/>
      <c r="BP627" s="42"/>
      <c r="BQ627" s="42"/>
      <c r="BR627" s="42"/>
      <c r="BS627" s="42"/>
      <c r="BT627" s="42"/>
      <c r="BU627" s="42"/>
      <c r="BV627" s="42"/>
      <c r="BW627" s="42"/>
      <c r="BX627" s="42"/>
      <c r="BY627" s="42"/>
      <c r="BZ627" s="42"/>
      <c r="CA627" s="42"/>
      <c r="CB627" s="42"/>
      <c r="CC627" s="42"/>
      <c r="CD627" s="42"/>
      <c r="CE627" s="42"/>
      <c r="CF627" s="42"/>
      <c r="CG627" s="42"/>
      <c r="CH627" s="42"/>
      <c r="CS627" s="29"/>
      <c r="CT627" s="29"/>
      <c r="CU627" s="29"/>
      <c r="CV627" s="522"/>
      <c r="CW627" s="522"/>
      <c r="CX627" s="211"/>
      <c r="CY627" s="211"/>
      <c r="CZ627" s="211"/>
      <c r="DA627" s="211"/>
      <c r="DB627" s="211"/>
      <c r="DC627" s="211"/>
      <c r="DD627" s="211"/>
      <c r="DE627" s="211"/>
      <c r="DF627" s="60"/>
      <c r="DG627" s="60"/>
      <c r="DH627" s="60"/>
      <c r="DI627" s="60"/>
      <c r="DJ627" s="60"/>
    </row>
    <row r="628" spans="3:114" s="25" customFormat="1">
      <c r="C628" s="24"/>
      <c r="D628" s="24"/>
      <c r="G628" s="57"/>
      <c r="H628" s="57"/>
      <c r="I628" s="57"/>
      <c r="J628" s="57"/>
      <c r="K628" s="57"/>
      <c r="L628" s="57"/>
      <c r="M628" s="57"/>
      <c r="N628" s="57"/>
      <c r="O628" s="57"/>
      <c r="P628" s="57"/>
      <c r="Q628" s="57"/>
      <c r="R628" s="57"/>
      <c r="S628" s="57"/>
      <c r="T628" s="559"/>
      <c r="U628" s="29"/>
      <c r="V628" s="29"/>
      <c r="AJ628" s="1215"/>
      <c r="AK628" s="1142"/>
      <c r="AM628" s="42"/>
      <c r="AN628" s="42"/>
      <c r="AO628" s="42"/>
      <c r="AP628" s="42"/>
      <c r="AQ628" s="42"/>
      <c r="AR628" s="42"/>
      <c r="AS628" s="42"/>
      <c r="AT628" s="42"/>
      <c r="AU628" s="42"/>
      <c r="AV628" s="42"/>
      <c r="AW628" s="42"/>
      <c r="AX628" s="42"/>
      <c r="AY628" s="42"/>
      <c r="AZ628" s="42"/>
      <c r="BA628" s="42"/>
      <c r="BB628" s="42"/>
      <c r="BC628" s="42"/>
      <c r="BD628" s="42"/>
      <c r="BE628" s="42"/>
      <c r="BF628" s="42"/>
      <c r="BG628" s="42"/>
      <c r="BH628" s="42"/>
      <c r="BI628" s="42"/>
      <c r="BJ628" s="42"/>
      <c r="BK628" s="42"/>
      <c r="BL628" s="42"/>
      <c r="BM628" s="42"/>
      <c r="BN628" s="42"/>
      <c r="BO628" s="42"/>
      <c r="BP628" s="42"/>
      <c r="BQ628" s="42"/>
      <c r="BR628" s="42"/>
      <c r="BS628" s="42"/>
      <c r="BT628" s="42"/>
      <c r="BU628" s="42"/>
      <c r="BV628" s="42"/>
      <c r="BW628" s="42"/>
      <c r="BX628" s="42"/>
      <c r="BY628" s="42"/>
      <c r="BZ628" s="42"/>
      <c r="CA628" s="42"/>
      <c r="CB628" s="42"/>
      <c r="CC628" s="42"/>
      <c r="CD628" s="42"/>
      <c r="CE628" s="42"/>
      <c r="CF628" s="42"/>
      <c r="CG628" s="42"/>
      <c r="CH628" s="42"/>
      <c r="CS628" s="29"/>
      <c r="CT628" s="29"/>
      <c r="CU628" s="29"/>
      <c r="CV628" s="522"/>
      <c r="CW628" s="522"/>
      <c r="CX628" s="211"/>
      <c r="CY628" s="211"/>
      <c r="CZ628" s="211"/>
      <c r="DA628" s="211"/>
      <c r="DB628" s="211"/>
      <c r="DC628" s="211"/>
      <c r="DD628" s="211"/>
      <c r="DE628" s="211"/>
      <c r="DF628" s="60"/>
      <c r="DG628" s="60"/>
      <c r="DH628" s="60"/>
      <c r="DI628" s="60"/>
      <c r="DJ628" s="60"/>
    </row>
    <row r="629" spans="3:114" s="25" customFormat="1">
      <c r="C629" s="24"/>
      <c r="D629" s="24"/>
      <c r="G629" s="57"/>
      <c r="H629" s="57"/>
      <c r="I629" s="57"/>
      <c r="J629" s="57"/>
      <c r="K629" s="57"/>
      <c r="L629" s="57"/>
      <c r="M629" s="57"/>
      <c r="N629" s="57"/>
      <c r="O629" s="57"/>
      <c r="P629" s="57"/>
      <c r="Q629" s="57"/>
      <c r="R629" s="57"/>
      <c r="S629" s="57"/>
      <c r="T629" s="559"/>
      <c r="U629" s="29"/>
      <c r="V629" s="29"/>
      <c r="AJ629" s="1215"/>
      <c r="AK629" s="1142"/>
      <c r="AM629" s="42"/>
      <c r="AN629" s="42"/>
      <c r="AO629" s="42"/>
      <c r="AP629" s="42"/>
      <c r="AQ629" s="42"/>
      <c r="AR629" s="42"/>
      <c r="AS629" s="42"/>
      <c r="AT629" s="42"/>
      <c r="AU629" s="42"/>
      <c r="AV629" s="42"/>
      <c r="AW629" s="42"/>
      <c r="AX629" s="42"/>
      <c r="AY629" s="42"/>
      <c r="AZ629" s="42"/>
      <c r="BA629" s="42"/>
      <c r="BB629" s="42"/>
      <c r="BC629" s="42"/>
      <c r="BD629" s="42"/>
      <c r="BE629" s="42"/>
      <c r="BF629" s="42"/>
      <c r="BG629" s="42"/>
      <c r="BH629" s="42"/>
      <c r="BI629" s="42"/>
      <c r="BJ629" s="42"/>
      <c r="BK629" s="42"/>
      <c r="BL629" s="42"/>
      <c r="BM629" s="42"/>
      <c r="BN629" s="42"/>
      <c r="BO629" s="42"/>
      <c r="BP629" s="42"/>
      <c r="BQ629" s="42"/>
      <c r="BR629" s="42"/>
      <c r="BS629" s="42"/>
      <c r="BT629" s="42"/>
      <c r="BU629" s="42"/>
      <c r="BV629" s="42"/>
      <c r="BW629" s="42"/>
      <c r="BX629" s="42"/>
      <c r="BY629" s="42"/>
      <c r="BZ629" s="42"/>
      <c r="CA629" s="42"/>
      <c r="CB629" s="42"/>
      <c r="CC629" s="42"/>
      <c r="CD629" s="42"/>
      <c r="CE629" s="42"/>
      <c r="CF629" s="42"/>
      <c r="CG629" s="42"/>
      <c r="CH629" s="42"/>
      <c r="CS629" s="29"/>
      <c r="CT629" s="29"/>
      <c r="CU629" s="29"/>
      <c r="CV629" s="522"/>
      <c r="CW629" s="522"/>
      <c r="CX629" s="211"/>
      <c r="CY629" s="211"/>
      <c r="CZ629" s="211"/>
      <c r="DA629" s="211"/>
      <c r="DB629" s="211"/>
      <c r="DC629" s="211"/>
      <c r="DD629" s="211"/>
      <c r="DE629" s="211"/>
      <c r="DF629" s="60"/>
      <c r="DG629" s="60"/>
      <c r="DH629" s="60"/>
      <c r="DI629" s="60"/>
      <c r="DJ629" s="60"/>
    </row>
    <row r="630" spans="3:114" s="25" customFormat="1">
      <c r="C630" s="24"/>
      <c r="D630" s="24"/>
      <c r="G630" s="57"/>
      <c r="H630" s="57"/>
      <c r="I630" s="57"/>
      <c r="J630" s="57"/>
      <c r="K630" s="57"/>
      <c r="L630" s="57"/>
      <c r="M630" s="57"/>
      <c r="N630" s="57"/>
      <c r="O630" s="57"/>
      <c r="P630" s="57"/>
      <c r="Q630" s="57"/>
      <c r="R630" s="57"/>
      <c r="S630" s="57"/>
      <c r="T630" s="559"/>
      <c r="U630" s="29"/>
      <c r="V630" s="29"/>
      <c r="AJ630" s="1215"/>
      <c r="AK630" s="1142"/>
      <c r="AM630" s="42"/>
      <c r="AN630" s="42"/>
      <c r="AO630" s="42"/>
      <c r="AP630" s="42"/>
      <c r="AQ630" s="42"/>
      <c r="AR630" s="42"/>
      <c r="AS630" s="42"/>
      <c r="AT630" s="42"/>
      <c r="AU630" s="42"/>
      <c r="AV630" s="42"/>
      <c r="AW630" s="42"/>
      <c r="AX630" s="42"/>
      <c r="AY630" s="42"/>
      <c r="AZ630" s="42"/>
      <c r="BA630" s="42"/>
      <c r="BB630" s="42"/>
      <c r="BC630" s="42"/>
      <c r="BD630" s="42"/>
      <c r="BE630" s="42"/>
      <c r="BF630" s="42"/>
      <c r="BG630" s="42"/>
      <c r="BH630" s="42"/>
      <c r="BI630" s="42"/>
      <c r="BJ630" s="42"/>
      <c r="BK630" s="42"/>
      <c r="BL630" s="42"/>
      <c r="BM630" s="42"/>
      <c r="BN630" s="42"/>
      <c r="BO630" s="42"/>
      <c r="BP630" s="42"/>
      <c r="BQ630" s="42"/>
      <c r="BR630" s="42"/>
      <c r="BS630" s="42"/>
      <c r="BT630" s="42"/>
      <c r="BU630" s="42"/>
      <c r="BV630" s="42"/>
      <c r="BW630" s="42"/>
      <c r="BX630" s="42"/>
      <c r="BY630" s="42"/>
      <c r="BZ630" s="42"/>
      <c r="CA630" s="42"/>
      <c r="CB630" s="42"/>
      <c r="CC630" s="42"/>
      <c r="CD630" s="42"/>
      <c r="CE630" s="42"/>
      <c r="CF630" s="42"/>
      <c r="CG630" s="42"/>
      <c r="CH630" s="42"/>
      <c r="CS630" s="29"/>
      <c r="CT630" s="29"/>
      <c r="CU630" s="29"/>
      <c r="CV630" s="522"/>
      <c r="CW630" s="522"/>
      <c r="CX630" s="211"/>
      <c r="CY630" s="211"/>
      <c r="CZ630" s="211"/>
      <c r="DA630" s="211"/>
      <c r="DB630" s="211"/>
      <c r="DC630" s="211"/>
      <c r="DD630" s="211"/>
      <c r="DE630" s="211"/>
      <c r="DF630" s="60"/>
      <c r="DG630" s="60"/>
      <c r="DH630" s="60"/>
      <c r="DI630" s="60"/>
      <c r="DJ630" s="60"/>
    </row>
    <row r="631" spans="3:114" s="25" customFormat="1">
      <c r="C631" s="24"/>
      <c r="D631" s="24"/>
      <c r="G631" s="57"/>
      <c r="H631" s="57"/>
      <c r="I631" s="57"/>
      <c r="J631" s="57"/>
      <c r="K631" s="57"/>
      <c r="L631" s="57"/>
      <c r="M631" s="57"/>
      <c r="N631" s="57"/>
      <c r="O631" s="57"/>
      <c r="P631" s="57"/>
      <c r="Q631" s="57"/>
      <c r="R631" s="57"/>
      <c r="S631" s="57"/>
      <c r="T631" s="559"/>
      <c r="U631" s="29"/>
      <c r="V631" s="29"/>
      <c r="AJ631" s="1215"/>
      <c r="AK631" s="1142"/>
      <c r="AM631" s="42"/>
      <c r="AN631" s="42"/>
      <c r="AO631" s="42"/>
      <c r="AP631" s="42"/>
      <c r="AQ631" s="42"/>
      <c r="AR631" s="42"/>
      <c r="AS631" s="42"/>
      <c r="AT631" s="42"/>
      <c r="AU631" s="42"/>
      <c r="AV631" s="42"/>
      <c r="AW631" s="42"/>
      <c r="AX631" s="42"/>
      <c r="AY631" s="42"/>
      <c r="AZ631" s="42"/>
      <c r="BA631" s="42"/>
      <c r="BB631" s="42"/>
      <c r="BC631" s="42"/>
      <c r="BD631" s="42"/>
      <c r="BE631" s="42"/>
      <c r="BF631" s="42"/>
      <c r="BG631" s="42"/>
      <c r="BH631" s="42"/>
      <c r="BI631" s="42"/>
      <c r="BJ631" s="42"/>
      <c r="BK631" s="42"/>
      <c r="BL631" s="42"/>
      <c r="BM631" s="42"/>
      <c r="BN631" s="42"/>
      <c r="BO631" s="42"/>
      <c r="BP631" s="42"/>
      <c r="BQ631" s="42"/>
      <c r="BR631" s="42"/>
      <c r="BS631" s="42"/>
      <c r="BT631" s="42"/>
      <c r="BU631" s="42"/>
      <c r="BV631" s="42"/>
      <c r="BW631" s="42"/>
      <c r="BX631" s="42"/>
      <c r="BY631" s="42"/>
      <c r="BZ631" s="42"/>
      <c r="CA631" s="42"/>
      <c r="CB631" s="42"/>
      <c r="CC631" s="42"/>
      <c r="CD631" s="42"/>
      <c r="CE631" s="42"/>
      <c r="CF631" s="42"/>
      <c r="CG631" s="42"/>
      <c r="CH631" s="42"/>
      <c r="CS631" s="29"/>
      <c r="CT631" s="29"/>
      <c r="CU631" s="29"/>
      <c r="CV631" s="522"/>
      <c r="CW631" s="522"/>
      <c r="CX631" s="211"/>
      <c r="CY631" s="211"/>
      <c r="CZ631" s="211"/>
      <c r="DA631" s="211"/>
      <c r="DB631" s="211"/>
      <c r="DC631" s="211"/>
      <c r="DD631" s="211"/>
      <c r="DE631" s="211"/>
      <c r="DF631" s="60"/>
      <c r="DG631" s="60"/>
      <c r="DH631" s="60"/>
      <c r="DI631" s="60"/>
      <c r="DJ631" s="60"/>
    </row>
    <row r="632" spans="3:114" s="25" customFormat="1">
      <c r="C632" s="24"/>
      <c r="D632" s="24"/>
      <c r="G632" s="57"/>
      <c r="H632" s="57"/>
      <c r="I632" s="57"/>
      <c r="J632" s="57"/>
      <c r="K632" s="57"/>
      <c r="L632" s="57"/>
      <c r="M632" s="57"/>
      <c r="N632" s="57"/>
      <c r="O632" s="57"/>
      <c r="P632" s="57"/>
      <c r="Q632" s="57"/>
      <c r="R632" s="57"/>
      <c r="S632" s="57"/>
      <c r="T632" s="559"/>
      <c r="U632" s="29"/>
      <c r="V632" s="29"/>
      <c r="AJ632" s="1215"/>
      <c r="AK632" s="1142"/>
      <c r="AM632" s="42"/>
      <c r="AN632" s="42"/>
      <c r="AO632" s="42"/>
      <c r="AP632" s="42"/>
      <c r="AQ632" s="42"/>
      <c r="AR632" s="42"/>
      <c r="AS632" s="42"/>
      <c r="AT632" s="42"/>
      <c r="AU632" s="42"/>
      <c r="AV632" s="42"/>
      <c r="AW632" s="42"/>
      <c r="AX632" s="42"/>
      <c r="AY632" s="42"/>
      <c r="AZ632" s="42"/>
      <c r="BA632" s="42"/>
      <c r="BB632" s="42"/>
      <c r="BC632" s="42"/>
      <c r="BD632" s="42"/>
      <c r="BE632" s="42"/>
      <c r="BF632" s="42"/>
      <c r="BG632" s="42"/>
      <c r="BH632" s="42"/>
      <c r="BI632" s="42"/>
      <c r="BJ632" s="42"/>
      <c r="BK632" s="42"/>
      <c r="BL632" s="42"/>
      <c r="BM632" s="42"/>
      <c r="BN632" s="42"/>
      <c r="BO632" s="42"/>
      <c r="BP632" s="42"/>
      <c r="BQ632" s="42"/>
      <c r="BR632" s="42"/>
      <c r="BS632" s="42"/>
      <c r="BT632" s="42"/>
      <c r="BU632" s="42"/>
      <c r="BV632" s="42"/>
      <c r="BW632" s="42"/>
      <c r="BX632" s="42"/>
      <c r="BY632" s="42"/>
      <c r="BZ632" s="42"/>
      <c r="CA632" s="42"/>
      <c r="CB632" s="42"/>
      <c r="CC632" s="42"/>
      <c r="CD632" s="42"/>
      <c r="CE632" s="42"/>
      <c r="CF632" s="42"/>
      <c r="CG632" s="42"/>
      <c r="CH632" s="42"/>
      <c r="CS632" s="29"/>
      <c r="CT632" s="29"/>
      <c r="CU632" s="29"/>
      <c r="CV632" s="522"/>
      <c r="CW632" s="522"/>
      <c r="CX632" s="211"/>
      <c r="CY632" s="211"/>
      <c r="CZ632" s="211"/>
      <c r="DA632" s="211"/>
      <c r="DB632" s="211"/>
      <c r="DC632" s="211"/>
      <c r="DD632" s="211"/>
      <c r="DE632" s="211"/>
      <c r="DF632" s="60"/>
      <c r="DG632" s="60"/>
      <c r="DH632" s="60"/>
      <c r="DI632" s="60"/>
      <c r="DJ632" s="60"/>
    </row>
    <row r="633" spans="3:114" s="25" customFormat="1">
      <c r="C633" s="24"/>
      <c r="D633" s="24"/>
      <c r="G633" s="57"/>
      <c r="H633" s="57"/>
      <c r="I633" s="57"/>
      <c r="J633" s="57"/>
      <c r="K633" s="57"/>
      <c r="L633" s="57"/>
      <c r="M633" s="57"/>
      <c r="N633" s="57"/>
      <c r="O633" s="57"/>
      <c r="P633" s="57"/>
      <c r="Q633" s="57"/>
      <c r="R633" s="57"/>
      <c r="S633" s="57"/>
      <c r="T633" s="559"/>
      <c r="U633" s="29"/>
      <c r="V633" s="29"/>
      <c r="AJ633" s="1215"/>
      <c r="AK633" s="1142"/>
      <c r="AM633" s="42"/>
      <c r="AN633" s="42"/>
      <c r="AO633" s="42"/>
      <c r="AP633" s="42"/>
      <c r="AQ633" s="42"/>
      <c r="AR633" s="42"/>
      <c r="AS633" s="42"/>
      <c r="AT633" s="42"/>
      <c r="AU633" s="42"/>
      <c r="AV633" s="42"/>
      <c r="AW633" s="42"/>
      <c r="AX633" s="42"/>
      <c r="AY633" s="42"/>
      <c r="AZ633" s="42"/>
      <c r="BA633" s="42"/>
      <c r="BB633" s="42"/>
      <c r="BC633" s="42"/>
      <c r="BD633" s="42"/>
      <c r="BE633" s="42"/>
      <c r="BF633" s="42"/>
      <c r="BG633" s="42"/>
      <c r="BH633" s="42"/>
      <c r="BI633" s="42"/>
      <c r="BJ633" s="42"/>
      <c r="BK633" s="42"/>
      <c r="BL633" s="42"/>
      <c r="BM633" s="42"/>
      <c r="BN633" s="42"/>
      <c r="BO633" s="42"/>
      <c r="BP633" s="42"/>
      <c r="BQ633" s="42"/>
      <c r="BR633" s="42"/>
      <c r="BS633" s="42"/>
      <c r="BT633" s="42"/>
      <c r="BU633" s="42"/>
      <c r="BV633" s="42"/>
      <c r="BW633" s="42"/>
      <c r="BX633" s="42"/>
      <c r="BY633" s="42"/>
      <c r="BZ633" s="42"/>
      <c r="CA633" s="42"/>
      <c r="CB633" s="42"/>
      <c r="CC633" s="42"/>
      <c r="CD633" s="42"/>
      <c r="CE633" s="42"/>
      <c r="CF633" s="42"/>
      <c r="CG633" s="42"/>
      <c r="CH633" s="42"/>
      <c r="CS633" s="29"/>
      <c r="CT633" s="29"/>
      <c r="CU633" s="29"/>
      <c r="CV633" s="522"/>
      <c r="CW633" s="522"/>
      <c r="CX633" s="211"/>
      <c r="CY633" s="211"/>
      <c r="CZ633" s="211"/>
      <c r="DA633" s="211"/>
      <c r="DB633" s="211"/>
      <c r="DC633" s="211"/>
      <c r="DD633" s="211"/>
      <c r="DE633" s="211"/>
      <c r="DF633" s="60"/>
      <c r="DG633" s="60"/>
      <c r="DH633" s="60"/>
      <c r="DI633" s="60"/>
      <c r="DJ633" s="60"/>
    </row>
    <row r="634" spans="3:114" s="25" customFormat="1">
      <c r="C634" s="24"/>
      <c r="D634" s="24"/>
      <c r="G634" s="57"/>
      <c r="H634" s="57"/>
      <c r="I634" s="57"/>
      <c r="J634" s="57"/>
      <c r="K634" s="57"/>
      <c r="L634" s="57"/>
      <c r="M634" s="57"/>
      <c r="N634" s="57"/>
      <c r="O634" s="57"/>
      <c r="P634" s="57"/>
      <c r="Q634" s="57"/>
      <c r="R634" s="57"/>
      <c r="S634" s="57"/>
      <c r="T634" s="559"/>
      <c r="U634" s="29"/>
      <c r="V634" s="29"/>
      <c r="AJ634" s="1215"/>
      <c r="AK634" s="1142"/>
      <c r="AM634" s="42"/>
      <c r="AN634" s="42"/>
      <c r="AO634" s="42"/>
      <c r="AP634" s="42"/>
      <c r="AQ634" s="42"/>
      <c r="AR634" s="42"/>
      <c r="AS634" s="42"/>
      <c r="AT634" s="42"/>
      <c r="AU634" s="42"/>
      <c r="AV634" s="42"/>
      <c r="AW634" s="42"/>
      <c r="AX634" s="42"/>
      <c r="AY634" s="42"/>
      <c r="AZ634" s="42"/>
      <c r="BA634" s="42"/>
      <c r="BB634" s="42"/>
      <c r="BC634" s="42"/>
      <c r="BD634" s="42"/>
      <c r="BE634" s="42"/>
      <c r="BF634" s="42"/>
      <c r="BG634" s="42"/>
      <c r="BH634" s="42"/>
      <c r="BI634" s="42"/>
      <c r="BJ634" s="42"/>
      <c r="BK634" s="42"/>
      <c r="BL634" s="42"/>
      <c r="BM634" s="42"/>
      <c r="BN634" s="42"/>
      <c r="BO634" s="42"/>
      <c r="BP634" s="42"/>
      <c r="BQ634" s="42"/>
      <c r="BR634" s="42"/>
      <c r="BS634" s="42"/>
      <c r="BT634" s="42"/>
      <c r="BU634" s="42"/>
      <c r="BV634" s="42"/>
      <c r="BW634" s="42"/>
      <c r="BX634" s="42"/>
      <c r="BY634" s="42"/>
      <c r="BZ634" s="42"/>
      <c r="CA634" s="42"/>
      <c r="CB634" s="42"/>
      <c r="CC634" s="42"/>
      <c r="CD634" s="42"/>
      <c r="CE634" s="42"/>
      <c r="CF634" s="42"/>
      <c r="CG634" s="42"/>
      <c r="CH634" s="42"/>
      <c r="CS634" s="29"/>
      <c r="CT634" s="29"/>
      <c r="CU634" s="29"/>
      <c r="CV634" s="522"/>
      <c r="CW634" s="522"/>
      <c r="CX634" s="211"/>
      <c r="CY634" s="211"/>
      <c r="CZ634" s="211"/>
      <c r="DA634" s="211"/>
      <c r="DB634" s="211"/>
      <c r="DC634" s="211"/>
      <c r="DD634" s="211"/>
      <c r="DE634" s="211"/>
      <c r="DF634" s="60"/>
      <c r="DG634" s="60"/>
      <c r="DH634" s="60"/>
      <c r="DI634" s="60"/>
      <c r="DJ634" s="60"/>
    </row>
    <row r="635" spans="3:114" s="25" customFormat="1">
      <c r="C635" s="24"/>
      <c r="D635" s="24"/>
      <c r="G635" s="57"/>
      <c r="H635" s="57"/>
      <c r="I635" s="57"/>
      <c r="J635" s="57"/>
      <c r="K635" s="57"/>
      <c r="L635" s="57"/>
      <c r="M635" s="57"/>
      <c r="N635" s="57"/>
      <c r="O635" s="57"/>
      <c r="P635" s="57"/>
      <c r="Q635" s="57"/>
      <c r="R635" s="57"/>
      <c r="S635" s="57"/>
      <c r="T635" s="559"/>
      <c r="U635" s="29"/>
      <c r="V635" s="29"/>
      <c r="AJ635" s="1215"/>
      <c r="AK635" s="1142"/>
      <c r="AM635" s="42"/>
      <c r="AN635" s="42"/>
      <c r="AO635" s="42"/>
      <c r="AP635" s="42"/>
      <c r="AQ635" s="42"/>
      <c r="AR635" s="42"/>
      <c r="AS635" s="42"/>
      <c r="AT635" s="42"/>
      <c r="AU635" s="42"/>
      <c r="AV635" s="42"/>
      <c r="AW635" s="42"/>
      <c r="AX635" s="42"/>
      <c r="AY635" s="42"/>
      <c r="AZ635" s="42"/>
      <c r="BA635" s="42"/>
      <c r="BB635" s="42"/>
      <c r="BC635" s="42"/>
      <c r="BD635" s="42"/>
      <c r="BE635" s="42"/>
      <c r="BF635" s="42"/>
      <c r="BG635" s="42"/>
      <c r="BH635" s="42"/>
      <c r="BI635" s="42"/>
      <c r="BJ635" s="42"/>
      <c r="BK635" s="42"/>
      <c r="BL635" s="42"/>
      <c r="BM635" s="42"/>
      <c r="BN635" s="42"/>
      <c r="BO635" s="42"/>
      <c r="BP635" s="42"/>
      <c r="BQ635" s="42"/>
      <c r="BR635" s="42"/>
      <c r="BS635" s="42"/>
      <c r="BT635" s="42"/>
      <c r="BU635" s="42"/>
      <c r="BV635" s="42"/>
      <c r="BW635" s="42"/>
      <c r="BX635" s="42"/>
      <c r="BY635" s="42"/>
      <c r="BZ635" s="42"/>
      <c r="CA635" s="42"/>
      <c r="CB635" s="42"/>
      <c r="CC635" s="42"/>
      <c r="CD635" s="42"/>
      <c r="CE635" s="42"/>
      <c r="CF635" s="42"/>
      <c r="CG635" s="42"/>
      <c r="CH635" s="42"/>
      <c r="CS635" s="29"/>
      <c r="CT635" s="29"/>
      <c r="CU635" s="29"/>
      <c r="CV635" s="522"/>
      <c r="CW635" s="522"/>
      <c r="CX635" s="211"/>
      <c r="CY635" s="211"/>
      <c r="CZ635" s="211"/>
      <c r="DA635" s="211"/>
      <c r="DB635" s="211"/>
      <c r="DC635" s="211"/>
      <c r="DD635" s="211"/>
      <c r="DE635" s="211"/>
      <c r="DF635" s="60"/>
      <c r="DG635" s="60"/>
      <c r="DH635" s="60"/>
      <c r="DI635" s="60"/>
      <c r="DJ635" s="60"/>
    </row>
    <row r="636" spans="3:114" s="25" customFormat="1">
      <c r="C636" s="24"/>
      <c r="D636" s="24"/>
      <c r="G636" s="57"/>
      <c r="H636" s="57"/>
      <c r="I636" s="57"/>
      <c r="J636" s="57"/>
      <c r="K636" s="57"/>
      <c r="L636" s="57"/>
      <c r="M636" s="57"/>
      <c r="N636" s="57"/>
      <c r="O636" s="57"/>
      <c r="P636" s="57"/>
      <c r="Q636" s="57"/>
      <c r="R636" s="57"/>
      <c r="S636" s="57"/>
      <c r="T636" s="559"/>
      <c r="U636" s="29"/>
      <c r="V636" s="29"/>
      <c r="AJ636" s="1215"/>
      <c r="AK636" s="1142"/>
      <c r="AM636" s="42"/>
      <c r="AN636" s="42"/>
      <c r="AO636" s="42"/>
      <c r="AP636" s="42"/>
      <c r="AQ636" s="42"/>
      <c r="AR636" s="42"/>
      <c r="AS636" s="42"/>
      <c r="AT636" s="42"/>
      <c r="AU636" s="42"/>
      <c r="AV636" s="42"/>
      <c r="AW636" s="42"/>
      <c r="AX636" s="42"/>
      <c r="AY636" s="42"/>
      <c r="AZ636" s="42"/>
      <c r="BA636" s="42"/>
      <c r="BB636" s="42"/>
      <c r="BC636" s="42"/>
      <c r="BD636" s="42"/>
      <c r="BE636" s="42"/>
      <c r="BF636" s="42"/>
      <c r="BG636" s="42"/>
      <c r="BH636" s="42"/>
      <c r="BI636" s="42"/>
      <c r="BJ636" s="42"/>
      <c r="BK636" s="42"/>
      <c r="BL636" s="42"/>
      <c r="BM636" s="42"/>
      <c r="BN636" s="42"/>
      <c r="BO636" s="42"/>
      <c r="BP636" s="42"/>
      <c r="BQ636" s="42"/>
      <c r="BR636" s="42"/>
      <c r="BS636" s="42"/>
      <c r="BT636" s="42"/>
      <c r="BU636" s="42"/>
      <c r="BV636" s="42"/>
      <c r="BW636" s="42"/>
      <c r="BX636" s="42"/>
      <c r="BY636" s="42"/>
      <c r="BZ636" s="42"/>
      <c r="CA636" s="42"/>
      <c r="CB636" s="42"/>
      <c r="CC636" s="42"/>
      <c r="CD636" s="42"/>
      <c r="CE636" s="42"/>
      <c r="CF636" s="42"/>
      <c r="CG636" s="42"/>
      <c r="CH636" s="42"/>
      <c r="CS636" s="29"/>
      <c r="CT636" s="29"/>
      <c r="CU636" s="29"/>
      <c r="CV636" s="522"/>
      <c r="CW636" s="522"/>
      <c r="CX636" s="211"/>
      <c r="CY636" s="211"/>
      <c r="CZ636" s="211"/>
      <c r="DA636" s="211"/>
      <c r="DB636" s="211"/>
      <c r="DC636" s="211"/>
      <c r="DD636" s="211"/>
      <c r="DE636" s="211"/>
      <c r="DF636" s="60"/>
      <c r="DG636" s="60"/>
      <c r="DH636" s="60"/>
      <c r="DI636" s="60"/>
      <c r="DJ636" s="60"/>
    </row>
    <row r="637" spans="3:114" s="25" customFormat="1">
      <c r="C637" s="24"/>
      <c r="D637" s="24"/>
      <c r="G637" s="57"/>
      <c r="H637" s="57"/>
      <c r="I637" s="57"/>
      <c r="J637" s="57"/>
      <c r="K637" s="57"/>
      <c r="L637" s="57"/>
      <c r="M637" s="57"/>
      <c r="N637" s="57"/>
      <c r="O637" s="57"/>
      <c r="P637" s="57"/>
      <c r="Q637" s="57"/>
      <c r="R637" s="57"/>
      <c r="S637" s="57"/>
      <c r="T637" s="559"/>
      <c r="U637" s="29"/>
      <c r="V637" s="29"/>
      <c r="AJ637" s="1215"/>
      <c r="AK637" s="1142"/>
      <c r="AM637" s="42"/>
      <c r="AN637" s="42"/>
      <c r="AO637" s="42"/>
      <c r="AP637" s="42"/>
      <c r="AQ637" s="42"/>
      <c r="AR637" s="42"/>
      <c r="AS637" s="42"/>
      <c r="AT637" s="42"/>
      <c r="AU637" s="42"/>
      <c r="AV637" s="42"/>
      <c r="AW637" s="42"/>
      <c r="AX637" s="42"/>
      <c r="AY637" s="42"/>
      <c r="AZ637" s="42"/>
      <c r="BA637" s="42"/>
      <c r="BB637" s="42"/>
      <c r="BC637" s="42"/>
      <c r="BD637" s="42"/>
      <c r="BE637" s="42"/>
      <c r="BF637" s="42"/>
      <c r="BG637" s="42"/>
      <c r="BH637" s="42"/>
      <c r="BI637" s="42"/>
      <c r="BJ637" s="42"/>
      <c r="BK637" s="42"/>
      <c r="BL637" s="42"/>
      <c r="BM637" s="42"/>
      <c r="BN637" s="42"/>
      <c r="BO637" s="42"/>
      <c r="BP637" s="42"/>
      <c r="BQ637" s="42"/>
      <c r="BR637" s="42"/>
      <c r="BS637" s="42"/>
      <c r="BT637" s="42"/>
      <c r="BU637" s="42"/>
      <c r="BV637" s="42"/>
      <c r="BW637" s="42"/>
      <c r="BX637" s="42"/>
      <c r="BY637" s="42"/>
      <c r="BZ637" s="42"/>
      <c r="CA637" s="42"/>
      <c r="CB637" s="42"/>
      <c r="CC637" s="42"/>
      <c r="CD637" s="42"/>
      <c r="CE637" s="42"/>
      <c r="CF637" s="42"/>
      <c r="CG637" s="42"/>
      <c r="CH637" s="42"/>
      <c r="CS637" s="29"/>
      <c r="CT637" s="29"/>
      <c r="CU637" s="29"/>
      <c r="CV637" s="522"/>
      <c r="CW637" s="522"/>
      <c r="CX637" s="211"/>
      <c r="CY637" s="211"/>
      <c r="CZ637" s="211"/>
      <c r="DA637" s="211"/>
      <c r="DB637" s="211"/>
      <c r="DC637" s="211"/>
      <c r="DD637" s="211"/>
      <c r="DE637" s="211"/>
      <c r="DF637" s="60"/>
      <c r="DG637" s="60"/>
      <c r="DH637" s="60"/>
      <c r="DI637" s="60"/>
      <c r="DJ637" s="60"/>
    </row>
    <row r="638" spans="3:114" s="25" customFormat="1">
      <c r="C638" s="24"/>
      <c r="D638" s="24"/>
      <c r="G638" s="57"/>
      <c r="H638" s="57"/>
      <c r="I638" s="57"/>
      <c r="J638" s="57"/>
      <c r="K638" s="57"/>
      <c r="L638" s="57"/>
      <c r="M638" s="57"/>
      <c r="N638" s="57"/>
      <c r="O638" s="57"/>
      <c r="P638" s="57"/>
      <c r="Q638" s="57"/>
      <c r="R638" s="57"/>
      <c r="S638" s="57"/>
      <c r="T638" s="559"/>
      <c r="U638" s="29"/>
      <c r="V638" s="29"/>
      <c r="AJ638" s="1215"/>
      <c r="AK638" s="1142"/>
      <c r="AM638" s="42"/>
      <c r="AN638" s="42"/>
      <c r="AO638" s="42"/>
      <c r="AP638" s="42"/>
      <c r="AQ638" s="42"/>
      <c r="AR638" s="42"/>
      <c r="AS638" s="42"/>
      <c r="AT638" s="42"/>
      <c r="AU638" s="42"/>
      <c r="AV638" s="42"/>
      <c r="AW638" s="42"/>
      <c r="AX638" s="42"/>
      <c r="AY638" s="42"/>
      <c r="AZ638" s="42"/>
      <c r="BA638" s="42"/>
      <c r="BB638" s="42"/>
      <c r="BC638" s="42"/>
      <c r="BD638" s="42"/>
      <c r="BE638" s="42"/>
      <c r="BF638" s="42"/>
      <c r="BG638" s="42"/>
      <c r="BH638" s="42"/>
      <c r="BI638" s="42"/>
      <c r="BJ638" s="42"/>
      <c r="BK638" s="42"/>
      <c r="BL638" s="42"/>
      <c r="BM638" s="42"/>
      <c r="BN638" s="42"/>
      <c r="BO638" s="42"/>
      <c r="BP638" s="42"/>
      <c r="BQ638" s="42"/>
      <c r="BR638" s="42"/>
      <c r="BS638" s="42"/>
      <c r="BT638" s="42"/>
      <c r="BU638" s="42"/>
      <c r="BV638" s="42"/>
      <c r="BW638" s="42"/>
      <c r="BX638" s="42"/>
      <c r="BY638" s="42"/>
      <c r="BZ638" s="42"/>
      <c r="CA638" s="42"/>
      <c r="CB638" s="42"/>
      <c r="CC638" s="42"/>
      <c r="CD638" s="42"/>
      <c r="CE638" s="42"/>
      <c r="CF638" s="42"/>
      <c r="CG638" s="42"/>
      <c r="CH638" s="42"/>
      <c r="CS638" s="29"/>
      <c r="CT638" s="29"/>
      <c r="CU638" s="29"/>
      <c r="CV638" s="522"/>
      <c r="CW638" s="522"/>
      <c r="CX638" s="211"/>
      <c r="CY638" s="211"/>
      <c r="CZ638" s="211"/>
      <c r="DA638" s="211"/>
      <c r="DB638" s="211"/>
      <c r="DC638" s="211"/>
      <c r="DD638" s="211"/>
      <c r="DE638" s="211"/>
      <c r="DF638" s="60"/>
      <c r="DG638" s="60"/>
      <c r="DH638" s="60"/>
      <c r="DI638" s="60"/>
      <c r="DJ638" s="60"/>
    </row>
    <row r="639" spans="3:114" s="25" customFormat="1">
      <c r="C639" s="24"/>
      <c r="D639" s="24"/>
      <c r="G639" s="57"/>
      <c r="H639" s="57"/>
      <c r="I639" s="57"/>
      <c r="J639" s="57"/>
      <c r="K639" s="57"/>
      <c r="L639" s="57"/>
      <c r="M639" s="57"/>
      <c r="N639" s="57"/>
      <c r="O639" s="57"/>
      <c r="P639" s="57"/>
      <c r="Q639" s="57"/>
      <c r="R639" s="57"/>
      <c r="S639" s="57"/>
      <c r="T639" s="559"/>
      <c r="U639" s="29"/>
      <c r="V639" s="29"/>
      <c r="AJ639" s="1215"/>
      <c r="AK639" s="1142"/>
      <c r="AM639" s="42"/>
      <c r="AN639" s="42"/>
      <c r="AO639" s="42"/>
      <c r="AP639" s="42"/>
      <c r="AQ639" s="42"/>
      <c r="AR639" s="42"/>
      <c r="AS639" s="42"/>
      <c r="AT639" s="42"/>
      <c r="AU639" s="42"/>
      <c r="AV639" s="42"/>
      <c r="AW639" s="42"/>
      <c r="AX639" s="42"/>
      <c r="AY639" s="42"/>
      <c r="AZ639" s="42"/>
      <c r="BA639" s="42"/>
      <c r="BB639" s="42"/>
      <c r="BC639" s="42"/>
      <c r="BD639" s="42"/>
      <c r="BE639" s="42"/>
      <c r="BF639" s="42"/>
      <c r="BG639" s="42"/>
      <c r="BH639" s="42"/>
      <c r="BI639" s="42"/>
      <c r="BJ639" s="42"/>
      <c r="BK639" s="42"/>
      <c r="BL639" s="42"/>
      <c r="BM639" s="42"/>
      <c r="BN639" s="42"/>
      <c r="BO639" s="42"/>
      <c r="BP639" s="42"/>
      <c r="BQ639" s="42"/>
      <c r="BR639" s="42"/>
      <c r="BS639" s="42"/>
      <c r="BT639" s="42"/>
      <c r="BU639" s="42"/>
      <c r="BV639" s="42"/>
      <c r="BW639" s="42"/>
      <c r="BX639" s="42"/>
      <c r="BY639" s="42"/>
      <c r="BZ639" s="42"/>
      <c r="CA639" s="42"/>
      <c r="CB639" s="42"/>
      <c r="CC639" s="42"/>
      <c r="CD639" s="42"/>
      <c r="CE639" s="42"/>
      <c r="CF639" s="42"/>
      <c r="CG639" s="42"/>
      <c r="CH639" s="42"/>
      <c r="CS639" s="29"/>
      <c r="CT639" s="29"/>
      <c r="CU639" s="29"/>
      <c r="CV639" s="522"/>
      <c r="CW639" s="522"/>
      <c r="CX639" s="211"/>
      <c r="CY639" s="211"/>
      <c r="CZ639" s="211"/>
      <c r="DA639" s="211"/>
      <c r="DB639" s="211"/>
      <c r="DC639" s="211"/>
      <c r="DD639" s="211"/>
      <c r="DE639" s="211"/>
      <c r="DF639" s="60"/>
      <c r="DG639" s="60"/>
      <c r="DH639" s="60"/>
      <c r="DI639" s="60"/>
      <c r="DJ639" s="60"/>
    </row>
    <row r="640" spans="3:114" s="25" customFormat="1">
      <c r="C640" s="24"/>
      <c r="D640" s="24"/>
      <c r="G640" s="57"/>
      <c r="H640" s="57"/>
      <c r="I640" s="57"/>
      <c r="J640" s="57"/>
      <c r="K640" s="57"/>
      <c r="L640" s="57"/>
      <c r="M640" s="57"/>
      <c r="N640" s="57"/>
      <c r="O640" s="57"/>
      <c r="P640" s="57"/>
      <c r="Q640" s="57"/>
      <c r="R640" s="57"/>
      <c r="S640" s="57"/>
      <c r="T640" s="559"/>
      <c r="U640" s="29"/>
      <c r="V640" s="29"/>
      <c r="AJ640" s="1215"/>
      <c r="AK640" s="1142"/>
      <c r="AM640" s="42"/>
      <c r="AN640" s="42"/>
      <c r="AO640" s="42"/>
      <c r="AP640" s="42"/>
      <c r="AQ640" s="42"/>
      <c r="AR640" s="42"/>
      <c r="AS640" s="42"/>
      <c r="AT640" s="42"/>
      <c r="AU640" s="42"/>
      <c r="AV640" s="42"/>
      <c r="AW640" s="42"/>
      <c r="AX640" s="42"/>
      <c r="AY640" s="42"/>
      <c r="AZ640" s="42"/>
      <c r="BA640" s="42"/>
      <c r="BB640" s="42"/>
      <c r="BC640" s="42"/>
      <c r="BD640" s="42"/>
      <c r="BE640" s="42"/>
      <c r="BF640" s="42"/>
      <c r="BG640" s="42"/>
      <c r="BH640" s="42"/>
      <c r="BI640" s="42"/>
      <c r="BJ640" s="42"/>
      <c r="BK640" s="42"/>
      <c r="BL640" s="42"/>
      <c r="BM640" s="42"/>
      <c r="BN640" s="42"/>
      <c r="BO640" s="42"/>
      <c r="BP640" s="42"/>
      <c r="BQ640" s="42"/>
      <c r="BR640" s="42"/>
      <c r="BS640" s="42"/>
      <c r="BT640" s="42"/>
      <c r="BU640" s="42"/>
      <c r="BV640" s="42"/>
      <c r="BW640" s="42"/>
      <c r="BX640" s="42"/>
      <c r="BY640" s="42"/>
      <c r="BZ640" s="42"/>
      <c r="CA640" s="42"/>
      <c r="CB640" s="42"/>
      <c r="CC640" s="42"/>
      <c r="CD640" s="42"/>
      <c r="CE640" s="42"/>
      <c r="CF640" s="42"/>
      <c r="CG640" s="42"/>
      <c r="CH640" s="42"/>
      <c r="CS640" s="29"/>
      <c r="CT640" s="29"/>
      <c r="CU640" s="29"/>
      <c r="CV640" s="522"/>
      <c r="CW640" s="522"/>
      <c r="CX640" s="211"/>
      <c r="CY640" s="211"/>
      <c r="CZ640" s="211"/>
      <c r="DA640" s="211"/>
      <c r="DB640" s="211"/>
      <c r="DC640" s="211"/>
      <c r="DD640" s="211"/>
      <c r="DE640" s="211"/>
      <c r="DF640" s="60"/>
      <c r="DG640" s="60"/>
      <c r="DH640" s="60"/>
      <c r="DI640" s="60"/>
      <c r="DJ640" s="60"/>
    </row>
    <row r="641" spans="3:114" s="25" customFormat="1">
      <c r="C641" s="24"/>
      <c r="D641" s="24"/>
      <c r="G641" s="57"/>
      <c r="H641" s="57"/>
      <c r="I641" s="57"/>
      <c r="J641" s="57"/>
      <c r="K641" s="57"/>
      <c r="L641" s="57"/>
      <c r="M641" s="57"/>
      <c r="N641" s="57"/>
      <c r="O641" s="57"/>
      <c r="P641" s="57"/>
      <c r="Q641" s="57"/>
      <c r="R641" s="57"/>
      <c r="S641" s="57"/>
      <c r="T641" s="559"/>
      <c r="U641" s="29"/>
      <c r="V641" s="29"/>
      <c r="AJ641" s="1215"/>
      <c r="AK641" s="1142"/>
      <c r="AM641" s="42"/>
      <c r="AN641" s="42"/>
      <c r="AO641" s="42"/>
      <c r="AP641" s="42"/>
      <c r="AQ641" s="42"/>
      <c r="AR641" s="42"/>
      <c r="AS641" s="42"/>
      <c r="AT641" s="42"/>
      <c r="AU641" s="42"/>
      <c r="AV641" s="42"/>
      <c r="AW641" s="42"/>
      <c r="AX641" s="42"/>
      <c r="AY641" s="42"/>
      <c r="AZ641" s="42"/>
      <c r="BA641" s="42"/>
      <c r="BB641" s="42"/>
      <c r="BC641" s="42"/>
      <c r="BD641" s="42"/>
      <c r="BE641" s="42"/>
      <c r="BF641" s="42"/>
      <c r="BG641" s="42"/>
      <c r="BH641" s="42"/>
      <c r="BI641" s="42"/>
      <c r="BJ641" s="42"/>
      <c r="BK641" s="42"/>
      <c r="BL641" s="42"/>
      <c r="BM641" s="42"/>
      <c r="BN641" s="42"/>
      <c r="BO641" s="42"/>
      <c r="BP641" s="42"/>
      <c r="BQ641" s="42"/>
      <c r="BR641" s="42"/>
      <c r="BS641" s="42"/>
      <c r="BT641" s="42"/>
      <c r="BU641" s="42"/>
      <c r="BV641" s="42"/>
      <c r="BW641" s="42"/>
      <c r="BX641" s="42"/>
      <c r="BY641" s="42"/>
      <c r="BZ641" s="42"/>
      <c r="CA641" s="42"/>
      <c r="CB641" s="42"/>
      <c r="CC641" s="42"/>
      <c r="CD641" s="42"/>
      <c r="CE641" s="42"/>
      <c r="CF641" s="42"/>
      <c r="CG641" s="42"/>
      <c r="CH641" s="42"/>
      <c r="CS641" s="29"/>
      <c r="CT641" s="29"/>
      <c r="CU641" s="29"/>
      <c r="CV641" s="522"/>
      <c r="CW641" s="522"/>
      <c r="CX641" s="211"/>
      <c r="CY641" s="211"/>
      <c r="CZ641" s="211"/>
      <c r="DA641" s="211"/>
      <c r="DB641" s="211"/>
      <c r="DC641" s="211"/>
      <c r="DD641" s="211"/>
      <c r="DE641" s="211"/>
      <c r="DF641" s="60"/>
      <c r="DG641" s="60"/>
      <c r="DH641" s="60"/>
      <c r="DI641" s="60"/>
      <c r="DJ641" s="60"/>
    </row>
    <row r="642" spans="3:114" s="25" customFormat="1">
      <c r="C642" s="24"/>
      <c r="D642" s="24"/>
      <c r="G642" s="57"/>
      <c r="H642" s="57"/>
      <c r="I642" s="57"/>
      <c r="J642" s="57"/>
      <c r="K642" s="57"/>
      <c r="L642" s="57"/>
      <c r="M642" s="57"/>
      <c r="N642" s="57"/>
      <c r="O642" s="57"/>
      <c r="P642" s="57"/>
      <c r="Q642" s="57"/>
      <c r="R642" s="57"/>
      <c r="S642" s="57"/>
      <c r="T642" s="559"/>
      <c r="U642" s="29"/>
      <c r="V642" s="29"/>
      <c r="AJ642" s="1215"/>
      <c r="AK642" s="1142"/>
      <c r="AM642" s="42"/>
      <c r="AN642" s="42"/>
      <c r="AO642" s="42"/>
      <c r="AP642" s="42"/>
      <c r="AQ642" s="42"/>
      <c r="AR642" s="42"/>
      <c r="AS642" s="42"/>
      <c r="AT642" s="42"/>
      <c r="AU642" s="42"/>
      <c r="AV642" s="42"/>
      <c r="AW642" s="42"/>
      <c r="AX642" s="42"/>
      <c r="AY642" s="42"/>
      <c r="AZ642" s="42"/>
      <c r="BA642" s="42"/>
      <c r="BB642" s="42"/>
      <c r="BC642" s="42"/>
      <c r="BD642" s="42"/>
      <c r="BE642" s="42"/>
      <c r="BF642" s="42"/>
      <c r="BG642" s="42"/>
      <c r="BH642" s="42"/>
      <c r="BI642" s="42"/>
      <c r="BJ642" s="42"/>
      <c r="BK642" s="42"/>
      <c r="BL642" s="42"/>
      <c r="BM642" s="42"/>
      <c r="BN642" s="42"/>
      <c r="BO642" s="42"/>
      <c r="BP642" s="42"/>
      <c r="BQ642" s="42"/>
      <c r="BR642" s="42"/>
      <c r="BS642" s="42"/>
      <c r="BT642" s="42"/>
      <c r="BU642" s="42"/>
      <c r="BV642" s="42"/>
      <c r="BW642" s="42"/>
      <c r="BX642" s="42"/>
      <c r="BY642" s="42"/>
      <c r="BZ642" s="42"/>
      <c r="CA642" s="42"/>
      <c r="CB642" s="42"/>
      <c r="CC642" s="42"/>
      <c r="CD642" s="42"/>
      <c r="CE642" s="42"/>
      <c r="CF642" s="42"/>
      <c r="CG642" s="42"/>
      <c r="CH642" s="42"/>
      <c r="CS642" s="29"/>
      <c r="CT642" s="29"/>
      <c r="CU642" s="29"/>
      <c r="CV642" s="522"/>
      <c r="CW642" s="522"/>
      <c r="CX642" s="211"/>
      <c r="CY642" s="211"/>
      <c r="CZ642" s="211"/>
      <c r="DA642" s="211"/>
      <c r="DB642" s="211"/>
      <c r="DC642" s="211"/>
      <c r="DD642" s="211"/>
      <c r="DE642" s="211"/>
      <c r="DF642" s="60"/>
      <c r="DG642" s="60"/>
      <c r="DH642" s="60"/>
      <c r="DI642" s="60"/>
      <c r="DJ642" s="60"/>
    </row>
    <row r="643" spans="3:114" s="25" customFormat="1">
      <c r="C643" s="24"/>
      <c r="D643" s="24"/>
      <c r="G643" s="57"/>
      <c r="H643" s="57"/>
      <c r="I643" s="57"/>
      <c r="J643" s="57"/>
      <c r="K643" s="57"/>
      <c r="L643" s="57"/>
      <c r="M643" s="57"/>
      <c r="N643" s="57"/>
      <c r="O643" s="57"/>
      <c r="P643" s="57"/>
      <c r="Q643" s="57"/>
      <c r="R643" s="57"/>
      <c r="S643" s="57"/>
      <c r="T643" s="559"/>
      <c r="U643" s="29"/>
      <c r="V643" s="29"/>
      <c r="AJ643" s="1215"/>
      <c r="AK643" s="1142"/>
      <c r="AM643" s="42"/>
      <c r="AN643" s="42"/>
      <c r="AO643" s="42"/>
      <c r="AP643" s="42"/>
      <c r="AQ643" s="42"/>
      <c r="AR643" s="42"/>
      <c r="AS643" s="42"/>
      <c r="AT643" s="42"/>
      <c r="AU643" s="42"/>
      <c r="AV643" s="42"/>
      <c r="AW643" s="42"/>
      <c r="AX643" s="42"/>
      <c r="AY643" s="42"/>
      <c r="AZ643" s="42"/>
      <c r="BA643" s="42"/>
      <c r="BB643" s="42"/>
      <c r="BC643" s="42"/>
      <c r="BD643" s="42"/>
      <c r="BE643" s="42"/>
      <c r="BF643" s="42"/>
      <c r="BG643" s="42"/>
      <c r="BH643" s="42"/>
      <c r="BI643" s="42"/>
      <c r="BJ643" s="42"/>
      <c r="BK643" s="42"/>
      <c r="BL643" s="42"/>
      <c r="BM643" s="42"/>
      <c r="BN643" s="42"/>
      <c r="BO643" s="42"/>
      <c r="BP643" s="42"/>
      <c r="BQ643" s="42"/>
      <c r="BR643" s="42"/>
      <c r="BS643" s="42"/>
      <c r="BT643" s="42"/>
      <c r="BU643" s="42"/>
      <c r="BV643" s="42"/>
      <c r="BW643" s="42"/>
      <c r="BX643" s="42"/>
      <c r="BY643" s="42"/>
      <c r="BZ643" s="42"/>
      <c r="CA643" s="42"/>
      <c r="CB643" s="42"/>
      <c r="CC643" s="42"/>
      <c r="CD643" s="42"/>
      <c r="CE643" s="42"/>
      <c r="CF643" s="42"/>
      <c r="CG643" s="42"/>
      <c r="CH643" s="42"/>
      <c r="CS643" s="29"/>
      <c r="CT643" s="29"/>
      <c r="CU643" s="29"/>
      <c r="CV643" s="522"/>
      <c r="CW643" s="522"/>
      <c r="CX643" s="211"/>
      <c r="CY643" s="211"/>
      <c r="CZ643" s="211"/>
      <c r="DA643" s="211"/>
      <c r="DB643" s="211"/>
      <c r="DC643" s="211"/>
      <c r="DD643" s="211"/>
      <c r="DE643" s="211"/>
      <c r="DF643" s="60"/>
      <c r="DG643" s="60"/>
      <c r="DH643" s="60"/>
      <c r="DI643" s="60"/>
      <c r="DJ643" s="60"/>
    </row>
    <row r="644" spans="3:114" s="25" customFormat="1">
      <c r="C644" s="24"/>
      <c r="D644" s="24"/>
      <c r="G644" s="57"/>
      <c r="H644" s="57"/>
      <c r="I644" s="57"/>
      <c r="J644" s="57"/>
      <c r="K644" s="57"/>
      <c r="L644" s="57"/>
      <c r="M644" s="57"/>
      <c r="N644" s="57"/>
      <c r="O644" s="57"/>
      <c r="P644" s="57"/>
      <c r="Q644" s="57"/>
      <c r="R644" s="57"/>
      <c r="S644" s="57"/>
      <c r="T644" s="559"/>
      <c r="U644" s="29"/>
      <c r="V644" s="29"/>
      <c r="AJ644" s="1215"/>
      <c r="AK644" s="1142"/>
      <c r="AM644" s="42"/>
      <c r="AN644" s="42"/>
      <c r="AO644" s="42"/>
      <c r="AP644" s="42"/>
      <c r="AQ644" s="42"/>
      <c r="AR644" s="42"/>
      <c r="AS644" s="42"/>
      <c r="AT644" s="42"/>
      <c r="AU644" s="42"/>
      <c r="AV644" s="42"/>
      <c r="AW644" s="42"/>
      <c r="AX644" s="42"/>
      <c r="AY644" s="42"/>
      <c r="AZ644" s="42"/>
      <c r="BA644" s="42"/>
      <c r="BB644" s="42"/>
      <c r="BC644" s="42"/>
      <c r="BD644" s="42"/>
      <c r="BE644" s="42"/>
      <c r="BF644" s="42"/>
      <c r="BG644" s="42"/>
      <c r="BH644" s="42"/>
      <c r="BI644" s="42"/>
      <c r="BJ644" s="42"/>
      <c r="BK644" s="42"/>
      <c r="BL644" s="42"/>
      <c r="BM644" s="42"/>
      <c r="BN644" s="42"/>
      <c r="BO644" s="42"/>
      <c r="BP644" s="42"/>
      <c r="BQ644" s="42"/>
      <c r="BR644" s="42"/>
      <c r="BS644" s="42"/>
      <c r="BT644" s="42"/>
      <c r="BU644" s="42"/>
      <c r="BV644" s="42"/>
      <c r="BW644" s="42"/>
      <c r="BX644" s="42"/>
      <c r="BY644" s="42"/>
      <c r="BZ644" s="42"/>
      <c r="CA644" s="42"/>
      <c r="CB644" s="42"/>
      <c r="CC644" s="42"/>
      <c r="CD644" s="42"/>
      <c r="CE644" s="42"/>
      <c r="CF644" s="42"/>
      <c r="CG644" s="42"/>
      <c r="CH644" s="42"/>
      <c r="CS644" s="29"/>
      <c r="CT644" s="29"/>
      <c r="CU644" s="29"/>
      <c r="CV644" s="522"/>
      <c r="CW644" s="522"/>
      <c r="CX644" s="211"/>
      <c r="CY644" s="211"/>
      <c r="CZ644" s="211"/>
      <c r="DA644" s="211"/>
      <c r="DB644" s="211"/>
      <c r="DC644" s="211"/>
      <c r="DD644" s="211"/>
      <c r="DE644" s="211"/>
      <c r="DF644" s="60"/>
      <c r="DG644" s="60"/>
      <c r="DH644" s="60"/>
      <c r="DI644" s="60"/>
      <c r="DJ644" s="60"/>
    </row>
    <row r="645" spans="3:114" s="25" customFormat="1">
      <c r="C645" s="24"/>
      <c r="D645" s="24"/>
      <c r="G645" s="57"/>
      <c r="H645" s="57"/>
      <c r="I645" s="57"/>
      <c r="J645" s="57"/>
      <c r="K645" s="57"/>
      <c r="L645" s="57"/>
      <c r="M645" s="57"/>
      <c r="N645" s="57"/>
      <c r="O645" s="57"/>
      <c r="P645" s="57"/>
      <c r="Q645" s="57"/>
      <c r="R645" s="57"/>
      <c r="S645" s="57"/>
      <c r="T645" s="559"/>
      <c r="U645" s="29"/>
      <c r="V645" s="29"/>
      <c r="AJ645" s="1215"/>
      <c r="AK645" s="1142"/>
      <c r="AM645" s="42"/>
      <c r="AN645" s="42"/>
      <c r="AO645" s="42"/>
      <c r="AP645" s="42"/>
      <c r="AQ645" s="42"/>
      <c r="AR645" s="42"/>
      <c r="AS645" s="42"/>
      <c r="AT645" s="42"/>
      <c r="AU645" s="42"/>
      <c r="AV645" s="42"/>
      <c r="AW645" s="42"/>
      <c r="AX645" s="42"/>
      <c r="AY645" s="42"/>
      <c r="AZ645" s="42"/>
      <c r="BA645" s="42"/>
      <c r="BB645" s="42"/>
      <c r="BC645" s="42"/>
      <c r="BD645" s="42"/>
      <c r="BE645" s="42"/>
      <c r="BF645" s="42"/>
      <c r="BG645" s="42"/>
      <c r="BH645" s="42"/>
      <c r="BI645" s="42"/>
      <c r="BJ645" s="42"/>
      <c r="BK645" s="42"/>
      <c r="BL645" s="42"/>
      <c r="BM645" s="42"/>
      <c r="BN645" s="42"/>
      <c r="BO645" s="42"/>
      <c r="BP645" s="42"/>
      <c r="BQ645" s="42"/>
      <c r="BR645" s="42"/>
      <c r="BS645" s="42"/>
      <c r="BT645" s="42"/>
      <c r="BU645" s="42"/>
      <c r="BV645" s="42"/>
      <c r="BW645" s="42"/>
      <c r="BX645" s="42"/>
      <c r="BY645" s="42"/>
      <c r="BZ645" s="42"/>
      <c r="CA645" s="42"/>
      <c r="CB645" s="42"/>
      <c r="CC645" s="42"/>
      <c r="CD645" s="42"/>
      <c r="CE645" s="42"/>
      <c r="CF645" s="42"/>
      <c r="CG645" s="42"/>
      <c r="CH645" s="42"/>
      <c r="CS645" s="29"/>
      <c r="CT645" s="29"/>
      <c r="CU645" s="29"/>
      <c r="CV645" s="522"/>
      <c r="CW645" s="522"/>
      <c r="CX645" s="211"/>
      <c r="CY645" s="211"/>
      <c r="CZ645" s="211"/>
      <c r="DA645" s="211"/>
      <c r="DB645" s="211"/>
      <c r="DC645" s="211"/>
      <c r="DD645" s="211"/>
      <c r="DE645" s="211"/>
      <c r="DF645" s="60"/>
      <c r="DG645" s="60"/>
      <c r="DH645" s="60"/>
      <c r="DI645" s="60"/>
      <c r="DJ645" s="60"/>
    </row>
    <row r="646" spans="3:114" s="25" customFormat="1">
      <c r="C646" s="24"/>
      <c r="D646" s="24"/>
      <c r="G646" s="57"/>
      <c r="H646" s="57"/>
      <c r="I646" s="57"/>
      <c r="J646" s="57"/>
      <c r="K646" s="57"/>
      <c r="L646" s="57"/>
      <c r="M646" s="57"/>
      <c r="N646" s="57"/>
      <c r="O646" s="57"/>
      <c r="P646" s="57"/>
      <c r="Q646" s="57"/>
      <c r="R646" s="57"/>
      <c r="S646" s="57"/>
      <c r="T646" s="559"/>
      <c r="U646" s="29"/>
      <c r="V646" s="29"/>
      <c r="AJ646" s="1215"/>
      <c r="AK646" s="1142"/>
      <c r="AM646" s="42"/>
      <c r="AN646" s="42"/>
      <c r="AO646" s="42"/>
      <c r="AP646" s="42"/>
      <c r="AQ646" s="42"/>
      <c r="AR646" s="42"/>
      <c r="AS646" s="42"/>
      <c r="AT646" s="42"/>
      <c r="AU646" s="42"/>
      <c r="AV646" s="42"/>
      <c r="AW646" s="42"/>
      <c r="AX646" s="42"/>
      <c r="AY646" s="42"/>
      <c r="AZ646" s="42"/>
      <c r="BA646" s="42"/>
      <c r="BB646" s="42"/>
      <c r="BC646" s="42"/>
      <c r="BD646" s="42"/>
      <c r="BE646" s="42"/>
      <c r="BF646" s="42"/>
      <c r="BG646" s="42"/>
      <c r="BH646" s="42"/>
      <c r="BI646" s="42"/>
      <c r="BJ646" s="42"/>
      <c r="BK646" s="42"/>
      <c r="BL646" s="42"/>
      <c r="BM646" s="42"/>
      <c r="BN646" s="42"/>
      <c r="BO646" s="42"/>
      <c r="BP646" s="42"/>
      <c r="BQ646" s="42"/>
      <c r="BR646" s="42"/>
      <c r="BS646" s="42"/>
      <c r="BT646" s="42"/>
      <c r="BU646" s="42"/>
      <c r="BV646" s="42"/>
      <c r="BW646" s="42"/>
      <c r="BX646" s="42"/>
      <c r="BY646" s="42"/>
      <c r="BZ646" s="42"/>
      <c r="CA646" s="42"/>
      <c r="CB646" s="42"/>
      <c r="CC646" s="42"/>
      <c r="CD646" s="42"/>
      <c r="CE646" s="42"/>
      <c r="CF646" s="42"/>
      <c r="CG646" s="42"/>
      <c r="CH646" s="42"/>
      <c r="CS646" s="29"/>
      <c r="CT646" s="29"/>
      <c r="CU646" s="29"/>
      <c r="CV646" s="522"/>
      <c r="CW646" s="522"/>
      <c r="CX646" s="211"/>
      <c r="CY646" s="211"/>
      <c r="CZ646" s="211"/>
      <c r="DA646" s="211"/>
      <c r="DB646" s="211"/>
      <c r="DC646" s="211"/>
      <c r="DD646" s="211"/>
      <c r="DE646" s="211"/>
      <c r="DF646" s="60"/>
      <c r="DG646" s="60"/>
      <c r="DH646" s="60"/>
      <c r="DI646" s="60"/>
      <c r="DJ646" s="60"/>
    </row>
    <row r="647" spans="3:114" s="25" customFormat="1">
      <c r="C647" s="24"/>
      <c r="D647" s="24"/>
      <c r="G647" s="57"/>
      <c r="H647" s="57"/>
      <c r="I647" s="57"/>
      <c r="J647" s="57"/>
      <c r="K647" s="57"/>
      <c r="L647" s="57"/>
      <c r="M647" s="57"/>
      <c r="N647" s="57"/>
      <c r="O647" s="57"/>
      <c r="P647" s="57"/>
      <c r="Q647" s="57"/>
      <c r="R647" s="57"/>
      <c r="S647" s="57"/>
      <c r="T647" s="559"/>
      <c r="U647" s="29"/>
      <c r="V647" s="29"/>
      <c r="AJ647" s="1215"/>
      <c r="AK647" s="1142"/>
      <c r="AM647" s="42"/>
      <c r="AN647" s="42"/>
      <c r="AO647" s="42"/>
      <c r="AP647" s="42"/>
      <c r="AQ647" s="42"/>
      <c r="AR647" s="42"/>
      <c r="AS647" s="42"/>
      <c r="AT647" s="42"/>
      <c r="AU647" s="42"/>
      <c r="AV647" s="42"/>
      <c r="AW647" s="42"/>
      <c r="AX647" s="42"/>
      <c r="AY647" s="42"/>
      <c r="AZ647" s="42"/>
      <c r="BA647" s="42"/>
      <c r="BB647" s="42"/>
      <c r="BC647" s="42"/>
      <c r="BD647" s="42"/>
      <c r="BE647" s="42"/>
      <c r="BF647" s="42"/>
      <c r="BG647" s="42"/>
      <c r="BH647" s="42"/>
      <c r="BI647" s="42"/>
      <c r="BJ647" s="42"/>
      <c r="BK647" s="42"/>
      <c r="BL647" s="42"/>
      <c r="BM647" s="42"/>
      <c r="BN647" s="42"/>
      <c r="BO647" s="42"/>
      <c r="BP647" s="42"/>
      <c r="BQ647" s="42"/>
      <c r="BR647" s="42"/>
      <c r="BS647" s="42"/>
      <c r="BT647" s="42"/>
      <c r="BU647" s="42"/>
      <c r="BV647" s="42"/>
      <c r="BW647" s="42"/>
      <c r="BX647" s="42"/>
      <c r="BY647" s="42"/>
      <c r="BZ647" s="42"/>
      <c r="CA647" s="42"/>
      <c r="CB647" s="42"/>
      <c r="CC647" s="42"/>
      <c r="CD647" s="42"/>
      <c r="CE647" s="42"/>
      <c r="CF647" s="42"/>
      <c r="CG647" s="42"/>
      <c r="CH647" s="42"/>
      <c r="CS647" s="29"/>
      <c r="CT647" s="29"/>
      <c r="CU647" s="29"/>
      <c r="CV647" s="522"/>
      <c r="CW647" s="522"/>
      <c r="CX647" s="211"/>
      <c r="CY647" s="211"/>
      <c r="CZ647" s="211"/>
      <c r="DA647" s="211"/>
      <c r="DB647" s="211"/>
      <c r="DC647" s="211"/>
      <c r="DD647" s="211"/>
      <c r="DE647" s="211"/>
      <c r="DF647" s="60"/>
      <c r="DG647" s="60"/>
      <c r="DH647" s="60"/>
      <c r="DI647" s="60"/>
      <c r="DJ647" s="60"/>
    </row>
    <row r="648" spans="3:114" s="25" customFormat="1">
      <c r="C648" s="24"/>
      <c r="D648" s="24"/>
      <c r="G648" s="57"/>
      <c r="H648" s="57"/>
      <c r="I648" s="57"/>
      <c r="J648" s="57"/>
      <c r="K648" s="57"/>
      <c r="L648" s="57"/>
      <c r="M648" s="57"/>
      <c r="N648" s="57"/>
      <c r="O648" s="57"/>
      <c r="P648" s="57"/>
      <c r="Q648" s="57"/>
      <c r="R648" s="57"/>
      <c r="S648" s="57"/>
      <c r="T648" s="559"/>
      <c r="U648" s="29"/>
      <c r="V648" s="29"/>
      <c r="AJ648" s="1215"/>
      <c r="AK648" s="1142"/>
      <c r="AM648" s="42"/>
      <c r="AN648" s="42"/>
      <c r="AO648" s="42"/>
      <c r="AP648" s="42"/>
      <c r="AQ648" s="42"/>
      <c r="AR648" s="42"/>
      <c r="AS648" s="42"/>
      <c r="AT648" s="42"/>
      <c r="AU648" s="42"/>
      <c r="AV648" s="42"/>
      <c r="AW648" s="42"/>
      <c r="AX648" s="42"/>
      <c r="AY648" s="42"/>
      <c r="AZ648" s="42"/>
      <c r="BA648" s="42"/>
      <c r="BB648" s="42"/>
      <c r="BC648" s="42"/>
      <c r="BD648" s="42"/>
      <c r="BE648" s="42"/>
      <c r="BF648" s="42"/>
      <c r="BG648" s="42"/>
      <c r="BH648" s="42"/>
      <c r="BI648" s="42"/>
      <c r="BJ648" s="42"/>
      <c r="BK648" s="42"/>
      <c r="BL648" s="42"/>
      <c r="BM648" s="42"/>
      <c r="BN648" s="42"/>
      <c r="BO648" s="42"/>
      <c r="BP648" s="42"/>
      <c r="BQ648" s="42"/>
      <c r="BR648" s="42"/>
      <c r="BS648" s="42"/>
      <c r="BT648" s="42"/>
      <c r="BU648" s="42"/>
      <c r="BV648" s="42"/>
      <c r="BW648" s="42"/>
      <c r="BX648" s="42"/>
      <c r="BY648" s="42"/>
      <c r="BZ648" s="42"/>
      <c r="CA648" s="42"/>
      <c r="CB648" s="42"/>
      <c r="CC648" s="42"/>
      <c r="CD648" s="42"/>
      <c r="CE648" s="42"/>
      <c r="CF648" s="42"/>
      <c r="CG648" s="42"/>
      <c r="CH648" s="42"/>
      <c r="CS648" s="29"/>
      <c r="CT648" s="29"/>
      <c r="CU648" s="29"/>
      <c r="CV648" s="522"/>
      <c r="CW648" s="522"/>
      <c r="CX648" s="211"/>
      <c r="CY648" s="211"/>
      <c r="CZ648" s="211"/>
      <c r="DA648" s="211"/>
      <c r="DB648" s="211"/>
      <c r="DC648" s="211"/>
      <c r="DD648" s="211"/>
      <c r="DE648" s="211"/>
      <c r="DF648" s="60"/>
      <c r="DG648" s="60"/>
      <c r="DH648" s="60"/>
      <c r="DI648" s="60"/>
      <c r="DJ648" s="60"/>
    </row>
    <row r="649" spans="3:114" s="25" customFormat="1">
      <c r="C649" s="24"/>
      <c r="D649" s="24"/>
      <c r="G649" s="57"/>
      <c r="H649" s="57"/>
      <c r="I649" s="57"/>
      <c r="J649" s="57"/>
      <c r="K649" s="57"/>
      <c r="L649" s="57"/>
      <c r="M649" s="57"/>
      <c r="N649" s="57"/>
      <c r="O649" s="57"/>
      <c r="P649" s="57"/>
      <c r="Q649" s="57"/>
      <c r="R649" s="57"/>
      <c r="S649" s="57"/>
      <c r="T649" s="559"/>
      <c r="U649" s="29"/>
      <c r="V649" s="29"/>
      <c r="AJ649" s="1215"/>
      <c r="AK649" s="1142"/>
      <c r="AM649" s="42"/>
      <c r="AN649" s="42"/>
      <c r="AO649" s="42"/>
      <c r="AP649" s="42"/>
      <c r="AQ649" s="42"/>
      <c r="AR649" s="42"/>
      <c r="AS649" s="42"/>
      <c r="AT649" s="42"/>
      <c r="AU649" s="42"/>
      <c r="AV649" s="42"/>
      <c r="AW649" s="42"/>
      <c r="AX649" s="42"/>
      <c r="AY649" s="42"/>
      <c r="AZ649" s="42"/>
      <c r="BA649" s="42"/>
      <c r="BB649" s="42"/>
      <c r="BC649" s="42"/>
      <c r="BD649" s="42"/>
      <c r="BE649" s="42"/>
      <c r="BF649" s="42"/>
      <c r="BG649" s="42"/>
      <c r="BH649" s="42"/>
      <c r="BI649" s="42"/>
      <c r="BJ649" s="42"/>
      <c r="BK649" s="42"/>
      <c r="BL649" s="42"/>
      <c r="BM649" s="42"/>
      <c r="BN649" s="42"/>
      <c r="BO649" s="42"/>
      <c r="BP649" s="42"/>
      <c r="BQ649" s="42"/>
      <c r="BR649" s="42"/>
      <c r="BS649" s="42"/>
      <c r="BT649" s="42"/>
      <c r="BU649" s="42"/>
      <c r="BV649" s="42"/>
      <c r="BW649" s="42"/>
      <c r="BX649" s="42"/>
      <c r="BY649" s="42"/>
      <c r="BZ649" s="42"/>
      <c r="CA649" s="42"/>
      <c r="CB649" s="42"/>
      <c r="CC649" s="42"/>
      <c r="CD649" s="42"/>
      <c r="CE649" s="42"/>
      <c r="CF649" s="42"/>
      <c r="CG649" s="42"/>
      <c r="CH649" s="42"/>
      <c r="CS649" s="29"/>
      <c r="CT649" s="29"/>
      <c r="CU649" s="29"/>
      <c r="CV649" s="522"/>
      <c r="CW649" s="522"/>
      <c r="CX649" s="211"/>
      <c r="CY649" s="211"/>
      <c r="CZ649" s="211"/>
      <c r="DA649" s="211"/>
      <c r="DB649" s="211"/>
      <c r="DC649" s="211"/>
      <c r="DD649" s="211"/>
      <c r="DE649" s="211"/>
      <c r="DF649" s="60"/>
      <c r="DG649" s="60"/>
      <c r="DH649" s="60"/>
      <c r="DI649" s="60"/>
      <c r="DJ649" s="60"/>
    </row>
    <row r="650" spans="3:114" s="25" customFormat="1">
      <c r="C650" s="24"/>
      <c r="D650" s="24"/>
      <c r="G650" s="57"/>
      <c r="H650" s="57"/>
      <c r="I650" s="57"/>
      <c r="J650" s="57"/>
      <c r="K650" s="57"/>
      <c r="L650" s="57"/>
      <c r="M650" s="57"/>
      <c r="N650" s="57"/>
      <c r="O650" s="57"/>
      <c r="P650" s="57"/>
      <c r="Q650" s="57"/>
      <c r="R650" s="57"/>
      <c r="S650" s="57"/>
      <c r="T650" s="559"/>
      <c r="U650" s="29"/>
      <c r="V650" s="29"/>
      <c r="AJ650" s="1215"/>
      <c r="AK650" s="1142"/>
      <c r="AM650" s="42"/>
      <c r="AN650" s="42"/>
      <c r="AO650" s="42"/>
      <c r="AP650" s="42"/>
      <c r="AQ650" s="42"/>
      <c r="AR650" s="42"/>
      <c r="AS650" s="42"/>
      <c r="AT650" s="42"/>
      <c r="AU650" s="42"/>
      <c r="AV650" s="42"/>
      <c r="AW650" s="42"/>
      <c r="AX650" s="42"/>
      <c r="AY650" s="42"/>
      <c r="AZ650" s="42"/>
      <c r="BA650" s="42"/>
      <c r="BB650" s="42"/>
      <c r="BC650" s="42"/>
      <c r="BD650" s="42"/>
      <c r="BE650" s="42"/>
      <c r="BF650" s="42"/>
      <c r="BG650" s="42"/>
      <c r="BH650" s="42"/>
      <c r="BI650" s="42"/>
      <c r="BJ650" s="42"/>
      <c r="BK650" s="42"/>
      <c r="BL650" s="42"/>
      <c r="BM650" s="42"/>
      <c r="BN650" s="42"/>
      <c r="BO650" s="42"/>
      <c r="BP650" s="42"/>
      <c r="BQ650" s="42"/>
      <c r="BR650" s="42"/>
      <c r="BS650" s="42"/>
      <c r="BT650" s="42"/>
      <c r="BU650" s="42"/>
      <c r="BV650" s="42"/>
      <c r="BW650" s="42"/>
      <c r="BX650" s="42"/>
      <c r="BY650" s="42"/>
      <c r="BZ650" s="42"/>
      <c r="CA650" s="42"/>
      <c r="CB650" s="42"/>
      <c r="CC650" s="42"/>
      <c r="CD650" s="42"/>
      <c r="CE650" s="42"/>
      <c r="CF650" s="42"/>
      <c r="CG650" s="42"/>
      <c r="CH650" s="42"/>
      <c r="CS650" s="29"/>
      <c r="CT650" s="29"/>
      <c r="CU650" s="29"/>
      <c r="CV650" s="522"/>
      <c r="CW650" s="522"/>
      <c r="CX650" s="211"/>
      <c r="CY650" s="211"/>
      <c r="CZ650" s="211"/>
      <c r="DA650" s="211"/>
      <c r="DB650" s="211"/>
      <c r="DC650" s="211"/>
      <c r="DD650" s="211"/>
      <c r="DE650" s="211"/>
      <c r="DF650" s="60"/>
      <c r="DG650" s="60"/>
      <c r="DH650" s="60"/>
      <c r="DI650" s="60"/>
      <c r="DJ650" s="60"/>
    </row>
    <row r="651" spans="3:114" s="25" customFormat="1">
      <c r="C651" s="24"/>
      <c r="D651" s="24"/>
      <c r="G651" s="57"/>
      <c r="H651" s="57"/>
      <c r="I651" s="57"/>
      <c r="J651" s="57"/>
      <c r="K651" s="57"/>
      <c r="L651" s="57"/>
      <c r="M651" s="57"/>
      <c r="N651" s="57"/>
      <c r="O651" s="57"/>
      <c r="P651" s="57"/>
      <c r="Q651" s="57"/>
      <c r="R651" s="57"/>
      <c r="S651" s="57"/>
      <c r="T651" s="559"/>
      <c r="U651" s="29"/>
      <c r="V651" s="29"/>
      <c r="AJ651" s="1215"/>
      <c r="AK651" s="1142"/>
      <c r="AM651" s="42"/>
      <c r="AN651" s="42"/>
      <c r="AO651" s="42"/>
      <c r="AP651" s="42"/>
      <c r="AQ651" s="42"/>
      <c r="AR651" s="42"/>
      <c r="AS651" s="42"/>
      <c r="AT651" s="42"/>
      <c r="AU651" s="42"/>
      <c r="AV651" s="42"/>
      <c r="AW651" s="42"/>
      <c r="AX651" s="42"/>
      <c r="AY651" s="42"/>
      <c r="AZ651" s="42"/>
      <c r="BA651" s="42"/>
      <c r="BB651" s="42"/>
      <c r="BC651" s="42"/>
      <c r="BD651" s="42"/>
      <c r="BE651" s="42"/>
      <c r="BF651" s="42"/>
      <c r="BG651" s="42"/>
      <c r="BH651" s="42"/>
      <c r="BI651" s="42"/>
      <c r="BJ651" s="42"/>
      <c r="BK651" s="42"/>
      <c r="BL651" s="42"/>
      <c r="BM651" s="42"/>
      <c r="BN651" s="42"/>
      <c r="BO651" s="42"/>
      <c r="BP651" s="42"/>
      <c r="BQ651" s="42"/>
      <c r="BR651" s="42"/>
      <c r="BS651" s="42"/>
      <c r="BT651" s="42"/>
      <c r="BU651" s="42"/>
      <c r="BV651" s="42"/>
      <c r="BW651" s="42"/>
      <c r="BX651" s="42"/>
      <c r="BY651" s="42"/>
      <c r="BZ651" s="42"/>
      <c r="CA651" s="42"/>
      <c r="CB651" s="42"/>
      <c r="CC651" s="42"/>
      <c r="CD651" s="42"/>
      <c r="CE651" s="42"/>
      <c r="CF651" s="42"/>
      <c r="CG651" s="42"/>
      <c r="CH651" s="42"/>
      <c r="CS651" s="29"/>
      <c r="CT651" s="29"/>
      <c r="CU651" s="29"/>
      <c r="CV651" s="522"/>
      <c r="CW651" s="522"/>
      <c r="CX651" s="211"/>
      <c r="CY651" s="211"/>
      <c r="CZ651" s="211"/>
      <c r="DA651" s="211"/>
      <c r="DB651" s="211"/>
      <c r="DC651" s="211"/>
      <c r="DD651" s="211"/>
      <c r="DE651" s="211"/>
      <c r="DF651" s="60"/>
      <c r="DG651" s="60"/>
      <c r="DH651" s="60"/>
      <c r="DI651" s="60"/>
      <c r="DJ651" s="60"/>
    </row>
    <row r="652" spans="3:114" s="25" customFormat="1">
      <c r="C652" s="24"/>
      <c r="D652" s="24"/>
      <c r="G652" s="57"/>
      <c r="H652" s="57"/>
      <c r="I652" s="57"/>
      <c r="J652" s="57"/>
      <c r="K652" s="57"/>
      <c r="L652" s="57"/>
      <c r="M652" s="57"/>
      <c r="N652" s="57"/>
      <c r="O652" s="57"/>
      <c r="P652" s="57"/>
      <c r="Q652" s="57"/>
      <c r="R652" s="57"/>
      <c r="S652" s="57"/>
      <c r="T652" s="559"/>
      <c r="U652" s="29"/>
      <c r="V652" s="29"/>
      <c r="AJ652" s="1215"/>
      <c r="AK652" s="1142"/>
      <c r="AM652" s="42"/>
      <c r="AN652" s="42"/>
      <c r="AO652" s="42"/>
      <c r="AP652" s="42"/>
      <c r="AQ652" s="42"/>
      <c r="AR652" s="42"/>
      <c r="AS652" s="42"/>
      <c r="AT652" s="42"/>
      <c r="AU652" s="42"/>
      <c r="AV652" s="42"/>
      <c r="AW652" s="42"/>
      <c r="AX652" s="42"/>
      <c r="AY652" s="42"/>
      <c r="AZ652" s="42"/>
      <c r="BA652" s="42"/>
      <c r="BB652" s="42"/>
      <c r="BC652" s="42"/>
      <c r="BD652" s="42"/>
      <c r="BE652" s="42"/>
      <c r="BF652" s="42"/>
      <c r="BG652" s="42"/>
      <c r="BH652" s="42"/>
      <c r="BI652" s="42"/>
      <c r="BJ652" s="42"/>
      <c r="BK652" s="42"/>
      <c r="BL652" s="42"/>
      <c r="BM652" s="42"/>
      <c r="BN652" s="42"/>
      <c r="BO652" s="42"/>
      <c r="BP652" s="42"/>
      <c r="BQ652" s="42"/>
      <c r="BR652" s="42"/>
      <c r="BS652" s="42"/>
      <c r="BT652" s="42"/>
      <c r="BU652" s="42"/>
      <c r="BV652" s="42"/>
      <c r="BW652" s="42"/>
      <c r="BX652" s="42"/>
      <c r="BY652" s="42"/>
      <c r="BZ652" s="42"/>
      <c r="CA652" s="42"/>
      <c r="CB652" s="42"/>
      <c r="CC652" s="42"/>
      <c r="CD652" s="42"/>
      <c r="CE652" s="42"/>
      <c r="CF652" s="42"/>
      <c r="CG652" s="42"/>
      <c r="CH652" s="42"/>
      <c r="CS652" s="29"/>
      <c r="CT652" s="29"/>
      <c r="CU652" s="29"/>
      <c r="CV652" s="522"/>
      <c r="CW652" s="522"/>
      <c r="CX652" s="211"/>
      <c r="CY652" s="211"/>
      <c r="CZ652" s="211"/>
      <c r="DA652" s="211"/>
      <c r="DB652" s="211"/>
      <c r="DC652" s="211"/>
      <c r="DD652" s="211"/>
      <c r="DE652" s="211"/>
      <c r="DF652" s="60"/>
      <c r="DG652" s="60"/>
      <c r="DH652" s="60"/>
      <c r="DI652" s="60"/>
      <c r="DJ652" s="60"/>
    </row>
    <row r="653" spans="3:114" s="25" customFormat="1">
      <c r="C653" s="24"/>
      <c r="D653" s="24"/>
      <c r="G653" s="57"/>
      <c r="H653" s="57"/>
      <c r="I653" s="57"/>
      <c r="J653" s="57"/>
      <c r="K653" s="57"/>
      <c r="L653" s="57"/>
      <c r="M653" s="57"/>
      <c r="N653" s="57"/>
      <c r="O653" s="57"/>
      <c r="P653" s="57"/>
      <c r="Q653" s="57"/>
      <c r="R653" s="57"/>
      <c r="S653" s="57"/>
      <c r="T653" s="559"/>
      <c r="U653" s="29"/>
      <c r="V653" s="29"/>
      <c r="AJ653" s="1215"/>
      <c r="AK653" s="1142"/>
      <c r="AM653" s="42"/>
      <c r="AN653" s="42"/>
      <c r="AO653" s="42"/>
      <c r="AP653" s="42"/>
      <c r="AQ653" s="42"/>
      <c r="AR653" s="42"/>
      <c r="AS653" s="42"/>
      <c r="AT653" s="42"/>
      <c r="AU653" s="42"/>
      <c r="AV653" s="42"/>
      <c r="AW653" s="42"/>
      <c r="AX653" s="42"/>
      <c r="AY653" s="42"/>
      <c r="AZ653" s="42"/>
      <c r="BA653" s="42"/>
      <c r="BB653" s="42"/>
      <c r="BC653" s="42"/>
      <c r="BD653" s="42"/>
      <c r="BE653" s="42"/>
      <c r="BF653" s="42"/>
      <c r="BG653" s="42"/>
      <c r="BH653" s="42"/>
      <c r="BI653" s="42"/>
      <c r="BJ653" s="42"/>
      <c r="BK653" s="42"/>
      <c r="BL653" s="42"/>
      <c r="BM653" s="42"/>
      <c r="BN653" s="42"/>
      <c r="BO653" s="42"/>
      <c r="BP653" s="42"/>
      <c r="BQ653" s="42"/>
      <c r="BR653" s="42"/>
      <c r="BS653" s="42"/>
      <c r="BT653" s="42"/>
      <c r="BU653" s="42"/>
      <c r="BV653" s="42"/>
      <c r="BW653" s="42"/>
      <c r="BX653" s="42"/>
      <c r="BY653" s="42"/>
      <c r="BZ653" s="42"/>
      <c r="CA653" s="42"/>
      <c r="CB653" s="42"/>
      <c r="CC653" s="42"/>
      <c r="CD653" s="42"/>
      <c r="CE653" s="42"/>
      <c r="CF653" s="42"/>
      <c r="CG653" s="42"/>
      <c r="CH653" s="42"/>
      <c r="CS653" s="29"/>
      <c r="CT653" s="29"/>
      <c r="CU653" s="29"/>
      <c r="CV653" s="522"/>
      <c r="CW653" s="522"/>
      <c r="CX653" s="211"/>
      <c r="CY653" s="211"/>
      <c r="CZ653" s="211"/>
      <c r="DA653" s="211"/>
      <c r="DB653" s="211"/>
      <c r="DC653" s="211"/>
      <c r="DD653" s="211"/>
      <c r="DE653" s="211"/>
      <c r="DF653" s="60"/>
      <c r="DG653" s="60"/>
      <c r="DH653" s="60"/>
      <c r="DI653" s="60"/>
      <c r="DJ653" s="60"/>
    </row>
    <row r="654" spans="3:114" s="25" customFormat="1">
      <c r="C654" s="24"/>
      <c r="D654" s="24"/>
      <c r="G654" s="57"/>
      <c r="H654" s="57"/>
      <c r="I654" s="57"/>
      <c r="J654" s="57"/>
      <c r="K654" s="57"/>
      <c r="L654" s="57"/>
      <c r="M654" s="57"/>
      <c r="N654" s="57"/>
      <c r="O654" s="57"/>
      <c r="P654" s="57"/>
      <c r="Q654" s="57"/>
      <c r="R654" s="57"/>
      <c r="S654" s="57"/>
      <c r="T654" s="559"/>
      <c r="U654" s="29"/>
      <c r="V654" s="29"/>
      <c r="AJ654" s="1215"/>
      <c r="AK654" s="1142"/>
      <c r="AM654" s="42"/>
      <c r="AN654" s="42"/>
      <c r="AO654" s="42"/>
      <c r="AP654" s="42"/>
      <c r="AQ654" s="42"/>
      <c r="AR654" s="42"/>
      <c r="AS654" s="42"/>
      <c r="AT654" s="42"/>
      <c r="AU654" s="42"/>
      <c r="AV654" s="42"/>
      <c r="AW654" s="42"/>
      <c r="AX654" s="42"/>
      <c r="AY654" s="42"/>
      <c r="AZ654" s="42"/>
      <c r="BA654" s="42"/>
      <c r="BB654" s="42"/>
      <c r="BC654" s="42"/>
      <c r="BD654" s="42"/>
      <c r="BE654" s="42"/>
      <c r="BF654" s="42"/>
      <c r="BG654" s="42"/>
      <c r="BH654" s="42"/>
      <c r="BI654" s="42"/>
      <c r="BJ654" s="42"/>
      <c r="BK654" s="42"/>
      <c r="BL654" s="42"/>
      <c r="BM654" s="42"/>
      <c r="BN654" s="42"/>
      <c r="BO654" s="42"/>
      <c r="BP654" s="42"/>
      <c r="BQ654" s="42"/>
      <c r="BR654" s="42"/>
      <c r="BS654" s="42"/>
      <c r="BT654" s="42"/>
      <c r="BU654" s="42"/>
      <c r="BV654" s="42"/>
      <c r="BW654" s="42"/>
      <c r="BX654" s="42"/>
      <c r="BY654" s="42"/>
      <c r="BZ654" s="42"/>
      <c r="CA654" s="42"/>
      <c r="CB654" s="42"/>
      <c r="CC654" s="42"/>
      <c r="CD654" s="42"/>
      <c r="CE654" s="42"/>
      <c r="CF654" s="42"/>
      <c r="CG654" s="42"/>
      <c r="CH654" s="42"/>
      <c r="CS654" s="29"/>
      <c r="CT654" s="29"/>
      <c r="CU654" s="29"/>
      <c r="CV654" s="522"/>
      <c r="CW654" s="522"/>
      <c r="CX654" s="211"/>
      <c r="CY654" s="211"/>
      <c r="CZ654" s="211"/>
      <c r="DA654" s="211"/>
      <c r="DB654" s="211"/>
      <c r="DC654" s="211"/>
      <c r="DD654" s="211"/>
      <c r="DE654" s="211"/>
      <c r="DF654" s="60"/>
      <c r="DG654" s="60"/>
      <c r="DH654" s="60"/>
      <c r="DI654" s="60"/>
      <c r="DJ654" s="60"/>
    </row>
    <row r="655" spans="3:114" s="25" customFormat="1">
      <c r="C655" s="24"/>
      <c r="D655" s="24"/>
      <c r="G655" s="57"/>
      <c r="H655" s="57"/>
      <c r="I655" s="57"/>
      <c r="J655" s="57"/>
      <c r="K655" s="57"/>
      <c r="L655" s="57"/>
      <c r="M655" s="57"/>
      <c r="N655" s="57"/>
      <c r="O655" s="57"/>
      <c r="P655" s="57"/>
      <c r="Q655" s="57"/>
      <c r="R655" s="57"/>
      <c r="S655" s="57"/>
      <c r="T655" s="559"/>
      <c r="U655" s="29"/>
      <c r="V655" s="29"/>
      <c r="AJ655" s="1215"/>
      <c r="AK655" s="1142"/>
      <c r="AM655" s="42"/>
      <c r="AN655" s="42"/>
      <c r="AO655" s="42"/>
      <c r="AP655" s="42"/>
      <c r="AQ655" s="42"/>
      <c r="AR655" s="42"/>
      <c r="AS655" s="42"/>
      <c r="AT655" s="42"/>
      <c r="AU655" s="42"/>
      <c r="AV655" s="42"/>
      <c r="AW655" s="42"/>
      <c r="AX655" s="42"/>
      <c r="AY655" s="42"/>
      <c r="AZ655" s="42"/>
      <c r="BA655" s="42"/>
      <c r="BB655" s="42"/>
      <c r="BC655" s="42"/>
      <c r="BD655" s="42"/>
      <c r="BE655" s="42"/>
      <c r="BF655" s="42"/>
      <c r="BG655" s="42"/>
      <c r="BH655" s="42"/>
      <c r="BI655" s="42"/>
      <c r="BJ655" s="42"/>
      <c r="BK655" s="42"/>
      <c r="BL655" s="42"/>
      <c r="BM655" s="42"/>
      <c r="BN655" s="42"/>
      <c r="BO655" s="42"/>
      <c r="BP655" s="42"/>
      <c r="BQ655" s="42"/>
      <c r="BR655" s="42"/>
      <c r="BS655" s="42"/>
      <c r="BT655" s="42"/>
      <c r="BU655" s="42"/>
      <c r="BV655" s="42"/>
      <c r="BW655" s="42"/>
      <c r="BX655" s="42"/>
      <c r="BY655" s="42"/>
      <c r="BZ655" s="42"/>
      <c r="CA655" s="42"/>
      <c r="CB655" s="42"/>
      <c r="CC655" s="42"/>
      <c r="CD655" s="42"/>
      <c r="CE655" s="42"/>
      <c r="CF655" s="42"/>
      <c r="CG655" s="42"/>
      <c r="CH655" s="42"/>
      <c r="CS655" s="29"/>
      <c r="CT655" s="29"/>
      <c r="CU655" s="29"/>
      <c r="CV655" s="522"/>
      <c r="CW655" s="522"/>
      <c r="CX655" s="211"/>
      <c r="CY655" s="211"/>
      <c r="CZ655" s="211"/>
      <c r="DA655" s="211"/>
      <c r="DB655" s="211"/>
      <c r="DC655" s="211"/>
      <c r="DD655" s="211"/>
      <c r="DE655" s="211"/>
      <c r="DF655" s="60"/>
      <c r="DG655" s="60"/>
      <c r="DH655" s="60"/>
      <c r="DI655" s="60"/>
      <c r="DJ655" s="60"/>
    </row>
    <row r="656" spans="3:114" s="25" customFormat="1">
      <c r="C656" s="24"/>
      <c r="D656" s="24"/>
      <c r="G656" s="57"/>
      <c r="H656" s="57"/>
      <c r="I656" s="57"/>
      <c r="J656" s="57"/>
      <c r="K656" s="57"/>
      <c r="L656" s="57"/>
      <c r="M656" s="57"/>
      <c r="N656" s="57"/>
      <c r="O656" s="57"/>
      <c r="P656" s="57"/>
      <c r="Q656" s="57"/>
      <c r="R656" s="57"/>
      <c r="S656" s="57"/>
      <c r="T656" s="559"/>
      <c r="U656" s="29"/>
      <c r="V656" s="29"/>
      <c r="AJ656" s="1215"/>
      <c r="AK656" s="1142"/>
      <c r="AM656" s="42"/>
      <c r="AN656" s="42"/>
      <c r="AO656" s="42"/>
      <c r="AP656" s="42"/>
      <c r="AQ656" s="42"/>
      <c r="AR656" s="42"/>
      <c r="AS656" s="42"/>
      <c r="AT656" s="42"/>
      <c r="AU656" s="42"/>
      <c r="AV656" s="42"/>
      <c r="AW656" s="42"/>
      <c r="AX656" s="42"/>
      <c r="AY656" s="42"/>
      <c r="AZ656" s="42"/>
      <c r="BA656" s="42"/>
      <c r="BB656" s="42"/>
      <c r="BC656" s="42"/>
      <c r="BD656" s="42"/>
      <c r="BE656" s="42"/>
      <c r="BF656" s="42"/>
      <c r="BG656" s="42"/>
      <c r="BH656" s="42"/>
      <c r="BI656" s="42"/>
      <c r="BJ656" s="42"/>
      <c r="BK656" s="42"/>
      <c r="BL656" s="42"/>
      <c r="BM656" s="42"/>
      <c r="BN656" s="42"/>
      <c r="BO656" s="42"/>
      <c r="BP656" s="42"/>
      <c r="BQ656" s="42"/>
      <c r="BR656" s="42"/>
      <c r="BS656" s="42"/>
      <c r="BT656" s="42"/>
      <c r="BU656" s="42"/>
      <c r="BV656" s="42"/>
      <c r="BW656" s="42"/>
      <c r="BX656" s="42"/>
      <c r="BY656" s="42"/>
      <c r="BZ656" s="42"/>
      <c r="CA656" s="42"/>
      <c r="CB656" s="42"/>
      <c r="CC656" s="42"/>
      <c r="CD656" s="42"/>
      <c r="CE656" s="42"/>
      <c r="CF656" s="42"/>
      <c r="CG656" s="42"/>
      <c r="CH656" s="42"/>
      <c r="CS656" s="29"/>
      <c r="CT656" s="29"/>
      <c r="CU656" s="29"/>
      <c r="CV656" s="522"/>
      <c r="CW656" s="522"/>
      <c r="CX656" s="211"/>
      <c r="CY656" s="211"/>
      <c r="CZ656" s="211"/>
      <c r="DA656" s="211"/>
      <c r="DB656" s="211"/>
      <c r="DC656" s="211"/>
      <c r="DD656" s="211"/>
      <c r="DE656" s="211"/>
      <c r="DF656" s="60"/>
      <c r="DG656" s="60"/>
      <c r="DH656" s="60"/>
      <c r="DI656" s="60"/>
      <c r="DJ656" s="60"/>
    </row>
    <row r="657" spans="3:114" s="25" customFormat="1">
      <c r="C657" s="24"/>
      <c r="D657" s="24"/>
      <c r="G657" s="57"/>
      <c r="H657" s="57"/>
      <c r="I657" s="57"/>
      <c r="J657" s="57"/>
      <c r="K657" s="57"/>
      <c r="L657" s="57"/>
      <c r="M657" s="57"/>
      <c r="N657" s="57"/>
      <c r="O657" s="57"/>
      <c r="P657" s="57"/>
      <c r="Q657" s="57"/>
      <c r="R657" s="57"/>
      <c r="S657" s="57"/>
      <c r="T657" s="559"/>
      <c r="U657" s="29"/>
      <c r="V657" s="29"/>
      <c r="AJ657" s="1215"/>
      <c r="AK657" s="1142"/>
      <c r="AM657" s="42"/>
      <c r="AN657" s="42"/>
      <c r="AO657" s="42"/>
      <c r="AP657" s="42"/>
      <c r="AQ657" s="42"/>
      <c r="AR657" s="42"/>
      <c r="AS657" s="42"/>
      <c r="AT657" s="42"/>
      <c r="AU657" s="42"/>
      <c r="AV657" s="42"/>
      <c r="AW657" s="42"/>
      <c r="AX657" s="42"/>
      <c r="AY657" s="42"/>
      <c r="AZ657" s="42"/>
      <c r="BA657" s="42"/>
      <c r="BB657" s="42"/>
      <c r="BC657" s="42"/>
      <c r="BD657" s="42"/>
      <c r="BE657" s="42"/>
      <c r="BF657" s="42"/>
      <c r="BG657" s="42"/>
      <c r="BH657" s="42"/>
      <c r="BI657" s="42"/>
      <c r="BJ657" s="42"/>
      <c r="BK657" s="42"/>
      <c r="BL657" s="42"/>
      <c r="BM657" s="42"/>
      <c r="BN657" s="42"/>
      <c r="BO657" s="42"/>
      <c r="BP657" s="42"/>
      <c r="BQ657" s="42"/>
      <c r="BR657" s="42"/>
      <c r="BS657" s="42"/>
      <c r="BT657" s="42"/>
      <c r="BU657" s="42"/>
      <c r="BV657" s="42"/>
      <c r="BW657" s="42"/>
      <c r="BX657" s="42"/>
      <c r="BY657" s="42"/>
      <c r="BZ657" s="42"/>
      <c r="CA657" s="42"/>
      <c r="CB657" s="42"/>
      <c r="CC657" s="42"/>
      <c r="CD657" s="42"/>
      <c r="CE657" s="42"/>
      <c r="CF657" s="42"/>
      <c r="CG657" s="42"/>
      <c r="CH657" s="42"/>
      <c r="CS657" s="29"/>
      <c r="CT657" s="29"/>
      <c r="CU657" s="29"/>
      <c r="CV657" s="522"/>
      <c r="CW657" s="522"/>
      <c r="CX657" s="211"/>
      <c r="CY657" s="211"/>
      <c r="CZ657" s="211"/>
      <c r="DA657" s="211"/>
      <c r="DB657" s="211"/>
      <c r="DC657" s="211"/>
      <c r="DD657" s="211"/>
      <c r="DE657" s="211"/>
      <c r="DF657" s="60"/>
      <c r="DG657" s="60"/>
      <c r="DH657" s="60"/>
      <c r="DI657" s="60"/>
      <c r="DJ657" s="60"/>
    </row>
    <row r="658" spans="3:114" s="25" customFormat="1">
      <c r="C658" s="24"/>
      <c r="D658" s="24"/>
      <c r="G658" s="57"/>
      <c r="H658" s="57"/>
      <c r="I658" s="57"/>
      <c r="J658" s="57"/>
      <c r="K658" s="57"/>
      <c r="L658" s="57"/>
      <c r="M658" s="57"/>
      <c r="N658" s="57"/>
      <c r="O658" s="57"/>
      <c r="P658" s="57"/>
      <c r="Q658" s="57"/>
      <c r="R658" s="57"/>
      <c r="S658" s="57"/>
      <c r="T658" s="559"/>
      <c r="U658" s="29"/>
      <c r="V658" s="29"/>
      <c r="AJ658" s="1215"/>
      <c r="AK658" s="1142"/>
      <c r="AM658" s="42"/>
      <c r="AN658" s="42"/>
      <c r="AO658" s="42"/>
      <c r="AP658" s="42"/>
      <c r="AQ658" s="42"/>
      <c r="AR658" s="42"/>
      <c r="AS658" s="42"/>
      <c r="AT658" s="42"/>
      <c r="AU658" s="42"/>
      <c r="AV658" s="42"/>
      <c r="AW658" s="42"/>
      <c r="AX658" s="42"/>
      <c r="AY658" s="42"/>
      <c r="AZ658" s="42"/>
      <c r="BA658" s="42"/>
      <c r="BB658" s="42"/>
      <c r="BC658" s="42"/>
      <c r="BD658" s="42"/>
      <c r="BE658" s="42"/>
      <c r="BF658" s="42"/>
      <c r="BG658" s="42"/>
      <c r="BH658" s="42"/>
      <c r="BI658" s="42"/>
      <c r="BJ658" s="42"/>
      <c r="BK658" s="42"/>
      <c r="BL658" s="42"/>
      <c r="BM658" s="42"/>
      <c r="BN658" s="42"/>
      <c r="BO658" s="42"/>
      <c r="BP658" s="42"/>
      <c r="BQ658" s="42"/>
      <c r="BR658" s="42"/>
      <c r="BS658" s="42"/>
      <c r="BT658" s="42"/>
      <c r="BU658" s="42"/>
      <c r="BV658" s="42"/>
      <c r="BW658" s="42"/>
      <c r="BX658" s="42"/>
      <c r="BY658" s="42"/>
      <c r="BZ658" s="42"/>
      <c r="CA658" s="42"/>
      <c r="CB658" s="42"/>
      <c r="CC658" s="42"/>
      <c r="CD658" s="42"/>
      <c r="CE658" s="42"/>
      <c r="CF658" s="42"/>
      <c r="CG658" s="42"/>
      <c r="CH658" s="42"/>
      <c r="CS658" s="29"/>
      <c r="CT658" s="29"/>
      <c r="CU658" s="29"/>
      <c r="CV658" s="522"/>
      <c r="CW658" s="522"/>
      <c r="CX658" s="211"/>
      <c r="CY658" s="211"/>
      <c r="CZ658" s="211"/>
      <c r="DA658" s="211"/>
      <c r="DB658" s="211"/>
      <c r="DC658" s="211"/>
      <c r="DD658" s="211"/>
      <c r="DE658" s="211"/>
      <c r="DF658" s="60"/>
      <c r="DG658" s="60"/>
      <c r="DH658" s="60"/>
      <c r="DI658" s="60"/>
      <c r="DJ658" s="60"/>
    </row>
    <row r="659" spans="3:114" s="25" customFormat="1">
      <c r="C659" s="24"/>
      <c r="D659" s="24"/>
      <c r="G659" s="57"/>
      <c r="H659" s="57"/>
      <c r="I659" s="57"/>
      <c r="J659" s="57"/>
      <c r="K659" s="57"/>
      <c r="L659" s="57"/>
      <c r="M659" s="57"/>
      <c r="N659" s="57"/>
      <c r="O659" s="57"/>
      <c r="P659" s="57"/>
      <c r="Q659" s="57"/>
      <c r="R659" s="57"/>
      <c r="S659" s="57"/>
      <c r="T659" s="559"/>
      <c r="U659" s="29"/>
      <c r="V659" s="29"/>
      <c r="AJ659" s="1215"/>
      <c r="AK659" s="1142"/>
      <c r="AM659" s="42"/>
      <c r="AN659" s="42"/>
      <c r="AO659" s="42"/>
      <c r="AP659" s="42"/>
      <c r="AQ659" s="42"/>
      <c r="AR659" s="42"/>
      <c r="AS659" s="42"/>
      <c r="AT659" s="42"/>
      <c r="AU659" s="42"/>
      <c r="AV659" s="42"/>
      <c r="AW659" s="42"/>
      <c r="AX659" s="42"/>
      <c r="AY659" s="42"/>
      <c r="AZ659" s="42"/>
      <c r="BA659" s="42"/>
      <c r="BB659" s="42"/>
      <c r="BC659" s="42"/>
      <c r="BD659" s="42"/>
      <c r="BE659" s="42"/>
      <c r="BF659" s="42"/>
      <c r="BG659" s="42"/>
      <c r="BH659" s="42"/>
      <c r="BI659" s="42"/>
      <c r="BJ659" s="42"/>
      <c r="BK659" s="42"/>
      <c r="BL659" s="42"/>
      <c r="BM659" s="42"/>
      <c r="BN659" s="42"/>
      <c r="BO659" s="42"/>
      <c r="BP659" s="42"/>
      <c r="BQ659" s="42"/>
      <c r="BR659" s="42"/>
      <c r="BS659" s="42"/>
      <c r="BT659" s="42"/>
      <c r="BU659" s="42"/>
      <c r="BV659" s="42"/>
      <c r="BW659" s="42"/>
      <c r="BX659" s="42"/>
      <c r="BY659" s="42"/>
      <c r="BZ659" s="42"/>
      <c r="CA659" s="42"/>
      <c r="CB659" s="42"/>
      <c r="CC659" s="42"/>
      <c r="CD659" s="42"/>
      <c r="CE659" s="42"/>
      <c r="CF659" s="42"/>
      <c r="CG659" s="42"/>
      <c r="CH659" s="42"/>
      <c r="CS659" s="29"/>
      <c r="CT659" s="29"/>
      <c r="CU659" s="29"/>
      <c r="CV659" s="522"/>
      <c r="CW659" s="522"/>
      <c r="CX659" s="211"/>
      <c r="CY659" s="211"/>
      <c r="CZ659" s="211"/>
      <c r="DA659" s="211"/>
      <c r="DB659" s="211"/>
      <c r="DC659" s="211"/>
      <c r="DD659" s="211"/>
      <c r="DE659" s="211"/>
      <c r="DF659" s="60"/>
      <c r="DG659" s="60"/>
      <c r="DH659" s="60"/>
      <c r="DI659" s="60"/>
      <c r="DJ659" s="60"/>
    </row>
    <row r="660" spans="3:114" s="25" customFormat="1">
      <c r="C660" s="24"/>
      <c r="D660" s="24"/>
      <c r="G660" s="57"/>
      <c r="H660" s="57"/>
      <c r="I660" s="57"/>
      <c r="J660" s="57"/>
      <c r="K660" s="57"/>
      <c r="L660" s="57"/>
      <c r="M660" s="57"/>
      <c r="N660" s="57"/>
      <c r="O660" s="57"/>
      <c r="P660" s="57"/>
      <c r="Q660" s="57"/>
      <c r="R660" s="57"/>
      <c r="S660" s="57"/>
      <c r="T660" s="559"/>
      <c r="U660" s="29"/>
      <c r="V660" s="29"/>
      <c r="AJ660" s="1215"/>
      <c r="AK660" s="1142"/>
      <c r="AM660" s="42"/>
      <c r="AN660" s="42"/>
      <c r="AO660" s="42"/>
      <c r="AP660" s="42"/>
      <c r="AQ660" s="42"/>
      <c r="AR660" s="42"/>
      <c r="AS660" s="42"/>
      <c r="AT660" s="42"/>
      <c r="AU660" s="42"/>
      <c r="AV660" s="42"/>
      <c r="AW660" s="42"/>
      <c r="AX660" s="42"/>
      <c r="AY660" s="42"/>
      <c r="AZ660" s="42"/>
      <c r="BA660" s="42"/>
      <c r="BB660" s="42"/>
      <c r="BC660" s="42"/>
      <c r="BD660" s="42"/>
      <c r="BE660" s="42"/>
      <c r="BF660" s="42"/>
      <c r="BG660" s="42"/>
      <c r="BH660" s="42"/>
      <c r="BI660" s="42"/>
      <c r="BJ660" s="42"/>
      <c r="BK660" s="42"/>
      <c r="BL660" s="42"/>
      <c r="BM660" s="42"/>
      <c r="BN660" s="42"/>
      <c r="BO660" s="42"/>
      <c r="BP660" s="42"/>
      <c r="BQ660" s="42"/>
      <c r="BR660" s="42"/>
      <c r="BS660" s="42"/>
      <c r="BT660" s="42"/>
      <c r="BU660" s="42"/>
      <c r="BV660" s="42"/>
      <c r="BW660" s="42"/>
      <c r="BX660" s="42"/>
      <c r="BY660" s="42"/>
      <c r="BZ660" s="42"/>
      <c r="CA660" s="42"/>
      <c r="CB660" s="42"/>
      <c r="CC660" s="42"/>
      <c r="CD660" s="42"/>
      <c r="CE660" s="42"/>
      <c r="CF660" s="42"/>
      <c r="CG660" s="42"/>
      <c r="CH660" s="42"/>
      <c r="CS660" s="29"/>
      <c r="CT660" s="29"/>
      <c r="CU660" s="29"/>
      <c r="CV660" s="522"/>
      <c r="CW660" s="522"/>
      <c r="CX660" s="211"/>
      <c r="CY660" s="211"/>
      <c r="CZ660" s="211"/>
      <c r="DA660" s="211"/>
      <c r="DB660" s="211"/>
      <c r="DC660" s="211"/>
      <c r="DD660" s="211"/>
      <c r="DE660" s="211"/>
      <c r="DF660" s="60"/>
      <c r="DG660" s="60"/>
      <c r="DH660" s="60"/>
      <c r="DI660" s="60"/>
      <c r="DJ660" s="60"/>
    </row>
    <row r="661" spans="3:114" s="25" customFormat="1">
      <c r="C661" s="24"/>
      <c r="D661" s="24"/>
      <c r="G661" s="57"/>
      <c r="H661" s="57"/>
      <c r="I661" s="57"/>
      <c r="J661" s="57"/>
      <c r="K661" s="57"/>
      <c r="L661" s="57"/>
      <c r="M661" s="57"/>
      <c r="N661" s="57"/>
      <c r="O661" s="57"/>
      <c r="P661" s="57"/>
      <c r="Q661" s="57"/>
      <c r="R661" s="57"/>
      <c r="S661" s="57"/>
      <c r="T661" s="559"/>
      <c r="U661" s="29"/>
      <c r="V661" s="29"/>
      <c r="AJ661" s="1215"/>
      <c r="AK661" s="1142"/>
      <c r="AM661" s="42"/>
      <c r="AN661" s="42"/>
      <c r="AO661" s="42"/>
      <c r="AP661" s="42"/>
      <c r="AQ661" s="42"/>
      <c r="AR661" s="42"/>
      <c r="AS661" s="42"/>
      <c r="AT661" s="42"/>
      <c r="AU661" s="42"/>
      <c r="AV661" s="42"/>
      <c r="AW661" s="42"/>
      <c r="AX661" s="42"/>
      <c r="AY661" s="42"/>
      <c r="AZ661" s="42"/>
      <c r="BA661" s="42"/>
      <c r="BB661" s="42"/>
      <c r="BC661" s="42"/>
      <c r="BD661" s="42"/>
      <c r="BE661" s="42"/>
      <c r="BF661" s="42"/>
      <c r="BG661" s="42"/>
      <c r="BH661" s="42"/>
      <c r="BI661" s="42"/>
      <c r="BJ661" s="42"/>
      <c r="BK661" s="42"/>
      <c r="BL661" s="42"/>
      <c r="BM661" s="42"/>
      <c r="BN661" s="42"/>
      <c r="BO661" s="42"/>
      <c r="BP661" s="42"/>
      <c r="BQ661" s="42"/>
      <c r="BR661" s="42"/>
      <c r="BS661" s="42"/>
      <c r="BT661" s="42"/>
      <c r="BU661" s="42"/>
      <c r="BV661" s="42"/>
      <c r="BW661" s="42"/>
      <c r="BX661" s="42"/>
      <c r="BY661" s="42"/>
      <c r="BZ661" s="42"/>
      <c r="CA661" s="42"/>
      <c r="CB661" s="42"/>
      <c r="CC661" s="42"/>
      <c r="CD661" s="42"/>
      <c r="CE661" s="42"/>
      <c r="CF661" s="42"/>
      <c r="CG661" s="42"/>
      <c r="CH661" s="42"/>
      <c r="CS661" s="29"/>
      <c r="CT661" s="29"/>
      <c r="CU661" s="29"/>
      <c r="CV661" s="522"/>
      <c r="CW661" s="522"/>
      <c r="CX661" s="211"/>
      <c r="CY661" s="211"/>
      <c r="CZ661" s="211"/>
      <c r="DA661" s="211"/>
      <c r="DB661" s="211"/>
      <c r="DC661" s="211"/>
      <c r="DD661" s="211"/>
      <c r="DE661" s="211"/>
      <c r="DF661" s="60"/>
      <c r="DG661" s="60"/>
      <c r="DH661" s="60"/>
      <c r="DI661" s="60"/>
      <c r="DJ661" s="60"/>
    </row>
    <row r="662" spans="3:114" s="25" customFormat="1">
      <c r="C662" s="24"/>
      <c r="D662" s="24"/>
      <c r="G662" s="57"/>
      <c r="H662" s="57"/>
      <c r="I662" s="57"/>
      <c r="J662" s="57"/>
      <c r="K662" s="57"/>
      <c r="L662" s="57"/>
      <c r="M662" s="57"/>
      <c r="N662" s="57"/>
      <c r="O662" s="57"/>
      <c r="P662" s="57"/>
      <c r="Q662" s="57"/>
      <c r="R662" s="57"/>
      <c r="S662" s="57"/>
      <c r="T662" s="559"/>
      <c r="U662" s="29"/>
      <c r="V662" s="29"/>
      <c r="AJ662" s="1215"/>
      <c r="AK662" s="1142"/>
      <c r="AM662" s="42"/>
      <c r="AN662" s="42"/>
      <c r="AO662" s="42"/>
      <c r="AP662" s="42"/>
      <c r="AQ662" s="42"/>
      <c r="AR662" s="42"/>
      <c r="AS662" s="42"/>
      <c r="AT662" s="42"/>
      <c r="AU662" s="42"/>
      <c r="AV662" s="42"/>
      <c r="AW662" s="42"/>
      <c r="AX662" s="42"/>
      <c r="AY662" s="42"/>
      <c r="AZ662" s="42"/>
      <c r="BA662" s="42"/>
      <c r="BB662" s="42"/>
      <c r="BC662" s="42"/>
      <c r="BD662" s="42"/>
      <c r="BE662" s="42"/>
      <c r="BF662" s="42"/>
      <c r="BG662" s="42"/>
      <c r="BH662" s="42"/>
      <c r="BI662" s="42"/>
      <c r="BJ662" s="42"/>
      <c r="BK662" s="42"/>
      <c r="BL662" s="42"/>
      <c r="BM662" s="42"/>
      <c r="BN662" s="42"/>
      <c r="BO662" s="42"/>
      <c r="BP662" s="42"/>
      <c r="BQ662" s="42"/>
      <c r="BR662" s="42"/>
      <c r="BS662" s="42"/>
      <c r="BT662" s="42"/>
      <c r="BU662" s="42"/>
      <c r="BV662" s="42"/>
      <c r="BW662" s="42"/>
      <c r="BX662" s="42"/>
      <c r="BY662" s="42"/>
      <c r="BZ662" s="42"/>
      <c r="CA662" s="42"/>
      <c r="CB662" s="42"/>
      <c r="CC662" s="42"/>
      <c r="CD662" s="42"/>
      <c r="CE662" s="42"/>
      <c r="CF662" s="42"/>
      <c r="CG662" s="42"/>
      <c r="CH662" s="42"/>
      <c r="CS662" s="29"/>
      <c r="CT662" s="29"/>
      <c r="CU662" s="29"/>
      <c r="CV662" s="522"/>
      <c r="CW662" s="522"/>
      <c r="CX662" s="211"/>
      <c r="CY662" s="211"/>
      <c r="CZ662" s="211"/>
      <c r="DA662" s="211"/>
      <c r="DB662" s="211"/>
      <c r="DC662" s="211"/>
      <c r="DD662" s="211"/>
      <c r="DE662" s="211"/>
      <c r="DF662" s="60"/>
      <c r="DG662" s="60"/>
      <c r="DH662" s="60"/>
      <c r="DI662" s="60"/>
      <c r="DJ662" s="60"/>
    </row>
    <row r="663" spans="3:114" s="25" customFormat="1">
      <c r="C663" s="24"/>
      <c r="D663" s="24"/>
      <c r="G663" s="57"/>
      <c r="H663" s="57"/>
      <c r="I663" s="57"/>
      <c r="J663" s="57"/>
      <c r="K663" s="57"/>
      <c r="L663" s="57"/>
      <c r="M663" s="57"/>
      <c r="N663" s="57"/>
      <c r="O663" s="57"/>
      <c r="P663" s="57"/>
      <c r="Q663" s="57"/>
      <c r="R663" s="57"/>
      <c r="S663" s="57"/>
      <c r="T663" s="559"/>
      <c r="U663" s="29"/>
      <c r="V663" s="29"/>
      <c r="AJ663" s="1215"/>
      <c r="AK663" s="1142"/>
      <c r="AM663" s="42"/>
      <c r="AN663" s="42"/>
      <c r="AO663" s="42"/>
      <c r="AP663" s="42"/>
      <c r="AQ663" s="42"/>
      <c r="AR663" s="42"/>
      <c r="AS663" s="42"/>
      <c r="AT663" s="42"/>
      <c r="AU663" s="42"/>
      <c r="AV663" s="42"/>
      <c r="AW663" s="42"/>
      <c r="AX663" s="42"/>
      <c r="AY663" s="42"/>
      <c r="AZ663" s="42"/>
      <c r="BA663" s="42"/>
      <c r="BB663" s="42"/>
      <c r="BC663" s="42"/>
      <c r="BD663" s="42"/>
      <c r="BE663" s="42"/>
      <c r="BF663" s="42"/>
      <c r="BG663" s="42"/>
      <c r="BH663" s="42"/>
      <c r="BI663" s="42"/>
      <c r="BJ663" s="42"/>
      <c r="BK663" s="42"/>
      <c r="BL663" s="42"/>
      <c r="BM663" s="42"/>
      <c r="BN663" s="42"/>
      <c r="BO663" s="42"/>
      <c r="BP663" s="42"/>
      <c r="BQ663" s="42"/>
      <c r="BR663" s="42"/>
      <c r="BS663" s="42"/>
      <c r="BT663" s="42"/>
      <c r="BU663" s="42"/>
      <c r="BV663" s="42"/>
      <c r="BW663" s="42"/>
      <c r="BX663" s="42"/>
      <c r="BY663" s="42"/>
      <c r="BZ663" s="42"/>
      <c r="CA663" s="42"/>
      <c r="CB663" s="42"/>
      <c r="CC663" s="42"/>
      <c r="CD663" s="42"/>
      <c r="CE663" s="42"/>
      <c r="CF663" s="42"/>
      <c r="CG663" s="42"/>
      <c r="CH663" s="42"/>
      <c r="CS663" s="29"/>
      <c r="CT663" s="29"/>
      <c r="CU663" s="29"/>
      <c r="CV663" s="522"/>
      <c r="CW663" s="522"/>
      <c r="CX663" s="211"/>
      <c r="CY663" s="211"/>
      <c r="CZ663" s="211"/>
      <c r="DA663" s="211"/>
      <c r="DB663" s="211"/>
      <c r="DC663" s="211"/>
      <c r="DD663" s="211"/>
      <c r="DE663" s="211"/>
      <c r="DF663" s="60"/>
      <c r="DG663" s="60"/>
      <c r="DH663" s="60"/>
      <c r="DI663" s="60"/>
      <c r="DJ663" s="60"/>
    </row>
    <row r="664" spans="3:114" s="25" customFormat="1">
      <c r="C664" s="24"/>
      <c r="D664" s="24"/>
      <c r="G664" s="57"/>
      <c r="H664" s="57"/>
      <c r="I664" s="57"/>
      <c r="J664" s="57"/>
      <c r="K664" s="57"/>
      <c r="L664" s="57"/>
      <c r="M664" s="57"/>
      <c r="N664" s="57"/>
      <c r="O664" s="57"/>
      <c r="P664" s="57"/>
      <c r="Q664" s="57"/>
      <c r="R664" s="57"/>
      <c r="S664" s="57"/>
      <c r="T664" s="559"/>
      <c r="U664" s="29"/>
      <c r="V664" s="29"/>
      <c r="AJ664" s="1215"/>
      <c r="AK664" s="1142"/>
      <c r="AM664" s="42"/>
      <c r="AN664" s="42"/>
      <c r="AO664" s="42"/>
      <c r="AP664" s="42"/>
      <c r="AQ664" s="42"/>
      <c r="AR664" s="42"/>
      <c r="AS664" s="42"/>
      <c r="AT664" s="42"/>
      <c r="AU664" s="42"/>
      <c r="AV664" s="42"/>
      <c r="AW664" s="42"/>
      <c r="AX664" s="42"/>
      <c r="AY664" s="42"/>
      <c r="AZ664" s="42"/>
      <c r="BA664" s="42"/>
      <c r="BB664" s="42"/>
      <c r="BC664" s="42"/>
      <c r="BD664" s="42"/>
      <c r="BE664" s="42"/>
      <c r="BF664" s="42"/>
      <c r="BG664" s="42"/>
      <c r="BH664" s="42"/>
      <c r="BI664" s="42"/>
      <c r="BJ664" s="42"/>
      <c r="BK664" s="42"/>
      <c r="BL664" s="42"/>
      <c r="BM664" s="42"/>
      <c r="BN664" s="42"/>
      <c r="BO664" s="42"/>
      <c r="BP664" s="42"/>
      <c r="BQ664" s="42"/>
      <c r="BR664" s="42"/>
      <c r="BS664" s="42"/>
      <c r="BT664" s="42"/>
      <c r="BU664" s="42"/>
      <c r="BV664" s="42"/>
      <c r="BW664" s="42"/>
      <c r="BX664" s="42"/>
      <c r="BY664" s="42"/>
      <c r="BZ664" s="42"/>
      <c r="CA664" s="42"/>
      <c r="CB664" s="42"/>
      <c r="CC664" s="42"/>
      <c r="CD664" s="42"/>
      <c r="CE664" s="42"/>
      <c r="CF664" s="42"/>
      <c r="CG664" s="42"/>
      <c r="CH664" s="42"/>
      <c r="CS664" s="29"/>
      <c r="CT664" s="29"/>
      <c r="CU664" s="29"/>
      <c r="CV664" s="522"/>
      <c r="CW664" s="522"/>
      <c r="CX664" s="211"/>
      <c r="CY664" s="211"/>
      <c r="CZ664" s="211"/>
      <c r="DA664" s="211"/>
      <c r="DB664" s="211"/>
      <c r="DC664" s="211"/>
      <c r="DD664" s="211"/>
      <c r="DE664" s="211"/>
      <c r="DF664" s="60"/>
      <c r="DG664" s="60"/>
      <c r="DH664" s="60"/>
      <c r="DI664" s="60"/>
      <c r="DJ664" s="60"/>
    </row>
    <row r="665" spans="3:114" s="25" customFormat="1">
      <c r="C665" s="24"/>
      <c r="D665" s="24"/>
      <c r="G665" s="57"/>
      <c r="H665" s="57"/>
      <c r="I665" s="57"/>
      <c r="J665" s="57"/>
      <c r="K665" s="57"/>
      <c r="L665" s="57"/>
      <c r="M665" s="57"/>
      <c r="N665" s="57"/>
      <c r="O665" s="57"/>
      <c r="P665" s="57"/>
      <c r="Q665" s="57"/>
      <c r="R665" s="57"/>
      <c r="S665" s="57"/>
      <c r="T665" s="559"/>
      <c r="U665" s="29"/>
      <c r="V665" s="29"/>
      <c r="AJ665" s="1215"/>
      <c r="AK665" s="1142"/>
      <c r="AM665" s="42"/>
      <c r="AN665" s="42"/>
      <c r="AO665" s="42"/>
      <c r="AP665" s="42"/>
      <c r="AQ665" s="42"/>
      <c r="AR665" s="42"/>
      <c r="AS665" s="42"/>
      <c r="AT665" s="42"/>
      <c r="AU665" s="42"/>
      <c r="AV665" s="42"/>
      <c r="AW665" s="42"/>
      <c r="AX665" s="42"/>
      <c r="AY665" s="42"/>
      <c r="AZ665" s="42"/>
      <c r="BA665" s="42"/>
      <c r="BB665" s="42"/>
      <c r="BC665" s="42"/>
      <c r="BD665" s="42"/>
      <c r="BE665" s="42"/>
      <c r="BF665" s="42"/>
      <c r="BG665" s="42"/>
      <c r="BH665" s="42"/>
      <c r="BI665" s="42"/>
      <c r="BJ665" s="42"/>
      <c r="BK665" s="42"/>
      <c r="BL665" s="42"/>
      <c r="BM665" s="42"/>
      <c r="BN665" s="42"/>
      <c r="BO665" s="42"/>
      <c r="BP665" s="42"/>
      <c r="BQ665" s="42"/>
      <c r="BR665" s="42"/>
      <c r="BS665" s="42"/>
      <c r="BT665" s="42"/>
      <c r="BU665" s="42"/>
      <c r="BV665" s="42"/>
      <c r="BW665" s="42"/>
      <c r="BX665" s="42"/>
      <c r="BY665" s="42"/>
      <c r="BZ665" s="42"/>
      <c r="CA665" s="42"/>
      <c r="CB665" s="42"/>
      <c r="CC665" s="42"/>
      <c r="CD665" s="42"/>
      <c r="CE665" s="42"/>
      <c r="CF665" s="42"/>
      <c r="CG665" s="42"/>
      <c r="CH665" s="42"/>
      <c r="CS665" s="29"/>
      <c r="CT665" s="29"/>
      <c r="CU665" s="29"/>
      <c r="CV665" s="522"/>
      <c r="CW665" s="522"/>
      <c r="CX665" s="211"/>
      <c r="CY665" s="211"/>
      <c r="CZ665" s="211"/>
      <c r="DA665" s="211"/>
      <c r="DB665" s="211"/>
      <c r="DC665" s="211"/>
      <c r="DD665" s="211"/>
      <c r="DE665" s="211"/>
      <c r="DF665" s="60"/>
      <c r="DG665" s="60"/>
      <c r="DH665" s="60"/>
      <c r="DI665" s="60"/>
      <c r="DJ665" s="60"/>
    </row>
    <row r="666" spans="3:114" s="25" customFormat="1">
      <c r="C666" s="24"/>
      <c r="D666" s="24"/>
      <c r="G666" s="57"/>
      <c r="H666" s="57"/>
      <c r="I666" s="57"/>
      <c r="J666" s="57"/>
      <c r="K666" s="57"/>
      <c r="L666" s="57"/>
      <c r="M666" s="57"/>
      <c r="N666" s="57"/>
      <c r="O666" s="57"/>
      <c r="P666" s="57"/>
      <c r="Q666" s="57"/>
      <c r="R666" s="57"/>
      <c r="S666" s="57"/>
      <c r="T666" s="559"/>
      <c r="U666" s="29"/>
      <c r="V666" s="29"/>
      <c r="AJ666" s="1215"/>
      <c r="AK666" s="1142"/>
      <c r="AM666" s="42"/>
      <c r="AN666" s="42"/>
      <c r="AO666" s="42"/>
      <c r="AP666" s="42"/>
      <c r="AQ666" s="42"/>
      <c r="AR666" s="42"/>
      <c r="AS666" s="42"/>
      <c r="AT666" s="42"/>
      <c r="AU666" s="42"/>
      <c r="AV666" s="42"/>
      <c r="AW666" s="42"/>
      <c r="AX666" s="42"/>
      <c r="AY666" s="42"/>
      <c r="AZ666" s="42"/>
      <c r="BA666" s="42"/>
      <c r="BB666" s="42"/>
      <c r="BC666" s="42"/>
      <c r="BD666" s="42"/>
      <c r="BE666" s="42"/>
      <c r="BF666" s="42"/>
      <c r="BG666" s="42"/>
      <c r="BH666" s="42"/>
      <c r="BI666" s="42"/>
      <c r="BJ666" s="42"/>
      <c r="BK666" s="42"/>
      <c r="BL666" s="42"/>
      <c r="BM666" s="42"/>
      <c r="BN666" s="42"/>
      <c r="BO666" s="42"/>
      <c r="BP666" s="42"/>
      <c r="BQ666" s="42"/>
      <c r="BR666" s="42"/>
      <c r="BS666" s="42"/>
      <c r="BT666" s="42"/>
      <c r="BU666" s="42"/>
      <c r="BV666" s="42"/>
      <c r="BW666" s="42"/>
      <c r="BX666" s="42"/>
      <c r="BY666" s="42"/>
      <c r="BZ666" s="42"/>
      <c r="CA666" s="42"/>
      <c r="CB666" s="42"/>
      <c r="CC666" s="42"/>
      <c r="CD666" s="42"/>
      <c r="CE666" s="42"/>
      <c r="CF666" s="42"/>
      <c r="CG666" s="42"/>
      <c r="CH666" s="42"/>
      <c r="CS666" s="29"/>
      <c r="CT666" s="29"/>
      <c r="CU666" s="29"/>
      <c r="CV666" s="522"/>
      <c r="CW666" s="522"/>
      <c r="CX666" s="211"/>
      <c r="CY666" s="211"/>
      <c r="CZ666" s="211"/>
      <c r="DA666" s="211"/>
      <c r="DB666" s="211"/>
      <c r="DC666" s="211"/>
      <c r="DD666" s="211"/>
      <c r="DE666" s="211"/>
      <c r="DF666" s="60"/>
      <c r="DG666" s="60"/>
      <c r="DH666" s="60"/>
      <c r="DI666" s="60"/>
      <c r="DJ666" s="60"/>
    </row>
    <row r="667" spans="3:114" s="25" customFormat="1">
      <c r="C667" s="24"/>
      <c r="D667" s="24"/>
      <c r="G667" s="57"/>
      <c r="H667" s="57"/>
      <c r="I667" s="57"/>
      <c r="J667" s="57"/>
      <c r="K667" s="57"/>
      <c r="L667" s="57"/>
      <c r="M667" s="57"/>
      <c r="N667" s="57"/>
      <c r="O667" s="57"/>
      <c r="P667" s="57"/>
      <c r="Q667" s="57"/>
      <c r="R667" s="57"/>
      <c r="S667" s="57"/>
      <c r="T667" s="559"/>
      <c r="U667" s="29"/>
      <c r="V667" s="29"/>
      <c r="AJ667" s="1215"/>
      <c r="AK667" s="1142"/>
      <c r="AM667" s="42"/>
      <c r="AN667" s="42"/>
      <c r="AO667" s="42"/>
      <c r="AP667" s="42"/>
      <c r="AQ667" s="42"/>
      <c r="AR667" s="42"/>
      <c r="AS667" s="42"/>
      <c r="AT667" s="42"/>
      <c r="AU667" s="42"/>
      <c r="AV667" s="42"/>
      <c r="AW667" s="42"/>
      <c r="AX667" s="42"/>
      <c r="AY667" s="42"/>
      <c r="AZ667" s="42"/>
      <c r="BA667" s="42"/>
      <c r="BB667" s="42"/>
      <c r="BC667" s="42"/>
      <c r="BD667" s="42"/>
      <c r="BE667" s="42"/>
      <c r="BF667" s="42"/>
      <c r="BG667" s="42"/>
      <c r="BH667" s="42"/>
      <c r="BI667" s="42"/>
      <c r="BJ667" s="42"/>
      <c r="BK667" s="42"/>
      <c r="BL667" s="42"/>
      <c r="BM667" s="42"/>
      <c r="BN667" s="42"/>
      <c r="BO667" s="42"/>
      <c r="BP667" s="42"/>
      <c r="BQ667" s="42"/>
      <c r="BR667" s="42"/>
      <c r="BS667" s="42"/>
      <c r="BT667" s="42"/>
      <c r="BU667" s="42"/>
      <c r="BV667" s="42"/>
      <c r="BW667" s="42"/>
      <c r="BX667" s="42"/>
      <c r="BY667" s="42"/>
      <c r="BZ667" s="42"/>
      <c r="CA667" s="42"/>
      <c r="CB667" s="42"/>
      <c r="CC667" s="42"/>
      <c r="CD667" s="42"/>
      <c r="CE667" s="42"/>
      <c r="CF667" s="42"/>
      <c r="CG667" s="42"/>
      <c r="CH667" s="42"/>
      <c r="CS667" s="29"/>
      <c r="CT667" s="29"/>
      <c r="CU667" s="29"/>
      <c r="CV667" s="522"/>
      <c r="CW667" s="522"/>
      <c r="CX667" s="211"/>
      <c r="CY667" s="211"/>
      <c r="CZ667" s="211"/>
      <c r="DA667" s="211"/>
      <c r="DB667" s="211"/>
      <c r="DC667" s="211"/>
      <c r="DD667" s="211"/>
      <c r="DE667" s="211"/>
      <c r="DF667" s="60"/>
      <c r="DG667" s="60"/>
      <c r="DH667" s="60"/>
      <c r="DI667" s="60"/>
      <c r="DJ667" s="60"/>
    </row>
    <row r="668" spans="3:114" s="25" customFormat="1">
      <c r="C668" s="24"/>
      <c r="D668" s="24"/>
      <c r="G668" s="57"/>
      <c r="H668" s="57"/>
      <c r="I668" s="57"/>
      <c r="J668" s="57"/>
      <c r="K668" s="57"/>
      <c r="L668" s="57"/>
      <c r="M668" s="57"/>
      <c r="N668" s="57"/>
      <c r="O668" s="57"/>
      <c r="P668" s="57"/>
      <c r="Q668" s="57"/>
      <c r="R668" s="57"/>
      <c r="S668" s="57"/>
      <c r="T668" s="559"/>
      <c r="U668" s="29"/>
      <c r="V668" s="29"/>
      <c r="AJ668" s="1215"/>
      <c r="AK668" s="1142"/>
      <c r="AM668" s="42"/>
      <c r="AN668" s="42"/>
      <c r="AO668" s="42"/>
      <c r="AP668" s="42"/>
      <c r="AQ668" s="42"/>
      <c r="AR668" s="42"/>
      <c r="AS668" s="42"/>
      <c r="AT668" s="42"/>
      <c r="AU668" s="42"/>
      <c r="AV668" s="42"/>
      <c r="AW668" s="42"/>
      <c r="AX668" s="42"/>
      <c r="AY668" s="42"/>
      <c r="AZ668" s="42"/>
      <c r="BA668" s="42"/>
      <c r="BB668" s="42"/>
      <c r="BC668" s="42"/>
      <c r="BD668" s="42"/>
      <c r="BE668" s="42"/>
      <c r="BF668" s="42"/>
      <c r="BG668" s="42"/>
      <c r="BH668" s="42"/>
      <c r="BI668" s="42"/>
      <c r="BJ668" s="42"/>
      <c r="BK668" s="42"/>
      <c r="BL668" s="42"/>
      <c r="BM668" s="42"/>
      <c r="BN668" s="42"/>
      <c r="BO668" s="42"/>
      <c r="BP668" s="42"/>
      <c r="BQ668" s="42"/>
      <c r="BR668" s="42"/>
      <c r="BS668" s="42"/>
      <c r="BT668" s="42"/>
      <c r="BU668" s="42"/>
      <c r="BV668" s="42"/>
      <c r="BW668" s="42"/>
      <c r="BX668" s="42"/>
      <c r="BY668" s="42"/>
      <c r="BZ668" s="42"/>
      <c r="CA668" s="42"/>
      <c r="CB668" s="42"/>
      <c r="CC668" s="42"/>
      <c r="CD668" s="42"/>
      <c r="CE668" s="42"/>
      <c r="CF668" s="42"/>
      <c r="CG668" s="42"/>
      <c r="CH668" s="42"/>
      <c r="CS668" s="29"/>
      <c r="CT668" s="29"/>
      <c r="CU668" s="29"/>
      <c r="CV668" s="522"/>
      <c r="CW668" s="522"/>
      <c r="CX668" s="211"/>
      <c r="CY668" s="211"/>
      <c r="CZ668" s="211"/>
      <c r="DA668" s="211"/>
      <c r="DB668" s="211"/>
      <c r="DC668" s="211"/>
      <c r="DD668" s="211"/>
      <c r="DE668" s="211"/>
      <c r="DF668" s="60"/>
      <c r="DG668" s="60"/>
      <c r="DH668" s="60"/>
      <c r="DI668" s="60"/>
      <c r="DJ668" s="60"/>
    </row>
    <row r="669" spans="3:114" s="25" customFormat="1">
      <c r="C669" s="24"/>
      <c r="D669" s="24"/>
      <c r="G669" s="57"/>
      <c r="H669" s="57"/>
      <c r="I669" s="57"/>
      <c r="J669" s="57"/>
      <c r="K669" s="57"/>
      <c r="L669" s="57"/>
      <c r="M669" s="57"/>
      <c r="N669" s="57"/>
      <c r="O669" s="57"/>
      <c r="P669" s="57"/>
      <c r="Q669" s="57"/>
      <c r="R669" s="57"/>
      <c r="S669" s="57"/>
      <c r="T669" s="559"/>
      <c r="U669" s="29"/>
      <c r="V669" s="29"/>
      <c r="AJ669" s="1215"/>
      <c r="AK669" s="1142"/>
      <c r="AM669" s="42"/>
      <c r="AN669" s="42"/>
      <c r="AO669" s="42"/>
      <c r="AP669" s="42"/>
      <c r="AQ669" s="42"/>
      <c r="AR669" s="42"/>
      <c r="AS669" s="42"/>
      <c r="AT669" s="42"/>
      <c r="AU669" s="42"/>
      <c r="AV669" s="42"/>
      <c r="AW669" s="42"/>
      <c r="AX669" s="42"/>
      <c r="AY669" s="42"/>
      <c r="AZ669" s="42"/>
      <c r="BA669" s="42"/>
      <c r="BB669" s="42"/>
      <c r="BC669" s="42"/>
      <c r="BD669" s="42"/>
      <c r="BE669" s="42"/>
      <c r="BF669" s="42"/>
      <c r="BG669" s="42"/>
      <c r="BH669" s="42"/>
      <c r="BI669" s="42"/>
      <c r="BJ669" s="42"/>
      <c r="BK669" s="42"/>
      <c r="BL669" s="42"/>
      <c r="BM669" s="42"/>
      <c r="BN669" s="42"/>
      <c r="BO669" s="42"/>
      <c r="BP669" s="42"/>
      <c r="BQ669" s="42"/>
      <c r="BR669" s="42"/>
      <c r="BS669" s="42"/>
      <c r="BT669" s="42"/>
      <c r="BU669" s="42"/>
      <c r="BV669" s="42"/>
      <c r="BW669" s="42"/>
      <c r="BX669" s="42"/>
      <c r="BY669" s="42"/>
      <c r="BZ669" s="42"/>
      <c r="CA669" s="42"/>
      <c r="CB669" s="42"/>
      <c r="CC669" s="42"/>
      <c r="CD669" s="42"/>
      <c r="CE669" s="42"/>
      <c r="CF669" s="42"/>
      <c r="CG669" s="42"/>
      <c r="CH669" s="42"/>
      <c r="CS669" s="29"/>
      <c r="CT669" s="29"/>
      <c r="CU669" s="29"/>
      <c r="CV669" s="522"/>
      <c r="CW669" s="522"/>
      <c r="CX669" s="211"/>
      <c r="CY669" s="211"/>
      <c r="CZ669" s="211"/>
      <c r="DA669" s="211"/>
      <c r="DB669" s="211"/>
      <c r="DC669" s="211"/>
      <c r="DD669" s="211"/>
      <c r="DE669" s="211"/>
      <c r="DF669" s="60"/>
      <c r="DG669" s="60"/>
      <c r="DH669" s="60"/>
      <c r="DI669" s="60"/>
      <c r="DJ669" s="60"/>
    </row>
    <row r="670" spans="3:114" s="25" customFormat="1">
      <c r="C670" s="24"/>
      <c r="D670" s="24"/>
      <c r="G670" s="57"/>
      <c r="H670" s="57"/>
      <c r="I670" s="57"/>
      <c r="J670" s="57"/>
      <c r="K670" s="57"/>
      <c r="L670" s="57"/>
      <c r="M670" s="57"/>
      <c r="N670" s="57"/>
      <c r="O670" s="57"/>
      <c r="P670" s="57"/>
      <c r="Q670" s="57"/>
      <c r="R670" s="57"/>
      <c r="S670" s="57"/>
      <c r="T670" s="559"/>
      <c r="U670" s="29"/>
      <c r="V670" s="29"/>
      <c r="AJ670" s="1215"/>
      <c r="AK670" s="1142"/>
      <c r="AM670" s="42"/>
      <c r="AN670" s="42"/>
      <c r="AO670" s="42"/>
      <c r="AP670" s="42"/>
      <c r="AQ670" s="42"/>
      <c r="AR670" s="42"/>
      <c r="AS670" s="42"/>
      <c r="AT670" s="42"/>
      <c r="AU670" s="42"/>
      <c r="AV670" s="42"/>
      <c r="AW670" s="42"/>
      <c r="AX670" s="42"/>
      <c r="AY670" s="42"/>
      <c r="AZ670" s="42"/>
      <c r="BA670" s="42"/>
      <c r="BB670" s="42"/>
      <c r="BC670" s="42"/>
      <c r="BD670" s="42"/>
      <c r="BE670" s="42"/>
      <c r="BF670" s="42"/>
      <c r="BG670" s="42"/>
      <c r="BH670" s="42"/>
      <c r="BI670" s="42"/>
      <c r="BJ670" s="42"/>
      <c r="BK670" s="42"/>
      <c r="BL670" s="42"/>
      <c r="BM670" s="42"/>
      <c r="BN670" s="42"/>
      <c r="BO670" s="42"/>
      <c r="BP670" s="42"/>
      <c r="BQ670" s="42"/>
      <c r="BR670" s="42"/>
      <c r="BS670" s="42"/>
      <c r="BT670" s="42"/>
      <c r="BU670" s="42"/>
      <c r="BV670" s="42"/>
      <c r="BW670" s="42"/>
      <c r="BX670" s="42"/>
      <c r="BY670" s="42"/>
      <c r="BZ670" s="42"/>
      <c r="CA670" s="42"/>
      <c r="CB670" s="42"/>
      <c r="CC670" s="42"/>
      <c r="CD670" s="42"/>
      <c r="CE670" s="42"/>
      <c r="CF670" s="42"/>
      <c r="CG670" s="42"/>
      <c r="CH670" s="42"/>
      <c r="CS670" s="29"/>
      <c r="CT670" s="29"/>
      <c r="CU670" s="29"/>
      <c r="CV670" s="522"/>
      <c r="CW670" s="522"/>
      <c r="CX670" s="211"/>
      <c r="CY670" s="211"/>
      <c r="CZ670" s="211"/>
      <c r="DA670" s="211"/>
      <c r="DB670" s="211"/>
      <c r="DC670" s="211"/>
      <c r="DD670" s="211"/>
      <c r="DE670" s="211"/>
      <c r="DF670" s="60"/>
      <c r="DG670" s="60"/>
      <c r="DH670" s="60"/>
      <c r="DI670" s="60"/>
      <c r="DJ670" s="60"/>
    </row>
    <row r="671" spans="3:114" s="25" customFormat="1">
      <c r="C671" s="24"/>
      <c r="D671" s="24"/>
      <c r="G671" s="57"/>
      <c r="H671" s="57"/>
      <c r="I671" s="57"/>
      <c r="J671" s="57"/>
      <c r="K671" s="57"/>
      <c r="L671" s="57"/>
      <c r="M671" s="57"/>
      <c r="N671" s="57"/>
      <c r="O671" s="57"/>
      <c r="P671" s="57"/>
      <c r="Q671" s="57"/>
      <c r="R671" s="57"/>
      <c r="S671" s="57"/>
      <c r="T671" s="559"/>
      <c r="U671" s="29"/>
      <c r="V671" s="29"/>
      <c r="AJ671" s="1215"/>
      <c r="AK671" s="1142"/>
      <c r="AM671" s="42"/>
      <c r="AN671" s="42"/>
      <c r="AO671" s="42"/>
      <c r="AP671" s="42"/>
      <c r="AQ671" s="42"/>
      <c r="AR671" s="42"/>
      <c r="AS671" s="42"/>
      <c r="AT671" s="42"/>
      <c r="AU671" s="42"/>
      <c r="AV671" s="42"/>
      <c r="AW671" s="42"/>
      <c r="AX671" s="42"/>
      <c r="AY671" s="42"/>
      <c r="AZ671" s="42"/>
      <c r="BA671" s="42"/>
      <c r="BB671" s="42"/>
      <c r="BC671" s="42"/>
      <c r="BD671" s="42"/>
      <c r="BE671" s="42"/>
      <c r="BF671" s="42"/>
      <c r="BG671" s="42"/>
      <c r="BH671" s="42"/>
      <c r="BI671" s="42"/>
      <c r="BJ671" s="42"/>
      <c r="BK671" s="42"/>
      <c r="BL671" s="42"/>
      <c r="BM671" s="42"/>
      <c r="BN671" s="42"/>
      <c r="BO671" s="42"/>
      <c r="BP671" s="42"/>
      <c r="BQ671" s="42"/>
      <c r="BR671" s="42"/>
      <c r="BS671" s="42"/>
      <c r="BT671" s="42"/>
      <c r="BU671" s="42"/>
      <c r="BV671" s="42"/>
      <c r="BW671" s="42"/>
      <c r="BX671" s="42"/>
      <c r="BY671" s="42"/>
      <c r="BZ671" s="42"/>
      <c r="CA671" s="42"/>
      <c r="CB671" s="42"/>
      <c r="CC671" s="42"/>
      <c r="CD671" s="42"/>
      <c r="CE671" s="42"/>
      <c r="CF671" s="42"/>
      <c r="CG671" s="42"/>
      <c r="CH671" s="42"/>
      <c r="CS671" s="29"/>
      <c r="CT671" s="29"/>
      <c r="CU671" s="29"/>
      <c r="CV671" s="522"/>
      <c r="CW671" s="522"/>
      <c r="CX671" s="211"/>
      <c r="CY671" s="211"/>
      <c r="CZ671" s="211"/>
      <c r="DA671" s="211"/>
      <c r="DB671" s="211"/>
      <c r="DC671" s="211"/>
      <c r="DD671" s="211"/>
      <c r="DE671" s="211"/>
      <c r="DF671" s="60"/>
      <c r="DG671" s="60"/>
      <c r="DH671" s="60"/>
      <c r="DI671" s="60"/>
      <c r="DJ671" s="60"/>
    </row>
    <row r="672" spans="3:114" s="25" customFormat="1">
      <c r="C672" s="24"/>
      <c r="D672" s="24"/>
      <c r="G672" s="57"/>
      <c r="H672" s="57"/>
      <c r="I672" s="57"/>
      <c r="J672" s="57"/>
      <c r="K672" s="57"/>
      <c r="L672" s="57"/>
      <c r="M672" s="57"/>
      <c r="N672" s="57"/>
      <c r="O672" s="57"/>
      <c r="P672" s="57"/>
      <c r="Q672" s="57"/>
      <c r="R672" s="57"/>
      <c r="S672" s="57"/>
      <c r="T672" s="559"/>
      <c r="U672" s="29"/>
      <c r="V672" s="29"/>
      <c r="AJ672" s="1215"/>
      <c r="AK672" s="1142"/>
      <c r="AM672" s="42"/>
      <c r="AN672" s="42"/>
      <c r="AO672" s="42"/>
      <c r="AP672" s="42"/>
      <c r="AQ672" s="42"/>
      <c r="AR672" s="42"/>
      <c r="AS672" s="42"/>
      <c r="AT672" s="42"/>
      <c r="AU672" s="42"/>
      <c r="AV672" s="42"/>
      <c r="AW672" s="42"/>
      <c r="AX672" s="42"/>
      <c r="AY672" s="42"/>
      <c r="AZ672" s="42"/>
      <c r="BA672" s="42"/>
      <c r="BB672" s="42"/>
      <c r="BC672" s="42"/>
      <c r="BD672" s="42"/>
      <c r="BE672" s="42"/>
      <c r="BF672" s="42"/>
      <c r="BG672" s="42"/>
      <c r="BH672" s="42"/>
      <c r="BI672" s="42"/>
      <c r="BJ672" s="42"/>
      <c r="BK672" s="42"/>
      <c r="BL672" s="42"/>
      <c r="BM672" s="42"/>
      <c r="BN672" s="42"/>
      <c r="BO672" s="42"/>
      <c r="BP672" s="42"/>
      <c r="BQ672" s="42"/>
      <c r="BR672" s="42"/>
      <c r="BS672" s="42"/>
      <c r="BT672" s="42"/>
      <c r="BU672" s="42"/>
      <c r="BV672" s="42"/>
      <c r="BW672" s="42"/>
      <c r="BX672" s="42"/>
      <c r="BY672" s="42"/>
      <c r="BZ672" s="42"/>
      <c r="CA672" s="42"/>
      <c r="CB672" s="42"/>
      <c r="CC672" s="42"/>
      <c r="CD672" s="42"/>
      <c r="CE672" s="42"/>
      <c r="CF672" s="42"/>
      <c r="CG672" s="42"/>
      <c r="CH672" s="42"/>
      <c r="CS672" s="29"/>
      <c r="CT672" s="29"/>
      <c r="CU672" s="29"/>
      <c r="CV672" s="522"/>
      <c r="CW672" s="522"/>
      <c r="CX672" s="211"/>
      <c r="CY672" s="211"/>
      <c r="CZ672" s="211"/>
      <c r="DA672" s="211"/>
      <c r="DB672" s="211"/>
      <c r="DC672" s="211"/>
      <c r="DD672" s="211"/>
      <c r="DE672" s="211"/>
      <c r="DF672" s="60"/>
      <c r="DG672" s="60"/>
      <c r="DH672" s="60"/>
      <c r="DI672" s="60"/>
      <c r="DJ672" s="60"/>
    </row>
    <row r="673" spans="3:114" s="25" customFormat="1">
      <c r="C673" s="24"/>
      <c r="D673" s="24"/>
      <c r="G673" s="57"/>
      <c r="H673" s="57"/>
      <c r="I673" s="57"/>
      <c r="J673" s="57"/>
      <c r="K673" s="57"/>
      <c r="L673" s="57"/>
      <c r="M673" s="57"/>
      <c r="N673" s="57"/>
      <c r="O673" s="57"/>
      <c r="P673" s="57"/>
      <c r="Q673" s="57"/>
      <c r="R673" s="57"/>
      <c r="S673" s="57"/>
      <c r="T673" s="559"/>
      <c r="U673" s="29"/>
      <c r="V673" s="29"/>
      <c r="AJ673" s="1215"/>
      <c r="AK673" s="1142"/>
      <c r="AM673" s="42"/>
      <c r="AN673" s="42"/>
      <c r="AO673" s="42"/>
      <c r="AP673" s="42"/>
      <c r="AQ673" s="42"/>
      <c r="AR673" s="42"/>
      <c r="AS673" s="42"/>
      <c r="AT673" s="42"/>
      <c r="AU673" s="42"/>
      <c r="AV673" s="42"/>
      <c r="AW673" s="42"/>
      <c r="AX673" s="42"/>
      <c r="AY673" s="42"/>
      <c r="AZ673" s="42"/>
      <c r="BA673" s="42"/>
      <c r="BB673" s="42"/>
      <c r="BC673" s="42"/>
      <c r="BD673" s="42"/>
      <c r="BE673" s="42"/>
      <c r="BF673" s="42"/>
      <c r="BG673" s="42"/>
      <c r="BH673" s="42"/>
      <c r="BI673" s="42"/>
      <c r="BJ673" s="42"/>
      <c r="BK673" s="42"/>
      <c r="BL673" s="42"/>
      <c r="BM673" s="42"/>
      <c r="BN673" s="42"/>
      <c r="BO673" s="42"/>
      <c r="BP673" s="42"/>
      <c r="BQ673" s="42"/>
      <c r="BR673" s="42"/>
      <c r="BS673" s="42"/>
      <c r="BT673" s="42"/>
      <c r="BU673" s="42"/>
      <c r="BV673" s="42"/>
      <c r="BW673" s="42"/>
      <c r="BX673" s="42"/>
      <c r="BY673" s="42"/>
      <c r="BZ673" s="42"/>
      <c r="CA673" s="42"/>
      <c r="CB673" s="42"/>
      <c r="CC673" s="42"/>
      <c r="CD673" s="42"/>
      <c r="CE673" s="42"/>
      <c r="CF673" s="42"/>
      <c r="CG673" s="42"/>
      <c r="CH673" s="42"/>
      <c r="CS673" s="29"/>
      <c r="CT673" s="29"/>
      <c r="CU673" s="29"/>
      <c r="CV673" s="522"/>
      <c r="CW673" s="522"/>
      <c r="CX673" s="211"/>
      <c r="CY673" s="211"/>
      <c r="CZ673" s="211"/>
      <c r="DA673" s="211"/>
      <c r="DB673" s="211"/>
      <c r="DC673" s="211"/>
      <c r="DD673" s="211"/>
      <c r="DE673" s="211"/>
      <c r="DF673" s="60"/>
      <c r="DG673" s="60"/>
      <c r="DH673" s="60"/>
      <c r="DI673" s="60"/>
      <c r="DJ673" s="60"/>
    </row>
    <row r="674" spans="3:114" s="25" customFormat="1">
      <c r="C674" s="24"/>
      <c r="D674" s="24"/>
      <c r="G674" s="57"/>
      <c r="H674" s="57"/>
      <c r="I674" s="57"/>
      <c r="J674" s="57"/>
      <c r="K674" s="57"/>
      <c r="L674" s="57"/>
      <c r="M674" s="57"/>
      <c r="N674" s="57"/>
      <c r="O674" s="57"/>
      <c r="P674" s="57"/>
      <c r="Q674" s="57"/>
      <c r="R674" s="57"/>
      <c r="S674" s="57"/>
      <c r="T674" s="559"/>
      <c r="U674" s="29"/>
      <c r="V674" s="29"/>
      <c r="AJ674" s="1215"/>
      <c r="AK674" s="1142"/>
      <c r="AM674" s="42"/>
      <c r="AN674" s="42"/>
      <c r="AO674" s="42"/>
      <c r="AP674" s="42"/>
      <c r="AQ674" s="42"/>
      <c r="AR674" s="42"/>
      <c r="AS674" s="42"/>
      <c r="AT674" s="42"/>
      <c r="AU674" s="42"/>
      <c r="AV674" s="42"/>
      <c r="AW674" s="42"/>
      <c r="AX674" s="42"/>
      <c r="AY674" s="42"/>
      <c r="AZ674" s="42"/>
      <c r="BA674" s="42"/>
      <c r="BB674" s="42"/>
      <c r="BC674" s="42"/>
      <c r="BD674" s="42"/>
      <c r="BE674" s="42"/>
      <c r="BF674" s="42"/>
      <c r="BG674" s="42"/>
      <c r="BH674" s="42"/>
      <c r="BI674" s="42"/>
      <c r="BJ674" s="42"/>
      <c r="BK674" s="42"/>
      <c r="BL674" s="42"/>
      <c r="BM674" s="42"/>
      <c r="BN674" s="42"/>
      <c r="BO674" s="42"/>
      <c r="BP674" s="42"/>
      <c r="BQ674" s="42"/>
      <c r="BR674" s="42"/>
      <c r="BS674" s="42"/>
      <c r="BT674" s="42"/>
      <c r="BU674" s="42"/>
      <c r="BV674" s="42"/>
      <c r="BW674" s="42"/>
      <c r="BX674" s="42"/>
      <c r="BY674" s="42"/>
      <c r="BZ674" s="42"/>
      <c r="CA674" s="42"/>
      <c r="CB674" s="42"/>
      <c r="CC674" s="42"/>
      <c r="CD674" s="42"/>
      <c r="CE674" s="42"/>
      <c r="CF674" s="42"/>
      <c r="CG674" s="42"/>
      <c r="CH674" s="42"/>
      <c r="CS674" s="29"/>
      <c r="CT674" s="29"/>
      <c r="CU674" s="29"/>
      <c r="CV674" s="522"/>
      <c r="CW674" s="522"/>
      <c r="CX674" s="211"/>
      <c r="CY674" s="211"/>
      <c r="CZ674" s="211"/>
      <c r="DA674" s="211"/>
      <c r="DB674" s="211"/>
      <c r="DC674" s="211"/>
      <c r="DD674" s="211"/>
      <c r="DE674" s="211"/>
      <c r="DF674" s="60"/>
      <c r="DG674" s="60"/>
      <c r="DH674" s="60"/>
      <c r="DI674" s="60"/>
      <c r="DJ674" s="60"/>
    </row>
    <row r="675" spans="3:114" s="25" customFormat="1">
      <c r="C675" s="24"/>
      <c r="D675" s="24"/>
      <c r="G675" s="57"/>
      <c r="H675" s="57"/>
      <c r="I675" s="57"/>
      <c r="J675" s="57"/>
      <c r="K675" s="57"/>
      <c r="L675" s="57"/>
      <c r="M675" s="57"/>
      <c r="N675" s="57"/>
      <c r="O675" s="57"/>
      <c r="P675" s="57"/>
      <c r="Q675" s="57"/>
      <c r="R675" s="57"/>
      <c r="S675" s="57"/>
      <c r="T675" s="559"/>
      <c r="U675" s="29"/>
      <c r="V675" s="29"/>
      <c r="AJ675" s="1215"/>
      <c r="AK675" s="1142"/>
      <c r="AM675" s="42"/>
      <c r="AN675" s="42"/>
      <c r="AO675" s="42"/>
      <c r="AP675" s="42"/>
      <c r="AQ675" s="42"/>
      <c r="AR675" s="42"/>
      <c r="AS675" s="42"/>
      <c r="AT675" s="42"/>
      <c r="AU675" s="42"/>
      <c r="AV675" s="42"/>
      <c r="AW675" s="42"/>
      <c r="AX675" s="42"/>
      <c r="AY675" s="42"/>
      <c r="AZ675" s="42"/>
      <c r="BA675" s="42"/>
      <c r="BB675" s="42"/>
      <c r="BC675" s="42"/>
      <c r="BD675" s="42"/>
      <c r="BE675" s="42"/>
      <c r="BF675" s="42"/>
      <c r="BG675" s="42"/>
      <c r="BH675" s="42"/>
      <c r="BI675" s="42"/>
      <c r="BJ675" s="42"/>
      <c r="BK675" s="42"/>
      <c r="BL675" s="42"/>
      <c r="BM675" s="42"/>
      <c r="BN675" s="42"/>
      <c r="BO675" s="42"/>
      <c r="BP675" s="42"/>
      <c r="BQ675" s="42"/>
      <c r="BR675" s="42"/>
      <c r="BS675" s="42"/>
      <c r="BT675" s="42"/>
      <c r="BU675" s="42"/>
      <c r="BV675" s="42"/>
      <c r="BW675" s="42"/>
      <c r="BX675" s="42"/>
      <c r="BY675" s="42"/>
      <c r="BZ675" s="42"/>
      <c r="CA675" s="42"/>
      <c r="CB675" s="42"/>
      <c r="CC675" s="42"/>
      <c r="CD675" s="42"/>
      <c r="CE675" s="42"/>
      <c r="CF675" s="42"/>
      <c r="CG675" s="42"/>
      <c r="CH675" s="42"/>
      <c r="CS675" s="29"/>
      <c r="CT675" s="29"/>
      <c r="CU675" s="29"/>
      <c r="CV675" s="522"/>
      <c r="CW675" s="522"/>
      <c r="CX675" s="211"/>
      <c r="CY675" s="211"/>
      <c r="CZ675" s="211"/>
      <c r="DA675" s="211"/>
      <c r="DB675" s="211"/>
      <c r="DC675" s="211"/>
      <c r="DD675" s="211"/>
      <c r="DE675" s="211"/>
      <c r="DF675" s="60"/>
      <c r="DG675" s="60"/>
      <c r="DH675" s="60"/>
      <c r="DI675" s="60"/>
      <c r="DJ675" s="60"/>
    </row>
    <row r="676" spans="3:114" s="25" customFormat="1">
      <c r="C676" s="24"/>
      <c r="D676" s="24"/>
      <c r="G676" s="57"/>
      <c r="H676" s="57"/>
      <c r="I676" s="57"/>
      <c r="J676" s="57"/>
      <c r="K676" s="57"/>
      <c r="L676" s="57"/>
      <c r="M676" s="57"/>
      <c r="N676" s="57"/>
      <c r="O676" s="57"/>
      <c r="P676" s="57"/>
      <c r="Q676" s="57"/>
      <c r="R676" s="57"/>
      <c r="S676" s="57"/>
      <c r="T676" s="559"/>
      <c r="U676" s="29"/>
      <c r="V676" s="29"/>
      <c r="AJ676" s="1215"/>
      <c r="AK676" s="1142"/>
      <c r="AM676" s="42"/>
      <c r="AN676" s="42"/>
      <c r="AO676" s="42"/>
      <c r="AP676" s="42"/>
      <c r="AQ676" s="42"/>
      <c r="AR676" s="42"/>
      <c r="AS676" s="42"/>
      <c r="AT676" s="42"/>
      <c r="AU676" s="42"/>
      <c r="AV676" s="42"/>
      <c r="AW676" s="42"/>
      <c r="AX676" s="42"/>
      <c r="AY676" s="42"/>
      <c r="AZ676" s="42"/>
      <c r="BA676" s="42"/>
      <c r="BB676" s="42"/>
      <c r="BC676" s="42"/>
      <c r="BD676" s="42"/>
      <c r="BE676" s="42"/>
      <c r="BF676" s="42"/>
      <c r="BG676" s="42"/>
      <c r="BH676" s="42"/>
      <c r="BI676" s="42"/>
      <c r="BJ676" s="42"/>
      <c r="BK676" s="42"/>
      <c r="BL676" s="42"/>
      <c r="BM676" s="42"/>
      <c r="BN676" s="42"/>
      <c r="BO676" s="42"/>
      <c r="BP676" s="42"/>
      <c r="BQ676" s="42"/>
      <c r="BR676" s="42"/>
      <c r="BS676" s="42"/>
      <c r="BT676" s="42"/>
      <c r="BU676" s="42"/>
      <c r="BV676" s="42"/>
      <c r="BW676" s="42"/>
      <c r="BX676" s="42"/>
      <c r="BY676" s="42"/>
      <c r="BZ676" s="42"/>
      <c r="CA676" s="42"/>
      <c r="CB676" s="42"/>
      <c r="CC676" s="42"/>
      <c r="CD676" s="42"/>
      <c r="CE676" s="42"/>
      <c r="CF676" s="42"/>
      <c r="CG676" s="42"/>
      <c r="CH676" s="42"/>
      <c r="CS676" s="29"/>
      <c r="CT676" s="29"/>
      <c r="CU676" s="29"/>
      <c r="CV676" s="522"/>
      <c r="CW676" s="522"/>
      <c r="CX676" s="211"/>
      <c r="CY676" s="211"/>
      <c r="CZ676" s="211"/>
      <c r="DA676" s="211"/>
      <c r="DB676" s="211"/>
      <c r="DC676" s="211"/>
      <c r="DD676" s="211"/>
      <c r="DE676" s="211"/>
      <c r="DF676" s="60"/>
      <c r="DG676" s="60"/>
      <c r="DH676" s="60"/>
      <c r="DI676" s="60"/>
      <c r="DJ676" s="60"/>
    </row>
    <row r="677" spans="3:114" s="25" customFormat="1">
      <c r="C677" s="24"/>
      <c r="D677" s="24"/>
      <c r="G677" s="57"/>
      <c r="H677" s="57"/>
      <c r="I677" s="57"/>
      <c r="J677" s="57"/>
      <c r="K677" s="57"/>
      <c r="L677" s="57"/>
      <c r="M677" s="57"/>
      <c r="N677" s="57"/>
      <c r="O677" s="57"/>
      <c r="P677" s="57"/>
      <c r="Q677" s="57"/>
      <c r="R677" s="57"/>
      <c r="S677" s="57"/>
      <c r="T677" s="559"/>
      <c r="U677" s="29"/>
      <c r="V677" s="29"/>
      <c r="AJ677" s="1215"/>
      <c r="AK677" s="1142"/>
      <c r="AM677" s="42"/>
      <c r="AN677" s="42"/>
      <c r="AO677" s="42"/>
      <c r="AP677" s="42"/>
      <c r="AQ677" s="42"/>
      <c r="AR677" s="42"/>
      <c r="AS677" s="42"/>
      <c r="AT677" s="42"/>
      <c r="AU677" s="42"/>
      <c r="AV677" s="42"/>
      <c r="AW677" s="42"/>
      <c r="AX677" s="42"/>
      <c r="AY677" s="42"/>
      <c r="AZ677" s="42"/>
      <c r="BA677" s="42"/>
      <c r="BB677" s="42"/>
      <c r="BC677" s="42"/>
      <c r="BD677" s="42"/>
      <c r="BE677" s="42"/>
      <c r="BF677" s="42"/>
      <c r="BG677" s="42"/>
      <c r="BH677" s="42"/>
      <c r="BI677" s="42"/>
      <c r="BJ677" s="42"/>
      <c r="BK677" s="42"/>
      <c r="BL677" s="42"/>
      <c r="BM677" s="42"/>
      <c r="BN677" s="42"/>
      <c r="BO677" s="42"/>
      <c r="BP677" s="42"/>
      <c r="BQ677" s="42"/>
      <c r="BR677" s="42"/>
      <c r="BS677" s="42"/>
      <c r="BT677" s="42"/>
      <c r="BU677" s="42"/>
      <c r="BV677" s="42"/>
      <c r="BW677" s="42"/>
      <c r="BX677" s="42"/>
      <c r="BY677" s="42"/>
      <c r="BZ677" s="42"/>
      <c r="CA677" s="42"/>
      <c r="CB677" s="42"/>
      <c r="CC677" s="42"/>
      <c r="CD677" s="42"/>
      <c r="CE677" s="42"/>
      <c r="CF677" s="42"/>
      <c r="CG677" s="42"/>
      <c r="CH677" s="42"/>
      <c r="CS677" s="29"/>
      <c r="CT677" s="29"/>
      <c r="CU677" s="29"/>
      <c r="CV677" s="522"/>
      <c r="CW677" s="522"/>
      <c r="CX677" s="211"/>
      <c r="CY677" s="211"/>
      <c r="CZ677" s="211"/>
      <c r="DA677" s="211"/>
      <c r="DB677" s="211"/>
      <c r="DC677" s="211"/>
      <c r="DD677" s="211"/>
      <c r="DE677" s="211"/>
      <c r="DF677" s="60"/>
      <c r="DG677" s="60"/>
      <c r="DH677" s="60"/>
      <c r="DI677" s="60"/>
      <c r="DJ677" s="60"/>
    </row>
    <row r="678" spans="3:114" s="25" customFormat="1">
      <c r="C678" s="24"/>
      <c r="D678" s="24"/>
      <c r="G678" s="57"/>
      <c r="H678" s="57"/>
      <c r="I678" s="57"/>
      <c r="J678" s="57"/>
      <c r="K678" s="57"/>
      <c r="L678" s="57"/>
      <c r="M678" s="57"/>
      <c r="N678" s="57"/>
      <c r="O678" s="57"/>
      <c r="P678" s="57"/>
      <c r="Q678" s="57"/>
      <c r="R678" s="57"/>
      <c r="S678" s="57"/>
      <c r="T678" s="559"/>
      <c r="U678" s="29"/>
      <c r="V678" s="29"/>
      <c r="AJ678" s="1215"/>
      <c r="AK678" s="1142"/>
      <c r="AM678" s="42"/>
      <c r="AN678" s="42"/>
      <c r="AO678" s="42"/>
      <c r="AP678" s="42"/>
      <c r="AQ678" s="42"/>
      <c r="AR678" s="42"/>
      <c r="AS678" s="42"/>
      <c r="AT678" s="42"/>
      <c r="AU678" s="42"/>
      <c r="AV678" s="42"/>
      <c r="AW678" s="42"/>
      <c r="AX678" s="42"/>
      <c r="AY678" s="42"/>
      <c r="AZ678" s="42"/>
      <c r="BA678" s="42"/>
      <c r="BB678" s="42"/>
      <c r="BC678" s="42"/>
      <c r="BD678" s="42"/>
      <c r="BE678" s="42"/>
      <c r="BF678" s="42"/>
      <c r="BG678" s="42"/>
      <c r="BH678" s="42"/>
      <c r="BI678" s="42"/>
      <c r="BJ678" s="42"/>
      <c r="BK678" s="42"/>
      <c r="BL678" s="42"/>
      <c r="BM678" s="42"/>
      <c r="BN678" s="42"/>
      <c r="BO678" s="42"/>
      <c r="BP678" s="42"/>
      <c r="BQ678" s="42"/>
      <c r="BR678" s="42"/>
      <c r="BS678" s="42"/>
      <c r="BT678" s="42"/>
      <c r="BU678" s="42"/>
      <c r="BV678" s="42"/>
      <c r="BW678" s="42"/>
      <c r="BX678" s="42"/>
      <c r="BY678" s="42"/>
      <c r="BZ678" s="42"/>
      <c r="CA678" s="42"/>
      <c r="CB678" s="42"/>
      <c r="CC678" s="42"/>
      <c r="CD678" s="42"/>
      <c r="CE678" s="42"/>
      <c r="CF678" s="42"/>
      <c r="CG678" s="42"/>
      <c r="CH678" s="42"/>
      <c r="CS678" s="29"/>
      <c r="CT678" s="29"/>
      <c r="CU678" s="29"/>
      <c r="CV678" s="522"/>
      <c r="CW678" s="522"/>
      <c r="CX678" s="211"/>
      <c r="CY678" s="211"/>
      <c r="CZ678" s="211"/>
      <c r="DA678" s="211"/>
      <c r="DB678" s="211"/>
      <c r="DC678" s="211"/>
      <c r="DD678" s="211"/>
      <c r="DE678" s="211"/>
      <c r="DF678" s="60"/>
      <c r="DG678" s="60"/>
      <c r="DH678" s="60"/>
      <c r="DI678" s="60"/>
      <c r="DJ678" s="60"/>
    </row>
    <row r="679" spans="3:114" s="25" customFormat="1">
      <c r="C679" s="24"/>
      <c r="D679" s="24"/>
      <c r="G679" s="57"/>
      <c r="H679" s="57"/>
      <c r="I679" s="57"/>
      <c r="J679" s="57"/>
      <c r="K679" s="57"/>
      <c r="L679" s="57"/>
      <c r="M679" s="57"/>
      <c r="N679" s="57"/>
      <c r="O679" s="57"/>
      <c r="P679" s="57"/>
      <c r="Q679" s="57"/>
      <c r="R679" s="57"/>
      <c r="S679" s="57"/>
      <c r="T679" s="559"/>
      <c r="U679" s="29"/>
      <c r="V679" s="29"/>
      <c r="AJ679" s="1215"/>
      <c r="AK679" s="1142"/>
      <c r="AM679" s="42"/>
      <c r="AN679" s="42"/>
      <c r="AO679" s="42"/>
      <c r="AP679" s="42"/>
      <c r="AQ679" s="42"/>
      <c r="AR679" s="42"/>
      <c r="AS679" s="42"/>
      <c r="AT679" s="42"/>
      <c r="AU679" s="42"/>
      <c r="AV679" s="42"/>
      <c r="AW679" s="42"/>
      <c r="AX679" s="42"/>
      <c r="AY679" s="42"/>
      <c r="AZ679" s="42"/>
      <c r="BA679" s="42"/>
      <c r="BB679" s="42"/>
      <c r="BC679" s="42"/>
      <c r="BD679" s="42"/>
      <c r="BE679" s="42"/>
      <c r="BF679" s="42"/>
      <c r="BG679" s="42"/>
      <c r="BH679" s="42"/>
      <c r="BI679" s="42"/>
      <c r="BJ679" s="42"/>
      <c r="BK679" s="42"/>
      <c r="BL679" s="42"/>
      <c r="BM679" s="42"/>
      <c r="BN679" s="42"/>
      <c r="BO679" s="42"/>
      <c r="BP679" s="42"/>
      <c r="BQ679" s="42"/>
      <c r="BR679" s="42"/>
      <c r="BS679" s="42"/>
      <c r="BT679" s="42"/>
      <c r="BU679" s="42"/>
      <c r="BV679" s="42"/>
      <c r="BW679" s="42"/>
      <c r="BX679" s="42"/>
      <c r="BY679" s="42"/>
      <c r="BZ679" s="42"/>
      <c r="CA679" s="42"/>
      <c r="CB679" s="42"/>
      <c r="CC679" s="42"/>
      <c r="CD679" s="42"/>
      <c r="CE679" s="42"/>
      <c r="CF679" s="42"/>
      <c r="CG679" s="42"/>
      <c r="CH679" s="42"/>
      <c r="CS679" s="29"/>
      <c r="CT679" s="29"/>
      <c r="CU679" s="29"/>
      <c r="CV679" s="522"/>
      <c r="CW679" s="522"/>
      <c r="CX679" s="211"/>
      <c r="CY679" s="211"/>
      <c r="CZ679" s="211"/>
      <c r="DA679" s="211"/>
      <c r="DB679" s="211"/>
      <c r="DC679" s="211"/>
      <c r="DD679" s="211"/>
      <c r="DE679" s="211"/>
      <c r="DF679" s="60"/>
      <c r="DG679" s="60"/>
      <c r="DH679" s="60"/>
      <c r="DI679" s="60"/>
      <c r="DJ679" s="60"/>
    </row>
    <row r="680" spans="3:114" s="25" customFormat="1">
      <c r="C680" s="24"/>
      <c r="D680" s="24"/>
      <c r="G680" s="57"/>
      <c r="H680" s="57"/>
      <c r="I680" s="57"/>
      <c r="J680" s="57"/>
      <c r="K680" s="57"/>
      <c r="L680" s="57"/>
      <c r="M680" s="57"/>
      <c r="N680" s="57"/>
      <c r="O680" s="57"/>
      <c r="P680" s="57"/>
      <c r="Q680" s="57"/>
      <c r="R680" s="57"/>
      <c r="S680" s="57"/>
      <c r="T680" s="559"/>
      <c r="U680" s="29"/>
      <c r="V680" s="29"/>
      <c r="AJ680" s="1215"/>
      <c r="AK680" s="1142"/>
      <c r="AM680" s="42"/>
      <c r="AN680" s="42"/>
      <c r="AO680" s="42"/>
      <c r="AP680" s="42"/>
      <c r="AQ680" s="42"/>
      <c r="AR680" s="42"/>
      <c r="AS680" s="42"/>
      <c r="AT680" s="42"/>
      <c r="AU680" s="42"/>
      <c r="AV680" s="42"/>
      <c r="AW680" s="42"/>
      <c r="AX680" s="42"/>
      <c r="AY680" s="42"/>
      <c r="AZ680" s="42"/>
      <c r="BA680" s="42"/>
      <c r="BB680" s="42"/>
      <c r="BC680" s="42"/>
      <c r="BD680" s="42"/>
      <c r="BE680" s="42"/>
      <c r="BF680" s="42"/>
      <c r="BG680" s="42"/>
      <c r="BH680" s="42"/>
      <c r="BI680" s="42"/>
      <c r="BJ680" s="42"/>
      <c r="BK680" s="42"/>
      <c r="BL680" s="42"/>
      <c r="BM680" s="42"/>
      <c r="BN680" s="42"/>
      <c r="BO680" s="42"/>
      <c r="BP680" s="42"/>
      <c r="BQ680" s="42"/>
      <c r="BR680" s="42"/>
      <c r="BS680" s="42"/>
      <c r="BT680" s="42"/>
      <c r="BU680" s="42"/>
      <c r="BV680" s="42"/>
      <c r="BW680" s="42"/>
      <c r="BX680" s="42"/>
      <c r="BY680" s="42"/>
      <c r="BZ680" s="42"/>
      <c r="CA680" s="42"/>
      <c r="CB680" s="42"/>
      <c r="CC680" s="42"/>
      <c r="CD680" s="42"/>
      <c r="CE680" s="42"/>
      <c r="CF680" s="42"/>
      <c r="CG680" s="42"/>
      <c r="CH680" s="42"/>
      <c r="CS680" s="29"/>
      <c r="CT680" s="29"/>
      <c r="CU680" s="29"/>
      <c r="CV680" s="522"/>
      <c r="CW680" s="522"/>
      <c r="CX680" s="211"/>
      <c r="CY680" s="211"/>
      <c r="CZ680" s="211"/>
      <c r="DA680" s="211"/>
      <c r="DB680" s="211"/>
      <c r="DC680" s="211"/>
      <c r="DD680" s="211"/>
      <c r="DE680" s="211"/>
      <c r="DF680" s="60"/>
      <c r="DG680" s="60"/>
      <c r="DH680" s="60"/>
      <c r="DI680" s="60"/>
      <c r="DJ680" s="60"/>
    </row>
    <row r="681" spans="3:114" s="25" customFormat="1">
      <c r="C681" s="24"/>
      <c r="D681" s="24"/>
      <c r="G681" s="57"/>
      <c r="H681" s="57"/>
      <c r="I681" s="57"/>
      <c r="J681" s="57"/>
      <c r="K681" s="57"/>
      <c r="L681" s="57"/>
      <c r="M681" s="57"/>
      <c r="N681" s="57"/>
      <c r="O681" s="57"/>
      <c r="P681" s="57"/>
      <c r="Q681" s="57"/>
      <c r="R681" s="57"/>
      <c r="S681" s="57"/>
      <c r="T681" s="559"/>
      <c r="U681" s="29"/>
      <c r="V681" s="29"/>
      <c r="AJ681" s="1215"/>
      <c r="AK681" s="1142"/>
      <c r="AM681" s="42"/>
      <c r="AN681" s="42"/>
      <c r="AO681" s="42"/>
      <c r="AP681" s="42"/>
      <c r="AQ681" s="42"/>
      <c r="AR681" s="42"/>
      <c r="AS681" s="42"/>
      <c r="AT681" s="42"/>
      <c r="AU681" s="42"/>
      <c r="AV681" s="42"/>
      <c r="AW681" s="42"/>
      <c r="AX681" s="42"/>
      <c r="AY681" s="42"/>
      <c r="AZ681" s="42"/>
      <c r="BA681" s="42"/>
      <c r="BB681" s="42"/>
      <c r="BC681" s="42"/>
      <c r="BD681" s="42"/>
      <c r="BE681" s="42"/>
      <c r="BF681" s="42"/>
      <c r="BG681" s="42"/>
      <c r="BH681" s="42"/>
      <c r="BI681" s="42"/>
      <c r="BJ681" s="42"/>
      <c r="BK681" s="42"/>
      <c r="BL681" s="42"/>
      <c r="BM681" s="42"/>
      <c r="BN681" s="42"/>
      <c r="BO681" s="42"/>
      <c r="BP681" s="42"/>
      <c r="BQ681" s="42"/>
      <c r="BR681" s="42"/>
      <c r="BS681" s="42"/>
      <c r="BT681" s="42"/>
      <c r="BU681" s="42"/>
      <c r="BV681" s="42"/>
      <c r="BW681" s="42"/>
      <c r="BX681" s="42"/>
      <c r="BY681" s="42"/>
      <c r="BZ681" s="42"/>
      <c r="CA681" s="42"/>
      <c r="CB681" s="42"/>
      <c r="CC681" s="42"/>
      <c r="CD681" s="42"/>
      <c r="CE681" s="42"/>
      <c r="CF681" s="42"/>
      <c r="CG681" s="42"/>
      <c r="CH681" s="42"/>
      <c r="CS681" s="29"/>
      <c r="CT681" s="29"/>
      <c r="CU681" s="29"/>
      <c r="CV681" s="522"/>
      <c r="CW681" s="522"/>
      <c r="CX681" s="211"/>
      <c r="CY681" s="211"/>
      <c r="CZ681" s="211"/>
      <c r="DA681" s="211"/>
      <c r="DB681" s="211"/>
      <c r="DC681" s="211"/>
      <c r="DD681" s="211"/>
      <c r="DE681" s="211"/>
      <c r="DF681" s="60"/>
      <c r="DG681" s="60"/>
      <c r="DH681" s="60"/>
      <c r="DI681" s="60"/>
      <c r="DJ681" s="60"/>
    </row>
    <row r="682" spans="3:114" s="25" customFormat="1">
      <c r="C682" s="24"/>
      <c r="D682" s="24"/>
      <c r="G682" s="57"/>
      <c r="H682" s="57"/>
      <c r="I682" s="57"/>
      <c r="J682" s="57"/>
      <c r="K682" s="57"/>
      <c r="L682" s="57"/>
      <c r="M682" s="57"/>
      <c r="N682" s="57"/>
      <c r="O682" s="57"/>
      <c r="P682" s="57"/>
      <c r="Q682" s="57"/>
      <c r="R682" s="57"/>
      <c r="S682" s="57"/>
      <c r="T682" s="559"/>
      <c r="U682" s="29"/>
      <c r="V682" s="29"/>
      <c r="AJ682" s="1215"/>
      <c r="AK682" s="1142"/>
      <c r="AM682" s="42"/>
      <c r="AN682" s="42"/>
      <c r="AO682" s="42"/>
      <c r="AP682" s="42"/>
      <c r="AQ682" s="42"/>
      <c r="AR682" s="42"/>
      <c r="AS682" s="42"/>
      <c r="AT682" s="42"/>
      <c r="AU682" s="42"/>
      <c r="AV682" s="42"/>
      <c r="AW682" s="42"/>
      <c r="AX682" s="42"/>
      <c r="AY682" s="42"/>
      <c r="AZ682" s="42"/>
      <c r="BA682" s="42"/>
      <c r="BB682" s="42"/>
      <c r="BC682" s="42"/>
      <c r="BD682" s="42"/>
      <c r="BE682" s="42"/>
      <c r="BF682" s="42"/>
      <c r="BG682" s="42"/>
      <c r="BH682" s="42"/>
      <c r="BI682" s="42"/>
      <c r="BJ682" s="42"/>
      <c r="BK682" s="42"/>
      <c r="BL682" s="42"/>
      <c r="BM682" s="42"/>
      <c r="BN682" s="42"/>
      <c r="BO682" s="42"/>
      <c r="BP682" s="42"/>
      <c r="BQ682" s="42"/>
      <c r="BR682" s="42"/>
      <c r="BS682" s="42"/>
      <c r="BT682" s="42"/>
      <c r="BU682" s="42"/>
      <c r="BV682" s="42"/>
      <c r="BW682" s="42"/>
      <c r="BX682" s="42"/>
      <c r="BY682" s="42"/>
      <c r="BZ682" s="42"/>
      <c r="CA682" s="42"/>
      <c r="CB682" s="42"/>
      <c r="CC682" s="42"/>
      <c r="CD682" s="42"/>
      <c r="CE682" s="42"/>
      <c r="CF682" s="42"/>
      <c r="CG682" s="42"/>
      <c r="CH682" s="42"/>
      <c r="CS682" s="29"/>
      <c r="CT682" s="29"/>
      <c r="CU682" s="29"/>
      <c r="CV682" s="522"/>
      <c r="CW682" s="522"/>
      <c r="CX682" s="211"/>
      <c r="CY682" s="211"/>
      <c r="CZ682" s="211"/>
      <c r="DA682" s="211"/>
      <c r="DB682" s="211"/>
      <c r="DC682" s="211"/>
      <c r="DD682" s="211"/>
      <c r="DE682" s="211"/>
      <c r="DF682" s="60"/>
      <c r="DG682" s="60"/>
      <c r="DH682" s="60"/>
      <c r="DI682" s="60"/>
      <c r="DJ682" s="60"/>
    </row>
    <row r="683" spans="3:114" s="25" customFormat="1">
      <c r="C683" s="24"/>
      <c r="D683" s="24"/>
      <c r="G683" s="57"/>
      <c r="H683" s="57"/>
      <c r="I683" s="57"/>
      <c r="J683" s="57"/>
      <c r="K683" s="57"/>
      <c r="L683" s="57"/>
      <c r="M683" s="57"/>
      <c r="N683" s="57"/>
      <c r="O683" s="57"/>
      <c r="P683" s="57"/>
      <c r="Q683" s="57"/>
      <c r="R683" s="57"/>
      <c r="S683" s="57"/>
      <c r="T683" s="559"/>
      <c r="U683" s="29"/>
      <c r="V683" s="29"/>
      <c r="AJ683" s="1215"/>
      <c r="AK683" s="1142"/>
      <c r="AM683" s="42"/>
      <c r="AN683" s="42"/>
      <c r="AO683" s="42"/>
      <c r="AP683" s="42"/>
      <c r="AQ683" s="42"/>
      <c r="AR683" s="42"/>
      <c r="AS683" s="42"/>
      <c r="AT683" s="42"/>
      <c r="AU683" s="42"/>
      <c r="AV683" s="42"/>
      <c r="AW683" s="42"/>
      <c r="AX683" s="42"/>
      <c r="AY683" s="42"/>
      <c r="AZ683" s="42"/>
      <c r="BA683" s="42"/>
      <c r="BB683" s="42"/>
      <c r="BC683" s="42"/>
      <c r="BD683" s="42"/>
      <c r="BE683" s="42"/>
      <c r="BF683" s="42"/>
      <c r="BG683" s="42"/>
      <c r="BH683" s="42"/>
      <c r="BI683" s="42"/>
      <c r="BJ683" s="42"/>
      <c r="BK683" s="42"/>
      <c r="BL683" s="42"/>
      <c r="BM683" s="42"/>
      <c r="BN683" s="42"/>
      <c r="BO683" s="42"/>
      <c r="BP683" s="42"/>
      <c r="BQ683" s="42"/>
      <c r="BR683" s="42"/>
      <c r="BS683" s="42"/>
      <c r="BT683" s="42"/>
      <c r="BU683" s="42"/>
      <c r="BV683" s="42"/>
      <c r="BW683" s="42"/>
      <c r="BX683" s="42"/>
      <c r="BY683" s="42"/>
      <c r="BZ683" s="42"/>
      <c r="CA683" s="42"/>
      <c r="CB683" s="42"/>
      <c r="CC683" s="42"/>
      <c r="CD683" s="42"/>
      <c r="CE683" s="42"/>
      <c r="CF683" s="42"/>
      <c r="CG683" s="42"/>
      <c r="CH683" s="42"/>
      <c r="CS683" s="29"/>
      <c r="CT683" s="29"/>
      <c r="CU683" s="29"/>
      <c r="CV683" s="522"/>
      <c r="CW683" s="522"/>
      <c r="CX683" s="211"/>
      <c r="CY683" s="211"/>
      <c r="CZ683" s="211"/>
      <c r="DA683" s="211"/>
      <c r="DB683" s="211"/>
      <c r="DC683" s="211"/>
      <c r="DD683" s="211"/>
      <c r="DE683" s="211"/>
      <c r="DF683" s="60"/>
      <c r="DG683" s="60"/>
      <c r="DH683" s="60"/>
      <c r="DI683" s="60"/>
      <c r="DJ683" s="60"/>
    </row>
    <row r="684" spans="3:114" s="25" customFormat="1">
      <c r="C684" s="24"/>
      <c r="D684" s="24"/>
      <c r="G684" s="57"/>
      <c r="H684" s="57"/>
      <c r="I684" s="57"/>
      <c r="J684" s="57"/>
      <c r="K684" s="57"/>
      <c r="L684" s="57"/>
      <c r="M684" s="57"/>
      <c r="N684" s="57"/>
      <c r="O684" s="57"/>
      <c r="P684" s="57"/>
      <c r="Q684" s="57"/>
      <c r="R684" s="57"/>
      <c r="S684" s="57"/>
      <c r="T684" s="559"/>
      <c r="U684" s="29"/>
      <c r="V684" s="29"/>
      <c r="AJ684" s="1215"/>
      <c r="AK684" s="1142"/>
      <c r="AM684" s="42"/>
      <c r="AN684" s="42"/>
      <c r="AO684" s="42"/>
      <c r="AP684" s="42"/>
      <c r="AQ684" s="42"/>
      <c r="AR684" s="42"/>
      <c r="AS684" s="42"/>
      <c r="AT684" s="42"/>
      <c r="AU684" s="42"/>
      <c r="AV684" s="42"/>
      <c r="AW684" s="42"/>
      <c r="AX684" s="42"/>
      <c r="AY684" s="42"/>
      <c r="AZ684" s="42"/>
      <c r="BA684" s="42"/>
      <c r="BB684" s="42"/>
      <c r="BC684" s="42"/>
      <c r="BD684" s="42"/>
      <c r="BE684" s="42"/>
      <c r="BF684" s="42"/>
      <c r="BG684" s="42"/>
      <c r="BH684" s="42"/>
      <c r="BI684" s="42"/>
      <c r="BJ684" s="42"/>
      <c r="BK684" s="42"/>
      <c r="BL684" s="42"/>
      <c r="BM684" s="42"/>
      <c r="BN684" s="42"/>
      <c r="BO684" s="42"/>
      <c r="BP684" s="42"/>
      <c r="BQ684" s="42"/>
      <c r="BR684" s="42"/>
      <c r="BS684" s="42"/>
      <c r="BT684" s="42"/>
      <c r="BU684" s="42"/>
      <c r="BV684" s="42"/>
      <c r="BW684" s="42"/>
      <c r="BX684" s="42"/>
      <c r="BY684" s="42"/>
      <c r="BZ684" s="42"/>
      <c r="CA684" s="42"/>
      <c r="CB684" s="42"/>
      <c r="CC684" s="42"/>
      <c r="CD684" s="42"/>
      <c r="CE684" s="42"/>
      <c r="CF684" s="42"/>
      <c r="CG684" s="42"/>
      <c r="CH684" s="42"/>
      <c r="CS684" s="29"/>
      <c r="CT684" s="29"/>
      <c r="CU684" s="29"/>
      <c r="CV684" s="522"/>
      <c r="CW684" s="522"/>
      <c r="CX684" s="211"/>
      <c r="CY684" s="211"/>
      <c r="CZ684" s="211"/>
      <c r="DA684" s="211"/>
      <c r="DB684" s="211"/>
      <c r="DC684" s="211"/>
      <c r="DD684" s="211"/>
      <c r="DE684" s="211"/>
      <c r="DF684" s="60"/>
      <c r="DG684" s="60"/>
      <c r="DH684" s="60"/>
      <c r="DI684" s="60"/>
      <c r="DJ684" s="60"/>
    </row>
    <row r="685" spans="3:114" s="25" customFormat="1">
      <c r="C685" s="24"/>
      <c r="D685" s="24"/>
      <c r="G685" s="57"/>
      <c r="H685" s="57"/>
      <c r="I685" s="57"/>
      <c r="J685" s="57"/>
      <c r="K685" s="57"/>
      <c r="L685" s="57"/>
      <c r="M685" s="57"/>
      <c r="N685" s="57"/>
      <c r="O685" s="57"/>
      <c r="P685" s="57"/>
      <c r="Q685" s="57"/>
      <c r="R685" s="57"/>
      <c r="S685" s="57"/>
      <c r="T685" s="559"/>
      <c r="U685" s="29"/>
      <c r="V685" s="29"/>
      <c r="AJ685" s="1215"/>
      <c r="AK685" s="1142"/>
      <c r="AM685" s="42"/>
      <c r="AN685" s="42"/>
      <c r="AO685" s="42"/>
      <c r="AP685" s="42"/>
      <c r="AQ685" s="42"/>
      <c r="AR685" s="42"/>
      <c r="AS685" s="42"/>
      <c r="AT685" s="42"/>
      <c r="AU685" s="42"/>
      <c r="AV685" s="42"/>
      <c r="AW685" s="42"/>
      <c r="AX685" s="42"/>
      <c r="AY685" s="42"/>
      <c r="AZ685" s="42"/>
      <c r="BA685" s="42"/>
      <c r="BB685" s="42"/>
      <c r="BC685" s="42"/>
      <c r="BD685" s="42"/>
      <c r="BE685" s="42"/>
      <c r="BF685" s="42"/>
      <c r="BG685" s="42"/>
      <c r="BH685" s="42"/>
      <c r="BI685" s="42"/>
      <c r="BJ685" s="42"/>
      <c r="BK685" s="42"/>
      <c r="BL685" s="42"/>
      <c r="BM685" s="42"/>
      <c r="BN685" s="42"/>
      <c r="BO685" s="42"/>
      <c r="BP685" s="42"/>
      <c r="BQ685" s="42"/>
      <c r="BR685" s="42"/>
      <c r="BS685" s="42"/>
      <c r="BT685" s="42"/>
      <c r="BU685" s="42"/>
      <c r="BV685" s="42"/>
      <c r="BW685" s="42"/>
      <c r="BX685" s="42"/>
      <c r="BY685" s="42"/>
      <c r="BZ685" s="42"/>
      <c r="CA685" s="42"/>
      <c r="CB685" s="42"/>
      <c r="CC685" s="42"/>
      <c r="CD685" s="42"/>
      <c r="CE685" s="42"/>
      <c r="CF685" s="42"/>
      <c r="CG685" s="42"/>
      <c r="CH685" s="42"/>
      <c r="CS685" s="29"/>
      <c r="CT685" s="29"/>
      <c r="CU685" s="29"/>
      <c r="CV685" s="522"/>
      <c r="CW685" s="522"/>
      <c r="CX685" s="211"/>
      <c r="CY685" s="211"/>
      <c r="CZ685" s="211"/>
      <c r="DA685" s="211"/>
      <c r="DB685" s="211"/>
      <c r="DC685" s="211"/>
      <c r="DD685" s="211"/>
      <c r="DE685" s="211"/>
      <c r="DF685" s="60"/>
      <c r="DG685" s="60"/>
      <c r="DH685" s="60"/>
      <c r="DI685" s="60"/>
      <c r="DJ685" s="60"/>
    </row>
    <row r="686" spans="3:114" s="25" customFormat="1">
      <c r="C686" s="24"/>
      <c r="D686" s="24"/>
      <c r="G686" s="57"/>
      <c r="H686" s="57"/>
      <c r="I686" s="57"/>
      <c r="J686" s="57"/>
      <c r="K686" s="57"/>
      <c r="L686" s="57"/>
      <c r="M686" s="57"/>
      <c r="N686" s="57"/>
      <c r="O686" s="57"/>
      <c r="P686" s="57"/>
      <c r="Q686" s="57"/>
      <c r="R686" s="57"/>
      <c r="S686" s="57"/>
      <c r="T686" s="559"/>
      <c r="U686" s="29"/>
      <c r="V686" s="29"/>
      <c r="AJ686" s="1215"/>
      <c r="AK686" s="1142"/>
      <c r="AM686" s="42"/>
      <c r="AN686" s="42"/>
      <c r="AO686" s="42"/>
      <c r="AP686" s="42"/>
      <c r="AQ686" s="42"/>
      <c r="AR686" s="42"/>
      <c r="AS686" s="42"/>
      <c r="AT686" s="42"/>
      <c r="AU686" s="42"/>
      <c r="AV686" s="42"/>
      <c r="AW686" s="42"/>
      <c r="AX686" s="42"/>
      <c r="AY686" s="42"/>
      <c r="AZ686" s="42"/>
      <c r="BA686" s="42"/>
      <c r="BB686" s="42"/>
      <c r="BC686" s="42"/>
      <c r="BD686" s="42"/>
      <c r="BE686" s="42"/>
      <c r="BF686" s="42"/>
      <c r="BG686" s="42"/>
      <c r="BH686" s="42"/>
      <c r="BI686" s="42"/>
      <c r="BJ686" s="42"/>
      <c r="BK686" s="42"/>
      <c r="BL686" s="42"/>
      <c r="BM686" s="42"/>
      <c r="BN686" s="42"/>
      <c r="BO686" s="42"/>
      <c r="BP686" s="42"/>
      <c r="BQ686" s="42"/>
      <c r="BR686" s="42"/>
      <c r="BS686" s="42"/>
      <c r="BT686" s="42"/>
      <c r="BU686" s="42"/>
      <c r="BV686" s="42"/>
      <c r="BW686" s="42"/>
      <c r="BX686" s="42"/>
      <c r="BY686" s="42"/>
      <c r="BZ686" s="42"/>
      <c r="CA686" s="42"/>
      <c r="CB686" s="42"/>
      <c r="CC686" s="42"/>
      <c r="CD686" s="42"/>
      <c r="CE686" s="42"/>
      <c r="CF686" s="42"/>
      <c r="CG686" s="42"/>
      <c r="CH686" s="42"/>
      <c r="CS686" s="29"/>
      <c r="CT686" s="29"/>
      <c r="CU686" s="29"/>
      <c r="CV686" s="522"/>
      <c r="CW686" s="522"/>
      <c r="CX686" s="211"/>
      <c r="CY686" s="211"/>
      <c r="CZ686" s="211"/>
      <c r="DA686" s="211"/>
      <c r="DB686" s="211"/>
      <c r="DC686" s="211"/>
      <c r="DD686" s="211"/>
      <c r="DE686" s="211"/>
      <c r="DF686" s="60"/>
      <c r="DG686" s="60"/>
      <c r="DH686" s="60"/>
      <c r="DI686" s="60"/>
      <c r="DJ686" s="60"/>
    </row>
    <row r="687" spans="3:114" s="25" customFormat="1">
      <c r="C687" s="24"/>
      <c r="D687" s="24"/>
      <c r="G687" s="57"/>
      <c r="H687" s="57"/>
      <c r="I687" s="57"/>
      <c r="J687" s="57"/>
      <c r="K687" s="57"/>
      <c r="L687" s="57"/>
      <c r="M687" s="57"/>
      <c r="N687" s="57"/>
      <c r="O687" s="57"/>
      <c r="P687" s="57"/>
      <c r="Q687" s="57"/>
      <c r="R687" s="57"/>
      <c r="S687" s="57"/>
      <c r="T687" s="559"/>
      <c r="U687" s="29"/>
      <c r="V687" s="29"/>
      <c r="AJ687" s="1215"/>
      <c r="AK687" s="1142"/>
      <c r="AM687" s="42"/>
      <c r="AN687" s="42"/>
      <c r="AO687" s="42"/>
      <c r="AP687" s="42"/>
      <c r="AQ687" s="42"/>
      <c r="AR687" s="42"/>
      <c r="AS687" s="42"/>
      <c r="AT687" s="42"/>
      <c r="AU687" s="42"/>
      <c r="AV687" s="42"/>
      <c r="AW687" s="42"/>
      <c r="AX687" s="42"/>
      <c r="AY687" s="42"/>
      <c r="AZ687" s="42"/>
      <c r="BA687" s="42"/>
      <c r="BB687" s="42"/>
      <c r="BC687" s="42"/>
      <c r="BD687" s="42"/>
      <c r="BE687" s="42"/>
      <c r="BF687" s="42"/>
      <c r="BG687" s="42"/>
      <c r="BH687" s="42"/>
      <c r="BI687" s="42"/>
      <c r="BJ687" s="42"/>
      <c r="BK687" s="42"/>
      <c r="BL687" s="42"/>
      <c r="BM687" s="42"/>
      <c r="BN687" s="42"/>
      <c r="BO687" s="42"/>
      <c r="BP687" s="42"/>
      <c r="BQ687" s="42"/>
      <c r="BR687" s="42"/>
      <c r="BS687" s="42"/>
      <c r="BT687" s="42"/>
      <c r="BU687" s="42"/>
      <c r="BV687" s="42"/>
      <c r="BW687" s="42"/>
      <c r="BX687" s="42"/>
      <c r="BY687" s="42"/>
      <c r="BZ687" s="42"/>
      <c r="CA687" s="42"/>
      <c r="CB687" s="42"/>
      <c r="CC687" s="42"/>
      <c r="CD687" s="42"/>
      <c r="CE687" s="42"/>
      <c r="CF687" s="42"/>
      <c r="CG687" s="42"/>
      <c r="CH687" s="42"/>
      <c r="CS687" s="29"/>
      <c r="CT687" s="29"/>
      <c r="CU687" s="29"/>
      <c r="CV687" s="522"/>
      <c r="CW687" s="522"/>
      <c r="CX687" s="211"/>
      <c r="CY687" s="211"/>
      <c r="CZ687" s="211"/>
      <c r="DA687" s="211"/>
      <c r="DB687" s="211"/>
      <c r="DC687" s="211"/>
      <c r="DD687" s="211"/>
      <c r="DE687" s="211"/>
      <c r="DF687" s="60"/>
      <c r="DG687" s="60"/>
      <c r="DH687" s="60"/>
      <c r="DI687" s="60"/>
      <c r="DJ687" s="60"/>
    </row>
    <row r="688" spans="3:114" s="25" customFormat="1">
      <c r="C688" s="24"/>
      <c r="D688" s="24"/>
      <c r="G688" s="57"/>
      <c r="H688" s="57"/>
      <c r="I688" s="57"/>
      <c r="J688" s="57"/>
      <c r="K688" s="57"/>
      <c r="L688" s="57"/>
      <c r="M688" s="57"/>
      <c r="N688" s="57"/>
      <c r="O688" s="57"/>
      <c r="P688" s="57"/>
      <c r="Q688" s="57"/>
      <c r="R688" s="57"/>
      <c r="S688" s="57"/>
      <c r="T688" s="559"/>
      <c r="U688" s="29"/>
      <c r="V688" s="29"/>
      <c r="AJ688" s="1215"/>
      <c r="AK688" s="1142"/>
      <c r="AM688" s="42"/>
      <c r="AN688" s="42"/>
      <c r="AO688" s="42"/>
      <c r="AP688" s="42"/>
      <c r="AQ688" s="42"/>
      <c r="AR688" s="42"/>
      <c r="AS688" s="42"/>
      <c r="AT688" s="42"/>
      <c r="AU688" s="42"/>
      <c r="AV688" s="42"/>
      <c r="AW688" s="42"/>
      <c r="AX688" s="42"/>
      <c r="AY688" s="42"/>
      <c r="AZ688" s="42"/>
      <c r="BA688" s="42"/>
      <c r="BB688" s="42"/>
      <c r="BC688" s="42"/>
      <c r="BD688" s="42"/>
      <c r="BE688" s="42"/>
      <c r="BF688" s="42"/>
      <c r="BG688" s="42"/>
      <c r="BH688" s="42"/>
      <c r="BI688" s="42"/>
      <c r="BJ688" s="42"/>
      <c r="BK688" s="42"/>
      <c r="BL688" s="42"/>
      <c r="BM688" s="42"/>
      <c r="BN688" s="42"/>
      <c r="BO688" s="42"/>
      <c r="BP688" s="42"/>
      <c r="BQ688" s="42"/>
      <c r="BR688" s="42"/>
      <c r="BS688" s="42"/>
      <c r="BT688" s="42"/>
      <c r="BU688" s="42"/>
      <c r="BV688" s="42"/>
      <c r="BW688" s="42"/>
      <c r="BX688" s="42"/>
      <c r="BY688" s="42"/>
      <c r="BZ688" s="42"/>
      <c r="CA688" s="42"/>
      <c r="CB688" s="42"/>
      <c r="CC688" s="42"/>
      <c r="CD688" s="42"/>
      <c r="CE688" s="42"/>
      <c r="CF688" s="42"/>
      <c r="CG688" s="42"/>
      <c r="CH688" s="42"/>
      <c r="CS688" s="29"/>
      <c r="CT688" s="29"/>
      <c r="CU688" s="29"/>
      <c r="CV688" s="522"/>
      <c r="CW688" s="522"/>
      <c r="CX688" s="211"/>
      <c r="CY688" s="211"/>
      <c r="CZ688" s="211"/>
      <c r="DA688" s="211"/>
      <c r="DB688" s="211"/>
      <c r="DC688" s="211"/>
      <c r="DD688" s="211"/>
      <c r="DE688" s="211"/>
      <c r="DF688" s="60"/>
      <c r="DG688" s="60"/>
      <c r="DH688" s="60"/>
      <c r="DI688" s="60"/>
      <c r="DJ688" s="60"/>
    </row>
    <row r="689" spans="3:114" s="25" customFormat="1">
      <c r="C689" s="24"/>
      <c r="D689" s="24"/>
      <c r="G689" s="57"/>
      <c r="H689" s="57"/>
      <c r="I689" s="57"/>
      <c r="J689" s="57"/>
      <c r="K689" s="57"/>
      <c r="L689" s="57"/>
      <c r="M689" s="57"/>
      <c r="N689" s="57"/>
      <c r="O689" s="57"/>
      <c r="P689" s="57"/>
      <c r="Q689" s="57"/>
      <c r="R689" s="57"/>
      <c r="S689" s="57"/>
      <c r="T689" s="559"/>
      <c r="U689" s="29"/>
      <c r="V689" s="29"/>
      <c r="AJ689" s="1215"/>
      <c r="AK689" s="1142"/>
      <c r="AM689" s="42"/>
      <c r="AN689" s="42"/>
      <c r="AO689" s="42"/>
      <c r="AP689" s="42"/>
      <c r="AQ689" s="42"/>
      <c r="AR689" s="42"/>
      <c r="AS689" s="42"/>
      <c r="AT689" s="42"/>
      <c r="AU689" s="42"/>
      <c r="AV689" s="42"/>
      <c r="AW689" s="42"/>
      <c r="AX689" s="42"/>
      <c r="AY689" s="42"/>
      <c r="AZ689" s="42"/>
      <c r="BA689" s="42"/>
      <c r="BB689" s="42"/>
      <c r="BC689" s="42"/>
      <c r="BD689" s="42"/>
      <c r="BE689" s="42"/>
      <c r="BF689" s="42"/>
      <c r="BG689" s="42"/>
      <c r="BH689" s="42"/>
      <c r="BI689" s="42"/>
      <c r="BJ689" s="42"/>
      <c r="BK689" s="42"/>
      <c r="BL689" s="42"/>
      <c r="BM689" s="42"/>
      <c r="BN689" s="42"/>
      <c r="BO689" s="42"/>
      <c r="BP689" s="42"/>
      <c r="BQ689" s="42"/>
      <c r="BR689" s="42"/>
      <c r="BS689" s="42"/>
      <c r="BT689" s="42"/>
      <c r="BU689" s="42"/>
      <c r="BV689" s="42"/>
      <c r="BW689" s="42"/>
      <c r="BX689" s="42"/>
      <c r="BY689" s="42"/>
      <c r="BZ689" s="42"/>
      <c r="CA689" s="42"/>
      <c r="CB689" s="42"/>
      <c r="CC689" s="42"/>
      <c r="CD689" s="42"/>
      <c r="CE689" s="42"/>
      <c r="CF689" s="42"/>
      <c r="CG689" s="42"/>
      <c r="CH689" s="42"/>
      <c r="CS689" s="29"/>
      <c r="CT689" s="29"/>
      <c r="CU689" s="29"/>
      <c r="CV689" s="522"/>
      <c r="CW689" s="522"/>
      <c r="CX689" s="211"/>
      <c r="CY689" s="211"/>
      <c r="CZ689" s="211"/>
      <c r="DA689" s="211"/>
      <c r="DB689" s="211"/>
      <c r="DC689" s="211"/>
      <c r="DD689" s="211"/>
      <c r="DE689" s="211"/>
      <c r="DF689" s="60"/>
      <c r="DG689" s="60"/>
      <c r="DH689" s="60"/>
      <c r="DI689" s="60"/>
      <c r="DJ689" s="60"/>
    </row>
    <row r="690" spans="3:114" s="25" customFormat="1">
      <c r="C690" s="24"/>
      <c r="D690" s="24"/>
      <c r="G690" s="57"/>
      <c r="H690" s="57"/>
      <c r="I690" s="57"/>
      <c r="J690" s="57"/>
      <c r="K690" s="57"/>
      <c r="L690" s="57"/>
      <c r="M690" s="57"/>
      <c r="N690" s="57"/>
      <c r="O690" s="57"/>
      <c r="P690" s="57"/>
      <c r="Q690" s="57"/>
      <c r="R690" s="57"/>
      <c r="S690" s="57"/>
      <c r="T690" s="559"/>
      <c r="U690" s="29"/>
      <c r="V690" s="29"/>
      <c r="AJ690" s="1215"/>
      <c r="AK690" s="1142"/>
      <c r="AM690" s="42"/>
      <c r="AN690" s="42"/>
      <c r="AO690" s="42"/>
      <c r="AP690" s="42"/>
      <c r="AQ690" s="42"/>
      <c r="AR690" s="42"/>
      <c r="AS690" s="42"/>
      <c r="AT690" s="42"/>
      <c r="AU690" s="42"/>
      <c r="AV690" s="42"/>
      <c r="AW690" s="42"/>
      <c r="AX690" s="42"/>
      <c r="AY690" s="42"/>
      <c r="AZ690" s="42"/>
      <c r="BA690" s="42"/>
      <c r="BB690" s="42"/>
      <c r="BC690" s="42"/>
      <c r="BD690" s="42"/>
      <c r="BE690" s="42"/>
      <c r="BF690" s="42"/>
      <c r="BG690" s="42"/>
      <c r="BH690" s="42"/>
      <c r="BI690" s="42"/>
      <c r="BJ690" s="42"/>
      <c r="BK690" s="42"/>
      <c r="BL690" s="42"/>
      <c r="BM690" s="42"/>
      <c r="BN690" s="42"/>
      <c r="BO690" s="42"/>
      <c r="BP690" s="42"/>
      <c r="BQ690" s="42"/>
      <c r="BR690" s="42"/>
      <c r="BS690" s="42"/>
      <c r="BT690" s="42"/>
      <c r="BU690" s="42"/>
      <c r="BV690" s="42"/>
      <c r="BW690" s="42"/>
      <c r="BX690" s="42"/>
      <c r="BY690" s="42"/>
      <c r="BZ690" s="42"/>
      <c r="CA690" s="42"/>
      <c r="CB690" s="42"/>
      <c r="CC690" s="42"/>
      <c r="CD690" s="42"/>
      <c r="CE690" s="42"/>
      <c r="CF690" s="42"/>
      <c r="CG690" s="42"/>
      <c r="CH690" s="42"/>
      <c r="CS690" s="29"/>
      <c r="CT690" s="29"/>
      <c r="CU690" s="29"/>
      <c r="CV690" s="522"/>
      <c r="CW690" s="522"/>
      <c r="CX690" s="211"/>
      <c r="CY690" s="211"/>
      <c r="CZ690" s="211"/>
      <c r="DA690" s="211"/>
      <c r="DB690" s="211"/>
      <c r="DC690" s="211"/>
      <c r="DD690" s="211"/>
      <c r="DE690" s="211"/>
      <c r="DF690" s="60"/>
      <c r="DG690" s="60"/>
      <c r="DH690" s="60"/>
      <c r="DI690" s="60"/>
      <c r="DJ690" s="60"/>
    </row>
    <row r="691" spans="3:114" s="25" customFormat="1">
      <c r="C691" s="24"/>
      <c r="D691" s="24"/>
      <c r="G691" s="57"/>
      <c r="H691" s="57"/>
      <c r="I691" s="57"/>
      <c r="J691" s="57"/>
      <c r="K691" s="57"/>
      <c r="L691" s="57"/>
      <c r="M691" s="57"/>
      <c r="N691" s="57"/>
      <c r="O691" s="57"/>
      <c r="P691" s="57"/>
      <c r="Q691" s="57"/>
      <c r="R691" s="57"/>
      <c r="S691" s="57"/>
      <c r="T691" s="559"/>
      <c r="U691" s="29"/>
      <c r="V691" s="29"/>
      <c r="AJ691" s="1215"/>
      <c r="AK691" s="1142"/>
      <c r="AM691" s="42"/>
      <c r="AN691" s="42"/>
      <c r="AO691" s="42"/>
      <c r="AP691" s="42"/>
      <c r="AQ691" s="42"/>
      <c r="AR691" s="42"/>
      <c r="AS691" s="42"/>
      <c r="AT691" s="42"/>
      <c r="AU691" s="42"/>
      <c r="AV691" s="42"/>
      <c r="AW691" s="42"/>
      <c r="AX691" s="42"/>
      <c r="AY691" s="42"/>
      <c r="AZ691" s="42"/>
      <c r="BA691" s="42"/>
      <c r="BB691" s="42"/>
      <c r="BC691" s="42"/>
      <c r="BD691" s="42"/>
      <c r="BE691" s="42"/>
      <c r="BF691" s="42"/>
      <c r="BG691" s="42"/>
      <c r="BH691" s="42"/>
      <c r="BI691" s="42"/>
      <c r="BJ691" s="42"/>
      <c r="BK691" s="42"/>
      <c r="BL691" s="42"/>
      <c r="BM691" s="42"/>
      <c r="BN691" s="42"/>
      <c r="BO691" s="42"/>
      <c r="BP691" s="42"/>
      <c r="BQ691" s="42"/>
      <c r="BR691" s="42"/>
      <c r="BS691" s="42"/>
      <c r="BT691" s="42"/>
      <c r="BU691" s="42"/>
      <c r="BV691" s="42"/>
      <c r="BW691" s="42"/>
      <c r="BX691" s="42"/>
      <c r="BY691" s="42"/>
      <c r="BZ691" s="42"/>
      <c r="CA691" s="42"/>
      <c r="CB691" s="42"/>
      <c r="CC691" s="42"/>
      <c r="CD691" s="42"/>
      <c r="CE691" s="42"/>
      <c r="CF691" s="42"/>
      <c r="CG691" s="42"/>
      <c r="CH691" s="42"/>
      <c r="CS691" s="29"/>
      <c r="CT691" s="29"/>
      <c r="CU691" s="29"/>
      <c r="CV691" s="522"/>
      <c r="CW691" s="522"/>
      <c r="CX691" s="211"/>
      <c r="CY691" s="211"/>
      <c r="CZ691" s="211"/>
      <c r="DA691" s="211"/>
      <c r="DB691" s="211"/>
      <c r="DC691" s="211"/>
      <c r="DD691" s="211"/>
      <c r="DE691" s="211"/>
      <c r="DF691" s="60"/>
      <c r="DG691" s="60"/>
      <c r="DH691" s="60"/>
      <c r="DI691" s="60"/>
      <c r="DJ691" s="60"/>
    </row>
    <row r="692" spans="3:114" s="25" customFormat="1">
      <c r="C692" s="24"/>
      <c r="D692" s="24"/>
      <c r="G692" s="57"/>
      <c r="H692" s="57"/>
      <c r="I692" s="57"/>
      <c r="J692" s="57"/>
      <c r="K692" s="57"/>
      <c r="L692" s="57"/>
      <c r="M692" s="57"/>
      <c r="N692" s="57"/>
      <c r="O692" s="57"/>
      <c r="P692" s="57"/>
      <c r="Q692" s="57"/>
      <c r="R692" s="57"/>
      <c r="S692" s="57"/>
      <c r="T692" s="559"/>
      <c r="U692" s="29"/>
      <c r="V692" s="29"/>
      <c r="AJ692" s="1215"/>
      <c r="AK692" s="1142"/>
      <c r="AM692" s="42"/>
      <c r="AN692" s="42"/>
      <c r="AO692" s="42"/>
      <c r="AP692" s="42"/>
      <c r="AQ692" s="42"/>
      <c r="AR692" s="42"/>
      <c r="AS692" s="42"/>
      <c r="AT692" s="42"/>
      <c r="AU692" s="42"/>
      <c r="AV692" s="42"/>
      <c r="AW692" s="42"/>
      <c r="AX692" s="42"/>
      <c r="AY692" s="42"/>
      <c r="AZ692" s="42"/>
      <c r="BA692" s="42"/>
      <c r="BB692" s="42"/>
      <c r="BC692" s="42"/>
      <c r="BD692" s="42"/>
      <c r="BE692" s="42"/>
      <c r="BF692" s="42"/>
      <c r="BG692" s="42"/>
      <c r="BH692" s="42"/>
      <c r="BI692" s="42"/>
      <c r="BJ692" s="42"/>
      <c r="BK692" s="42"/>
      <c r="BL692" s="42"/>
      <c r="BM692" s="42"/>
      <c r="BN692" s="42"/>
      <c r="BO692" s="42"/>
      <c r="BP692" s="42"/>
      <c r="BQ692" s="42"/>
      <c r="BR692" s="42"/>
      <c r="BS692" s="42"/>
      <c r="BT692" s="42"/>
      <c r="BU692" s="42"/>
      <c r="BV692" s="42"/>
      <c r="BW692" s="42"/>
      <c r="BX692" s="42"/>
      <c r="BY692" s="42"/>
      <c r="BZ692" s="42"/>
      <c r="CA692" s="42"/>
      <c r="CB692" s="42"/>
      <c r="CC692" s="42"/>
      <c r="CD692" s="42"/>
      <c r="CE692" s="42"/>
      <c r="CF692" s="42"/>
      <c r="CG692" s="42"/>
      <c r="CH692" s="42"/>
      <c r="CS692" s="29"/>
      <c r="CT692" s="29"/>
      <c r="CU692" s="29"/>
      <c r="CV692" s="522"/>
      <c r="CW692" s="522"/>
      <c r="CX692" s="211"/>
      <c r="CY692" s="211"/>
      <c r="CZ692" s="211"/>
      <c r="DA692" s="211"/>
      <c r="DB692" s="211"/>
      <c r="DC692" s="211"/>
      <c r="DD692" s="211"/>
      <c r="DE692" s="211"/>
      <c r="DF692" s="60"/>
      <c r="DG692" s="60"/>
      <c r="DH692" s="60"/>
      <c r="DI692" s="60"/>
      <c r="DJ692" s="60"/>
    </row>
    <row r="693" spans="3:114" s="25" customFormat="1">
      <c r="C693" s="24"/>
      <c r="D693" s="24"/>
      <c r="G693" s="57"/>
      <c r="H693" s="57"/>
      <c r="I693" s="57"/>
      <c r="J693" s="57"/>
      <c r="K693" s="57"/>
      <c r="L693" s="57"/>
      <c r="M693" s="57"/>
      <c r="N693" s="57"/>
      <c r="O693" s="57"/>
      <c r="P693" s="57"/>
      <c r="Q693" s="57"/>
      <c r="R693" s="57"/>
      <c r="S693" s="57"/>
      <c r="T693" s="559"/>
      <c r="U693" s="29"/>
      <c r="V693" s="29"/>
      <c r="AJ693" s="1215"/>
      <c r="AK693" s="1142"/>
      <c r="AM693" s="42"/>
      <c r="AN693" s="42"/>
      <c r="AO693" s="42"/>
      <c r="AP693" s="42"/>
      <c r="AQ693" s="42"/>
      <c r="AR693" s="42"/>
      <c r="AS693" s="42"/>
      <c r="AT693" s="42"/>
      <c r="AU693" s="42"/>
      <c r="AV693" s="42"/>
      <c r="AW693" s="42"/>
      <c r="AX693" s="42"/>
      <c r="AY693" s="42"/>
      <c r="AZ693" s="42"/>
      <c r="BA693" s="42"/>
      <c r="BB693" s="42"/>
      <c r="BC693" s="42"/>
      <c r="BD693" s="42"/>
      <c r="BE693" s="42"/>
      <c r="BF693" s="42"/>
      <c r="BG693" s="42"/>
      <c r="BH693" s="42"/>
      <c r="BI693" s="42"/>
      <c r="BJ693" s="42"/>
      <c r="BK693" s="42"/>
      <c r="BL693" s="42"/>
      <c r="BM693" s="42"/>
      <c r="BN693" s="42"/>
      <c r="BO693" s="42"/>
      <c r="BP693" s="42"/>
      <c r="BQ693" s="42"/>
      <c r="BR693" s="42"/>
      <c r="BS693" s="42"/>
      <c r="BT693" s="42"/>
      <c r="BU693" s="42"/>
      <c r="BV693" s="42"/>
      <c r="BW693" s="42"/>
      <c r="BX693" s="42"/>
      <c r="BY693" s="42"/>
      <c r="BZ693" s="42"/>
      <c r="CA693" s="42"/>
      <c r="CB693" s="42"/>
      <c r="CC693" s="42"/>
      <c r="CD693" s="42"/>
      <c r="CE693" s="42"/>
      <c r="CF693" s="42"/>
      <c r="CG693" s="42"/>
      <c r="CH693" s="42"/>
      <c r="CS693" s="29"/>
      <c r="CT693" s="29"/>
      <c r="CU693" s="29"/>
      <c r="CV693" s="522"/>
      <c r="CW693" s="522"/>
      <c r="CX693" s="211"/>
      <c r="CY693" s="211"/>
      <c r="CZ693" s="211"/>
      <c r="DA693" s="211"/>
      <c r="DB693" s="211"/>
      <c r="DC693" s="211"/>
      <c r="DD693" s="211"/>
      <c r="DE693" s="211"/>
      <c r="DF693" s="60"/>
      <c r="DG693" s="60"/>
      <c r="DH693" s="60"/>
      <c r="DI693" s="60"/>
      <c r="DJ693" s="60"/>
    </row>
    <row r="694" spans="3:114" s="25" customFormat="1">
      <c r="C694" s="24"/>
      <c r="D694" s="24"/>
      <c r="G694" s="57"/>
      <c r="H694" s="57"/>
      <c r="I694" s="57"/>
      <c r="J694" s="57"/>
      <c r="K694" s="57"/>
      <c r="L694" s="57"/>
      <c r="M694" s="57"/>
      <c r="N694" s="57"/>
      <c r="O694" s="57"/>
      <c r="P694" s="57"/>
      <c r="Q694" s="57"/>
      <c r="R694" s="57"/>
      <c r="S694" s="57"/>
      <c r="T694" s="559"/>
      <c r="U694" s="29"/>
      <c r="V694" s="29"/>
      <c r="AJ694" s="1215"/>
      <c r="AK694" s="1142"/>
      <c r="AM694" s="42"/>
      <c r="AN694" s="42"/>
      <c r="AO694" s="42"/>
      <c r="AP694" s="42"/>
      <c r="AQ694" s="42"/>
      <c r="AR694" s="42"/>
      <c r="AS694" s="42"/>
      <c r="AT694" s="42"/>
      <c r="AU694" s="42"/>
      <c r="AV694" s="42"/>
      <c r="AW694" s="42"/>
      <c r="AX694" s="42"/>
      <c r="AY694" s="42"/>
      <c r="AZ694" s="42"/>
      <c r="BA694" s="42"/>
      <c r="BB694" s="42"/>
      <c r="BC694" s="42"/>
      <c r="BD694" s="42"/>
      <c r="BE694" s="42"/>
      <c r="BF694" s="42"/>
      <c r="BG694" s="42"/>
      <c r="BH694" s="42"/>
      <c r="BI694" s="42"/>
      <c r="BJ694" s="42"/>
      <c r="BK694" s="42"/>
      <c r="BL694" s="42"/>
      <c r="BM694" s="42"/>
      <c r="BN694" s="42"/>
      <c r="BO694" s="42"/>
      <c r="BP694" s="42"/>
      <c r="BQ694" s="42"/>
      <c r="BR694" s="42"/>
      <c r="BS694" s="42"/>
      <c r="BT694" s="42"/>
      <c r="BU694" s="42"/>
      <c r="BV694" s="42"/>
      <c r="BW694" s="42"/>
      <c r="BX694" s="42"/>
      <c r="BY694" s="42"/>
      <c r="BZ694" s="42"/>
      <c r="CA694" s="42"/>
      <c r="CB694" s="42"/>
      <c r="CC694" s="42"/>
      <c r="CD694" s="42"/>
      <c r="CE694" s="42"/>
      <c r="CF694" s="42"/>
      <c r="CG694" s="42"/>
      <c r="CH694" s="42"/>
      <c r="CS694" s="29"/>
      <c r="CT694" s="29"/>
      <c r="CU694" s="29"/>
      <c r="CV694" s="522"/>
      <c r="CW694" s="522"/>
      <c r="CX694" s="211"/>
      <c r="CY694" s="211"/>
      <c r="CZ694" s="211"/>
      <c r="DA694" s="211"/>
      <c r="DB694" s="211"/>
      <c r="DC694" s="211"/>
      <c r="DD694" s="211"/>
      <c r="DE694" s="211"/>
      <c r="DF694" s="60"/>
      <c r="DG694" s="60"/>
      <c r="DH694" s="60"/>
      <c r="DI694" s="60"/>
      <c r="DJ694" s="60"/>
    </row>
    <row r="695" spans="3:114" s="25" customFormat="1">
      <c r="C695" s="24"/>
      <c r="D695" s="24"/>
      <c r="G695" s="57"/>
      <c r="H695" s="57"/>
      <c r="I695" s="57"/>
      <c r="J695" s="57"/>
      <c r="K695" s="57"/>
      <c r="L695" s="57"/>
      <c r="M695" s="57"/>
      <c r="N695" s="57"/>
      <c r="O695" s="57"/>
      <c r="P695" s="57"/>
      <c r="Q695" s="57"/>
      <c r="R695" s="57"/>
      <c r="S695" s="57"/>
      <c r="T695" s="559"/>
      <c r="U695" s="29"/>
      <c r="V695" s="29"/>
      <c r="AJ695" s="1215"/>
      <c r="AK695" s="1142"/>
      <c r="AM695" s="42"/>
      <c r="AN695" s="42"/>
      <c r="AO695" s="42"/>
      <c r="AP695" s="42"/>
      <c r="AQ695" s="42"/>
      <c r="AR695" s="42"/>
      <c r="AS695" s="42"/>
      <c r="AT695" s="42"/>
      <c r="AU695" s="42"/>
      <c r="AV695" s="42"/>
      <c r="AW695" s="42"/>
      <c r="AX695" s="42"/>
      <c r="AY695" s="42"/>
      <c r="AZ695" s="42"/>
      <c r="BA695" s="42"/>
      <c r="BB695" s="42"/>
      <c r="BC695" s="42"/>
      <c r="BD695" s="42"/>
      <c r="BE695" s="42"/>
      <c r="BF695" s="42"/>
      <c r="BG695" s="42"/>
      <c r="BH695" s="42"/>
      <c r="BI695" s="42"/>
      <c r="BJ695" s="42"/>
      <c r="BK695" s="42"/>
      <c r="BL695" s="42"/>
      <c r="BM695" s="42"/>
      <c r="BN695" s="42"/>
      <c r="BO695" s="42"/>
      <c r="BP695" s="42"/>
      <c r="BQ695" s="42"/>
      <c r="BR695" s="42"/>
      <c r="BS695" s="42"/>
      <c r="BT695" s="42"/>
      <c r="BU695" s="42"/>
      <c r="BV695" s="42"/>
      <c r="BW695" s="42"/>
      <c r="BX695" s="42"/>
      <c r="BY695" s="42"/>
      <c r="BZ695" s="42"/>
      <c r="CA695" s="42"/>
      <c r="CB695" s="42"/>
      <c r="CC695" s="42"/>
      <c r="CD695" s="42"/>
      <c r="CE695" s="42"/>
      <c r="CF695" s="42"/>
      <c r="CG695" s="42"/>
      <c r="CH695" s="42"/>
      <c r="CS695" s="29"/>
      <c r="CT695" s="29"/>
      <c r="CU695" s="29"/>
      <c r="CV695" s="522"/>
      <c r="CW695" s="522"/>
      <c r="CX695" s="211"/>
      <c r="CY695" s="211"/>
      <c r="CZ695" s="211"/>
      <c r="DA695" s="211"/>
      <c r="DB695" s="211"/>
      <c r="DC695" s="211"/>
      <c r="DD695" s="211"/>
      <c r="DE695" s="211"/>
      <c r="DF695" s="60"/>
      <c r="DG695" s="60"/>
      <c r="DH695" s="60"/>
      <c r="DI695" s="60"/>
      <c r="DJ695" s="60"/>
    </row>
    <row r="696" spans="3:114" s="25" customFormat="1">
      <c r="C696" s="24"/>
      <c r="D696" s="24"/>
      <c r="G696" s="57"/>
      <c r="H696" s="57"/>
      <c r="I696" s="57"/>
      <c r="J696" s="57"/>
      <c r="K696" s="57"/>
      <c r="L696" s="57"/>
      <c r="M696" s="57"/>
      <c r="N696" s="57"/>
      <c r="O696" s="57"/>
      <c r="P696" s="57"/>
      <c r="Q696" s="57"/>
      <c r="R696" s="57"/>
      <c r="S696" s="57"/>
      <c r="T696" s="559"/>
      <c r="U696" s="29"/>
      <c r="V696" s="29"/>
      <c r="AJ696" s="1215"/>
      <c r="AK696" s="1142"/>
      <c r="AM696" s="42"/>
      <c r="AN696" s="42"/>
      <c r="AO696" s="42"/>
      <c r="AP696" s="42"/>
      <c r="AQ696" s="42"/>
      <c r="AR696" s="42"/>
      <c r="AS696" s="42"/>
      <c r="AT696" s="42"/>
      <c r="AU696" s="42"/>
      <c r="AV696" s="42"/>
      <c r="AW696" s="42"/>
      <c r="AX696" s="42"/>
      <c r="AY696" s="42"/>
      <c r="AZ696" s="42"/>
      <c r="BA696" s="42"/>
      <c r="BB696" s="42"/>
      <c r="BC696" s="42"/>
      <c r="BD696" s="42"/>
      <c r="BE696" s="42"/>
      <c r="BF696" s="42"/>
      <c r="BG696" s="42"/>
      <c r="BH696" s="42"/>
      <c r="BI696" s="42"/>
      <c r="BJ696" s="42"/>
      <c r="BK696" s="42"/>
      <c r="BL696" s="42"/>
      <c r="BM696" s="42"/>
      <c r="BN696" s="42"/>
      <c r="BO696" s="42"/>
      <c r="BP696" s="42"/>
      <c r="BQ696" s="42"/>
      <c r="BR696" s="42"/>
      <c r="BS696" s="42"/>
      <c r="BT696" s="42"/>
      <c r="BU696" s="42"/>
      <c r="BV696" s="42"/>
      <c r="BW696" s="42"/>
      <c r="BX696" s="42"/>
      <c r="BY696" s="42"/>
      <c r="BZ696" s="42"/>
      <c r="CA696" s="42"/>
      <c r="CB696" s="42"/>
      <c r="CC696" s="42"/>
      <c r="CD696" s="42"/>
      <c r="CE696" s="42"/>
      <c r="CF696" s="42"/>
      <c r="CG696" s="42"/>
      <c r="CH696" s="42"/>
      <c r="CS696" s="29"/>
      <c r="CT696" s="29"/>
      <c r="CU696" s="29"/>
      <c r="CV696" s="522"/>
      <c r="CW696" s="522"/>
      <c r="CX696" s="211"/>
      <c r="CY696" s="211"/>
      <c r="CZ696" s="211"/>
      <c r="DA696" s="211"/>
      <c r="DB696" s="211"/>
      <c r="DC696" s="211"/>
      <c r="DD696" s="211"/>
      <c r="DE696" s="211"/>
      <c r="DF696" s="60"/>
      <c r="DG696" s="60"/>
      <c r="DH696" s="60"/>
      <c r="DI696" s="60"/>
      <c r="DJ696" s="60"/>
    </row>
    <row r="697" spans="3:114" s="25" customFormat="1">
      <c r="C697" s="24"/>
      <c r="D697" s="24"/>
      <c r="G697" s="57"/>
      <c r="H697" s="57"/>
      <c r="I697" s="57"/>
      <c r="J697" s="57"/>
      <c r="K697" s="57"/>
      <c r="L697" s="57"/>
      <c r="M697" s="57"/>
      <c r="N697" s="57"/>
      <c r="O697" s="57"/>
      <c r="P697" s="57"/>
      <c r="Q697" s="57"/>
      <c r="R697" s="57"/>
      <c r="S697" s="57"/>
      <c r="T697" s="559"/>
      <c r="U697" s="29"/>
      <c r="V697" s="29"/>
      <c r="AJ697" s="1215"/>
      <c r="AK697" s="1142"/>
      <c r="AM697" s="42"/>
      <c r="AN697" s="42"/>
      <c r="AO697" s="42"/>
      <c r="AP697" s="42"/>
      <c r="AQ697" s="42"/>
      <c r="AR697" s="42"/>
      <c r="AS697" s="42"/>
      <c r="AT697" s="42"/>
      <c r="AU697" s="42"/>
      <c r="AV697" s="42"/>
      <c r="AW697" s="42"/>
      <c r="AX697" s="42"/>
      <c r="AY697" s="42"/>
      <c r="AZ697" s="42"/>
      <c r="BA697" s="42"/>
      <c r="BB697" s="42"/>
      <c r="BC697" s="42"/>
      <c r="BD697" s="42"/>
      <c r="BE697" s="42"/>
      <c r="BF697" s="42"/>
      <c r="BG697" s="42"/>
      <c r="BH697" s="42"/>
      <c r="BI697" s="42"/>
      <c r="BJ697" s="42"/>
      <c r="BK697" s="42"/>
      <c r="BL697" s="42"/>
      <c r="BM697" s="42"/>
      <c r="BN697" s="42"/>
      <c r="BO697" s="42"/>
      <c r="BP697" s="42"/>
      <c r="BQ697" s="42"/>
      <c r="BR697" s="42"/>
      <c r="BS697" s="42"/>
      <c r="BT697" s="42"/>
      <c r="BU697" s="42"/>
      <c r="BV697" s="42"/>
      <c r="BW697" s="42"/>
      <c r="BX697" s="42"/>
      <c r="BY697" s="42"/>
      <c r="BZ697" s="42"/>
      <c r="CA697" s="42"/>
      <c r="CB697" s="42"/>
      <c r="CC697" s="42"/>
      <c r="CD697" s="42"/>
      <c r="CE697" s="42"/>
      <c r="CF697" s="42"/>
      <c r="CG697" s="42"/>
      <c r="CH697" s="42"/>
      <c r="CS697" s="29"/>
      <c r="CT697" s="29"/>
      <c r="CU697" s="29"/>
      <c r="CV697" s="522"/>
      <c r="CW697" s="522"/>
      <c r="CX697" s="211"/>
      <c r="CY697" s="211"/>
      <c r="CZ697" s="211"/>
      <c r="DA697" s="211"/>
      <c r="DB697" s="211"/>
      <c r="DC697" s="211"/>
      <c r="DD697" s="211"/>
      <c r="DE697" s="211"/>
      <c r="DF697" s="60"/>
      <c r="DG697" s="60"/>
      <c r="DH697" s="60"/>
      <c r="DI697" s="60"/>
      <c r="DJ697" s="60"/>
    </row>
    <row r="698" spans="3:114" s="25" customFormat="1">
      <c r="C698" s="24"/>
      <c r="D698" s="24"/>
      <c r="G698" s="57"/>
      <c r="H698" s="57"/>
      <c r="I698" s="57"/>
      <c r="J698" s="57"/>
      <c r="K698" s="57"/>
      <c r="L698" s="57"/>
      <c r="M698" s="57"/>
      <c r="N698" s="57"/>
      <c r="O698" s="57"/>
      <c r="P698" s="57"/>
      <c r="Q698" s="57"/>
      <c r="R698" s="57"/>
      <c r="S698" s="57"/>
      <c r="T698" s="559"/>
      <c r="U698" s="29"/>
      <c r="V698" s="29"/>
      <c r="AJ698" s="1215"/>
      <c r="AK698" s="1142"/>
      <c r="AM698" s="42"/>
      <c r="AN698" s="42"/>
      <c r="AO698" s="42"/>
      <c r="AP698" s="42"/>
      <c r="AQ698" s="42"/>
      <c r="AR698" s="42"/>
      <c r="AS698" s="42"/>
      <c r="AT698" s="42"/>
      <c r="AU698" s="42"/>
      <c r="AV698" s="42"/>
      <c r="AW698" s="42"/>
      <c r="AX698" s="42"/>
      <c r="AY698" s="42"/>
      <c r="AZ698" s="42"/>
      <c r="BA698" s="42"/>
      <c r="BB698" s="42"/>
      <c r="BC698" s="42"/>
      <c r="BD698" s="42"/>
      <c r="BE698" s="42"/>
      <c r="BF698" s="42"/>
      <c r="BG698" s="42"/>
      <c r="BH698" s="42"/>
      <c r="BI698" s="42"/>
      <c r="BJ698" s="42"/>
      <c r="BK698" s="42"/>
      <c r="BL698" s="42"/>
      <c r="BM698" s="42"/>
      <c r="BN698" s="42"/>
      <c r="BO698" s="42"/>
      <c r="BP698" s="42"/>
      <c r="BQ698" s="42"/>
      <c r="BR698" s="42"/>
      <c r="BS698" s="42"/>
      <c r="BT698" s="42"/>
      <c r="BU698" s="42"/>
      <c r="BV698" s="42"/>
      <c r="BW698" s="42"/>
      <c r="BX698" s="42"/>
      <c r="BY698" s="42"/>
      <c r="BZ698" s="42"/>
      <c r="CA698" s="42"/>
      <c r="CB698" s="42"/>
      <c r="CC698" s="42"/>
      <c r="CD698" s="42"/>
      <c r="CE698" s="42"/>
      <c r="CF698" s="42"/>
      <c r="CG698" s="42"/>
      <c r="CH698" s="42"/>
      <c r="CS698" s="29"/>
      <c r="CT698" s="29"/>
      <c r="CU698" s="29"/>
      <c r="CV698" s="522"/>
      <c r="CW698" s="522"/>
      <c r="CX698" s="211"/>
      <c r="CY698" s="211"/>
      <c r="CZ698" s="211"/>
      <c r="DA698" s="211"/>
      <c r="DB698" s="211"/>
      <c r="DC698" s="211"/>
      <c r="DD698" s="211"/>
      <c r="DE698" s="211"/>
      <c r="DF698" s="60"/>
      <c r="DG698" s="60"/>
      <c r="DH698" s="60"/>
      <c r="DI698" s="60"/>
      <c r="DJ698" s="60"/>
    </row>
    <row r="699" spans="3:114" s="25" customFormat="1">
      <c r="C699" s="24"/>
      <c r="D699" s="24"/>
      <c r="G699" s="57"/>
      <c r="H699" s="57"/>
      <c r="I699" s="57"/>
      <c r="J699" s="57"/>
      <c r="K699" s="57"/>
      <c r="L699" s="57"/>
      <c r="M699" s="57"/>
      <c r="N699" s="57"/>
      <c r="O699" s="57"/>
      <c r="P699" s="57"/>
      <c r="Q699" s="57"/>
      <c r="R699" s="57"/>
      <c r="S699" s="57"/>
      <c r="T699" s="559"/>
      <c r="U699" s="29"/>
      <c r="V699" s="29"/>
      <c r="AJ699" s="1215"/>
      <c r="AK699" s="1142"/>
      <c r="AM699" s="42"/>
      <c r="AN699" s="42"/>
      <c r="AO699" s="42"/>
      <c r="AP699" s="42"/>
      <c r="AQ699" s="42"/>
      <c r="AR699" s="42"/>
      <c r="AS699" s="42"/>
      <c r="AT699" s="42"/>
      <c r="AU699" s="42"/>
      <c r="AV699" s="42"/>
      <c r="AW699" s="42"/>
      <c r="AX699" s="42"/>
      <c r="AY699" s="42"/>
      <c r="AZ699" s="42"/>
      <c r="BA699" s="42"/>
      <c r="BB699" s="42"/>
      <c r="BC699" s="42"/>
      <c r="BD699" s="42"/>
      <c r="BE699" s="42"/>
      <c r="BF699" s="42"/>
      <c r="BG699" s="42"/>
      <c r="BH699" s="42"/>
      <c r="BI699" s="42"/>
      <c r="BJ699" s="42"/>
      <c r="BK699" s="42"/>
      <c r="BL699" s="42"/>
      <c r="BM699" s="42"/>
      <c r="BN699" s="42"/>
      <c r="BO699" s="42"/>
      <c r="BP699" s="42"/>
      <c r="BQ699" s="42"/>
      <c r="BR699" s="42"/>
      <c r="BS699" s="42"/>
      <c r="BT699" s="42"/>
      <c r="BU699" s="42"/>
      <c r="BV699" s="42"/>
      <c r="BW699" s="42"/>
      <c r="BX699" s="42"/>
      <c r="BY699" s="42"/>
      <c r="BZ699" s="42"/>
      <c r="CA699" s="42"/>
      <c r="CB699" s="42"/>
      <c r="CC699" s="42"/>
      <c r="CD699" s="42"/>
      <c r="CE699" s="42"/>
      <c r="CF699" s="42"/>
      <c r="CG699" s="42"/>
      <c r="CH699" s="42"/>
      <c r="CS699" s="29"/>
      <c r="CT699" s="29"/>
      <c r="CU699" s="29"/>
      <c r="CV699" s="522"/>
      <c r="CW699" s="522"/>
      <c r="CX699" s="211"/>
      <c r="CY699" s="211"/>
      <c r="CZ699" s="211"/>
      <c r="DA699" s="211"/>
      <c r="DB699" s="211"/>
      <c r="DC699" s="211"/>
      <c r="DD699" s="211"/>
      <c r="DE699" s="211"/>
      <c r="DF699" s="60"/>
      <c r="DG699" s="60"/>
      <c r="DH699" s="60"/>
      <c r="DI699" s="60"/>
      <c r="DJ699" s="60"/>
    </row>
    <row r="700" spans="3:114" s="25" customFormat="1">
      <c r="C700" s="24"/>
      <c r="D700" s="24"/>
      <c r="G700" s="57"/>
      <c r="H700" s="57"/>
      <c r="I700" s="57"/>
      <c r="J700" s="57"/>
      <c r="K700" s="57"/>
      <c r="L700" s="57"/>
      <c r="M700" s="57"/>
      <c r="N700" s="57"/>
      <c r="O700" s="57"/>
      <c r="P700" s="57"/>
      <c r="Q700" s="57"/>
      <c r="R700" s="57"/>
      <c r="S700" s="57"/>
      <c r="T700" s="559"/>
      <c r="U700" s="29"/>
      <c r="V700" s="29"/>
      <c r="AJ700" s="1215"/>
      <c r="AK700" s="1142"/>
      <c r="AM700" s="42"/>
      <c r="AN700" s="42"/>
      <c r="AO700" s="42"/>
      <c r="AP700" s="42"/>
      <c r="AQ700" s="42"/>
      <c r="AR700" s="42"/>
      <c r="AS700" s="42"/>
      <c r="AT700" s="42"/>
      <c r="AU700" s="42"/>
      <c r="AV700" s="42"/>
      <c r="AW700" s="42"/>
      <c r="AX700" s="42"/>
      <c r="AY700" s="42"/>
      <c r="AZ700" s="42"/>
      <c r="BA700" s="42"/>
      <c r="BB700" s="42"/>
      <c r="BC700" s="42"/>
      <c r="BD700" s="42"/>
      <c r="BE700" s="42"/>
      <c r="BF700" s="42"/>
      <c r="BG700" s="42"/>
      <c r="BH700" s="42"/>
      <c r="BI700" s="42"/>
      <c r="BJ700" s="42"/>
      <c r="BK700" s="42"/>
      <c r="BL700" s="42"/>
      <c r="BM700" s="42"/>
      <c r="BN700" s="42"/>
      <c r="BO700" s="42"/>
      <c r="BP700" s="42"/>
      <c r="BQ700" s="42"/>
      <c r="BR700" s="42"/>
      <c r="BS700" s="42"/>
      <c r="BT700" s="42"/>
      <c r="BU700" s="42"/>
      <c r="BV700" s="42"/>
      <c r="BW700" s="42"/>
      <c r="BX700" s="42"/>
      <c r="BY700" s="42"/>
      <c r="BZ700" s="42"/>
      <c r="CA700" s="42"/>
      <c r="CB700" s="42"/>
      <c r="CC700" s="42"/>
      <c r="CD700" s="42"/>
      <c r="CE700" s="42"/>
      <c r="CF700" s="42"/>
      <c r="CG700" s="42"/>
      <c r="CH700" s="42"/>
      <c r="CS700" s="29"/>
      <c r="CT700" s="29"/>
      <c r="CU700" s="29"/>
      <c r="CV700" s="522"/>
      <c r="CW700" s="522"/>
      <c r="CX700" s="211"/>
      <c r="CY700" s="211"/>
      <c r="CZ700" s="211"/>
      <c r="DA700" s="211"/>
      <c r="DB700" s="211"/>
      <c r="DC700" s="211"/>
      <c r="DD700" s="211"/>
      <c r="DE700" s="211"/>
      <c r="DF700" s="60"/>
      <c r="DG700" s="60"/>
      <c r="DH700" s="60"/>
      <c r="DI700" s="60"/>
      <c r="DJ700" s="60"/>
    </row>
    <row r="701" spans="3:114" s="25" customFormat="1">
      <c r="C701" s="24"/>
      <c r="D701" s="24"/>
      <c r="G701" s="57"/>
      <c r="H701" s="57"/>
      <c r="I701" s="57"/>
      <c r="J701" s="57"/>
      <c r="K701" s="57"/>
      <c r="L701" s="57"/>
      <c r="M701" s="57"/>
      <c r="N701" s="57"/>
      <c r="O701" s="57"/>
      <c r="P701" s="57"/>
      <c r="Q701" s="57"/>
      <c r="R701" s="57"/>
      <c r="S701" s="57"/>
      <c r="T701" s="559"/>
      <c r="U701" s="29"/>
      <c r="V701" s="29"/>
      <c r="AJ701" s="1215"/>
      <c r="AK701" s="1142"/>
      <c r="AM701" s="42"/>
      <c r="AN701" s="42"/>
      <c r="AO701" s="42"/>
      <c r="AP701" s="42"/>
      <c r="AQ701" s="42"/>
      <c r="AR701" s="42"/>
      <c r="AS701" s="42"/>
      <c r="AT701" s="42"/>
      <c r="AU701" s="42"/>
      <c r="AV701" s="42"/>
      <c r="AW701" s="42"/>
      <c r="AX701" s="42"/>
      <c r="AY701" s="42"/>
      <c r="AZ701" s="42"/>
      <c r="BA701" s="42"/>
      <c r="BB701" s="42"/>
      <c r="BC701" s="42"/>
      <c r="BD701" s="42"/>
      <c r="BE701" s="42"/>
      <c r="BF701" s="42"/>
      <c r="BG701" s="42"/>
      <c r="BH701" s="42"/>
      <c r="BI701" s="42"/>
      <c r="BJ701" s="42"/>
      <c r="BK701" s="42"/>
      <c r="BL701" s="42"/>
      <c r="BM701" s="42"/>
      <c r="BN701" s="42"/>
      <c r="BO701" s="42"/>
      <c r="BP701" s="42"/>
      <c r="BQ701" s="42"/>
      <c r="BR701" s="42"/>
      <c r="BS701" s="42"/>
      <c r="BT701" s="42"/>
      <c r="BU701" s="42"/>
      <c r="BV701" s="42"/>
      <c r="BW701" s="42"/>
      <c r="BX701" s="42"/>
      <c r="BY701" s="42"/>
      <c r="BZ701" s="42"/>
      <c r="CA701" s="42"/>
      <c r="CB701" s="42"/>
      <c r="CC701" s="42"/>
      <c r="CD701" s="42"/>
      <c r="CE701" s="42"/>
      <c r="CF701" s="42"/>
      <c r="CG701" s="42"/>
      <c r="CH701" s="42"/>
      <c r="CS701" s="29"/>
      <c r="CT701" s="29"/>
      <c r="CU701" s="29"/>
      <c r="CV701" s="522"/>
      <c r="CW701" s="522"/>
      <c r="CX701" s="211"/>
      <c r="CY701" s="211"/>
      <c r="CZ701" s="211"/>
      <c r="DA701" s="211"/>
      <c r="DB701" s="211"/>
      <c r="DC701" s="211"/>
      <c r="DD701" s="211"/>
      <c r="DE701" s="211"/>
      <c r="DF701" s="60"/>
      <c r="DG701" s="60"/>
      <c r="DH701" s="60"/>
      <c r="DI701" s="60"/>
      <c r="DJ701" s="60"/>
    </row>
    <row r="702" spans="3:114" s="25" customFormat="1">
      <c r="C702" s="24"/>
      <c r="D702" s="24"/>
      <c r="G702" s="57"/>
      <c r="H702" s="57"/>
      <c r="I702" s="57"/>
      <c r="J702" s="57"/>
      <c r="K702" s="57"/>
      <c r="L702" s="57"/>
      <c r="M702" s="57"/>
      <c r="N702" s="57"/>
      <c r="O702" s="57"/>
      <c r="P702" s="57"/>
      <c r="Q702" s="57"/>
      <c r="R702" s="57"/>
      <c r="S702" s="57"/>
      <c r="T702" s="559"/>
      <c r="U702" s="29"/>
      <c r="V702" s="29"/>
      <c r="AJ702" s="1215"/>
      <c r="AK702" s="1142"/>
      <c r="AM702" s="42"/>
      <c r="AN702" s="42"/>
      <c r="AO702" s="42"/>
      <c r="AP702" s="42"/>
      <c r="AQ702" s="42"/>
      <c r="AR702" s="42"/>
      <c r="AS702" s="42"/>
      <c r="AT702" s="42"/>
      <c r="AU702" s="42"/>
      <c r="AV702" s="42"/>
      <c r="AW702" s="42"/>
      <c r="AX702" s="42"/>
      <c r="AY702" s="42"/>
      <c r="AZ702" s="42"/>
      <c r="BA702" s="42"/>
      <c r="BB702" s="42"/>
      <c r="BC702" s="42"/>
      <c r="BD702" s="42"/>
      <c r="BE702" s="42"/>
      <c r="BF702" s="42"/>
      <c r="BG702" s="42"/>
      <c r="BH702" s="42"/>
      <c r="BI702" s="42"/>
      <c r="BJ702" s="42"/>
      <c r="BK702" s="42"/>
      <c r="BL702" s="42"/>
      <c r="BM702" s="42"/>
      <c r="BN702" s="42"/>
      <c r="BO702" s="42"/>
      <c r="BP702" s="42"/>
      <c r="BQ702" s="42"/>
      <c r="BR702" s="42"/>
      <c r="BS702" s="42"/>
      <c r="BT702" s="42"/>
      <c r="BU702" s="42"/>
      <c r="BV702" s="42"/>
      <c r="BW702" s="42"/>
      <c r="BX702" s="42"/>
      <c r="BY702" s="42"/>
      <c r="BZ702" s="42"/>
      <c r="CA702" s="42"/>
      <c r="CB702" s="42"/>
      <c r="CC702" s="42"/>
      <c r="CD702" s="42"/>
      <c r="CE702" s="42"/>
      <c r="CF702" s="42"/>
      <c r="CG702" s="42"/>
      <c r="CH702" s="42"/>
      <c r="CS702" s="29"/>
      <c r="CT702" s="29"/>
      <c r="CU702" s="29"/>
      <c r="CV702" s="522"/>
      <c r="CW702" s="522"/>
      <c r="CX702" s="211"/>
      <c r="CY702" s="211"/>
      <c r="CZ702" s="211"/>
      <c r="DA702" s="211"/>
      <c r="DB702" s="211"/>
      <c r="DC702" s="211"/>
      <c r="DD702" s="211"/>
      <c r="DE702" s="211"/>
      <c r="DF702" s="60"/>
      <c r="DG702" s="60"/>
      <c r="DH702" s="60"/>
      <c r="DI702" s="60"/>
      <c r="DJ702" s="60"/>
    </row>
    <row r="703" spans="3:114" s="25" customFormat="1">
      <c r="C703" s="24"/>
      <c r="D703" s="24"/>
      <c r="G703" s="57"/>
      <c r="H703" s="57"/>
      <c r="I703" s="57"/>
      <c r="J703" s="57"/>
      <c r="K703" s="57"/>
      <c r="L703" s="57"/>
      <c r="M703" s="57"/>
      <c r="N703" s="57"/>
      <c r="O703" s="57"/>
      <c r="P703" s="57"/>
      <c r="Q703" s="57"/>
      <c r="R703" s="57"/>
      <c r="S703" s="57"/>
      <c r="T703" s="559"/>
      <c r="U703" s="29"/>
      <c r="V703" s="29"/>
      <c r="AJ703" s="1215"/>
      <c r="AK703" s="1142"/>
      <c r="AM703" s="42"/>
      <c r="AN703" s="42"/>
      <c r="AO703" s="42"/>
      <c r="AP703" s="42"/>
      <c r="AQ703" s="42"/>
      <c r="AR703" s="42"/>
      <c r="AS703" s="42"/>
      <c r="AT703" s="42"/>
      <c r="AU703" s="42"/>
      <c r="AV703" s="42"/>
      <c r="AW703" s="42"/>
      <c r="AX703" s="42"/>
      <c r="AY703" s="42"/>
      <c r="AZ703" s="42"/>
      <c r="BA703" s="42"/>
      <c r="BB703" s="42"/>
      <c r="BC703" s="42"/>
      <c r="BD703" s="42"/>
      <c r="BE703" s="42"/>
      <c r="BF703" s="42"/>
      <c r="BG703" s="42"/>
      <c r="BH703" s="42"/>
      <c r="BI703" s="42"/>
      <c r="BJ703" s="42"/>
      <c r="BK703" s="42"/>
      <c r="BL703" s="42"/>
      <c r="BM703" s="42"/>
      <c r="BN703" s="42"/>
      <c r="BO703" s="42"/>
      <c r="BP703" s="42"/>
      <c r="BQ703" s="42"/>
      <c r="BR703" s="42"/>
      <c r="BS703" s="42"/>
      <c r="BT703" s="42"/>
      <c r="BU703" s="42"/>
      <c r="BV703" s="42"/>
      <c r="BW703" s="42"/>
      <c r="BX703" s="42"/>
      <c r="BY703" s="42"/>
      <c r="BZ703" s="42"/>
      <c r="CA703" s="42"/>
      <c r="CB703" s="42"/>
      <c r="CC703" s="42"/>
      <c r="CD703" s="42"/>
      <c r="CE703" s="42"/>
      <c r="CF703" s="42"/>
      <c r="CG703" s="42"/>
      <c r="CH703" s="42"/>
      <c r="CS703" s="29"/>
      <c r="CT703" s="29"/>
      <c r="CU703" s="29"/>
      <c r="CV703" s="522"/>
      <c r="CW703" s="522"/>
      <c r="CX703" s="211"/>
      <c r="CY703" s="211"/>
      <c r="CZ703" s="211"/>
      <c r="DA703" s="211"/>
      <c r="DB703" s="211"/>
      <c r="DC703" s="211"/>
      <c r="DD703" s="211"/>
      <c r="DE703" s="211"/>
      <c r="DF703" s="60"/>
      <c r="DG703" s="60"/>
      <c r="DH703" s="60"/>
      <c r="DI703" s="60"/>
      <c r="DJ703" s="60"/>
    </row>
    <row r="704" spans="3:114" s="25" customFormat="1">
      <c r="C704" s="24"/>
      <c r="D704" s="24"/>
      <c r="G704" s="57"/>
      <c r="H704" s="57"/>
      <c r="I704" s="57"/>
      <c r="J704" s="57"/>
      <c r="K704" s="57"/>
      <c r="L704" s="57"/>
      <c r="M704" s="57"/>
      <c r="N704" s="57"/>
      <c r="O704" s="57"/>
      <c r="P704" s="57"/>
      <c r="Q704" s="57"/>
      <c r="R704" s="57"/>
      <c r="S704" s="57"/>
      <c r="T704" s="559"/>
      <c r="U704" s="29"/>
      <c r="V704" s="29"/>
      <c r="AJ704" s="1215"/>
      <c r="AK704" s="1142"/>
      <c r="AM704" s="42"/>
      <c r="AN704" s="42"/>
      <c r="AO704" s="42"/>
      <c r="AP704" s="42"/>
      <c r="AQ704" s="42"/>
      <c r="AR704" s="42"/>
      <c r="AS704" s="42"/>
      <c r="AT704" s="42"/>
      <c r="AU704" s="42"/>
      <c r="AV704" s="42"/>
      <c r="AW704" s="42"/>
      <c r="AX704" s="42"/>
      <c r="AY704" s="42"/>
      <c r="AZ704" s="42"/>
      <c r="BA704" s="42"/>
      <c r="BB704" s="42"/>
      <c r="BC704" s="42"/>
      <c r="BD704" s="42"/>
      <c r="BE704" s="42"/>
      <c r="BF704" s="42"/>
      <c r="BG704" s="42"/>
      <c r="BH704" s="42"/>
      <c r="BI704" s="42"/>
      <c r="BJ704" s="42"/>
      <c r="BK704" s="42"/>
      <c r="BL704" s="42"/>
      <c r="BM704" s="42"/>
      <c r="BN704" s="42"/>
      <c r="BO704" s="42"/>
      <c r="BP704" s="42"/>
      <c r="BQ704" s="42"/>
      <c r="BR704" s="42"/>
      <c r="BS704" s="42"/>
      <c r="BT704" s="42"/>
      <c r="BU704" s="42"/>
      <c r="BV704" s="42"/>
      <c r="BW704" s="42"/>
      <c r="BX704" s="42"/>
      <c r="BY704" s="42"/>
      <c r="BZ704" s="42"/>
      <c r="CA704" s="42"/>
      <c r="CB704" s="42"/>
      <c r="CC704" s="42"/>
      <c r="CD704" s="42"/>
      <c r="CE704" s="42"/>
      <c r="CF704" s="42"/>
      <c r="CG704" s="42"/>
      <c r="CH704" s="42"/>
      <c r="CS704" s="29"/>
      <c r="CT704" s="29"/>
      <c r="CU704" s="29"/>
      <c r="CV704" s="522"/>
      <c r="CW704" s="522"/>
      <c r="CX704" s="211"/>
      <c r="CY704" s="211"/>
      <c r="CZ704" s="211"/>
      <c r="DA704" s="211"/>
      <c r="DB704" s="211"/>
      <c r="DC704" s="211"/>
      <c r="DD704" s="211"/>
      <c r="DE704" s="211"/>
      <c r="DF704" s="60"/>
      <c r="DG704" s="60"/>
      <c r="DH704" s="60"/>
      <c r="DI704" s="60"/>
      <c r="DJ704" s="60"/>
    </row>
    <row r="705" spans="3:114" s="25" customFormat="1">
      <c r="C705" s="24"/>
      <c r="D705" s="24"/>
      <c r="G705" s="57"/>
      <c r="H705" s="57"/>
      <c r="I705" s="57"/>
      <c r="J705" s="57"/>
      <c r="K705" s="57"/>
      <c r="L705" s="57"/>
      <c r="M705" s="57"/>
      <c r="N705" s="57"/>
      <c r="O705" s="57"/>
      <c r="P705" s="57"/>
      <c r="Q705" s="57"/>
      <c r="R705" s="57"/>
      <c r="S705" s="57"/>
      <c r="T705" s="559"/>
      <c r="U705" s="29"/>
      <c r="V705" s="29"/>
      <c r="AJ705" s="1215"/>
      <c r="AK705" s="1142"/>
      <c r="AM705" s="42"/>
      <c r="AN705" s="42"/>
      <c r="AO705" s="42"/>
      <c r="AP705" s="42"/>
      <c r="AQ705" s="42"/>
      <c r="AR705" s="42"/>
      <c r="AS705" s="42"/>
      <c r="AT705" s="42"/>
      <c r="AU705" s="42"/>
      <c r="AV705" s="42"/>
      <c r="AW705" s="42"/>
      <c r="AX705" s="42"/>
      <c r="AY705" s="42"/>
      <c r="AZ705" s="42"/>
      <c r="BA705" s="42"/>
      <c r="BB705" s="42"/>
      <c r="BC705" s="42"/>
      <c r="BD705" s="42"/>
      <c r="BE705" s="42"/>
      <c r="BF705" s="42"/>
      <c r="BG705" s="42"/>
      <c r="BH705" s="42"/>
      <c r="BI705" s="42"/>
      <c r="BJ705" s="42"/>
      <c r="BK705" s="42"/>
      <c r="BL705" s="42"/>
      <c r="BM705" s="42"/>
      <c r="BN705" s="42"/>
      <c r="BO705" s="42"/>
      <c r="BP705" s="42"/>
      <c r="BQ705" s="42"/>
      <c r="BR705" s="42"/>
      <c r="BS705" s="42"/>
      <c r="BT705" s="42"/>
      <c r="BU705" s="42"/>
      <c r="BV705" s="42"/>
      <c r="BW705" s="42"/>
      <c r="BX705" s="42"/>
      <c r="BY705" s="42"/>
      <c r="BZ705" s="42"/>
      <c r="CA705" s="42"/>
      <c r="CB705" s="42"/>
      <c r="CC705" s="42"/>
      <c r="CD705" s="42"/>
      <c r="CE705" s="42"/>
      <c r="CF705" s="42"/>
      <c r="CG705" s="42"/>
      <c r="CH705" s="42"/>
      <c r="CS705" s="29"/>
      <c r="CT705" s="29"/>
      <c r="CU705" s="29"/>
      <c r="CV705" s="522"/>
      <c r="CW705" s="522"/>
      <c r="CX705" s="211"/>
      <c r="CY705" s="211"/>
      <c r="CZ705" s="211"/>
      <c r="DA705" s="211"/>
      <c r="DB705" s="211"/>
      <c r="DC705" s="211"/>
      <c r="DD705" s="211"/>
      <c r="DE705" s="211"/>
      <c r="DF705" s="60"/>
      <c r="DG705" s="60"/>
      <c r="DH705" s="60"/>
      <c r="DI705" s="60"/>
      <c r="DJ705" s="60"/>
    </row>
    <row r="706" spans="3:114" s="25" customFormat="1">
      <c r="C706" s="24"/>
      <c r="D706" s="24"/>
      <c r="G706" s="57"/>
      <c r="H706" s="57"/>
      <c r="I706" s="57"/>
      <c r="J706" s="57"/>
      <c r="K706" s="57"/>
      <c r="L706" s="57"/>
      <c r="M706" s="57"/>
      <c r="N706" s="57"/>
      <c r="O706" s="57"/>
      <c r="P706" s="57"/>
      <c r="Q706" s="57"/>
      <c r="R706" s="57"/>
      <c r="S706" s="57"/>
      <c r="T706" s="559"/>
      <c r="U706" s="29"/>
      <c r="V706" s="29"/>
      <c r="AJ706" s="1215"/>
      <c r="AK706" s="1142"/>
      <c r="AM706" s="42"/>
      <c r="AN706" s="42"/>
      <c r="AO706" s="42"/>
      <c r="AP706" s="42"/>
      <c r="AQ706" s="42"/>
      <c r="AR706" s="42"/>
      <c r="AS706" s="42"/>
      <c r="AT706" s="42"/>
      <c r="AU706" s="42"/>
      <c r="AV706" s="42"/>
      <c r="AW706" s="42"/>
      <c r="AX706" s="42"/>
      <c r="AY706" s="42"/>
      <c r="AZ706" s="42"/>
      <c r="BA706" s="42"/>
      <c r="BB706" s="42"/>
      <c r="BC706" s="42"/>
      <c r="BD706" s="42"/>
      <c r="BE706" s="42"/>
      <c r="BF706" s="42"/>
      <c r="BG706" s="42"/>
      <c r="BH706" s="42"/>
      <c r="BI706" s="42"/>
      <c r="BJ706" s="42"/>
      <c r="BK706" s="42"/>
      <c r="BL706" s="42"/>
      <c r="BM706" s="42"/>
      <c r="BN706" s="42"/>
      <c r="BO706" s="42"/>
      <c r="BP706" s="42"/>
      <c r="BQ706" s="42"/>
      <c r="BR706" s="42"/>
      <c r="BS706" s="42"/>
      <c r="BT706" s="42"/>
      <c r="BU706" s="42"/>
      <c r="BV706" s="42"/>
      <c r="BW706" s="42"/>
      <c r="BX706" s="42"/>
      <c r="BY706" s="42"/>
      <c r="BZ706" s="42"/>
      <c r="CA706" s="42"/>
      <c r="CB706" s="42"/>
      <c r="CC706" s="42"/>
      <c r="CD706" s="42"/>
      <c r="CE706" s="42"/>
      <c r="CF706" s="42"/>
      <c r="CG706" s="42"/>
      <c r="CH706" s="42"/>
      <c r="CS706" s="29"/>
      <c r="CT706" s="29"/>
      <c r="CU706" s="29"/>
      <c r="CV706" s="522"/>
      <c r="CW706" s="522"/>
      <c r="CX706" s="211"/>
      <c r="CY706" s="211"/>
      <c r="CZ706" s="211"/>
      <c r="DA706" s="211"/>
      <c r="DB706" s="211"/>
      <c r="DC706" s="211"/>
      <c r="DD706" s="211"/>
      <c r="DE706" s="211"/>
      <c r="DF706" s="60"/>
      <c r="DG706" s="60"/>
      <c r="DH706" s="60"/>
      <c r="DI706" s="60"/>
      <c r="DJ706" s="60"/>
    </row>
    <row r="707" spans="3:114" s="25" customFormat="1">
      <c r="C707" s="24"/>
      <c r="D707" s="24"/>
      <c r="G707" s="57"/>
      <c r="H707" s="57"/>
      <c r="I707" s="57"/>
      <c r="J707" s="57"/>
      <c r="K707" s="57"/>
      <c r="L707" s="57"/>
      <c r="M707" s="57"/>
      <c r="N707" s="57"/>
      <c r="O707" s="57"/>
      <c r="P707" s="57"/>
      <c r="Q707" s="57"/>
      <c r="R707" s="57"/>
      <c r="S707" s="57"/>
      <c r="T707" s="559"/>
      <c r="U707" s="29"/>
      <c r="V707" s="29"/>
      <c r="AJ707" s="1215"/>
      <c r="AK707" s="1142"/>
      <c r="AM707" s="42"/>
      <c r="AN707" s="42"/>
      <c r="AO707" s="42"/>
      <c r="AP707" s="42"/>
      <c r="AQ707" s="42"/>
      <c r="AR707" s="42"/>
      <c r="AS707" s="42"/>
      <c r="AT707" s="42"/>
      <c r="AU707" s="42"/>
      <c r="AV707" s="42"/>
      <c r="AW707" s="42"/>
      <c r="AX707" s="42"/>
      <c r="AY707" s="42"/>
      <c r="AZ707" s="42"/>
      <c r="BA707" s="42"/>
      <c r="BB707" s="42"/>
      <c r="BC707" s="42"/>
      <c r="BD707" s="42"/>
      <c r="BE707" s="42"/>
      <c r="BF707" s="42"/>
      <c r="BG707" s="42"/>
      <c r="BH707" s="42"/>
      <c r="BI707" s="42"/>
      <c r="BJ707" s="42"/>
      <c r="BK707" s="42"/>
      <c r="BL707" s="42"/>
      <c r="BM707" s="42"/>
      <c r="BN707" s="42"/>
      <c r="BO707" s="42"/>
      <c r="BP707" s="42"/>
      <c r="BQ707" s="42"/>
      <c r="BR707" s="42"/>
      <c r="BS707" s="42"/>
      <c r="BT707" s="42"/>
      <c r="BU707" s="42"/>
      <c r="BV707" s="42"/>
      <c r="BW707" s="42"/>
      <c r="BX707" s="42"/>
      <c r="BY707" s="42"/>
      <c r="BZ707" s="42"/>
      <c r="CA707" s="42"/>
      <c r="CB707" s="42"/>
      <c r="CC707" s="42"/>
      <c r="CD707" s="42"/>
      <c r="CE707" s="42"/>
      <c r="CF707" s="42"/>
      <c r="CG707" s="42"/>
      <c r="CH707" s="42"/>
      <c r="CS707" s="29"/>
      <c r="CT707" s="29"/>
      <c r="CU707" s="29"/>
      <c r="CV707" s="522"/>
      <c r="CW707" s="522"/>
      <c r="CX707" s="211"/>
      <c r="CY707" s="211"/>
      <c r="CZ707" s="211"/>
      <c r="DA707" s="211"/>
      <c r="DB707" s="211"/>
      <c r="DC707" s="211"/>
      <c r="DD707" s="211"/>
      <c r="DE707" s="211"/>
      <c r="DF707" s="60"/>
      <c r="DG707" s="60"/>
      <c r="DH707" s="60"/>
      <c r="DI707" s="60"/>
      <c r="DJ707" s="60"/>
    </row>
    <row r="708" spans="3:114" s="25" customFormat="1">
      <c r="C708" s="24"/>
      <c r="D708" s="24"/>
      <c r="G708" s="57"/>
      <c r="H708" s="57"/>
      <c r="I708" s="57"/>
      <c r="J708" s="57"/>
      <c r="K708" s="57"/>
      <c r="L708" s="57"/>
      <c r="M708" s="57"/>
      <c r="N708" s="57"/>
      <c r="O708" s="57"/>
      <c r="P708" s="57"/>
      <c r="Q708" s="57"/>
      <c r="R708" s="57"/>
      <c r="S708" s="57"/>
      <c r="T708" s="559"/>
      <c r="U708" s="29"/>
      <c r="V708" s="29"/>
      <c r="AJ708" s="1215"/>
      <c r="AK708" s="1142"/>
      <c r="AM708" s="42"/>
      <c r="AN708" s="42"/>
      <c r="AO708" s="42"/>
      <c r="AP708" s="42"/>
      <c r="AQ708" s="42"/>
      <c r="AR708" s="42"/>
      <c r="AS708" s="42"/>
      <c r="AT708" s="42"/>
      <c r="AU708" s="42"/>
      <c r="AV708" s="42"/>
      <c r="AW708" s="42"/>
      <c r="AX708" s="42"/>
      <c r="AY708" s="42"/>
      <c r="AZ708" s="42"/>
      <c r="BA708" s="42"/>
      <c r="BB708" s="42"/>
      <c r="BC708" s="42"/>
      <c r="BD708" s="42"/>
      <c r="BE708" s="42"/>
      <c r="BF708" s="42"/>
      <c r="BG708" s="42"/>
      <c r="BH708" s="42"/>
      <c r="BI708" s="42"/>
      <c r="BJ708" s="42"/>
      <c r="BK708" s="42"/>
      <c r="BL708" s="42"/>
      <c r="BM708" s="42"/>
      <c r="BN708" s="42"/>
      <c r="BO708" s="42"/>
      <c r="BP708" s="42"/>
      <c r="BQ708" s="42"/>
      <c r="BR708" s="42"/>
      <c r="BS708" s="42"/>
      <c r="BT708" s="42"/>
      <c r="BU708" s="42"/>
      <c r="BV708" s="42"/>
      <c r="BW708" s="42"/>
      <c r="BX708" s="42"/>
      <c r="BY708" s="42"/>
      <c r="BZ708" s="42"/>
      <c r="CA708" s="42"/>
      <c r="CB708" s="42"/>
      <c r="CC708" s="42"/>
      <c r="CD708" s="42"/>
      <c r="CE708" s="42"/>
      <c r="CF708" s="42"/>
      <c r="CG708" s="42"/>
      <c r="CH708" s="42"/>
      <c r="CS708" s="29"/>
      <c r="CT708" s="29"/>
      <c r="CU708" s="29"/>
      <c r="CV708" s="522"/>
      <c r="CW708" s="522"/>
      <c r="CX708" s="211"/>
      <c r="CY708" s="211"/>
      <c r="CZ708" s="211"/>
      <c r="DA708" s="211"/>
      <c r="DB708" s="211"/>
      <c r="DC708" s="211"/>
      <c r="DD708" s="211"/>
      <c r="DE708" s="211"/>
      <c r="DF708" s="60"/>
      <c r="DG708" s="60"/>
      <c r="DH708" s="60"/>
      <c r="DI708" s="60"/>
      <c r="DJ708" s="60"/>
    </row>
    <row r="709" spans="3:114" s="25" customFormat="1">
      <c r="C709" s="24"/>
      <c r="D709" s="24"/>
      <c r="G709" s="57"/>
      <c r="H709" s="57"/>
      <c r="I709" s="57"/>
      <c r="J709" s="57"/>
      <c r="K709" s="57"/>
      <c r="L709" s="57"/>
      <c r="M709" s="57"/>
      <c r="N709" s="57"/>
      <c r="O709" s="57"/>
      <c r="P709" s="57"/>
      <c r="Q709" s="57"/>
      <c r="R709" s="57"/>
      <c r="S709" s="57"/>
      <c r="T709" s="559"/>
      <c r="U709" s="29"/>
      <c r="V709" s="29"/>
      <c r="AJ709" s="1215"/>
      <c r="AK709" s="1142"/>
      <c r="AM709" s="42"/>
      <c r="AN709" s="42"/>
      <c r="AO709" s="42"/>
      <c r="AP709" s="42"/>
      <c r="AQ709" s="42"/>
      <c r="AR709" s="42"/>
      <c r="AS709" s="42"/>
      <c r="AT709" s="42"/>
      <c r="AU709" s="42"/>
      <c r="AV709" s="42"/>
      <c r="AW709" s="42"/>
      <c r="AX709" s="42"/>
      <c r="AY709" s="42"/>
      <c r="AZ709" s="42"/>
      <c r="BA709" s="42"/>
      <c r="BB709" s="42"/>
      <c r="BC709" s="42"/>
      <c r="BD709" s="42"/>
      <c r="BE709" s="42"/>
      <c r="BF709" s="42"/>
      <c r="BG709" s="42"/>
      <c r="BH709" s="42"/>
      <c r="BI709" s="42"/>
      <c r="BJ709" s="42"/>
      <c r="BK709" s="42"/>
      <c r="BL709" s="42"/>
      <c r="BM709" s="42"/>
      <c r="BN709" s="42"/>
      <c r="BO709" s="42"/>
      <c r="BP709" s="42"/>
      <c r="BQ709" s="42"/>
      <c r="BR709" s="42"/>
      <c r="BS709" s="42"/>
      <c r="BT709" s="42"/>
      <c r="BU709" s="42"/>
      <c r="BV709" s="42"/>
      <c r="BW709" s="42"/>
      <c r="BX709" s="42"/>
      <c r="BY709" s="42"/>
      <c r="BZ709" s="42"/>
      <c r="CA709" s="42"/>
      <c r="CB709" s="42"/>
      <c r="CC709" s="42"/>
      <c r="CD709" s="42"/>
      <c r="CE709" s="42"/>
      <c r="CF709" s="42"/>
      <c r="CG709" s="42"/>
      <c r="CH709" s="42"/>
      <c r="CS709" s="29"/>
      <c r="CT709" s="29"/>
      <c r="CU709" s="29"/>
      <c r="CV709" s="522"/>
      <c r="CW709" s="522"/>
      <c r="CX709" s="211"/>
      <c r="CY709" s="211"/>
      <c r="CZ709" s="211"/>
      <c r="DA709" s="211"/>
      <c r="DB709" s="211"/>
      <c r="DC709" s="211"/>
      <c r="DD709" s="211"/>
      <c r="DE709" s="211"/>
      <c r="DF709" s="60"/>
      <c r="DG709" s="60"/>
      <c r="DH709" s="60"/>
      <c r="DI709" s="60"/>
      <c r="DJ709" s="60"/>
    </row>
    <row r="710" spans="3:114" s="25" customFormat="1">
      <c r="C710" s="24"/>
      <c r="D710" s="24"/>
      <c r="G710" s="57"/>
      <c r="H710" s="57"/>
      <c r="I710" s="57"/>
      <c r="J710" s="57"/>
      <c r="K710" s="57"/>
      <c r="L710" s="57"/>
      <c r="M710" s="57"/>
      <c r="N710" s="57"/>
      <c r="O710" s="57"/>
      <c r="P710" s="57"/>
      <c r="Q710" s="57"/>
      <c r="R710" s="57"/>
      <c r="S710" s="57"/>
      <c r="T710" s="559"/>
      <c r="U710" s="29"/>
      <c r="V710" s="29"/>
      <c r="AJ710" s="1215"/>
      <c r="AK710" s="1142"/>
      <c r="AM710" s="42"/>
      <c r="AN710" s="42"/>
      <c r="AO710" s="42"/>
      <c r="AP710" s="42"/>
      <c r="AQ710" s="42"/>
      <c r="AR710" s="42"/>
      <c r="AS710" s="42"/>
      <c r="AT710" s="42"/>
      <c r="AU710" s="42"/>
      <c r="AV710" s="42"/>
      <c r="AW710" s="42"/>
      <c r="AX710" s="42"/>
      <c r="AY710" s="42"/>
      <c r="AZ710" s="42"/>
      <c r="BA710" s="42"/>
      <c r="BB710" s="42"/>
      <c r="BC710" s="42"/>
      <c r="BD710" s="42"/>
      <c r="BE710" s="42"/>
      <c r="BF710" s="42"/>
      <c r="BG710" s="42"/>
      <c r="BH710" s="42"/>
      <c r="BI710" s="42"/>
      <c r="BJ710" s="42"/>
      <c r="BK710" s="42"/>
      <c r="BL710" s="42"/>
      <c r="BM710" s="42"/>
      <c r="BN710" s="42"/>
      <c r="BO710" s="42"/>
      <c r="BP710" s="42"/>
      <c r="BQ710" s="42"/>
      <c r="BR710" s="42"/>
      <c r="BS710" s="42"/>
      <c r="BT710" s="42"/>
      <c r="BU710" s="42"/>
      <c r="BV710" s="42"/>
      <c r="BW710" s="42"/>
      <c r="BX710" s="42"/>
      <c r="BY710" s="42"/>
      <c r="BZ710" s="42"/>
      <c r="CA710" s="42"/>
      <c r="CB710" s="42"/>
      <c r="CC710" s="42"/>
      <c r="CD710" s="42"/>
      <c r="CE710" s="42"/>
      <c r="CF710" s="42"/>
      <c r="CG710" s="42"/>
      <c r="CH710" s="42"/>
      <c r="CS710" s="29"/>
      <c r="CT710" s="29"/>
      <c r="CU710" s="29"/>
      <c r="CV710" s="522"/>
      <c r="CW710" s="522"/>
      <c r="CX710" s="211"/>
      <c r="CY710" s="211"/>
      <c r="CZ710" s="211"/>
      <c r="DA710" s="211"/>
      <c r="DB710" s="211"/>
      <c r="DC710" s="211"/>
      <c r="DD710" s="211"/>
      <c r="DE710" s="211"/>
      <c r="DF710" s="60"/>
      <c r="DG710" s="60"/>
      <c r="DH710" s="60"/>
      <c r="DI710" s="60"/>
      <c r="DJ710" s="60"/>
    </row>
    <row r="711" spans="3:114" s="25" customFormat="1">
      <c r="C711" s="24"/>
      <c r="D711" s="24"/>
      <c r="G711" s="57"/>
      <c r="H711" s="57"/>
      <c r="I711" s="57"/>
      <c r="J711" s="57"/>
      <c r="K711" s="57"/>
      <c r="L711" s="57"/>
      <c r="M711" s="57"/>
      <c r="N711" s="57"/>
      <c r="O711" s="57"/>
      <c r="P711" s="57"/>
      <c r="Q711" s="57"/>
      <c r="R711" s="57"/>
      <c r="S711" s="57"/>
      <c r="T711" s="559"/>
      <c r="U711" s="29"/>
      <c r="V711" s="29"/>
      <c r="AJ711" s="1215"/>
      <c r="AK711" s="1142"/>
      <c r="AM711" s="42"/>
      <c r="AN711" s="42"/>
      <c r="AO711" s="42"/>
      <c r="AP711" s="42"/>
      <c r="AQ711" s="42"/>
      <c r="AR711" s="42"/>
      <c r="AS711" s="42"/>
      <c r="AT711" s="42"/>
      <c r="AU711" s="42"/>
      <c r="AV711" s="42"/>
      <c r="AW711" s="42"/>
      <c r="AX711" s="42"/>
      <c r="AY711" s="42"/>
      <c r="AZ711" s="42"/>
      <c r="BA711" s="42"/>
      <c r="BB711" s="42"/>
      <c r="BC711" s="42"/>
      <c r="BD711" s="42"/>
      <c r="BE711" s="42"/>
      <c r="BF711" s="42"/>
      <c r="BG711" s="42"/>
      <c r="BH711" s="42"/>
      <c r="BI711" s="42"/>
      <c r="BJ711" s="42"/>
      <c r="BK711" s="42"/>
      <c r="BL711" s="42"/>
      <c r="BM711" s="42"/>
      <c r="BN711" s="42"/>
      <c r="BO711" s="42"/>
      <c r="BP711" s="42"/>
      <c r="BQ711" s="42"/>
      <c r="BR711" s="42"/>
      <c r="BS711" s="42"/>
      <c r="BT711" s="42"/>
      <c r="BU711" s="42"/>
      <c r="BV711" s="42"/>
      <c r="BW711" s="42"/>
      <c r="BX711" s="42"/>
      <c r="BY711" s="42"/>
      <c r="BZ711" s="42"/>
      <c r="CA711" s="42"/>
      <c r="CB711" s="42"/>
      <c r="CC711" s="42"/>
      <c r="CD711" s="42"/>
      <c r="CE711" s="42"/>
      <c r="CF711" s="42"/>
      <c r="CG711" s="42"/>
      <c r="CH711" s="42"/>
      <c r="CS711" s="29"/>
      <c r="CT711" s="29"/>
      <c r="CU711" s="29"/>
      <c r="CV711" s="522"/>
      <c r="CW711" s="522"/>
      <c r="CX711" s="211"/>
      <c r="CY711" s="211"/>
      <c r="CZ711" s="211"/>
      <c r="DA711" s="211"/>
      <c r="DB711" s="211"/>
      <c r="DC711" s="211"/>
      <c r="DD711" s="211"/>
      <c r="DE711" s="211"/>
      <c r="DF711" s="60"/>
      <c r="DG711" s="60"/>
      <c r="DH711" s="60"/>
      <c r="DI711" s="60"/>
      <c r="DJ711" s="60"/>
    </row>
    <row r="712" spans="3:114" s="25" customFormat="1">
      <c r="C712" s="24"/>
      <c r="D712" s="24"/>
      <c r="G712" s="57"/>
      <c r="H712" s="57"/>
      <c r="I712" s="57"/>
      <c r="J712" s="57"/>
      <c r="K712" s="57"/>
      <c r="L712" s="57"/>
      <c r="M712" s="57"/>
      <c r="N712" s="57"/>
      <c r="O712" s="57"/>
      <c r="P712" s="57"/>
      <c r="Q712" s="57"/>
      <c r="R712" s="57"/>
      <c r="S712" s="57"/>
      <c r="T712" s="559"/>
      <c r="U712" s="29"/>
      <c r="V712" s="29"/>
      <c r="AJ712" s="1215"/>
      <c r="AK712" s="1142"/>
      <c r="AM712" s="42"/>
      <c r="AN712" s="42"/>
      <c r="AO712" s="42"/>
      <c r="AP712" s="42"/>
      <c r="AQ712" s="42"/>
      <c r="AR712" s="42"/>
      <c r="AS712" s="42"/>
      <c r="AT712" s="42"/>
      <c r="AU712" s="42"/>
      <c r="AV712" s="42"/>
      <c r="AW712" s="42"/>
      <c r="AX712" s="42"/>
      <c r="AY712" s="42"/>
      <c r="AZ712" s="42"/>
      <c r="BA712" s="42"/>
      <c r="BB712" s="42"/>
      <c r="BC712" s="42"/>
      <c r="BD712" s="42"/>
      <c r="BE712" s="42"/>
      <c r="BF712" s="42"/>
      <c r="BG712" s="42"/>
      <c r="BH712" s="42"/>
      <c r="BI712" s="42"/>
      <c r="BJ712" s="42"/>
      <c r="BK712" s="42"/>
      <c r="BL712" s="42"/>
      <c r="BM712" s="42"/>
      <c r="BN712" s="42"/>
      <c r="BO712" s="42"/>
      <c r="BP712" s="42"/>
      <c r="BQ712" s="42"/>
      <c r="BR712" s="42"/>
      <c r="BS712" s="42"/>
      <c r="BT712" s="42"/>
      <c r="BU712" s="42"/>
      <c r="BV712" s="42"/>
      <c r="BW712" s="42"/>
      <c r="BX712" s="42"/>
      <c r="BY712" s="42"/>
      <c r="BZ712" s="42"/>
      <c r="CA712" s="42"/>
      <c r="CB712" s="42"/>
      <c r="CC712" s="42"/>
      <c r="CD712" s="42"/>
      <c r="CE712" s="42"/>
      <c r="CF712" s="42"/>
      <c r="CG712" s="42"/>
      <c r="CH712" s="42"/>
      <c r="CS712" s="29"/>
      <c r="CT712" s="29"/>
      <c r="CU712" s="29"/>
      <c r="CV712" s="522"/>
      <c r="CW712" s="522"/>
      <c r="CX712" s="211"/>
      <c r="CY712" s="211"/>
      <c r="CZ712" s="211"/>
      <c r="DA712" s="211"/>
      <c r="DB712" s="211"/>
      <c r="DC712" s="211"/>
      <c r="DD712" s="211"/>
      <c r="DE712" s="211"/>
      <c r="DF712" s="60"/>
      <c r="DG712" s="60"/>
      <c r="DH712" s="60"/>
      <c r="DI712" s="60"/>
      <c r="DJ712" s="60"/>
    </row>
    <row r="713" spans="3:114" s="25" customFormat="1">
      <c r="C713" s="24"/>
      <c r="D713" s="24"/>
      <c r="G713" s="57"/>
      <c r="H713" s="57"/>
      <c r="I713" s="57"/>
      <c r="J713" s="57"/>
      <c r="K713" s="57"/>
      <c r="L713" s="57"/>
      <c r="M713" s="57"/>
      <c r="N713" s="57"/>
      <c r="O713" s="57"/>
      <c r="P713" s="57"/>
      <c r="Q713" s="57"/>
      <c r="R713" s="57"/>
      <c r="S713" s="57"/>
      <c r="T713" s="559"/>
      <c r="U713" s="29"/>
      <c r="V713" s="29"/>
      <c r="AJ713" s="1215"/>
      <c r="AK713" s="1142"/>
      <c r="AM713" s="42"/>
      <c r="AN713" s="42"/>
      <c r="AO713" s="42"/>
      <c r="AP713" s="42"/>
      <c r="AQ713" s="42"/>
      <c r="AR713" s="42"/>
      <c r="AS713" s="42"/>
      <c r="AT713" s="42"/>
      <c r="AU713" s="42"/>
      <c r="AV713" s="42"/>
      <c r="AW713" s="42"/>
      <c r="AX713" s="42"/>
      <c r="AY713" s="42"/>
      <c r="AZ713" s="42"/>
      <c r="BA713" s="42"/>
      <c r="BB713" s="42"/>
      <c r="BC713" s="42"/>
      <c r="BD713" s="42"/>
      <c r="BE713" s="42"/>
      <c r="BF713" s="42"/>
      <c r="BG713" s="42"/>
      <c r="BH713" s="42"/>
      <c r="BI713" s="42"/>
      <c r="BJ713" s="42"/>
      <c r="BK713" s="42"/>
      <c r="BL713" s="42"/>
      <c r="BM713" s="42"/>
      <c r="BN713" s="42"/>
      <c r="BO713" s="42"/>
      <c r="BP713" s="42"/>
      <c r="BQ713" s="42"/>
      <c r="BR713" s="42"/>
      <c r="BS713" s="42"/>
      <c r="BT713" s="42"/>
      <c r="BU713" s="42"/>
      <c r="BV713" s="42"/>
      <c r="BW713" s="42"/>
      <c r="BX713" s="42"/>
      <c r="BY713" s="42"/>
      <c r="BZ713" s="42"/>
      <c r="CA713" s="42"/>
      <c r="CB713" s="42"/>
      <c r="CC713" s="42"/>
      <c r="CD713" s="42"/>
      <c r="CE713" s="42"/>
      <c r="CF713" s="42"/>
      <c r="CG713" s="42"/>
      <c r="CH713" s="42"/>
      <c r="CS713" s="29"/>
      <c r="CT713" s="29"/>
      <c r="CU713" s="29"/>
      <c r="CV713" s="522"/>
      <c r="CW713" s="522"/>
      <c r="CX713" s="211"/>
      <c r="CY713" s="211"/>
      <c r="CZ713" s="211"/>
      <c r="DA713" s="211"/>
      <c r="DB713" s="211"/>
      <c r="DC713" s="211"/>
      <c r="DD713" s="211"/>
      <c r="DE713" s="211"/>
      <c r="DF713" s="60"/>
      <c r="DG713" s="60"/>
      <c r="DH713" s="60"/>
      <c r="DI713" s="60"/>
      <c r="DJ713" s="60"/>
    </row>
    <row r="714" spans="3:114" s="25" customFormat="1">
      <c r="C714" s="24"/>
      <c r="D714" s="24"/>
      <c r="G714" s="57"/>
      <c r="H714" s="57"/>
      <c r="I714" s="57"/>
      <c r="J714" s="57"/>
      <c r="K714" s="57"/>
      <c r="L714" s="57"/>
      <c r="M714" s="57"/>
      <c r="N714" s="57"/>
      <c r="O714" s="57"/>
      <c r="P714" s="57"/>
      <c r="Q714" s="57"/>
      <c r="R714" s="57"/>
      <c r="S714" s="57"/>
      <c r="T714" s="559"/>
      <c r="U714" s="29"/>
      <c r="V714" s="29"/>
      <c r="AJ714" s="1215"/>
      <c r="AK714" s="1142"/>
      <c r="AM714" s="42"/>
      <c r="AN714" s="42"/>
      <c r="AO714" s="42"/>
      <c r="AP714" s="42"/>
      <c r="AQ714" s="42"/>
      <c r="AR714" s="42"/>
      <c r="AS714" s="42"/>
      <c r="AT714" s="42"/>
      <c r="AU714" s="42"/>
      <c r="AV714" s="42"/>
      <c r="AW714" s="42"/>
      <c r="AX714" s="42"/>
      <c r="AY714" s="42"/>
      <c r="AZ714" s="42"/>
      <c r="BA714" s="42"/>
      <c r="BB714" s="42"/>
      <c r="BC714" s="42"/>
      <c r="BD714" s="42"/>
      <c r="BE714" s="42"/>
      <c r="BF714" s="42"/>
      <c r="BG714" s="42"/>
      <c r="BH714" s="42"/>
      <c r="BI714" s="42"/>
      <c r="BJ714" s="42"/>
      <c r="BK714" s="42"/>
      <c r="BL714" s="42"/>
      <c r="BM714" s="42"/>
      <c r="BN714" s="42"/>
      <c r="BO714" s="42"/>
      <c r="BP714" s="42"/>
      <c r="BQ714" s="42"/>
      <c r="BR714" s="42"/>
      <c r="BS714" s="42"/>
      <c r="BT714" s="42"/>
      <c r="BU714" s="42"/>
      <c r="BV714" s="42"/>
      <c r="BW714" s="42"/>
      <c r="BX714" s="42"/>
      <c r="BY714" s="42"/>
      <c r="BZ714" s="42"/>
      <c r="CA714" s="42"/>
      <c r="CB714" s="42"/>
      <c r="CC714" s="42"/>
      <c r="CD714" s="42"/>
      <c r="CE714" s="42"/>
      <c r="CF714" s="42"/>
      <c r="CG714" s="42"/>
      <c r="CH714" s="42"/>
      <c r="CS714" s="29"/>
      <c r="CT714" s="29"/>
      <c r="CU714" s="29"/>
      <c r="CV714" s="522"/>
      <c r="CW714" s="522"/>
      <c r="CX714" s="211"/>
      <c r="CY714" s="211"/>
      <c r="CZ714" s="211"/>
      <c r="DA714" s="211"/>
      <c r="DB714" s="211"/>
      <c r="DC714" s="211"/>
      <c r="DD714" s="211"/>
      <c r="DE714" s="211"/>
      <c r="DF714" s="60"/>
      <c r="DG714" s="60"/>
      <c r="DH714" s="60"/>
      <c r="DI714" s="60"/>
      <c r="DJ714" s="60"/>
    </row>
    <row r="715" spans="3:114" s="25" customFormat="1">
      <c r="C715" s="24"/>
      <c r="D715" s="24"/>
      <c r="G715" s="57"/>
      <c r="H715" s="57"/>
      <c r="I715" s="57"/>
      <c r="J715" s="57"/>
      <c r="K715" s="57"/>
      <c r="L715" s="57"/>
      <c r="M715" s="57"/>
      <c r="N715" s="57"/>
      <c r="O715" s="57"/>
      <c r="P715" s="57"/>
      <c r="Q715" s="57"/>
      <c r="R715" s="57"/>
      <c r="S715" s="57"/>
      <c r="T715" s="559"/>
      <c r="U715" s="29"/>
      <c r="V715" s="29"/>
      <c r="AJ715" s="1215"/>
      <c r="AK715" s="1142"/>
      <c r="AM715" s="42"/>
      <c r="AN715" s="42"/>
      <c r="AO715" s="42"/>
      <c r="AP715" s="42"/>
      <c r="AQ715" s="42"/>
      <c r="AR715" s="42"/>
      <c r="AS715" s="42"/>
      <c r="AT715" s="42"/>
      <c r="AU715" s="42"/>
      <c r="AV715" s="42"/>
      <c r="AW715" s="42"/>
      <c r="AX715" s="42"/>
      <c r="AY715" s="42"/>
      <c r="AZ715" s="42"/>
      <c r="BA715" s="42"/>
      <c r="BB715" s="42"/>
      <c r="BC715" s="42"/>
      <c r="BD715" s="42"/>
      <c r="BE715" s="42"/>
      <c r="BF715" s="42"/>
      <c r="BG715" s="42"/>
      <c r="BH715" s="42"/>
      <c r="BI715" s="42"/>
      <c r="BJ715" s="42"/>
      <c r="BK715" s="42"/>
      <c r="BL715" s="42"/>
      <c r="BM715" s="42"/>
      <c r="BN715" s="42"/>
      <c r="BO715" s="42"/>
      <c r="BP715" s="42"/>
      <c r="BQ715" s="42"/>
      <c r="BR715" s="42"/>
      <c r="BS715" s="42"/>
      <c r="BT715" s="42"/>
      <c r="BU715" s="42"/>
      <c r="BV715" s="42"/>
      <c r="BW715" s="42"/>
      <c r="BX715" s="42"/>
      <c r="BY715" s="42"/>
      <c r="BZ715" s="42"/>
      <c r="CA715" s="42"/>
      <c r="CB715" s="42"/>
      <c r="CC715" s="42"/>
      <c r="CD715" s="42"/>
      <c r="CE715" s="42"/>
      <c r="CF715" s="42"/>
      <c r="CG715" s="42"/>
      <c r="CH715" s="42"/>
      <c r="CS715" s="29"/>
      <c r="CT715" s="29"/>
      <c r="CU715" s="29"/>
      <c r="CV715" s="522"/>
      <c r="CW715" s="522"/>
      <c r="CX715" s="211"/>
      <c r="CY715" s="211"/>
      <c r="CZ715" s="211"/>
      <c r="DA715" s="211"/>
      <c r="DB715" s="211"/>
      <c r="DC715" s="211"/>
      <c r="DD715" s="211"/>
      <c r="DE715" s="211"/>
      <c r="DF715" s="60"/>
      <c r="DG715" s="60"/>
      <c r="DH715" s="60"/>
      <c r="DI715" s="60"/>
      <c r="DJ715" s="60"/>
    </row>
    <row r="716" spans="3:114" s="25" customFormat="1">
      <c r="C716" s="24"/>
      <c r="D716" s="24"/>
      <c r="G716" s="57"/>
      <c r="H716" s="57"/>
      <c r="I716" s="57"/>
      <c r="J716" s="57"/>
      <c r="K716" s="57"/>
      <c r="L716" s="57"/>
      <c r="M716" s="57"/>
      <c r="N716" s="57"/>
      <c r="O716" s="57"/>
      <c r="P716" s="57"/>
      <c r="Q716" s="57"/>
      <c r="R716" s="57"/>
      <c r="S716" s="57"/>
      <c r="T716" s="559"/>
      <c r="U716" s="29"/>
      <c r="V716" s="29"/>
      <c r="AJ716" s="1215"/>
      <c r="AK716" s="1142"/>
      <c r="AM716" s="42"/>
      <c r="AN716" s="42"/>
      <c r="AO716" s="42"/>
      <c r="AP716" s="42"/>
      <c r="AQ716" s="42"/>
      <c r="AR716" s="42"/>
      <c r="AS716" s="42"/>
      <c r="AT716" s="42"/>
      <c r="AU716" s="42"/>
      <c r="AV716" s="42"/>
      <c r="AW716" s="42"/>
      <c r="AX716" s="42"/>
      <c r="AY716" s="42"/>
      <c r="AZ716" s="42"/>
      <c r="BA716" s="42"/>
      <c r="BB716" s="42"/>
      <c r="BC716" s="42"/>
      <c r="BD716" s="42"/>
      <c r="BE716" s="42"/>
      <c r="BF716" s="42"/>
      <c r="BG716" s="42"/>
      <c r="BH716" s="42"/>
      <c r="BI716" s="42"/>
      <c r="BJ716" s="42"/>
      <c r="BK716" s="42"/>
      <c r="BL716" s="42"/>
      <c r="BM716" s="42"/>
      <c r="BN716" s="42"/>
      <c r="BO716" s="42"/>
      <c r="BP716" s="42"/>
      <c r="BQ716" s="42"/>
      <c r="BR716" s="42"/>
      <c r="BS716" s="42"/>
      <c r="BT716" s="42"/>
      <c r="BU716" s="42"/>
      <c r="BV716" s="42"/>
      <c r="BW716" s="42"/>
      <c r="BX716" s="42"/>
      <c r="BY716" s="42"/>
      <c r="BZ716" s="42"/>
      <c r="CA716" s="42"/>
      <c r="CB716" s="42"/>
      <c r="CC716" s="42"/>
      <c r="CD716" s="42"/>
      <c r="CE716" s="42"/>
      <c r="CF716" s="42"/>
      <c r="CG716" s="42"/>
      <c r="CH716" s="42"/>
      <c r="CS716" s="29"/>
      <c r="CT716" s="29"/>
      <c r="CU716" s="29"/>
      <c r="CV716" s="522"/>
      <c r="CW716" s="522"/>
      <c r="CX716" s="211"/>
      <c r="CY716" s="211"/>
      <c r="CZ716" s="211"/>
      <c r="DA716" s="211"/>
      <c r="DB716" s="211"/>
      <c r="DC716" s="211"/>
      <c r="DD716" s="211"/>
      <c r="DE716" s="211"/>
      <c r="DF716" s="60"/>
      <c r="DG716" s="60"/>
      <c r="DH716" s="60"/>
      <c r="DI716" s="60"/>
      <c r="DJ716" s="60"/>
    </row>
    <row r="717" spans="3:114" s="25" customFormat="1">
      <c r="C717" s="24"/>
      <c r="D717" s="24"/>
      <c r="G717" s="57"/>
      <c r="H717" s="57"/>
      <c r="I717" s="57"/>
      <c r="J717" s="57"/>
      <c r="K717" s="57"/>
      <c r="L717" s="57"/>
      <c r="M717" s="57"/>
      <c r="N717" s="57"/>
      <c r="O717" s="57"/>
      <c r="P717" s="57"/>
      <c r="Q717" s="57"/>
      <c r="R717" s="57"/>
      <c r="S717" s="57"/>
      <c r="T717" s="559"/>
      <c r="U717" s="29"/>
      <c r="V717" s="29"/>
      <c r="AJ717" s="1215"/>
      <c r="AK717" s="1142"/>
      <c r="AM717" s="42"/>
      <c r="AN717" s="42"/>
      <c r="AO717" s="42"/>
      <c r="AP717" s="42"/>
      <c r="AQ717" s="42"/>
      <c r="AR717" s="42"/>
      <c r="AS717" s="42"/>
      <c r="AT717" s="42"/>
      <c r="AU717" s="42"/>
      <c r="AV717" s="42"/>
      <c r="AW717" s="42"/>
      <c r="AX717" s="42"/>
      <c r="AY717" s="42"/>
      <c r="AZ717" s="42"/>
      <c r="BA717" s="42"/>
      <c r="BB717" s="42"/>
      <c r="BC717" s="42"/>
      <c r="BD717" s="42"/>
      <c r="BE717" s="42"/>
      <c r="BF717" s="42"/>
      <c r="BG717" s="42"/>
      <c r="BH717" s="42"/>
      <c r="BI717" s="42"/>
      <c r="BJ717" s="42"/>
      <c r="BK717" s="42"/>
      <c r="BL717" s="42"/>
      <c r="BM717" s="42"/>
      <c r="BN717" s="42"/>
      <c r="BO717" s="42"/>
      <c r="BP717" s="42"/>
      <c r="BQ717" s="42"/>
      <c r="BR717" s="42"/>
      <c r="BS717" s="42"/>
      <c r="BT717" s="42"/>
      <c r="BU717" s="42"/>
      <c r="BV717" s="42"/>
      <c r="BW717" s="42"/>
      <c r="BX717" s="42"/>
      <c r="BY717" s="42"/>
      <c r="BZ717" s="42"/>
      <c r="CA717" s="42"/>
      <c r="CB717" s="42"/>
      <c r="CC717" s="42"/>
      <c r="CD717" s="42"/>
      <c r="CE717" s="42"/>
      <c r="CF717" s="42"/>
      <c r="CG717" s="42"/>
      <c r="CH717" s="42"/>
      <c r="CS717" s="29"/>
      <c r="CT717" s="29"/>
      <c r="CU717" s="29"/>
      <c r="CV717" s="522"/>
      <c r="CW717" s="522"/>
      <c r="CX717" s="211"/>
      <c r="CY717" s="211"/>
      <c r="CZ717" s="211"/>
      <c r="DA717" s="211"/>
      <c r="DB717" s="211"/>
      <c r="DC717" s="211"/>
      <c r="DD717" s="211"/>
      <c r="DE717" s="211"/>
      <c r="DF717" s="60"/>
      <c r="DG717" s="60"/>
      <c r="DH717" s="60"/>
      <c r="DI717" s="60"/>
      <c r="DJ717" s="60"/>
    </row>
    <row r="718" spans="3:114" s="25" customFormat="1">
      <c r="C718" s="24"/>
      <c r="D718" s="24"/>
      <c r="G718" s="57"/>
      <c r="H718" s="57"/>
      <c r="I718" s="57"/>
      <c r="J718" s="57"/>
      <c r="K718" s="57"/>
      <c r="L718" s="57"/>
      <c r="M718" s="57"/>
      <c r="N718" s="57"/>
      <c r="O718" s="57"/>
      <c r="P718" s="57"/>
      <c r="Q718" s="57"/>
      <c r="R718" s="57"/>
      <c r="S718" s="57"/>
      <c r="T718" s="559"/>
      <c r="U718" s="29"/>
      <c r="V718" s="29"/>
      <c r="AJ718" s="1215"/>
      <c r="AK718" s="1142"/>
      <c r="AM718" s="42"/>
      <c r="AN718" s="42"/>
      <c r="AO718" s="42"/>
      <c r="AP718" s="42"/>
      <c r="AQ718" s="42"/>
      <c r="AR718" s="42"/>
      <c r="AS718" s="42"/>
      <c r="AT718" s="42"/>
      <c r="AU718" s="42"/>
      <c r="AV718" s="42"/>
      <c r="AW718" s="42"/>
      <c r="AX718" s="42"/>
      <c r="AY718" s="42"/>
      <c r="AZ718" s="42"/>
      <c r="BA718" s="42"/>
      <c r="BB718" s="42"/>
      <c r="BC718" s="42"/>
      <c r="BD718" s="42"/>
      <c r="BE718" s="42"/>
      <c r="BF718" s="42"/>
      <c r="BG718" s="42"/>
      <c r="BH718" s="42"/>
      <c r="BI718" s="42"/>
      <c r="BJ718" s="42"/>
      <c r="BK718" s="42"/>
      <c r="BL718" s="42"/>
      <c r="BM718" s="42"/>
      <c r="BN718" s="42"/>
      <c r="BO718" s="42"/>
      <c r="BP718" s="42"/>
      <c r="BQ718" s="42"/>
      <c r="BR718" s="42"/>
      <c r="BS718" s="42"/>
      <c r="BT718" s="42"/>
      <c r="BU718" s="42"/>
      <c r="BV718" s="42"/>
      <c r="BW718" s="42"/>
      <c r="BX718" s="42"/>
      <c r="BY718" s="42"/>
      <c r="BZ718" s="42"/>
      <c r="CA718" s="42"/>
      <c r="CB718" s="42"/>
      <c r="CC718" s="42"/>
      <c r="CD718" s="42"/>
      <c r="CE718" s="42"/>
      <c r="CF718" s="42"/>
      <c r="CG718" s="42"/>
      <c r="CH718" s="42"/>
      <c r="CS718" s="29"/>
      <c r="CT718" s="29"/>
      <c r="CU718" s="29"/>
      <c r="CV718" s="522"/>
      <c r="CW718" s="522"/>
      <c r="CX718" s="211"/>
      <c r="CY718" s="211"/>
      <c r="CZ718" s="211"/>
      <c r="DA718" s="211"/>
      <c r="DB718" s="211"/>
      <c r="DC718" s="211"/>
      <c r="DD718" s="211"/>
      <c r="DE718" s="211"/>
      <c r="DF718" s="60"/>
      <c r="DG718" s="60"/>
      <c r="DH718" s="60"/>
      <c r="DI718" s="60"/>
      <c r="DJ718" s="60"/>
    </row>
    <row r="719" spans="3:114" s="25" customFormat="1">
      <c r="C719" s="24"/>
      <c r="D719" s="24"/>
      <c r="G719" s="57"/>
      <c r="H719" s="57"/>
      <c r="I719" s="57"/>
      <c r="J719" s="57"/>
      <c r="K719" s="57"/>
      <c r="L719" s="57"/>
      <c r="M719" s="57"/>
      <c r="N719" s="57"/>
      <c r="O719" s="57"/>
      <c r="P719" s="57"/>
      <c r="Q719" s="57"/>
      <c r="R719" s="57"/>
      <c r="S719" s="57"/>
      <c r="T719" s="559"/>
      <c r="U719" s="29"/>
      <c r="V719" s="29"/>
      <c r="AJ719" s="1215"/>
      <c r="AK719" s="1142"/>
      <c r="AM719" s="42"/>
      <c r="AN719" s="42"/>
      <c r="AO719" s="42"/>
      <c r="AP719" s="42"/>
      <c r="AQ719" s="42"/>
      <c r="AR719" s="42"/>
      <c r="AS719" s="42"/>
      <c r="AT719" s="42"/>
      <c r="AU719" s="42"/>
      <c r="AV719" s="42"/>
      <c r="AW719" s="42"/>
      <c r="AX719" s="42"/>
      <c r="AY719" s="42"/>
      <c r="AZ719" s="42"/>
      <c r="BA719" s="42"/>
      <c r="BB719" s="42"/>
      <c r="BC719" s="42"/>
      <c r="BD719" s="42"/>
      <c r="BE719" s="42"/>
      <c r="BF719" s="42"/>
      <c r="BG719" s="42"/>
      <c r="BH719" s="42"/>
      <c r="BI719" s="42"/>
      <c r="BJ719" s="42"/>
      <c r="BK719" s="42"/>
      <c r="BL719" s="42"/>
      <c r="BM719" s="42"/>
      <c r="BN719" s="42"/>
      <c r="BO719" s="42"/>
      <c r="BP719" s="42"/>
      <c r="BQ719" s="42"/>
      <c r="BR719" s="42"/>
      <c r="BS719" s="42"/>
      <c r="BT719" s="42"/>
      <c r="BU719" s="42"/>
      <c r="BV719" s="42"/>
      <c r="BW719" s="42"/>
      <c r="BX719" s="42"/>
      <c r="BY719" s="42"/>
      <c r="BZ719" s="42"/>
      <c r="CA719" s="42"/>
      <c r="CB719" s="42"/>
      <c r="CC719" s="42"/>
      <c r="CD719" s="42"/>
      <c r="CE719" s="42"/>
      <c r="CF719" s="42"/>
      <c r="CG719" s="42"/>
      <c r="CH719" s="42"/>
      <c r="CS719" s="29"/>
      <c r="CT719" s="29"/>
      <c r="CU719" s="29"/>
      <c r="CV719" s="522"/>
      <c r="CW719" s="522"/>
      <c r="CX719" s="211"/>
      <c r="CY719" s="211"/>
      <c r="CZ719" s="211"/>
      <c r="DA719" s="211"/>
      <c r="DB719" s="211"/>
      <c r="DC719" s="211"/>
      <c r="DD719" s="211"/>
      <c r="DE719" s="211"/>
      <c r="DF719" s="60"/>
      <c r="DG719" s="60"/>
      <c r="DH719" s="60"/>
      <c r="DI719" s="60"/>
      <c r="DJ719" s="60"/>
    </row>
    <row r="720" spans="3:114" s="25" customFormat="1">
      <c r="C720" s="24"/>
      <c r="D720" s="24"/>
      <c r="G720" s="57"/>
      <c r="H720" s="57"/>
      <c r="I720" s="57"/>
      <c r="J720" s="57"/>
      <c r="K720" s="57"/>
      <c r="L720" s="57"/>
      <c r="M720" s="57"/>
      <c r="N720" s="57"/>
      <c r="O720" s="57"/>
      <c r="P720" s="57"/>
      <c r="Q720" s="57"/>
      <c r="R720" s="57"/>
      <c r="S720" s="57"/>
      <c r="T720" s="559"/>
      <c r="U720" s="29"/>
      <c r="V720" s="29"/>
      <c r="AJ720" s="1215"/>
      <c r="AK720" s="1142"/>
      <c r="AM720" s="42"/>
      <c r="AN720" s="42"/>
      <c r="AO720" s="42"/>
      <c r="AP720" s="42"/>
      <c r="AQ720" s="42"/>
      <c r="AR720" s="42"/>
      <c r="AS720" s="42"/>
      <c r="AT720" s="42"/>
      <c r="AU720" s="42"/>
      <c r="AV720" s="42"/>
      <c r="AW720" s="42"/>
      <c r="AX720" s="42"/>
      <c r="AY720" s="42"/>
      <c r="AZ720" s="42"/>
      <c r="BA720" s="42"/>
      <c r="BB720" s="42"/>
      <c r="BC720" s="42"/>
      <c r="BD720" s="42"/>
      <c r="BE720" s="42"/>
      <c r="BF720" s="42"/>
      <c r="BG720" s="42"/>
      <c r="BH720" s="42"/>
      <c r="BI720" s="42"/>
      <c r="BJ720" s="42"/>
      <c r="BK720" s="42"/>
      <c r="BL720" s="42"/>
      <c r="BM720" s="42"/>
      <c r="BN720" s="42"/>
      <c r="BO720" s="42"/>
      <c r="BP720" s="42"/>
      <c r="BQ720" s="42"/>
      <c r="BR720" s="42"/>
      <c r="BS720" s="42"/>
      <c r="BT720" s="42"/>
      <c r="BU720" s="42"/>
      <c r="BV720" s="42"/>
      <c r="BW720" s="42"/>
      <c r="BX720" s="42"/>
      <c r="BY720" s="42"/>
      <c r="BZ720" s="42"/>
      <c r="CA720" s="42"/>
      <c r="CB720" s="42"/>
      <c r="CC720" s="42"/>
      <c r="CD720" s="42"/>
      <c r="CE720" s="42"/>
      <c r="CF720" s="42"/>
      <c r="CG720" s="42"/>
      <c r="CH720" s="42"/>
      <c r="CS720" s="29"/>
      <c r="CT720" s="29"/>
      <c r="CU720" s="29"/>
      <c r="CV720" s="522"/>
      <c r="CW720" s="522"/>
      <c r="CX720" s="211"/>
      <c r="CY720" s="211"/>
      <c r="CZ720" s="211"/>
      <c r="DA720" s="211"/>
      <c r="DB720" s="211"/>
      <c r="DC720" s="211"/>
      <c r="DD720" s="211"/>
      <c r="DE720" s="211"/>
      <c r="DF720" s="60"/>
      <c r="DG720" s="60"/>
      <c r="DH720" s="60"/>
      <c r="DI720" s="60"/>
      <c r="DJ720" s="60"/>
    </row>
    <row r="721" spans="3:114" s="25" customFormat="1">
      <c r="C721" s="24"/>
      <c r="D721" s="24"/>
      <c r="G721" s="57"/>
      <c r="H721" s="57"/>
      <c r="I721" s="57"/>
      <c r="J721" s="57"/>
      <c r="K721" s="57"/>
      <c r="L721" s="57"/>
      <c r="M721" s="57"/>
      <c r="N721" s="57"/>
      <c r="O721" s="57"/>
      <c r="P721" s="57"/>
      <c r="Q721" s="57"/>
      <c r="R721" s="57"/>
      <c r="S721" s="57"/>
      <c r="T721" s="559"/>
      <c r="U721" s="29"/>
      <c r="V721" s="29"/>
      <c r="AJ721" s="1215"/>
      <c r="AK721" s="1142"/>
      <c r="AM721" s="42"/>
      <c r="AN721" s="42"/>
      <c r="AO721" s="42"/>
      <c r="AP721" s="42"/>
      <c r="AQ721" s="42"/>
      <c r="AR721" s="42"/>
      <c r="AS721" s="42"/>
      <c r="AT721" s="42"/>
      <c r="AU721" s="42"/>
      <c r="AV721" s="42"/>
      <c r="AW721" s="42"/>
      <c r="AX721" s="42"/>
      <c r="AY721" s="42"/>
      <c r="AZ721" s="42"/>
      <c r="BA721" s="42"/>
      <c r="BB721" s="42"/>
      <c r="BC721" s="42"/>
      <c r="BD721" s="42"/>
      <c r="BE721" s="42"/>
      <c r="BF721" s="42"/>
      <c r="BG721" s="42"/>
      <c r="BH721" s="42"/>
      <c r="BI721" s="42"/>
      <c r="BJ721" s="42"/>
      <c r="BK721" s="42"/>
      <c r="BL721" s="42"/>
      <c r="BM721" s="42"/>
      <c r="BN721" s="42"/>
      <c r="BO721" s="42"/>
      <c r="BP721" s="42"/>
      <c r="BQ721" s="42"/>
      <c r="BR721" s="42"/>
      <c r="BS721" s="42"/>
      <c r="BT721" s="42"/>
      <c r="BU721" s="42"/>
      <c r="BV721" s="42"/>
      <c r="BW721" s="42"/>
      <c r="BX721" s="42"/>
      <c r="BY721" s="42"/>
      <c r="BZ721" s="42"/>
      <c r="CA721" s="42"/>
      <c r="CB721" s="42"/>
      <c r="CC721" s="42"/>
      <c r="CD721" s="42"/>
      <c r="CE721" s="42"/>
      <c r="CF721" s="42"/>
      <c r="CG721" s="42"/>
      <c r="CH721" s="42"/>
      <c r="CS721" s="29"/>
      <c r="CT721" s="29"/>
      <c r="CU721" s="29"/>
      <c r="CV721" s="522"/>
      <c r="CW721" s="522"/>
      <c r="CX721" s="211"/>
      <c r="CY721" s="211"/>
      <c r="CZ721" s="211"/>
      <c r="DA721" s="211"/>
      <c r="DB721" s="211"/>
      <c r="DC721" s="211"/>
      <c r="DD721" s="211"/>
      <c r="DE721" s="211"/>
      <c r="DF721" s="60"/>
      <c r="DG721" s="60"/>
      <c r="DH721" s="60"/>
      <c r="DI721" s="60"/>
      <c r="DJ721" s="60"/>
    </row>
    <row r="722" spans="3:114" s="25" customFormat="1">
      <c r="C722" s="24"/>
      <c r="D722" s="24"/>
      <c r="G722" s="57"/>
      <c r="H722" s="57"/>
      <c r="I722" s="57"/>
      <c r="J722" s="57"/>
      <c r="K722" s="57"/>
      <c r="L722" s="57"/>
      <c r="M722" s="57"/>
      <c r="N722" s="57"/>
      <c r="O722" s="57"/>
      <c r="P722" s="57"/>
      <c r="Q722" s="57"/>
      <c r="R722" s="57"/>
      <c r="S722" s="57"/>
      <c r="T722" s="559"/>
      <c r="U722" s="29"/>
      <c r="V722" s="29"/>
      <c r="AJ722" s="1215"/>
      <c r="AK722" s="1142"/>
      <c r="AM722" s="42"/>
      <c r="AN722" s="42"/>
      <c r="AO722" s="42"/>
      <c r="AP722" s="42"/>
      <c r="AQ722" s="42"/>
      <c r="AR722" s="42"/>
      <c r="AS722" s="42"/>
      <c r="AT722" s="42"/>
      <c r="AU722" s="42"/>
      <c r="AV722" s="42"/>
      <c r="AW722" s="42"/>
      <c r="AX722" s="42"/>
      <c r="AY722" s="42"/>
      <c r="AZ722" s="42"/>
      <c r="BA722" s="42"/>
      <c r="BB722" s="42"/>
      <c r="BC722" s="42"/>
      <c r="BD722" s="42"/>
      <c r="BE722" s="42"/>
      <c r="BF722" s="42"/>
      <c r="BG722" s="42"/>
      <c r="BH722" s="42"/>
      <c r="BI722" s="42"/>
      <c r="BJ722" s="42"/>
      <c r="BK722" s="42"/>
      <c r="BL722" s="42"/>
      <c r="BM722" s="42"/>
      <c r="BN722" s="42"/>
      <c r="BO722" s="42"/>
      <c r="BP722" s="42"/>
      <c r="BQ722" s="42"/>
      <c r="BR722" s="42"/>
      <c r="BS722" s="42"/>
      <c r="BT722" s="42"/>
      <c r="BU722" s="42"/>
      <c r="BV722" s="42"/>
      <c r="BW722" s="42"/>
      <c r="BX722" s="42"/>
      <c r="BY722" s="42"/>
      <c r="BZ722" s="42"/>
      <c r="CA722" s="42"/>
      <c r="CB722" s="42"/>
      <c r="CC722" s="42"/>
      <c r="CD722" s="42"/>
      <c r="CE722" s="42"/>
      <c r="CF722" s="42"/>
      <c r="CG722" s="42"/>
      <c r="CH722" s="42"/>
      <c r="CS722" s="29"/>
      <c r="CT722" s="29"/>
      <c r="CU722" s="29"/>
      <c r="CV722" s="522"/>
      <c r="CW722" s="522"/>
      <c r="CX722" s="211"/>
      <c r="CY722" s="211"/>
      <c r="CZ722" s="211"/>
      <c r="DA722" s="211"/>
      <c r="DB722" s="211"/>
      <c r="DC722" s="211"/>
      <c r="DD722" s="211"/>
      <c r="DE722" s="211"/>
      <c r="DF722" s="60"/>
      <c r="DG722" s="60"/>
      <c r="DH722" s="60"/>
      <c r="DI722" s="60"/>
      <c r="DJ722" s="60"/>
    </row>
    <row r="723" spans="3:114" s="25" customFormat="1">
      <c r="C723" s="24"/>
      <c r="D723" s="24"/>
      <c r="G723" s="57"/>
      <c r="H723" s="57"/>
      <c r="I723" s="57"/>
      <c r="J723" s="57"/>
      <c r="K723" s="57"/>
      <c r="L723" s="57"/>
      <c r="M723" s="57"/>
      <c r="N723" s="57"/>
      <c r="O723" s="57"/>
      <c r="P723" s="57"/>
      <c r="Q723" s="57"/>
      <c r="R723" s="57"/>
      <c r="S723" s="57"/>
      <c r="T723" s="559"/>
      <c r="U723" s="29"/>
      <c r="V723" s="29"/>
      <c r="AJ723" s="1215"/>
      <c r="AK723" s="1142"/>
      <c r="AM723" s="42"/>
      <c r="AN723" s="42"/>
      <c r="AO723" s="42"/>
      <c r="AP723" s="42"/>
      <c r="AQ723" s="42"/>
      <c r="AR723" s="42"/>
      <c r="AS723" s="42"/>
      <c r="AT723" s="42"/>
      <c r="AU723" s="42"/>
      <c r="AV723" s="42"/>
      <c r="AW723" s="42"/>
      <c r="AX723" s="42"/>
      <c r="AY723" s="42"/>
      <c r="AZ723" s="42"/>
      <c r="BA723" s="42"/>
      <c r="BB723" s="42"/>
      <c r="BC723" s="42"/>
      <c r="BD723" s="42"/>
      <c r="BE723" s="42"/>
      <c r="BF723" s="42"/>
      <c r="BG723" s="42"/>
      <c r="BH723" s="42"/>
      <c r="BI723" s="42"/>
      <c r="BJ723" s="42"/>
      <c r="BK723" s="42"/>
      <c r="BL723" s="42"/>
      <c r="BM723" s="42"/>
      <c r="BN723" s="42"/>
      <c r="BO723" s="42"/>
      <c r="BP723" s="42"/>
      <c r="BQ723" s="42"/>
      <c r="BR723" s="42"/>
      <c r="BS723" s="42"/>
      <c r="BT723" s="42"/>
      <c r="BU723" s="42"/>
      <c r="BV723" s="42"/>
      <c r="BW723" s="42"/>
      <c r="BX723" s="42"/>
      <c r="BY723" s="42"/>
      <c r="BZ723" s="42"/>
      <c r="CA723" s="42"/>
      <c r="CB723" s="42"/>
      <c r="CC723" s="42"/>
      <c r="CD723" s="42"/>
      <c r="CE723" s="42"/>
      <c r="CF723" s="42"/>
      <c r="CG723" s="42"/>
      <c r="CH723" s="42"/>
      <c r="CS723" s="29"/>
      <c r="CT723" s="29"/>
      <c r="CU723" s="29"/>
      <c r="CV723" s="522"/>
      <c r="CW723" s="522"/>
      <c r="CX723" s="211"/>
      <c r="CY723" s="211"/>
      <c r="CZ723" s="211"/>
      <c r="DA723" s="211"/>
      <c r="DB723" s="211"/>
      <c r="DC723" s="211"/>
      <c r="DD723" s="211"/>
      <c r="DE723" s="211"/>
      <c r="DF723" s="60"/>
      <c r="DG723" s="60"/>
      <c r="DH723" s="60"/>
      <c r="DI723" s="60"/>
      <c r="DJ723" s="60"/>
    </row>
    <row r="724" spans="3:114" s="25" customFormat="1">
      <c r="C724" s="24"/>
      <c r="D724" s="24"/>
      <c r="G724" s="57"/>
      <c r="H724" s="57"/>
      <c r="I724" s="57"/>
      <c r="J724" s="57"/>
      <c r="K724" s="57"/>
      <c r="L724" s="57"/>
      <c r="M724" s="57"/>
      <c r="N724" s="57"/>
      <c r="O724" s="57"/>
      <c r="P724" s="57"/>
      <c r="Q724" s="57"/>
      <c r="R724" s="57"/>
      <c r="S724" s="57"/>
      <c r="T724" s="559"/>
      <c r="U724" s="29"/>
      <c r="V724" s="29"/>
      <c r="AJ724" s="1215"/>
      <c r="AK724" s="1142"/>
      <c r="AM724" s="42"/>
      <c r="AN724" s="42"/>
      <c r="AO724" s="42"/>
      <c r="AP724" s="42"/>
      <c r="AQ724" s="42"/>
      <c r="AR724" s="42"/>
      <c r="AS724" s="42"/>
      <c r="AT724" s="42"/>
      <c r="AU724" s="42"/>
      <c r="AV724" s="42"/>
      <c r="AW724" s="42"/>
      <c r="AX724" s="42"/>
      <c r="AY724" s="42"/>
      <c r="AZ724" s="42"/>
      <c r="BA724" s="42"/>
      <c r="BB724" s="42"/>
      <c r="BC724" s="42"/>
      <c r="BD724" s="42"/>
      <c r="BE724" s="42"/>
      <c r="BF724" s="42"/>
      <c r="BG724" s="42"/>
      <c r="BH724" s="42"/>
      <c r="BI724" s="42"/>
      <c r="BJ724" s="42"/>
      <c r="BK724" s="42"/>
      <c r="BL724" s="42"/>
      <c r="BM724" s="42"/>
      <c r="BN724" s="42"/>
      <c r="BO724" s="42"/>
      <c r="BP724" s="42"/>
      <c r="BQ724" s="42"/>
      <c r="BR724" s="42"/>
      <c r="BS724" s="42"/>
      <c r="BT724" s="42"/>
      <c r="BU724" s="42"/>
      <c r="BV724" s="42"/>
      <c r="BW724" s="42"/>
      <c r="BX724" s="42"/>
      <c r="BY724" s="42"/>
      <c r="BZ724" s="42"/>
      <c r="CA724" s="42"/>
      <c r="CB724" s="42"/>
      <c r="CC724" s="42"/>
      <c r="CD724" s="42"/>
      <c r="CE724" s="42"/>
      <c r="CF724" s="42"/>
      <c r="CG724" s="42"/>
      <c r="CH724" s="42"/>
      <c r="CS724" s="29"/>
      <c r="CT724" s="29"/>
      <c r="CU724" s="29"/>
      <c r="CV724" s="522"/>
      <c r="CW724" s="522"/>
      <c r="CX724" s="211"/>
      <c r="CY724" s="211"/>
      <c r="CZ724" s="211"/>
      <c r="DA724" s="211"/>
      <c r="DB724" s="211"/>
      <c r="DC724" s="211"/>
      <c r="DD724" s="211"/>
      <c r="DE724" s="211"/>
      <c r="DF724" s="60"/>
      <c r="DG724" s="60"/>
      <c r="DH724" s="60"/>
      <c r="DI724" s="60"/>
      <c r="DJ724" s="60"/>
    </row>
    <row r="725" spans="3:114" s="25" customFormat="1">
      <c r="C725" s="24"/>
      <c r="D725" s="24"/>
      <c r="G725" s="57"/>
      <c r="H725" s="57"/>
      <c r="I725" s="57"/>
      <c r="J725" s="57"/>
      <c r="K725" s="57"/>
      <c r="L725" s="57"/>
      <c r="M725" s="57"/>
      <c r="N725" s="57"/>
      <c r="O725" s="57"/>
      <c r="P725" s="57"/>
      <c r="Q725" s="57"/>
      <c r="R725" s="57"/>
      <c r="S725" s="57"/>
      <c r="T725" s="559"/>
      <c r="U725" s="29"/>
      <c r="V725" s="29"/>
      <c r="AJ725" s="1215"/>
      <c r="AK725" s="1142"/>
      <c r="AM725" s="42"/>
      <c r="AN725" s="42"/>
      <c r="AO725" s="42"/>
      <c r="AP725" s="42"/>
      <c r="AQ725" s="42"/>
      <c r="AR725" s="42"/>
      <c r="AS725" s="42"/>
      <c r="AT725" s="42"/>
      <c r="AU725" s="42"/>
      <c r="AV725" s="42"/>
      <c r="AW725" s="42"/>
      <c r="AX725" s="42"/>
      <c r="AY725" s="42"/>
      <c r="AZ725" s="42"/>
      <c r="BA725" s="42"/>
      <c r="BB725" s="42"/>
      <c r="BC725" s="42"/>
      <c r="BD725" s="42"/>
      <c r="BE725" s="42"/>
      <c r="BF725" s="42"/>
      <c r="BG725" s="42"/>
      <c r="BH725" s="42"/>
      <c r="BI725" s="42"/>
      <c r="BJ725" s="42"/>
      <c r="BK725" s="42"/>
      <c r="BL725" s="42"/>
      <c r="BM725" s="42"/>
      <c r="BN725" s="42"/>
      <c r="BO725" s="42"/>
      <c r="BP725" s="42"/>
      <c r="BQ725" s="42"/>
      <c r="BR725" s="42"/>
      <c r="BS725" s="42"/>
      <c r="BT725" s="42"/>
      <c r="BU725" s="42"/>
      <c r="BV725" s="42"/>
      <c r="BW725" s="42"/>
      <c r="BX725" s="42"/>
      <c r="BY725" s="42"/>
      <c r="BZ725" s="42"/>
      <c r="CA725" s="42"/>
      <c r="CB725" s="42"/>
      <c r="CC725" s="42"/>
      <c r="CD725" s="42"/>
      <c r="CE725" s="42"/>
      <c r="CF725" s="42"/>
      <c r="CG725" s="42"/>
      <c r="CH725" s="42"/>
      <c r="CS725" s="29"/>
      <c r="CT725" s="29"/>
      <c r="CU725" s="29"/>
      <c r="CV725" s="522"/>
      <c r="CW725" s="522"/>
      <c r="CX725" s="211"/>
      <c r="CY725" s="211"/>
      <c r="CZ725" s="211"/>
      <c r="DA725" s="211"/>
      <c r="DB725" s="211"/>
      <c r="DC725" s="211"/>
      <c r="DD725" s="211"/>
      <c r="DE725" s="211"/>
      <c r="DF725" s="60"/>
      <c r="DG725" s="60"/>
      <c r="DH725" s="60"/>
      <c r="DI725" s="60"/>
      <c r="DJ725" s="60"/>
    </row>
    <row r="726" spans="3:114" s="25" customFormat="1">
      <c r="C726" s="24"/>
      <c r="D726" s="24"/>
      <c r="G726" s="57"/>
      <c r="H726" s="57"/>
      <c r="I726" s="57"/>
      <c r="J726" s="57"/>
      <c r="K726" s="57"/>
      <c r="L726" s="57"/>
      <c r="M726" s="57"/>
      <c r="N726" s="57"/>
      <c r="O726" s="57"/>
      <c r="P726" s="57"/>
      <c r="Q726" s="57"/>
      <c r="R726" s="57"/>
      <c r="S726" s="57"/>
      <c r="T726" s="559"/>
      <c r="U726" s="29"/>
      <c r="V726" s="29"/>
      <c r="AJ726" s="1215"/>
      <c r="AK726" s="1142"/>
      <c r="AM726" s="42"/>
      <c r="AN726" s="42"/>
      <c r="AO726" s="42"/>
      <c r="AP726" s="42"/>
      <c r="AQ726" s="42"/>
      <c r="AR726" s="42"/>
      <c r="AS726" s="42"/>
      <c r="AT726" s="42"/>
      <c r="AU726" s="42"/>
      <c r="AV726" s="42"/>
      <c r="AW726" s="42"/>
      <c r="AX726" s="42"/>
      <c r="AY726" s="42"/>
      <c r="AZ726" s="42"/>
      <c r="BA726" s="42"/>
      <c r="BB726" s="42"/>
      <c r="BC726" s="42"/>
      <c r="BD726" s="42"/>
      <c r="BE726" s="42"/>
      <c r="BF726" s="42"/>
      <c r="BG726" s="42"/>
      <c r="BH726" s="42"/>
      <c r="BI726" s="42"/>
      <c r="BJ726" s="42"/>
      <c r="BK726" s="42"/>
      <c r="BL726" s="42"/>
      <c r="BM726" s="42"/>
      <c r="BN726" s="42"/>
      <c r="BO726" s="42"/>
      <c r="BP726" s="42"/>
      <c r="BQ726" s="42"/>
      <c r="BR726" s="42"/>
      <c r="BS726" s="42"/>
      <c r="BT726" s="42"/>
      <c r="BU726" s="42"/>
      <c r="BV726" s="42"/>
      <c r="BW726" s="42"/>
      <c r="BX726" s="42"/>
      <c r="BY726" s="42"/>
      <c r="BZ726" s="42"/>
      <c r="CA726" s="42"/>
      <c r="CB726" s="42"/>
      <c r="CC726" s="42"/>
      <c r="CD726" s="42"/>
      <c r="CE726" s="42"/>
      <c r="CF726" s="42"/>
      <c r="CG726" s="42"/>
      <c r="CH726" s="42"/>
      <c r="CS726" s="29"/>
      <c r="CT726" s="29"/>
      <c r="CU726" s="29"/>
      <c r="CV726" s="522"/>
      <c r="CW726" s="522"/>
      <c r="CX726" s="211"/>
      <c r="CY726" s="211"/>
      <c r="CZ726" s="211"/>
      <c r="DA726" s="211"/>
      <c r="DB726" s="211"/>
      <c r="DC726" s="211"/>
      <c r="DD726" s="211"/>
      <c r="DE726" s="211"/>
      <c r="DF726" s="60"/>
      <c r="DG726" s="60"/>
      <c r="DH726" s="60"/>
      <c r="DI726" s="60"/>
      <c r="DJ726" s="60"/>
    </row>
    <row r="727" spans="3:114" s="25" customFormat="1">
      <c r="C727" s="24"/>
      <c r="D727" s="24"/>
      <c r="G727" s="57"/>
      <c r="H727" s="57"/>
      <c r="I727" s="57"/>
      <c r="J727" s="57"/>
      <c r="K727" s="57"/>
      <c r="L727" s="57"/>
      <c r="M727" s="57"/>
      <c r="N727" s="57"/>
      <c r="O727" s="57"/>
      <c r="P727" s="57"/>
      <c r="Q727" s="57"/>
      <c r="R727" s="57"/>
      <c r="S727" s="57"/>
      <c r="T727" s="559"/>
      <c r="U727" s="29"/>
      <c r="V727" s="29"/>
      <c r="AJ727" s="1215"/>
      <c r="AK727" s="1142"/>
      <c r="AM727" s="42"/>
      <c r="AN727" s="42"/>
      <c r="AO727" s="42"/>
      <c r="AP727" s="42"/>
      <c r="AQ727" s="42"/>
      <c r="AR727" s="42"/>
      <c r="AS727" s="42"/>
      <c r="AT727" s="42"/>
      <c r="AU727" s="42"/>
      <c r="AV727" s="42"/>
      <c r="AW727" s="42"/>
      <c r="AX727" s="42"/>
      <c r="AY727" s="42"/>
      <c r="AZ727" s="42"/>
      <c r="BA727" s="42"/>
      <c r="BB727" s="42"/>
      <c r="BC727" s="42"/>
      <c r="BD727" s="42"/>
      <c r="BE727" s="42"/>
      <c r="BF727" s="42"/>
      <c r="BG727" s="42"/>
      <c r="BH727" s="42"/>
      <c r="BI727" s="42"/>
      <c r="BJ727" s="42"/>
      <c r="BK727" s="42"/>
      <c r="BL727" s="42"/>
      <c r="BM727" s="42"/>
      <c r="BN727" s="42"/>
      <c r="BO727" s="42"/>
      <c r="BP727" s="42"/>
      <c r="BQ727" s="42"/>
      <c r="BR727" s="42"/>
      <c r="BS727" s="42"/>
      <c r="BT727" s="42"/>
      <c r="BU727" s="42"/>
      <c r="BV727" s="42"/>
      <c r="BW727" s="42"/>
      <c r="BX727" s="42"/>
      <c r="BY727" s="42"/>
      <c r="BZ727" s="42"/>
      <c r="CA727" s="42"/>
      <c r="CB727" s="42"/>
      <c r="CC727" s="42"/>
      <c r="CD727" s="42"/>
      <c r="CE727" s="42"/>
      <c r="CF727" s="42"/>
      <c r="CG727" s="42"/>
      <c r="CH727" s="42"/>
      <c r="CS727" s="29"/>
      <c r="CT727" s="29"/>
      <c r="CU727" s="29"/>
      <c r="CV727" s="522"/>
      <c r="CW727" s="522"/>
      <c r="CX727" s="211"/>
      <c r="CY727" s="211"/>
      <c r="CZ727" s="211"/>
      <c r="DA727" s="211"/>
      <c r="DB727" s="211"/>
      <c r="DC727" s="211"/>
      <c r="DD727" s="211"/>
      <c r="DE727" s="211"/>
      <c r="DF727" s="60"/>
      <c r="DG727" s="60"/>
      <c r="DH727" s="60"/>
      <c r="DI727" s="60"/>
      <c r="DJ727" s="60"/>
    </row>
    <row r="728" spans="3:114" s="25" customFormat="1">
      <c r="C728" s="24"/>
      <c r="D728" s="24"/>
      <c r="G728" s="57"/>
      <c r="H728" s="57"/>
      <c r="I728" s="57"/>
      <c r="J728" s="57"/>
      <c r="K728" s="57"/>
      <c r="L728" s="57"/>
      <c r="M728" s="57"/>
      <c r="N728" s="57"/>
      <c r="O728" s="57"/>
      <c r="P728" s="57"/>
      <c r="Q728" s="57"/>
      <c r="R728" s="57"/>
      <c r="S728" s="57"/>
      <c r="T728" s="559"/>
      <c r="U728" s="29"/>
      <c r="V728" s="29"/>
      <c r="AJ728" s="1215"/>
      <c r="AK728" s="1142"/>
      <c r="AM728" s="42"/>
      <c r="AN728" s="42"/>
      <c r="AO728" s="42"/>
      <c r="AP728" s="42"/>
      <c r="AQ728" s="42"/>
      <c r="AR728" s="42"/>
      <c r="AS728" s="42"/>
      <c r="AT728" s="42"/>
      <c r="AU728" s="42"/>
      <c r="AV728" s="42"/>
      <c r="AW728" s="42"/>
      <c r="AX728" s="42"/>
      <c r="AY728" s="42"/>
      <c r="AZ728" s="42"/>
      <c r="BA728" s="42"/>
      <c r="BB728" s="42"/>
      <c r="BC728" s="42"/>
      <c r="BD728" s="42"/>
      <c r="BE728" s="42"/>
      <c r="BF728" s="42"/>
      <c r="BG728" s="42"/>
      <c r="BH728" s="42"/>
      <c r="BI728" s="42"/>
      <c r="BJ728" s="42"/>
      <c r="BK728" s="42"/>
      <c r="BL728" s="42"/>
      <c r="BM728" s="42"/>
      <c r="BN728" s="42"/>
      <c r="BO728" s="42"/>
      <c r="BP728" s="42"/>
      <c r="BQ728" s="42"/>
      <c r="BR728" s="42"/>
      <c r="BS728" s="42"/>
      <c r="BT728" s="42"/>
      <c r="BU728" s="42"/>
      <c r="BV728" s="42"/>
      <c r="BW728" s="42"/>
      <c r="BX728" s="42"/>
      <c r="BY728" s="42"/>
      <c r="BZ728" s="42"/>
      <c r="CA728" s="42"/>
      <c r="CB728" s="42"/>
      <c r="CC728" s="42"/>
      <c r="CD728" s="42"/>
      <c r="CE728" s="42"/>
      <c r="CF728" s="42"/>
      <c r="CG728" s="42"/>
      <c r="CH728" s="42"/>
      <c r="CS728" s="29"/>
      <c r="CT728" s="29"/>
      <c r="CU728" s="29"/>
      <c r="CV728" s="522"/>
      <c r="CW728" s="522"/>
      <c r="CX728" s="211"/>
      <c r="CY728" s="211"/>
      <c r="CZ728" s="211"/>
      <c r="DA728" s="211"/>
      <c r="DB728" s="211"/>
      <c r="DC728" s="211"/>
      <c r="DD728" s="211"/>
      <c r="DE728" s="211"/>
      <c r="DF728" s="60"/>
      <c r="DG728" s="60"/>
      <c r="DH728" s="60"/>
      <c r="DI728" s="60"/>
      <c r="DJ728" s="60"/>
    </row>
    <row r="729" spans="3:114" s="25" customFormat="1">
      <c r="C729" s="24"/>
      <c r="D729" s="24"/>
      <c r="G729" s="57"/>
      <c r="H729" s="57"/>
      <c r="I729" s="57"/>
      <c r="J729" s="57"/>
      <c r="K729" s="57"/>
      <c r="L729" s="57"/>
      <c r="M729" s="57"/>
      <c r="N729" s="57"/>
      <c r="O729" s="57"/>
      <c r="P729" s="57"/>
      <c r="Q729" s="57"/>
      <c r="R729" s="57"/>
      <c r="S729" s="57"/>
      <c r="T729" s="559"/>
      <c r="U729" s="29"/>
      <c r="V729" s="29"/>
      <c r="AJ729" s="1215"/>
      <c r="AK729" s="1142"/>
      <c r="AM729" s="42"/>
      <c r="AN729" s="42"/>
      <c r="AO729" s="42"/>
      <c r="AP729" s="42"/>
      <c r="AQ729" s="42"/>
      <c r="AR729" s="42"/>
      <c r="AS729" s="42"/>
      <c r="AT729" s="42"/>
      <c r="AU729" s="42"/>
      <c r="AV729" s="42"/>
      <c r="AW729" s="42"/>
      <c r="AX729" s="42"/>
      <c r="AY729" s="42"/>
      <c r="AZ729" s="42"/>
      <c r="BA729" s="42"/>
      <c r="BB729" s="42"/>
      <c r="BC729" s="42"/>
      <c r="BD729" s="42"/>
      <c r="BE729" s="42"/>
      <c r="BF729" s="42"/>
      <c r="BG729" s="42"/>
      <c r="BH729" s="42"/>
      <c r="BI729" s="42"/>
      <c r="BJ729" s="42"/>
      <c r="BK729" s="42"/>
      <c r="BL729" s="42"/>
      <c r="BM729" s="42"/>
      <c r="BN729" s="42"/>
      <c r="BO729" s="42"/>
      <c r="BP729" s="42"/>
      <c r="BQ729" s="42"/>
      <c r="BR729" s="42"/>
      <c r="BS729" s="42"/>
      <c r="BT729" s="42"/>
      <c r="BU729" s="42"/>
      <c r="BV729" s="42"/>
      <c r="BW729" s="42"/>
      <c r="BX729" s="42"/>
      <c r="BY729" s="42"/>
      <c r="BZ729" s="42"/>
      <c r="CA729" s="42"/>
      <c r="CB729" s="42"/>
      <c r="CC729" s="42"/>
      <c r="CD729" s="42"/>
      <c r="CE729" s="42"/>
      <c r="CF729" s="42"/>
      <c r="CG729" s="42"/>
      <c r="CH729" s="42"/>
      <c r="CS729" s="29"/>
      <c r="CT729" s="29"/>
      <c r="CU729" s="29"/>
      <c r="CV729" s="522"/>
      <c r="CW729" s="522"/>
      <c r="CX729" s="211"/>
      <c r="CY729" s="211"/>
      <c r="CZ729" s="211"/>
      <c r="DA729" s="211"/>
      <c r="DB729" s="211"/>
      <c r="DC729" s="211"/>
      <c r="DD729" s="211"/>
      <c r="DE729" s="211"/>
      <c r="DF729" s="60"/>
      <c r="DG729" s="60"/>
      <c r="DH729" s="60"/>
      <c r="DI729" s="60"/>
      <c r="DJ729" s="60"/>
    </row>
    <row r="730" spans="3:114" s="25" customFormat="1">
      <c r="C730" s="24"/>
      <c r="D730" s="24"/>
      <c r="G730" s="57"/>
      <c r="H730" s="57"/>
      <c r="I730" s="57"/>
      <c r="J730" s="57"/>
      <c r="K730" s="57"/>
      <c r="L730" s="57"/>
      <c r="M730" s="57"/>
      <c r="N730" s="57"/>
      <c r="O730" s="57"/>
      <c r="P730" s="57"/>
      <c r="Q730" s="57"/>
      <c r="R730" s="57"/>
      <c r="S730" s="57"/>
      <c r="T730" s="559"/>
      <c r="U730" s="29"/>
      <c r="V730" s="29"/>
      <c r="AJ730" s="1215"/>
      <c r="AK730" s="1142"/>
      <c r="AM730" s="42"/>
      <c r="AN730" s="42"/>
      <c r="AO730" s="42"/>
      <c r="AP730" s="42"/>
      <c r="AQ730" s="42"/>
      <c r="AR730" s="42"/>
      <c r="AS730" s="42"/>
      <c r="AT730" s="42"/>
      <c r="AU730" s="42"/>
      <c r="AV730" s="42"/>
      <c r="AW730" s="42"/>
      <c r="AX730" s="42"/>
      <c r="AY730" s="42"/>
      <c r="AZ730" s="42"/>
      <c r="BA730" s="42"/>
      <c r="BB730" s="42"/>
      <c r="BC730" s="42"/>
      <c r="BD730" s="42"/>
      <c r="BE730" s="42"/>
      <c r="BF730" s="42"/>
      <c r="BG730" s="42"/>
      <c r="BH730" s="42"/>
      <c r="BI730" s="42"/>
      <c r="BJ730" s="42"/>
      <c r="BK730" s="42"/>
      <c r="BL730" s="42"/>
      <c r="BM730" s="42"/>
      <c r="BN730" s="42"/>
      <c r="BO730" s="42"/>
      <c r="BP730" s="42"/>
      <c r="BQ730" s="42"/>
      <c r="BR730" s="42"/>
      <c r="BS730" s="42"/>
      <c r="BT730" s="42"/>
      <c r="BU730" s="42"/>
      <c r="BV730" s="42"/>
      <c r="BW730" s="42"/>
      <c r="BX730" s="42"/>
      <c r="BY730" s="42"/>
      <c r="BZ730" s="42"/>
      <c r="CA730" s="42"/>
      <c r="CB730" s="42"/>
      <c r="CC730" s="42"/>
      <c r="CD730" s="42"/>
      <c r="CE730" s="42"/>
      <c r="CF730" s="42"/>
      <c r="CG730" s="42"/>
      <c r="CH730" s="42"/>
      <c r="CS730" s="29"/>
      <c r="CT730" s="29"/>
      <c r="CU730" s="29"/>
      <c r="CV730" s="522"/>
      <c r="CW730" s="522"/>
      <c r="CX730" s="211"/>
      <c r="CY730" s="211"/>
      <c r="CZ730" s="211"/>
      <c r="DA730" s="211"/>
      <c r="DB730" s="211"/>
      <c r="DC730" s="211"/>
      <c r="DD730" s="211"/>
      <c r="DE730" s="211"/>
      <c r="DF730" s="60"/>
      <c r="DG730" s="60"/>
      <c r="DH730" s="60"/>
      <c r="DI730" s="60"/>
      <c r="DJ730" s="60"/>
    </row>
    <row r="731" spans="3:114" s="25" customFormat="1">
      <c r="C731" s="24"/>
      <c r="D731" s="24"/>
      <c r="G731" s="57"/>
      <c r="H731" s="57"/>
      <c r="I731" s="57"/>
      <c r="J731" s="57"/>
      <c r="K731" s="57"/>
      <c r="L731" s="57"/>
      <c r="M731" s="57"/>
      <c r="N731" s="57"/>
      <c r="O731" s="57"/>
      <c r="P731" s="57"/>
      <c r="Q731" s="57"/>
      <c r="R731" s="57"/>
      <c r="S731" s="57"/>
      <c r="T731" s="559"/>
      <c r="U731" s="29"/>
      <c r="V731" s="29"/>
      <c r="AJ731" s="1215"/>
      <c r="AK731" s="1142"/>
      <c r="AM731" s="42"/>
      <c r="AN731" s="42"/>
      <c r="AO731" s="42"/>
      <c r="AP731" s="42"/>
      <c r="AQ731" s="42"/>
      <c r="AR731" s="42"/>
      <c r="AS731" s="42"/>
      <c r="AT731" s="42"/>
      <c r="AU731" s="42"/>
      <c r="AV731" s="42"/>
      <c r="AW731" s="42"/>
      <c r="AX731" s="42"/>
      <c r="AY731" s="42"/>
      <c r="AZ731" s="42"/>
      <c r="BA731" s="42"/>
      <c r="BB731" s="42"/>
      <c r="BC731" s="42"/>
      <c r="BD731" s="42"/>
      <c r="BE731" s="42"/>
      <c r="BF731" s="42"/>
      <c r="BG731" s="42"/>
      <c r="BH731" s="42"/>
      <c r="BI731" s="42"/>
      <c r="BJ731" s="42"/>
      <c r="BK731" s="42"/>
      <c r="BL731" s="42"/>
      <c r="BM731" s="42"/>
      <c r="BN731" s="42"/>
      <c r="BO731" s="42"/>
      <c r="BP731" s="42"/>
      <c r="BQ731" s="42"/>
      <c r="BR731" s="42"/>
      <c r="BS731" s="42"/>
      <c r="BT731" s="42"/>
      <c r="BU731" s="42"/>
      <c r="BV731" s="42"/>
      <c r="BW731" s="42"/>
      <c r="BX731" s="42"/>
      <c r="BY731" s="42"/>
      <c r="BZ731" s="42"/>
      <c r="CA731" s="42"/>
      <c r="CB731" s="42"/>
      <c r="CC731" s="42"/>
      <c r="CD731" s="42"/>
      <c r="CE731" s="42"/>
      <c r="CF731" s="42"/>
      <c r="CG731" s="42"/>
      <c r="CH731" s="42"/>
      <c r="CS731" s="29"/>
      <c r="CT731" s="29"/>
      <c r="CU731" s="29"/>
      <c r="CV731" s="522"/>
      <c r="CW731" s="522"/>
      <c r="CX731" s="211"/>
      <c r="CY731" s="211"/>
      <c r="CZ731" s="211"/>
      <c r="DA731" s="211"/>
      <c r="DB731" s="211"/>
      <c r="DC731" s="211"/>
      <c r="DD731" s="211"/>
      <c r="DE731" s="211"/>
      <c r="DF731" s="60"/>
      <c r="DG731" s="60"/>
      <c r="DH731" s="60"/>
      <c r="DI731" s="60"/>
      <c r="DJ731" s="60"/>
    </row>
    <row r="732" spans="3:114" s="25" customFormat="1">
      <c r="C732" s="24"/>
      <c r="D732" s="24"/>
      <c r="G732" s="57"/>
      <c r="H732" s="57"/>
      <c r="I732" s="57"/>
      <c r="J732" s="57"/>
      <c r="K732" s="57"/>
      <c r="L732" s="57"/>
      <c r="M732" s="57"/>
      <c r="N732" s="57"/>
      <c r="O732" s="57"/>
      <c r="P732" s="57"/>
      <c r="Q732" s="57"/>
      <c r="R732" s="57"/>
      <c r="S732" s="57"/>
      <c r="T732" s="559"/>
      <c r="U732" s="29"/>
      <c r="V732" s="29"/>
      <c r="AJ732" s="1215"/>
      <c r="AK732" s="1142"/>
      <c r="AM732" s="42"/>
      <c r="AN732" s="42"/>
      <c r="AO732" s="42"/>
      <c r="AP732" s="42"/>
      <c r="AQ732" s="42"/>
      <c r="AR732" s="42"/>
      <c r="AS732" s="42"/>
      <c r="AT732" s="42"/>
      <c r="AU732" s="42"/>
      <c r="AV732" s="42"/>
      <c r="AW732" s="42"/>
      <c r="AX732" s="42"/>
      <c r="AY732" s="42"/>
      <c r="AZ732" s="42"/>
      <c r="BA732" s="42"/>
      <c r="BB732" s="42"/>
      <c r="BC732" s="42"/>
      <c r="BD732" s="42"/>
      <c r="BE732" s="42"/>
      <c r="BF732" s="42"/>
      <c r="BG732" s="42"/>
      <c r="BH732" s="42"/>
      <c r="BI732" s="42"/>
      <c r="BJ732" s="42"/>
      <c r="BK732" s="42"/>
      <c r="BL732" s="42"/>
      <c r="BM732" s="42"/>
      <c r="BN732" s="42"/>
      <c r="BO732" s="42"/>
      <c r="BP732" s="42"/>
      <c r="BQ732" s="42"/>
      <c r="BR732" s="42"/>
      <c r="BS732" s="42"/>
      <c r="BT732" s="42"/>
      <c r="BU732" s="42"/>
      <c r="BV732" s="42"/>
      <c r="BW732" s="42"/>
      <c r="BX732" s="42"/>
      <c r="BY732" s="42"/>
      <c r="BZ732" s="42"/>
      <c r="CA732" s="42"/>
      <c r="CB732" s="42"/>
      <c r="CC732" s="42"/>
      <c r="CD732" s="42"/>
      <c r="CE732" s="42"/>
      <c r="CF732" s="42"/>
      <c r="CG732" s="42"/>
      <c r="CH732" s="42"/>
      <c r="CS732" s="29"/>
      <c r="CT732" s="29"/>
      <c r="CU732" s="29"/>
      <c r="CV732" s="522"/>
      <c r="CW732" s="522"/>
      <c r="CX732" s="211"/>
      <c r="CY732" s="211"/>
      <c r="CZ732" s="211"/>
      <c r="DA732" s="211"/>
      <c r="DB732" s="211"/>
      <c r="DC732" s="211"/>
      <c r="DD732" s="211"/>
      <c r="DE732" s="211"/>
      <c r="DF732" s="60"/>
      <c r="DG732" s="60"/>
      <c r="DH732" s="60"/>
      <c r="DI732" s="60"/>
      <c r="DJ732" s="60"/>
    </row>
    <row r="733" spans="3:114" s="25" customFormat="1">
      <c r="C733" s="24"/>
      <c r="D733" s="24"/>
      <c r="G733" s="57"/>
      <c r="H733" s="57"/>
      <c r="I733" s="57"/>
      <c r="J733" s="57"/>
      <c r="K733" s="57"/>
      <c r="L733" s="57"/>
      <c r="M733" s="57"/>
      <c r="N733" s="57"/>
      <c r="O733" s="57"/>
      <c r="P733" s="57"/>
      <c r="Q733" s="57"/>
      <c r="R733" s="57"/>
      <c r="S733" s="57"/>
      <c r="T733" s="559"/>
      <c r="U733" s="29"/>
      <c r="V733" s="29"/>
      <c r="AJ733" s="1215"/>
      <c r="AK733" s="1142"/>
      <c r="AM733" s="42"/>
      <c r="AN733" s="42"/>
      <c r="AO733" s="42"/>
      <c r="AP733" s="42"/>
      <c r="AQ733" s="42"/>
      <c r="AR733" s="42"/>
      <c r="AS733" s="42"/>
      <c r="AT733" s="42"/>
      <c r="AU733" s="42"/>
      <c r="AV733" s="42"/>
      <c r="AW733" s="42"/>
      <c r="AX733" s="42"/>
      <c r="AY733" s="42"/>
      <c r="AZ733" s="42"/>
      <c r="BA733" s="42"/>
      <c r="BB733" s="42"/>
      <c r="BC733" s="42"/>
      <c r="BD733" s="42"/>
      <c r="BE733" s="42"/>
      <c r="BF733" s="42"/>
      <c r="BG733" s="42"/>
      <c r="BH733" s="42"/>
      <c r="BI733" s="42"/>
      <c r="BJ733" s="42"/>
      <c r="BK733" s="42"/>
      <c r="BL733" s="42"/>
      <c r="BM733" s="42"/>
      <c r="BN733" s="42"/>
      <c r="BO733" s="42"/>
      <c r="BP733" s="42"/>
      <c r="BQ733" s="42"/>
      <c r="BR733" s="42"/>
      <c r="BS733" s="42"/>
      <c r="BT733" s="42"/>
      <c r="BU733" s="42"/>
      <c r="BV733" s="42"/>
      <c r="BW733" s="42"/>
      <c r="BX733" s="42"/>
      <c r="BY733" s="42"/>
      <c r="BZ733" s="42"/>
      <c r="CA733" s="42"/>
      <c r="CB733" s="42"/>
      <c r="CC733" s="42"/>
      <c r="CD733" s="42"/>
      <c r="CE733" s="42"/>
      <c r="CF733" s="42"/>
      <c r="CG733" s="42"/>
      <c r="CH733" s="42"/>
      <c r="CS733" s="29"/>
      <c r="CT733" s="29"/>
      <c r="CU733" s="29"/>
      <c r="CV733" s="522"/>
      <c r="CW733" s="522"/>
      <c r="CX733" s="211"/>
      <c r="CY733" s="211"/>
      <c r="CZ733" s="211"/>
      <c r="DA733" s="211"/>
      <c r="DB733" s="211"/>
      <c r="DC733" s="211"/>
      <c r="DD733" s="211"/>
      <c r="DE733" s="211"/>
      <c r="DF733" s="60"/>
      <c r="DG733" s="60"/>
      <c r="DH733" s="60"/>
      <c r="DI733" s="60"/>
      <c r="DJ733" s="60"/>
    </row>
    <row r="734" spans="3:114" s="25" customFormat="1">
      <c r="C734" s="24"/>
      <c r="D734" s="24"/>
      <c r="G734" s="57"/>
      <c r="H734" s="57"/>
      <c r="I734" s="57"/>
      <c r="J734" s="57"/>
      <c r="K734" s="57"/>
      <c r="L734" s="57"/>
      <c r="M734" s="57"/>
      <c r="N734" s="57"/>
      <c r="O734" s="57"/>
      <c r="P734" s="57"/>
      <c r="Q734" s="57"/>
      <c r="R734" s="57"/>
      <c r="S734" s="57"/>
      <c r="T734" s="559"/>
      <c r="U734" s="29"/>
      <c r="V734" s="29"/>
      <c r="AJ734" s="1215"/>
      <c r="AK734" s="1142"/>
      <c r="AM734" s="42"/>
      <c r="AN734" s="42"/>
      <c r="AO734" s="42"/>
      <c r="AP734" s="42"/>
      <c r="AQ734" s="42"/>
      <c r="AR734" s="42"/>
      <c r="AS734" s="42"/>
      <c r="AT734" s="42"/>
      <c r="AU734" s="42"/>
      <c r="AV734" s="42"/>
      <c r="AW734" s="42"/>
      <c r="AX734" s="42"/>
      <c r="AY734" s="42"/>
      <c r="AZ734" s="42"/>
      <c r="BA734" s="42"/>
      <c r="BB734" s="42"/>
      <c r="BC734" s="42"/>
      <c r="BD734" s="42"/>
      <c r="BE734" s="42"/>
      <c r="BF734" s="42"/>
      <c r="BG734" s="42"/>
      <c r="BH734" s="42"/>
      <c r="BI734" s="42"/>
      <c r="BJ734" s="42"/>
      <c r="BK734" s="42"/>
      <c r="BL734" s="42"/>
      <c r="BM734" s="42"/>
      <c r="BN734" s="42"/>
      <c r="BO734" s="42"/>
      <c r="BP734" s="42"/>
      <c r="BQ734" s="42"/>
      <c r="BR734" s="42"/>
      <c r="BS734" s="42"/>
      <c r="BT734" s="42"/>
      <c r="BU734" s="42"/>
      <c r="BV734" s="42"/>
      <c r="BW734" s="42"/>
      <c r="BX734" s="42"/>
      <c r="BY734" s="42"/>
      <c r="BZ734" s="42"/>
      <c r="CA734" s="42"/>
      <c r="CB734" s="42"/>
      <c r="CC734" s="42"/>
      <c r="CD734" s="42"/>
      <c r="CE734" s="42"/>
      <c r="CF734" s="42"/>
      <c r="CG734" s="42"/>
      <c r="CH734" s="42"/>
      <c r="CS734" s="29"/>
      <c r="CT734" s="29"/>
      <c r="CU734" s="29"/>
      <c r="CV734" s="522"/>
      <c r="CW734" s="522"/>
      <c r="CX734" s="211"/>
      <c r="CY734" s="211"/>
      <c r="CZ734" s="211"/>
      <c r="DA734" s="211"/>
      <c r="DB734" s="211"/>
      <c r="DC734" s="211"/>
      <c r="DD734" s="211"/>
      <c r="DE734" s="211"/>
      <c r="DF734" s="60"/>
      <c r="DG734" s="60"/>
      <c r="DH734" s="60"/>
      <c r="DI734" s="60"/>
      <c r="DJ734" s="60"/>
    </row>
    <row r="735" spans="3:114" s="25" customFormat="1">
      <c r="C735" s="24"/>
      <c r="D735" s="24"/>
      <c r="G735" s="57"/>
      <c r="H735" s="57"/>
      <c r="I735" s="57"/>
      <c r="J735" s="57"/>
      <c r="K735" s="57"/>
      <c r="L735" s="57"/>
      <c r="M735" s="57"/>
      <c r="N735" s="57"/>
      <c r="O735" s="57"/>
      <c r="P735" s="57"/>
      <c r="Q735" s="57"/>
      <c r="R735" s="57"/>
      <c r="S735" s="57"/>
      <c r="T735" s="559"/>
      <c r="U735" s="29"/>
      <c r="V735" s="29"/>
      <c r="AJ735" s="1215"/>
      <c r="AK735" s="1142"/>
      <c r="AM735" s="42"/>
      <c r="AN735" s="42"/>
      <c r="AO735" s="42"/>
      <c r="AP735" s="42"/>
      <c r="AQ735" s="42"/>
      <c r="AR735" s="42"/>
      <c r="AS735" s="42"/>
      <c r="AT735" s="42"/>
      <c r="AU735" s="42"/>
      <c r="AV735" s="42"/>
      <c r="AW735" s="42"/>
      <c r="AX735" s="42"/>
      <c r="AY735" s="42"/>
      <c r="AZ735" s="42"/>
      <c r="BA735" s="42"/>
      <c r="BB735" s="42"/>
      <c r="BC735" s="42"/>
      <c r="BD735" s="42"/>
      <c r="BE735" s="42"/>
      <c r="BF735" s="42"/>
      <c r="BG735" s="42"/>
      <c r="BH735" s="42"/>
      <c r="BI735" s="42"/>
      <c r="BJ735" s="42"/>
      <c r="BK735" s="42"/>
      <c r="BL735" s="42"/>
      <c r="BM735" s="42"/>
      <c r="BN735" s="42"/>
      <c r="BO735" s="42"/>
      <c r="BP735" s="42"/>
      <c r="BQ735" s="42"/>
      <c r="BR735" s="42"/>
      <c r="BS735" s="42"/>
      <c r="BT735" s="42"/>
      <c r="BU735" s="42"/>
      <c r="BV735" s="42"/>
      <c r="BW735" s="42"/>
      <c r="BX735" s="42"/>
      <c r="BY735" s="42"/>
      <c r="BZ735" s="42"/>
      <c r="CA735" s="42"/>
      <c r="CB735" s="42"/>
      <c r="CC735" s="42"/>
      <c r="CD735" s="42"/>
      <c r="CE735" s="42"/>
      <c r="CF735" s="42"/>
      <c r="CG735" s="42"/>
      <c r="CH735" s="42"/>
      <c r="CS735" s="29"/>
      <c r="CT735" s="29"/>
      <c r="CU735" s="29"/>
      <c r="CV735" s="522"/>
      <c r="CW735" s="522"/>
      <c r="CX735" s="211"/>
      <c r="CY735" s="211"/>
      <c r="CZ735" s="211"/>
      <c r="DA735" s="211"/>
      <c r="DB735" s="211"/>
      <c r="DC735" s="211"/>
      <c r="DD735" s="211"/>
      <c r="DE735" s="211"/>
      <c r="DF735" s="60"/>
      <c r="DG735" s="60"/>
      <c r="DH735" s="60"/>
      <c r="DI735" s="60"/>
      <c r="DJ735" s="60"/>
    </row>
    <row r="736" spans="3:114" s="25" customFormat="1">
      <c r="C736" s="24"/>
      <c r="D736" s="24"/>
      <c r="G736" s="57"/>
      <c r="H736" s="57"/>
      <c r="I736" s="57"/>
      <c r="J736" s="57"/>
      <c r="K736" s="57"/>
      <c r="L736" s="57"/>
      <c r="M736" s="57"/>
      <c r="N736" s="57"/>
      <c r="O736" s="57"/>
      <c r="P736" s="57"/>
      <c r="Q736" s="57"/>
      <c r="R736" s="57"/>
      <c r="S736" s="57"/>
      <c r="T736" s="559"/>
      <c r="U736" s="29"/>
      <c r="V736" s="29"/>
      <c r="AJ736" s="1215"/>
      <c r="AK736" s="1142"/>
      <c r="AM736" s="42"/>
      <c r="AN736" s="42"/>
      <c r="AO736" s="42"/>
      <c r="AP736" s="42"/>
      <c r="AQ736" s="42"/>
      <c r="AR736" s="42"/>
      <c r="AS736" s="42"/>
      <c r="AT736" s="42"/>
      <c r="AU736" s="42"/>
      <c r="AV736" s="42"/>
      <c r="AW736" s="42"/>
      <c r="AX736" s="42"/>
      <c r="AY736" s="42"/>
      <c r="AZ736" s="42"/>
      <c r="BA736" s="42"/>
      <c r="BB736" s="42"/>
      <c r="BC736" s="42"/>
      <c r="BD736" s="42"/>
      <c r="BE736" s="42"/>
      <c r="BF736" s="42"/>
      <c r="BG736" s="42"/>
      <c r="BH736" s="42"/>
      <c r="BI736" s="42"/>
      <c r="BJ736" s="42"/>
      <c r="BK736" s="42"/>
      <c r="BL736" s="42"/>
      <c r="BM736" s="42"/>
      <c r="BN736" s="42"/>
      <c r="BO736" s="42"/>
      <c r="BP736" s="42"/>
      <c r="BQ736" s="42"/>
      <c r="BR736" s="42"/>
      <c r="BS736" s="42"/>
      <c r="BT736" s="42"/>
      <c r="BU736" s="42"/>
      <c r="BV736" s="42"/>
      <c r="BW736" s="42"/>
      <c r="BX736" s="42"/>
      <c r="BY736" s="42"/>
      <c r="BZ736" s="42"/>
      <c r="CA736" s="42"/>
      <c r="CB736" s="42"/>
      <c r="CC736" s="42"/>
      <c r="CD736" s="42"/>
      <c r="CE736" s="42"/>
      <c r="CF736" s="42"/>
      <c r="CG736" s="42"/>
      <c r="CH736" s="42"/>
      <c r="CS736" s="29"/>
      <c r="CT736" s="29"/>
      <c r="CU736" s="29"/>
      <c r="CV736" s="522"/>
      <c r="CW736" s="522"/>
      <c r="CX736" s="211"/>
      <c r="CY736" s="211"/>
      <c r="CZ736" s="211"/>
      <c r="DA736" s="211"/>
      <c r="DB736" s="211"/>
      <c r="DC736" s="211"/>
      <c r="DD736" s="211"/>
      <c r="DE736" s="211"/>
      <c r="DF736" s="60"/>
      <c r="DG736" s="60"/>
      <c r="DH736" s="60"/>
      <c r="DI736" s="60"/>
      <c r="DJ736" s="60"/>
    </row>
    <row r="737" spans="3:114" s="25" customFormat="1">
      <c r="C737" s="24"/>
      <c r="D737" s="24"/>
      <c r="G737" s="57"/>
      <c r="H737" s="57"/>
      <c r="I737" s="57"/>
      <c r="J737" s="57"/>
      <c r="K737" s="57"/>
      <c r="L737" s="57"/>
      <c r="M737" s="57"/>
      <c r="N737" s="57"/>
      <c r="O737" s="57"/>
      <c r="P737" s="57"/>
      <c r="Q737" s="57"/>
      <c r="R737" s="57"/>
      <c r="S737" s="57"/>
      <c r="T737" s="559"/>
      <c r="U737" s="29"/>
      <c r="V737" s="29"/>
      <c r="AJ737" s="1215"/>
      <c r="AK737" s="1142"/>
      <c r="AM737" s="42"/>
      <c r="AN737" s="42"/>
      <c r="AO737" s="42"/>
      <c r="AP737" s="42"/>
      <c r="AQ737" s="42"/>
      <c r="AR737" s="42"/>
      <c r="AS737" s="42"/>
      <c r="AT737" s="42"/>
      <c r="AU737" s="42"/>
      <c r="AV737" s="42"/>
      <c r="AW737" s="42"/>
      <c r="AX737" s="42"/>
      <c r="AY737" s="42"/>
      <c r="AZ737" s="42"/>
      <c r="BA737" s="42"/>
      <c r="BB737" s="42"/>
      <c r="BC737" s="42"/>
      <c r="BD737" s="42"/>
      <c r="BE737" s="42"/>
      <c r="BF737" s="42"/>
      <c r="BG737" s="42"/>
      <c r="BH737" s="42"/>
      <c r="BI737" s="42"/>
      <c r="BJ737" s="42"/>
      <c r="BK737" s="42"/>
      <c r="BL737" s="42"/>
      <c r="BM737" s="42"/>
      <c r="BN737" s="42"/>
      <c r="BO737" s="42"/>
      <c r="BP737" s="42"/>
      <c r="BQ737" s="42"/>
      <c r="BR737" s="42"/>
      <c r="BS737" s="42"/>
      <c r="BT737" s="42"/>
      <c r="BU737" s="42"/>
      <c r="BV737" s="42"/>
      <c r="BW737" s="42"/>
      <c r="BX737" s="42"/>
      <c r="BY737" s="42"/>
      <c r="BZ737" s="42"/>
      <c r="CA737" s="42"/>
      <c r="CB737" s="42"/>
      <c r="CC737" s="42"/>
      <c r="CD737" s="42"/>
      <c r="CE737" s="42"/>
      <c r="CF737" s="42"/>
      <c r="CG737" s="42"/>
      <c r="CH737" s="42"/>
      <c r="CS737" s="29"/>
      <c r="CT737" s="29"/>
      <c r="CU737" s="29"/>
      <c r="CV737" s="522"/>
      <c r="CW737" s="522"/>
      <c r="CX737" s="211"/>
      <c r="CY737" s="211"/>
      <c r="CZ737" s="211"/>
      <c r="DA737" s="211"/>
      <c r="DB737" s="211"/>
      <c r="DC737" s="211"/>
      <c r="DD737" s="211"/>
      <c r="DE737" s="211"/>
      <c r="DF737" s="60"/>
      <c r="DG737" s="60"/>
      <c r="DH737" s="60"/>
      <c r="DI737" s="60"/>
      <c r="DJ737" s="60"/>
    </row>
    <row r="738" spans="3:114" s="25" customFormat="1">
      <c r="C738" s="24"/>
      <c r="D738" s="24"/>
      <c r="G738" s="57"/>
      <c r="H738" s="57"/>
      <c r="I738" s="57"/>
      <c r="J738" s="57"/>
      <c r="K738" s="57"/>
      <c r="L738" s="57"/>
      <c r="M738" s="57"/>
      <c r="N738" s="57"/>
      <c r="O738" s="57"/>
      <c r="P738" s="57"/>
      <c r="Q738" s="57"/>
      <c r="R738" s="57"/>
      <c r="S738" s="57"/>
      <c r="T738" s="559"/>
      <c r="U738" s="29"/>
      <c r="V738" s="29"/>
      <c r="AJ738" s="1215"/>
      <c r="AK738" s="1142"/>
      <c r="AM738" s="42"/>
      <c r="AN738" s="42"/>
      <c r="AO738" s="42"/>
      <c r="AP738" s="42"/>
      <c r="AQ738" s="42"/>
      <c r="AR738" s="42"/>
      <c r="AS738" s="42"/>
      <c r="AT738" s="42"/>
      <c r="AU738" s="42"/>
      <c r="AV738" s="42"/>
      <c r="AW738" s="42"/>
      <c r="AX738" s="42"/>
      <c r="AY738" s="42"/>
      <c r="AZ738" s="42"/>
      <c r="BA738" s="42"/>
      <c r="BB738" s="42"/>
      <c r="BC738" s="42"/>
      <c r="BD738" s="42"/>
      <c r="BE738" s="42"/>
      <c r="BF738" s="42"/>
      <c r="BG738" s="42"/>
      <c r="BH738" s="42"/>
      <c r="BI738" s="42"/>
      <c r="BJ738" s="42"/>
      <c r="BK738" s="42"/>
      <c r="BL738" s="42"/>
      <c r="BM738" s="42"/>
      <c r="BN738" s="42"/>
      <c r="BO738" s="42"/>
      <c r="BP738" s="42"/>
      <c r="BQ738" s="42"/>
      <c r="BR738" s="42"/>
      <c r="BS738" s="42"/>
      <c r="BT738" s="42"/>
      <c r="BU738" s="42"/>
      <c r="BV738" s="42"/>
      <c r="BW738" s="42"/>
      <c r="BX738" s="42"/>
      <c r="BY738" s="42"/>
      <c r="BZ738" s="42"/>
      <c r="CA738" s="42"/>
      <c r="CB738" s="42"/>
      <c r="CC738" s="42"/>
      <c r="CD738" s="42"/>
      <c r="CE738" s="42"/>
      <c r="CF738" s="42"/>
      <c r="CG738" s="42"/>
      <c r="CH738" s="42"/>
      <c r="CS738" s="29"/>
      <c r="CT738" s="29"/>
      <c r="CU738" s="29"/>
      <c r="CV738" s="522"/>
      <c r="CW738" s="522"/>
      <c r="CX738" s="211"/>
      <c r="CY738" s="211"/>
      <c r="CZ738" s="211"/>
      <c r="DA738" s="211"/>
      <c r="DB738" s="211"/>
      <c r="DC738" s="211"/>
      <c r="DD738" s="211"/>
      <c r="DE738" s="211"/>
      <c r="DF738" s="60"/>
      <c r="DG738" s="60"/>
      <c r="DH738" s="60"/>
      <c r="DI738" s="60"/>
      <c r="DJ738" s="60"/>
    </row>
    <row r="739" spans="3:114" s="25" customFormat="1">
      <c r="C739" s="24"/>
      <c r="D739" s="24"/>
      <c r="G739" s="57"/>
      <c r="H739" s="57"/>
      <c r="I739" s="57"/>
      <c r="J739" s="57"/>
      <c r="K739" s="57"/>
      <c r="L739" s="57"/>
      <c r="M739" s="57"/>
      <c r="N739" s="57"/>
      <c r="O739" s="57"/>
      <c r="P739" s="57"/>
      <c r="Q739" s="57"/>
      <c r="R739" s="57"/>
      <c r="S739" s="57"/>
      <c r="T739" s="559"/>
      <c r="U739" s="29"/>
      <c r="V739" s="29"/>
      <c r="AJ739" s="1215"/>
      <c r="AK739" s="1142"/>
      <c r="AM739" s="42"/>
      <c r="AN739" s="42"/>
      <c r="AO739" s="42"/>
      <c r="AP739" s="42"/>
      <c r="AQ739" s="42"/>
      <c r="AR739" s="42"/>
      <c r="AS739" s="42"/>
      <c r="AT739" s="42"/>
      <c r="AU739" s="42"/>
      <c r="AV739" s="42"/>
      <c r="AW739" s="42"/>
      <c r="AX739" s="42"/>
      <c r="AY739" s="42"/>
      <c r="AZ739" s="42"/>
      <c r="BA739" s="42"/>
      <c r="BB739" s="42"/>
      <c r="BC739" s="42"/>
      <c r="BD739" s="42"/>
      <c r="BE739" s="42"/>
      <c r="BF739" s="42"/>
      <c r="BG739" s="42"/>
      <c r="BH739" s="42"/>
      <c r="BI739" s="42"/>
      <c r="BJ739" s="42"/>
      <c r="BK739" s="42"/>
      <c r="BL739" s="42"/>
      <c r="BM739" s="42"/>
      <c r="BN739" s="42"/>
      <c r="BO739" s="42"/>
      <c r="BP739" s="42"/>
      <c r="BQ739" s="42"/>
      <c r="BR739" s="42"/>
      <c r="BS739" s="42"/>
      <c r="BT739" s="42"/>
      <c r="BU739" s="42"/>
      <c r="BV739" s="42"/>
      <c r="BW739" s="42"/>
      <c r="BX739" s="42"/>
      <c r="BY739" s="42"/>
      <c r="BZ739" s="42"/>
      <c r="CA739" s="42"/>
      <c r="CB739" s="42"/>
      <c r="CC739" s="42"/>
      <c r="CD739" s="42"/>
      <c r="CE739" s="42"/>
      <c r="CF739" s="42"/>
      <c r="CG739" s="42"/>
      <c r="CH739" s="42"/>
      <c r="CS739" s="29"/>
      <c r="CT739" s="29"/>
      <c r="CU739" s="29"/>
      <c r="CV739" s="522"/>
      <c r="CW739" s="522"/>
      <c r="CX739" s="211"/>
      <c r="CY739" s="211"/>
      <c r="CZ739" s="211"/>
      <c r="DA739" s="211"/>
      <c r="DB739" s="211"/>
      <c r="DC739" s="211"/>
      <c r="DD739" s="211"/>
      <c r="DE739" s="211"/>
      <c r="DF739" s="60"/>
      <c r="DG739" s="60"/>
      <c r="DH739" s="60"/>
      <c r="DI739" s="60"/>
      <c r="DJ739" s="60"/>
    </row>
    <row r="740" spans="3:114" s="25" customFormat="1">
      <c r="C740" s="24"/>
      <c r="D740" s="24"/>
      <c r="G740" s="57"/>
      <c r="H740" s="57"/>
      <c r="I740" s="57"/>
      <c r="J740" s="57"/>
      <c r="K740" s="57"/>
      <c r="L740" s="57"/>
      <c r="M740" s="57"/>
      <c r="N740" s="57"/>
      <c r="O740" s="57"/>
      <c r="P740" s="57"/>
      <c r="Q740" s="57"/>
      <c r="R740" s="57"/>
      <c r="S740" s="57"/>
      <c r="T740" s="559"/>
      <c r="U740" s="29"/>
      <c r="V740" s="29"/>
      <c r="AJ740" s="1215"/>
      <c r="AK740" s="1142"/>
      <c r="AM740" s="42"/>
      <c r="AN740" s="42"/>
      <c r="AO740" s="42"/>
      <c r="AP740" s="42"/>
      <c r="AQ740" s="42"/>
      <c r="AR740" s="42"/>
      <c r="AS740" s="42"/>
      <c r="AT740" s="42"/>
      <c r="AU740" s="42"/>
      <c r="AV740" s="42"/>
      <c r="AW740" s="42"/>
      <c r="AX740" s="42"/>
      <c r="AY740" s="42"/>
      <c r="AZ740" s="42"/>
      <c r="BA740" s="42"/>
      <c r="BB740" s="42"/>
      <c r="BC740" s="42"/>
      <c r="BD740" s="42"/>
      <c r="BE740" s="42"/>
      <c r="BF740" s="42"/>
      <c r="BG740" s="42"/>
      <c r="BH740" s="42"/>
      <c r="BI740" s="42"/>
      <c r="BJ740" s="42"/>
      <c r="BK740" s="42"/>
      <c r="BL740" s="42"/>
      <c r="BM740" s="42"/>
      <c r="BN740" s="42"/>
      <c r="BO740" s="42"/>
      <c r="BP740" s="42"/>
      <c r="BQ740" s="42"/>
      <c r="BR740" s="42"/>
      <c r="BS740" s="42"/>
      <c r="BT740" s="42"/>
      <c r="BU740" s="42"/>
      <c r="BV740" s="42"/>
      <c r="BW740" s="42"/>
      <c r="BX740" s="42"/>
      <c r="BY740" s="42"/>
      <c r="BZ740" s="42"/>
      <c r="CA740" s="42"/>
      <c r="CB740" s="42"/>
      <c r="CC740" s="42"/>
      <c r="CD740" s="42"/>
      <c r="CE740" s="42"/>
      <c r="CF740" s="42"/>
      <c r="CG740" s="42"/>
      <c r="CH740" s="42"/>
      <c r="CS740" s="29"/>
      <c r="CT740" s="29"/>
      <c r="CU740" s="29"/>
      <c r="CV740" s="522"/>
      <c r="CW740" s="522"/>
      <c r="CX740" s="211"/>
      <c r="CY740" s="211"/>
      <c r="CZ740" s="211"/>
      <c r="DA740" s="211"/>
      <c r="DB740" s="211"/>
      <c r="DC740" s="211"/>
      <c r="DD740" s="211"/>
      <c r="DE740" s="211"/>
      <c r="DF740" s="60"/>
      <c r="DG740" s="60"/>
      <c r="DH740" s="60"/>
      <c r="DI740" s="60"/>
      <c r="DJ740" s="60"/>
    </row>
    <row r="741" spans="3:114" s="25" customFormat="1">
      <c r="C741" s="24"/>
      <c r="D741" s="24"/>
      <c r="G741" s="57"/>
      <c r="H741" s="57"/>
      <c r="I741" s="57"/>
      <c r="J741" s="57"/>
      <c r="K741" s="57"/>
      <c r="L741" s="57"/>
      <c r="M741" s="57"/>
      <c r="N741" s="57"/>
      <c r="O741" s="57"/>
      <c r="P741" s="57"/>
      <c r="Q741" s="57"/>
      <c r="R741" s="57"/>
      <c r="S741" s="57"/>
      <c r="T741" s="559"/>
      <c r="U741" s="29"/>
      <c r="V741" s="29"/>
      <c r="AJ741" s="1215"/>
      <c r="AK741" s="1142"/>
      <c r="AM741" s="42"/>
      <c r="AN741" s="42"/>
      <c r="AO741" s="42"/>
      <c r="AP741" s="42"/>
      <c r="AQ741" s="42"/>
      <c r="AR741" s="42"/>
      <c r="AS741" s="42"/>
      <c r="AT741" s="42"/>
      <c r="AU741" s="42"/>
      <c r="AV741" s="42"/>
      <c r="AW741" s="42"/>
      <c r="AX741" s="42"/>
      <c r="AY741" s="42"/>
      <c r="AZ741" s="42"/>
      <c r="BA741" s="42"/>
      <c r="BB741" s="42"/>
      <c r="BC741" s="42"/>
      <c r="BD741" s="42"/>
      <c r="BE741" s="42"/>
      <c r="BF741" s="42"/>
      <c r="BG741" s="42"/>
      <c r="BH741" s="42"/>
      <c r="BI741" s="42"/>
      <c r="BJ741" s="42"/>
      <c r="BK741" s="42"/>
      <c r="BL741" s="42"/>
      <c r="BM741" s="42"/>
      <c r="BN741" s="42"/>
      <c r="BO741" s="42"/>
      <c r="BP741" s="42"/>
      <c r="BQ741" s="42"/>
      <c r="BR741" s="42"/>
      <c r="BS741" s="42"/>
      <c r="BT741" s="42"/>
      <c r="BU741" s="42"/>
      <c r="BV741" s="42"/>
      <c r="BW741" s="42"/>
      <c r="BX741" s="42"/>
      <c r="BY741" s="42"/>
      <c r="BZ741" s="42"/>
      <c r="CA741" s="42"/>
      <c r="CB741" s="42"/>
      <c r="CC741" s="42"/>
      <c r="CD741" s="42"/>
      <c r="CE741" s="42"/>
      <c r="CF741" s="42"/>
      <c r="CG741" s="42"/>
      <c r="CH741" s="42"/>
      <c r="CS741" s="29"/>
      <c r="CT741" s="29"/>
      <c r="CU741" s="29"/>
      <c r="CV741" s="522"/>
      <c r="CW741" s="522"/>
      <c r="CX741" s="211"/>
      <c r="CY741" s="211"/>
      <c r="CZ741" s="211"/>
      <c r="DA741" s="211"/>
      <c r="DB741" s="211"/>
      <c r="DC741" s="211"/>
      <c r="DD741" s="211"/>
      <c r="DE741" s="211"/>
      <c r="DF741" s="60"/>
      <c r="DG741" s="60"/>
      <c r="DH741" s="60"/>
      <c r="DI741" s="60"/>
      <c r="DJ741" s="60"/>
    </row>
    <row r="742" spans="3:114" s="25" customFormat="1">
      <c r="C742" s="24"/>
      <c r="D742" s="24"/>
      <c r="G742" s="57"/>
      <c r="H742" s="57"/>
      <c r="I742" s="57"/>
      <c r="J742" s="57"/>
      <c r="K742" s="57"/>
      <c r="L742" s="57"/>
      <c r="M742" s="57"/>
      <c r="N742" s="57"/>
      <c r="O742" s="57"/>
      <c r="P742" s="57"/>
      <c r="Q742" s="57"/>
      <c r="R742" s="57"/>
      <c r="S742" s="57"/>
      <c r="T742" s="559"/>
      <c r="U742" s="29"/>
      <c r="V742" s="29"/>
      <c r="AJ742" s="1215"/>
      <c r="AK742" s="1142"/>
      <c r="AM742" s="42"/>
      <c r="AN742" s="42"/>
      <c r="AO742" s="42"/>
      <c r="AP742" s="42"/>
      <c r="AQ742" s="42"/>
      <c r="AR742" s="42"/>
      <c r="AS742" s="42"/>
      <c r="AT742" s="42"/>
      <c r="AU742" s="42"/>
      <c r="AV742" s="42"/>
      <c r="AW742" s="42"/>
      <c r="AX742" s="42"/>
      <c r="AY742" s="42"/>
      <c r="AZ742" s="42"/>
      <c r="BA742" s="42"/>
      <c r="BB742" s="42"/>
      <c r="BC742" s="42"/>
      <c r="BD742" s="42"/>
      <c r="BE742" s="42"/>
      <c r="BF742" s="42"/>
      <c r="BG742" s="42"/>
      <c r="BH742" s="42"/>
      <c r="BI742" s="42"/>
      <c r="BJ742" s="42"/>
      <c r="BK742" s="42"/>
      <c r="BL742" s="42"/>
      <c r="BM742" s="42"/>
      <c r="BN742" s="42"/>
      <c r="BO742" s="42"/>
      <c r="BP742" s="42"/>
      <c r="BQ742" s="42"/>
      <c r="BR742" s="42"/>
      <c r="BS742" s="42"/>
      <c r="BT742" s="42"/>
      <c r="BU742" s="42"/>
      <c r="BV742" s="42"/>
      <c r="BW742" s="42"/>
      <c r="BX742" s="42"/>
      <c r="BY742" s="42"/>
      <c r="BZ742" s="42"/>
      <c r="CA742" s="42"/>
      <c r="CB742" s="42"/>
      <c r="CC742" s="42"/>
      <c r="CD742" s="42"/>
      <c r="CE742" s="42"/>
      <c r="CF742" s="42"/>
      <c r="CG742" s="42"/>
      <c r="CH742" s="42"/>
      <c r="CS742" s="29"/>
      <c r="CT742" s="29"/>
      <c r="CU742" s="29"/>
      <c r="CV742" s="522"/>
      <c r="CW742" s="522"/>
      <c r="CX742" s="211"/>
      <c r="CY742" s="211"/>
      <c r="CZ742" s="211"/>
      <c r="DA742" s="211"/>
      <c r="DB742" s="211"/>
      <c r="DC742" s="211"/>
      <c r="DD742" s="211"/>
      <c r="DE742" s="211"/>
      <c r="DF742" s="60"/>
      <c r="DG742" s="60"/>
      <c r="DH742" s="60"/>
      <c r="DI742" s="60"/>
      <c r="DJ742" s="60"/>
    </row>
    <row r="743" spans="3:114" s="25" customFormat="1">
      <c r="C743" s="24"/>
      <c r="D743" s="24"/>
      <c r="G743" s="57"/>
      <c r="H743" s="57"/>
      <c r="I743" s="57"/>
      <c r="J743" s="57"/>
      <c r="K743" s="57"/>
      <c r="L743" s="57"/>
      <c r="M743" s="57"/>
      <c r="N743" s="57"/>
      <c r="O743" s="57"/>
      <c r="P743" s="57"/>
      <c r="Q743" s="57"/>
      <c r="R743" s="57"/>
      <c r="S743" s="57"/>
      <c r="T743" s="559"/>
      <c r="U743" s="29"/>
      <c r="V743" s="29"/>
      <c r="AJ743" s="1215"/>
      <c r="AK743" s="1142"/>
      <c r="AM743" s="42"/>
      <c r="AN743" s="42"/>
      <c r="AO743" s="42"/>
      <c r="AP743" s="42"/>
      <c r="AQ743" s="42"/>
      <c r="AR743" s="42"/>
      <c r="AS743" s="42"/>
      <c r="AT743" s="42"/>
      <c r="AU743" s="42"/>
      <c r="AV743" s="42"/>
      <c r="AW743" s="42"/>
      <c r="AX743" s="42"/>
      <c r="AY743" s="42"/>
      <c r="AZ743" s="42"/>
      <c r="BA743" s="42"/>
      <c r="BB743" s="42"/>
      <c r="BC743" s="42"/>
      <c r="BD743" s="42"/>
      <c r="BE743" s="42"/>
      <c r="BF743" s="42"/>
      <c r="BG743" s="42"/>
      <c r="BH743" s="42"/>
      <c r="BI743" s="42"/>
      <c r="BJ743" s="42"/>
      <c r="BK743" s="42"/>
      <c r="BL743" s="42"/>
      <c r="BM743" s="42"/>
      <c r="BN743" s="42"/>
      <c r="BO743" s="42"/>
      <c r="BP743" s="42"/>
      <c r="BQ743" s="42"/>
      <c r="BR743" s="42"/>
      <c r="BS743" s="42"/>
      <c r="BT743" s="42"/>
      <c r="BU743" s="42"/>
      <c r="BV743" s="42"/>
      <c r="BW743" s="42"/>
      <c r="BX743" s="42"/>
      <c r="BY743" s="42"/>
      <c r="BZ743" s="42"/>
      <c r="CA743" s="42"/>
      <c r="CB743" s="42"/>
      <c r="CC743" s="42"/>
      <c r="CD743" s="42"/>
      <c r="CE743" s="42"/>
      <c r="CF743" s="42"/>
      <c r="CG743" s="42"/>
      <c r="CH743" s="42"/>
      <c r="CS743" s="29"/>
      <c r="CT743" s="29"/>
      <c r="CU743" s="29"/>
      <c r="CV743" s="522"/>
      <c r="CW743" s="522"/>
      <c r="CX743" s="211"/>
      <c r="CY743" s="211"/>
      <c r="CZ743" s="211"/>
      <c r="DA743" s="211"/>
      <c r="DB743" s="211"/>
      <c r="DC743" s="211"/>
      <c r="DD743" s="211"/>
      <c r="DE743" s="211"/>
      <c r="DF743" s="60"/>
      <c r="DG743" s="60"/>
      <c r="DH743" s="60"/>
      <c r="DI743" s="60"/>
      <c r="DJ743" s="60"/>
    </row>
    <row r="744" spans="3:114" s="25" customFormat="1">
      <c r="C744" s="24"/>
      <c r="D744" s="24"/>
      <c r="G744" s="57"/>
      <c r="H744" s="57"/>
      <c r="I744" s="57"/>
      <c r="J744" s="57"/>
      <c r="K744" s="57"/>
      <c r="L744" s="57"/>
      <c r="M744" s="57"/>
      <c r="N744" s="57"/>
      <c r="O744" s="57"/>
      <c r="P744" s="57"/>
      <c r="Q744" s="57"/>
      <c r="R744" s="57"/>
      <c r="S744" s="57"/>
      <c r="T744" s="559"/>
      <c r="U744" s="29"/>
      <c r="V744" s="29"/>
      <c r="AJ744" s="1215"/>
      <c r="AK744" s="1142"/>
      <c r="AM744" s="42"/>
      <c r="AN744" s="42"/>
      <c r="AO744" s="42"/>
      <c r="AP744" s="42"/>
      <c r="AQ744" s="42"/>
      <c r="AR744" s="42"/>
      <c r="AS744" s="42"/>
      <c r="AT744" s="42"/>
      <c r="AU744" s="42"/>
      <c r="AV744" s="42"/>
      <c r="AW744" s="42"/>
      <c r="AX744" s="42"/>
      <c r="AY744" s="42"/>
      <c r="AZ744" s="42"/>
      <c r="BA744" s="42"/>
      <c r="BB744" s="42"/>
      <c r="BC744" s="42"/>
      <c r="BD744" s="42"/>
      <c r="BE744" s="42"/>
      <c r="BF744" s="42"/>
      <c r="BG744" s="42"/>
      <c r="BH744" s="42"/>
      <c r="BI744" s="42"/>
      <c r="BJ744" s="42"/>
      <c r="BK744" s="42"/>
      <c r="BL744" s="42"/>
      <c r="BM744" s="42"/>
      <c r="BN744" s="42"/>
      <c r="BO744" s="42"/>
      <c r="BP744" s="42"/>
      <c r="BQ744" s="42"/>
      <c r="BR744" s="42"/>
      <c r="BS744" s="42"/>
      <c r="BT744" s="42"/>
      <c r="BU744" s="42"/>
      <c r="BV744" s="42"/>
      <c r="BW744" s="42"/>
      <c r="BX744" s="42"/>
      <c r="BY744" s="42"/>
      <c r="BZ744" s="42"/>
      <c r="CA744" s="42"/>
      <c r="CB744" s="42"/>
      <c r="CC744" s="42"/>
      <c r="CD744" s="42"/>
      <c r="CE744" s="42"/>
      <c r="CF744" s="42"/>
      <c r="CG744" s="42"/>
      <c r="CH744" s="42"/>
      <c r="CS744" s="29"/>
      <c r="CT744" s="29"/>
      <c r="CU744" s="29"/>
      <c r="CV744" s="522"/>
      <c r="CW744" s="522"/>
      <c r="CX744" s="211"/>
      <c r="CY744" s="211"/>
      <c r="CZ744" s="211"/>
      <c r="DA744" s="211"/>
      <c r="DB744" s="211"/>
      <c r="DC744" s="211"/>
      <c r="DD744" s="211"/>
      <c r="DE744" s="211"/>
      <c r="DF744" s="60"/>
      <c r="DG744" s="60"/>
      <c r="DH744" s="60"/>
      <c r="DI744" s="60"/>
      <c r="DJ744" s="60"/>
    </row>
    <row r="745" spans="3:114" s="25" customFormat="1">
      <c r="C745" s="24"/>
      <c r="D745" s="24"/>
      <c r="G745" s="57"/>
      <c r="H745" s="57"/>
      <c r="I745" s="57"/>
      <c r="J745" s="57"/>
      <c r="K745" s="57"/>
      <c r="L745" s="57"/>
      <c r="M745" s="57"/>
      <c r="N745" s="57"/>
      <c r="O745" s="57"/>
      <c r="P745" s="57"/>
      <c r="Q745" s="57"/>
      <c r="R745" s="57"/>
      <c r="S745" s="57"/>
      <c r="T745" s="559"/>
      <c r="U745" s="29"/>
      <c r="V745" s="29"/>
      <c r="AJ745" s="1215"/>
      <c r="AK745" s="1142"/>
      <c r="AM745" s="42"/>
      <c r="AN745" s="42"/>
      <c r="AO745" s="42"/>
      <c r="AP745" s="42"/>
      <c r="AQ745" s="42"/>
      <c r="AR745" s="42"/>
      <c r="AS745" s="42"/>
      <c r="AT745" s="42"/>
      <c r="AU745" s="42"/>
      <c r="AV745" s="42"/>
      <c r="AW745" s="42"/>
      <c r="AX745" s="42"/>
      <c r="AY745" s="42"/>
      <c r="AZ745" s="42"/>
      <c r="BA745" s="42"/>
      <c r="BB745" s="42"/>
      <c r="BC745" s="42"/>
      <c r="BD745" s="42"/>
      <c r="BE745" s="42"/>
      <c r="BF745" s="42"/>
      <c r="BG745" s="42"/>
      <c r="BH745" s="42"/>
      <c r="BI745" s="42"/>
      <c r="BJ745" s="42"/>
      <c r="BK745" s="42"/>
      <c r="BL745" s="42"/>
      <c r="BM745" s="42"/>
      <c r="BN745" s="42"/>
      <c r="BO745" s="42"/>
      <c r="BP745" s="42"/>
      <c r="BQ745" s="42"/>
      <c r="BR745" s="42"/>
      <c r="BS745" s="42"/>
      <c r="BT745" s="42"/>
      <c r="BU745" s="42"/>
      <c r="BV745" s="42"/>
      <c r="BW745" s="42"/>
      <c r="BX745" s="42"/>
      <c r="BY745" s="42"/>
      <c r="BZ745" s="42"/>
      <c r="CA745" s="42"/>
      <c r="CB745" s="42"/>
      <c r="CC745" s="42"/>
      <c r="CD745" s="42"/>
      <c r="CE745" s="42"/>
      <c r="CF745" s="42"/>
      <c r="CG745" s="42"/>
      <c r="CH745" s="42"/>
      <c r="CS745" s="29"/>
      <c r="CT745" s="29"/>
      <c r="CU745" s="29"/>
      <c r="CV745" s="522"/>
      <c r="CW745" s="522"/>
      <c r="CX745" s="211"/>
      <c r="CY745" s="211"/>
      <c r="CZ745" s="211"/>
      <c r="DA745" s="211"/>
      <c r="DB745" s="211"/>
      <c r="DC745" s="211"/>
      <c r="DD745" s="211"/>
      <c r="DE745" s="211"/>
      <c r="DF745" s="60"/>
      <c r="DG745" s="60"/>
      <c r="DH745" s="60"/>
      <c r="DI745" s="60"/>
      <c r="DJ745" s="60"/>
    </row>
    <row r="746" spans="3:114" s="25" customFormat="1">
      <c r="C746" s="24"/>
      <c r="D746" s="24"/>
      <c r="G746" s="57"/>
      <c r="H746" s="57"/>
      <c r="I746" s="57"/>
      <c r="J746" s="57"/>
      <c r="K746" s="57"/>
      <c r="L746" s="57"/>
      <c r="M746" s="57"/>
      <c r="N746" s="57"/>
      <c r="O746" s="57"/>
      <c r="P746" s="57"/>
      <c r="Q746" s="57"/>
      <c r="R746" s="57"/>
      <c r="S746" s="57"/>
      <c r="T746" s="559"/>
      <c r="U746" s="29"/>
      <c r="V746" s="29"/>
      <c r="AJ746" s="1215"/>
      <c r="AK746" s="1142"/>
      <c r="AM746" s="42"/>
      <c r="AN746" s="42"/>
      <c r="AO746" s="42"/>
      <c r="AP746" s="42"/>
      <c r="AQ746" s="42"/>
      <c r="AR746" s="42"/>
      <c r="AS746" s="42"/>
      <c r="AT746" s="42"/>
      <c r="AU746" s="42"/>
      <c r="AV746" s="42"/>
      <c r="AW746" s="42"/>
      <c r="AX746" s="42"/>
      <c r="AY746" s="42"/>
      <c r="AZ746" s="42"/>
      <c r="BA746" s="42"/>
      <c r="BB746" s="42"/>
      <c r="BC746" s="42"/>
      <c r="BD746" s="42"/>
      <c r="BE746" s="42"/>
      <c r="BF746" s="42"/>
      <c r="BG746" s="42"/>
      <c r="BH746" s="42"/>
      <c r="BI746" s="42"/>
      <c r="BJ746" s="42"/>
      <c r="BK746" s="42"/>
      <c r="BL746" s="42"/>
      <c r="BM746" s="42"/>
      <c r="BN746" s="42"/>
      <c r="BO746" s="42"/>
      <c r="BP746" s="42"/>
      <c r="BQ746" s="42"/>
      <c r="BR746" s="42"/>
      <c r="BS746" s="42"/>
      <c r="BT746" s="42"/>
      <c r="BU746" s="42"/>
      <c r="BV746" s="42"/>
      <c r="BW746" s="42"/>
      <c r="BX746" s="42"/>
      <c r="BY746" s="42"/>
      <c r="BZ746" s="42"/>
      <c r="CA746" s="42"/>
      <c r="CB746" s="42"/>
      <c r="CC746" s="42"/>
      <c r="CD746" s="42"/>
      <c r="CE746" s="42"/>
      <c r="CF746" s="42"/>
      <c r="CG746" s="42"/>
      <c r="CH746" s="42"/>
      <c r="CS746" s="29"/>
      <c r="CT746" s="29"/>
      <c r="CU746" s="29"/>
      <c r="CV746" s="522"/>
      <c r="CW746" s="522"/>
      <c r="CX746" s="211"/>
      <c r="CY746" s="211"/>
      <c r="CZ746" s="211"/>
      <c r="DA746" s="211"/>
      <c r="DB746" s="211"/>
      <c r="DC746" s="211"/>
      <c r="DD746" s="211"/>
      <c r="DE746" s="211"/>
      <c r="DF746" s="60"/>
      <c r="DG746" s="60"/>
      <c r="DH746" s="60"/>
      <c r="DI746" s="60"/>
      <c r="DJ746" s="60"/>
    </row>
    <row r="747" spans="3:114" s="25" customFormat="1">
      <c r="C747" s="24"/>
      <c r="D747" s="24"/>
      <c r="G747" s="57"/>
      <c r="H747" s="57"/>
      <c r="I747" s="57"/>
      <c r="J747" s="57"/>
      <c r="K747" s="57"/>
      <c r="L747" s="57"/>
      <c r="M747" s="57"/>
      <c r="N747" s="57"/>
      <c r="O747" s="57"/>
      <c r="P747" s="57"/>
      <c r="Q747" s="57"/>
      <c r="R747" s="57"/>
      <c r="S747" s="57"/>
      <c r="T747" s="559"/>
      <c r="U747" s="29"/>
      <c r="V747" s="29"/>
      <c r="AJ747" s="1215"/>
      <c r="AK747" s="1142"/>
      <c r="AM747" s="42"/>
      <c r="AN747" s="42"/>
      <c r="AO747" s="42"/>
      <c r="AP747" s="42"/>
      <c r="AQ747" s="42"/>
      <c r="AR747" s="42"/>
      <c r="AS747" s="42"/>
      <c r="AT747" s="42"/>
      <c r="AU747" s="42"/>
      <c r="AV747" s="42"/>
      <c r="AW747" s="42"/>
      <c r="AX747" s="42"/>
      <c r="AY747" s="42"/>
      <c r="AZ747" s="42"/>
      <c r="BA747" s="42"/>
      <c r="BB747" s="42"/>
      <c r="BC747" s="42"/>
      <c r="BD747" s="42"/>
      <c r="BE747" s="42"/>
      <c r="BF747" s="42"/>
      <c r="BG747" s="42"/>
      <c r="BH747" s="42"/>
      <c r="BI747" s="42"/>
      <c r="BJ747" s="42"/>
      <c r="BK747" s="42"/>
      <c r="BL747" s="42"/>
      <c r="BM747" s="42"/>
      <c r="BN747" s="42"/>
      <c r="BO747" s="42"/>
      <c r="BP747" s="42"/>
      <c r="BQ747" s="42"/>
      <c r="BR747" s="42"/>
      <c r="BS747" s="42"/>
      <c r="BT747" s="42"/>
      <c r="BU747" s="42"/>
      <c r="BV747" s="42"/>
      <c r="BW747" s="42"/>
      <c r="BX747" s="42"/>
      <c r="BY747" s="42"/>
      <c r="BZ747" s="42"/>
      <c r="CA747" s="42"/>
      <c r="CB747" s="42"/>
      <c r="CC747" s="42"/>
      <c r="CD747" s="42"/>
      <c r="CE747" s="42"/>
      <c r="CF747" s="42"/>
      <c r="CG747" s="42"/>
      <c r="CH747" s="42"/>
      <c r="CS747" s="29"/>
      <c r="CT747" s="29"/>
      <c r="CU747" s="29"/>
      <c r="CV747" s="522"/>
      <c r="CW747" s="522"/>
      <c r="CX747" s="211"/>
      <c r="CY747" s="211"/>
      <c r="CZ747" s="211"/>
      <c r="DA747" s="211"/>
      <c r="DB747" s="211"/>
      <c r="DC747" s="211"/>
      <c r="DD747" s="211"/>
      <c r="DE747" s="211"/>
      <c r="DF747" s="60"/>
      <c r="DG747" s="60"/>
      <c r="DH747" s="60"/>
      <c r="DI747" s="60"/>
      <c r="DJ747" s="60"/>
    </row>
    <row r="748" spans="3:114" s="25" customFormat="1">
      <c r="C748" s="24"/>
      <c r="D748" s="24"/>
      <c r="G748" s="57"/>
      <c r="H748" s="57"/>
      <c r="I748" s="57"/>
      <c r="J748" s="57"/>
      <c r="K748" s="57"/>
      <c r="L748" s="57"/>
      <c r="M748" s="57"/>
      <c r="N748" s="57"/>
      <c r="O748" s="57"/>
      <c r="P748" s="57"/>
      <c r="Q748" s="57"/>
      <c r="R748" s="57"/>
      <c r="S748" s="57"/>
      <c r="T748" s="559"/>
      <c r="U748" s="29"/>
      <c r="V748" s="29"/>
      <c r="AJ748" s="1215"/>
      <c r="AK748" s="1142"/>
      <c r="AM748" s="42"/>
      <c r="AN748" s="42"/>
      <c r="AO748" s="42"/>
      <c r="AP748" s="42"/>
      <c r="AQ748" s="42"/>
      <c r="AR748" s="42"/>
      <c r="AS748" s="42"/>
      <c r="AT748" s="42"/>
      <c r="AU748" s="42"/>
      <c r="AV748" s="42"/>
      <c r="AW748" s="42"/>
      <c r="AX748" s="42"/>
      <c r="AY748" s="42"/>
      <c r="AZ748" s="42"/>
      <c r="BA748" s="42"/>
      <c r="BB748" s="42"/>
      <c r="BC748" s="42"/>
      <c r="BD748" s="42"/>
      <c r="BE748" s="42"/>
      <c r="BF748" s="42"/>
      <c r="BG748" s="42"/>
      <c r="BH748" s="42"/>
      <c r="BI748" s="42"/>
      <c r="BJ748" s="42"/>
      <c r="BK748" s="42"/>
      <c r="BL748" s="42"/>
      <c r="BM748" s="42"/>
      <c r="BN748" s="42"/>
      <c r="BO748" s="42"/>
      <c r="BP748" s="42"/>
      <c r="BQ748" s="42"/>
      <c r="BR748" s="42"/>
      <c r="BS748" s="42"/>
      <c r="BT748" s="42"/>
      <c r="BU748" s="42"/>
      <c r="BV748" s="42"/>
      <c r="BW748" s="42"/>
      <c r="BX748" s="42"/>
      <c r="BY748" s="42"/>
      <c r="BZ748" s="42"/>
      <c r="CA748" s="42"/>
      <c r="CB748" s="42"/>
      <c r="CC748" s="42"/>
      <c r="CD748" s="42"/>
      <c r="CE748" s="42"/>
      <c r="CF748" s="42"/>
      <c r="CG748" s="42"/>
      <c r="CH748" s="42"/>
      <c r="CS748" s="29"/>
      <c r="CT748" s="29"/>
      <c r="CU748" s="29"/>
      <c r="CV748" s="522"/>
      <c r="CW748" s="522"/>
      <c r="CX748" s="211"/>
      <c r="CY748" s="211"/>
      <c r="CZ748" s="211"/>
      <c r="DA748" s="211"/>
      <c r="DB748" s="211"/>
      <c r="DC748" s="211"/>
      <c r="DD748" s="211"/>
      <c r="DE748" s="211"/>
      <c r="DF748" s="60"/>
      <c r="DG748" s="60"/>
      <c r="DH748" s="60"/>
      <c r="DI748" s="60"/>
      <c r="DJ748" s="60"/>
    </row>
    <row r="749" spans="3:114" s="25" customFormat="1">
      <c r="C749" s="24"/>
      <c r="D749" s="24"/>
      <c r="G749" s="57"/>
      <c r="H749" s="57"/>
      <c r="I749" s="57"/>
      <c r="J749" s="57"/>
      <c r="K749" s="57"/>
      <c r="L749" s="57"/>
      <c r="M749" s="57"/>
      <c r="N749" s="57"/>
      <c r="O749" s="57"/>
      <c r="P749" s="57"/>
      <c r="Q749" s="57"/>
      <c r="R749" s="57"/>
      <c r="S749" s="57"/>
      <c r="T749" s="559"/>
      <c r="U749" s="29"/>
      <c r="V749" s="29"/>
      <c r="AJ749" s="1215"/>
      <c r="AK749" s="1142"/>
      <c r="AM749" s="42"/>
      <c r="AN749" s="42"/>
      <c r="AO749" s="42"/>
      <c r="AP749" s="42"/>
      <c r="AQ749" s="42"/>
      <c r="AR749" s="42"/>
      <c r="AS749" s="42"/>
      <c r="AT749" s="42"/>
      <c r="AU749" s="42"/>
      <c r="AV749" s="42"/>
      <c r="AW749" s="42"/>
      <c r="AX749" s="42"/>
      <c r="AY749" s="42"/>
      <c r="AZ749" s="42"/>
      <c r="BA749" s="42"/>
      <c r="BB749" s="42"/>
      <c r="BC749" s="42"/>
      <c r="BD749" s="42"/>
      <c r="BE749" s="42"/>
      <c r="BF749" s="42"/>
      <c r="BG749" s="42"/>
      <c r="BH749" s="42"/>
      <c r="BI749" s="42"/>
      <c r="BJ749" s="42"/>
      <c r="BK749" s="42"/>
      <c r="BL749" s="42"/>
      <c r="BM749" s="42"/>
      <c r="BN749" s="42"/>
      <c r="BO749" s="42"/>
      <c r="BP749" s="42"/>
      <c r="BQ749" s="42"/>
      <c r="BR749" s="42"/>
      <c r="BS749" s="42"/>
      <c r="BT749" s="42"/>
      <c r="BU749" s="42"/>
      <c r="BV749" s="42"/>
      <c r="BW749" s="42"/>
      <c r="BX749" s="42"/>
      <c r="BY749" s="42"/>
      <c r="BZ749" s="42"/>
      <c r="CA749" s="42"/>
      <c r="CB749" s="42"/>
      <c r="CC749" s="42"/>
      <c r="CD749" s="42"/>
      <c r="CE749" s="42"/>
      <c r="CF749" s="42"/>
      <c r="CG749" s="42"/>
      <c r="CH749" s="42"/>
      <c r="CS749" s="29"/>
      <c r="CT749" s="29"/>
      <c r="CU749" s="29"/>
      <c r="CV749" s="522"/>
      <c r="CW749" s="522"/>
      <c r="CX749" s="211"/>
      <c r="CY749" s="211"/>
      <c r="CZ749" s="211"/>
      <c r="DA749" s="211"/>
      <c r="DB749" s="211"/>
      <c r="DC749" s="211"/>
      <c r="DD749" s="211"/>
      <c r="DE749" s="211"/>
      <c r="DF749" s="60"/>
      <c r="DG749" s="60"/>
      <c r="DH749" s="60"/>
      <c r="DI749" s="60"/>
      <c r="DJ749" s="60"/>
    </row>
    <row r="750" spans="3:114" s="25" customFormat="1">
      <c r="C750" s="24"/>
      <c r="D750" s="24"/>
      <c r="G750" s="57"/>
      <c r="H750" s="57"/>
      <c r="I750" s="57"/>
      <c r="J750" s="57"/>
      <c r="K750" s="57"/>
      <c r="L750" s="57"/>
      <c r="M750" s="57"/>
      <c r="N750" s="57"/>
      <c r="O750" s="57"/>
      <c r="P750" s="57"/>
      <c r="Q750" s="57"/>
      <c r="R750" s="57"/>
      <c r="S750" s="57"/>
      <c r="T750" s="559"/>
      <c r="U750" s="29"/>
      <c r="V750" s="29"/>
      <c r="AJ750" s="1215"/>
      <c r="AK750" s="1142"/>
      <c r="AM750" s="42"/>
      <c r="AN750" s="42"/>
      <c r="AO750" s="42"/>
      <c r="AP750" s="42"/>
      <c r="AQ750" s="42"/>
      <c r="AR750" s="42"/>
      <c r="AS750" s="42"/>
      <c r="AT750" s="42"/>
      <c r="AU750" s="42"/>
      <c r="AV750" s="42"/>
      <c r="AW750" s="42"/>
      <c r="AX750" s="42"/>
      <c r="AY750" s="42"/>
      <c r="AZ750" s="42"/>
      <c r="BA750" s="42"/>
      <c r="BB750" s="42"/>
      <c r="BC750" s="42"/>
      <c r="BD750" s="42"/>
      <c r="BE750" s="42"/>
      <c r="BF750" s="42"/>
      <c r="BG750" s="42"/>
      <c r="BH750" s="42"/>
      <c r="BI750" s="42"/>
      <c r="BJ750" s="42"/>
      <c r="BK750" s="42"/>
      <c r="BL750" s="42"/>
      <c r="BM750" s="42"/>
      <c r="BN750" s="42"/>
      <c r="BO750" s="42"/>
      <c r="BP750" s="42"/>
      <c r="BQ750" s="42"/>
      <c r="BR750" s="42"/>
      <c r="BS750" s="42"/>
      <c r="BT750" s="42"/>
      <c r="BU750" s="42"/>
      <c r="BV750" s="42"/>
      <c r="BW750" s="42"/>
      <c r="BX750" s="42"/>
      <c r="BY750" s="42"/>
      <c r="BZ750" s="42"/>
      <c r="CA750" s="42"/>
      <c r="CB750" s="42"/>
      <c r="CC750" s="42"/>
      <c r="CD750" s="42"/>
      <c r="CE750" s="42"/>
      <c r="CF750" s="42"/>
      <c r="CG750" s="42"/>
      <c r="CH750" s="42"/>
      <c r="CS750" s="29"/>
      <c r="CT750" s="29"/>
      <c r="CU750" s="29"/>
      <c r="CV750" s="522"/>
      <c r="CW750" s="522"/>
      <c r="CX750" s="211"/>
      <c r="CY750" s="211"/>
      <c r="CZ750" s="211"/>
      <c r="DA750" s="211"/>
      <c r="DB750" s="211"/>
      <c r="DC750" s="211"/>
      <c r="DD750" s="211"/>
      <c r="DE750" s="211"/>
      <c r="DF750" s="60"/>
      <c r="DG750" s="60"/>
      <c r="DH750" s="60"/>
      <c r="DI750" s="60"/>
      <c r="DJ750" s="60"/>
    </row>
    <row r="751" spans="3:114" s="25" customFormat="1">
      <c r="C751" s="24"/>
      <c r="D751" s="24"/>
      <c r="G751" s="57"/>
      <c r="H751" s="57"/>
      <c r="I751" s="57"/>
      <c r="J751" s="57"/>
      <c r="K751" s="57"/>
      <c r="L751" s="57"/>
      <c r="M751" s="57"/>
      <c r="N751" s="57"/>
      <c r="O751" s="57"/>
      <c r="P751" s="57"/>
      <c r="Q751" s="57"/>
      <c r="R751" s="57"/>
      <c r="S751" s="57"/>
      <c r="T751" s="559"/>
      <c r="U751" s="29"/>
      <c r="V751" s="29"/>
      <c r="AJ751" s="1215"/>
      <c r="AK751" s="1142"/>
      <c r="AM751" s="42"/>
      <c r="AN751" s="42"/>
      <c r="AO751" s="42"/>
      <c r="AP751" s="42"/>
      <c r="AQ751" s="42"/>
      <c r="AR751" s="42"/>
      <c r="AS751" s="42"/>
      <c r="AT751" s="42"/>
      <c r="AU751" s="42"/>
      <c r="AV751" s="42"/>
      <c r="AW751" s="42"/>
      <c r="AX751" s="42"/>
      <c r="AY751" s="42"/>
      <c r="AZ751" s="42"/>
      <c r="BA751" s="42"/>
      <c r="BB751" s="42"/>
      <c r="BC751" s="42"/>
      <c r="BD751" s="42"/>
      <c r="BE751" s="42"/>
      <c r="BF751" s="42"/>
      <c r="BG751" s="42"/>
      <c r="BH751" s="42"/>
      <c r="BI751" s="42"/>
      <c r="BJ751" s="42"/>
      <c r="BK751" s="42"/>
      <c r="BL751" s="42"/>
      <c r="BM751" s="42"/>
      <c r="BN751" s="42"/>
      <c r="BO751" s="42"/>
      <c r="BP751" s="42"/>
      <c r="BQ751" s="42"/>
      <c r="BR751" s="42"/>
      <c r="BS751" s="42"/>
      <c r="BT751" s="42"/>
      <c r="BU751" s="42"/>
      <c r="BV751" s="42"/>
      <c r="BW751" s="42"/>
      <c r="BX751" s="42"/>
      <c r="BY751" s="42"/>
      <c r="BZ751" s="42"/>
      <c r="CA751" s="42"/>
      <c r="CB751" s="42"/>
      <c r="CC751" s="42"/>
      <c r="CD751" s="42"/>
      <c r="CE751" s="42"/>
      <c r="CF751" s="42"/>
      <c r="CG751" s="42"/>
      <c r="CH751" s="42"/>
      <c r="CS751" s="29"/>
      <c r="CT751" s="29"/>
      <c r="CU751" s="29"/>
      <c r="CV751" s="522"/>
      <c r="CW751" s="522"/>
      <c r="CX751" s="211"/>
      <c r="CY751" s="211"/>
      <c r="CZ751" s="211"/>
      <c r="DA751" s="211"/>
      <c r="DB751" s="211"/>
      <c r="DC751" s="211"/>
      <c r="DD751" s="211"/>
      <c r="DE751" s="211"/>
      <c r="DF751" s="60"/>
      <c r="DG751" s="60"/>
      <c r="DH751" s="60"/>
      <c r="DI751" s="60"/>
      <c r="DJ751" s="60"/>
    </row>
    <row r="752" spans="3:114" s="25" customFormat="1">
      <c r="C752" s="24"/>
      <c r="D752" s="24"/>
      <c r="G752" s="57"/>
      <c r="H752" s="57"/>
      <c r="I752" s="57"/>
      <c r="J752" s="57"/>
      <c r="K752" s="57"/>
      <c r="L752" s="57"/>
      <c r="M752" s="57"/>
      <c r="N752" s="57"/>
      <c r="O752" s="57"/>
      <c r="P752" s="57"/>
      <c r="Q752" s="57"/>
      <c r="R752" s="57"/>
      <c r="S752" s="57"/>
      <c r="T752" s="559"/>
      <c r="U752" s="29"/>
      <c r="V752" s="29"/>
      <c r="AJ752" s="1215"/>
      <c r="AK752" s="1142"/>
      <c r="AM752" s="42"/>
      <c r="AN752" s="42"/>
      <c r="AO752" s="42"/>
      <c r="AP752" s="42"/>
      <c r="AQ752" s="42"/>
      <c r="AR752" s="42"/>
      <c r="AS752" s="42"/>
      <c r="AT752" s="42"/>
      <c r="AU752" s="42"/>
      <c r="AV752" s="42"/>
      <c r="AW752" s="42"/>
      <c r="AX752" s="42"/>
      <c r="AY752" s="42"/>
      <c r="AZ752" s="42"/>
      <c r="BA752" s="42"/>
      <c r="BB752" s="42"/>
      <c r="BC752" s="42"/>
      <c r="BD752" s="42"/>
      <c r="BE752" s="42"/>
      <c r="BF752" s="42"/>
      <c r="BG752" s="42"/>
      <c r="BH752" s="42"/>
      <c r="BI752" s="42"/>
      <c r="BJ752" s="42"/>
      <c r="BK752" s="42"/>
      <c r="BL752" s="42"/>
      <c r="BM752" s="42"/>
      <c r="BN752" s="42"/>
      <c r="BO752" s="42"/>
      <c r="BP752" s="42"/>
      <c r="BQ752" s="42"/>
      <c r="BR752" s="42"/>
      <c r="BS752" s="42"/>
      <c r="BT752" s="42"/>
      <c r="BU752" s="42"/>
      <c r="BV752" s="42"/>
      <c r="BW752" s="42"/>
      <c r="BX752" s="42"/>
      <c r="BY752" s="42"/>
      <c r="BZ752" s="42"/>
      <c r="CA752" s="42"/>
      <c r="CB752" s="42"/>
      <c r="CC752" s="42"/>
      <c r="CD752" s="42"/>
      <c r="CE752" s="42"/>
      <c r="CF752" s="42"/>
      <c r="CG752" s="42"/>
      <c r="CH752" s="42"/>
      <c r="CS752" s="29"/>
      <c r="CT752" s="29"/>
      <c r="CU752" s="29"/>
      <c r="CV752" s="522"/>
      <c r="CW752" s="522"/>
      <c r="CX752" s="211"/>
      <c r="CY752" s="211"/>
      <c r="CZ752" s="211"/>
      <c r="DA752" s="211"/>
      <c r="DB752" s="211"/>
      <c r="DC752" s="211"/>
      <c r="DD752" s="211"/>
      <c r="DE752" s="211"/>
      <c r="DF752" s="60"/>
      <c r="DG752" s="60"/>
      <c r="DH752" s="60"/>
      <c r="DI752" s="60"/>
      <c r="DJ752" s="60"/>
    </row>
    <row r="753" spans="3:114" s="25" customFormat="1">
      <c r="C753" s="24"/>
      <c r="D753" s="24"/>
      <c r="G753" s="57"/>
      <c r="H753" s="57"/>
      <c r="I753" s="57"/>
      <c r="J753" s="57"/>
      <c r="K753" s="57"/>
      <c r="L753" s="57"/>
      <c r="M753" s="57"/>
      <c r="N753" s="57"/>
      <c r="O753" s="57"/>
      <c r="P753" s="57"/>
      <c r="Q753" s="57"/>
      <c r="R753" s="57"/>
      <c r="S753" s="57"/>
      <c r="T753" s="559"/>
      <c r="U753" s="29"/>
      <c r="V753" s="29"/>
      <c r="AJ753" s="1215"/>
      <c r="AK753" s="1142"/>
      <c r="AM753" s="42"/>
      <c r="AN753" s="42"/>
      <c r="AO753" s="42"/>
      <c r="AP753" s="42"/>
      <c r="AQ753" s="42"/>
      <c r="AR753" s="42"/>
      <c r="AS753" s="42"/>
      <c r="AT753" s="42"/>
      <c r="AU753" s="42"/>
      <c r="AV753" s="42"/>
      <c r="AW753" s="42"/>
      <c r="AX753" s="42"/>
      <c r="AY753" s="42"/>
      <c r="AZ753" s="42"/>
      <c r="BA753" s="42"/>
      <c r="BB753" s="42"/>
      <c r="BC753" s="42"/>
      <c r="BD753" s="42"/>
      <c r="BE753" s="42"/>
      <c r="BF753" s="42"/>
      <c r="BG753" s="42"/>
      <c r="BH753" s="42"/>
      <c r="BI753" s="42"/>
      <c r="BJ753" s="42"/>
      <c r="BK753" s="42"/>
      <c r="BL753" s="42"/>
      <c r="BM753" s="42"/>
      <c r="BN753" s="42"/>
      <c r="BO753" s="42"/>
      <c r="BP753" s="42"/>
      <c r="BQ753" s="42"/>
      <c r="BR753" s="42"/>
      <c r="BS753" s="42"/>
      <c r="BT753" s="42"/>
      <c r="BU753" s="42"/>
      <c r="BV753" s="42"/>
      <c r="BW753" s="42"/>
      <c r="BX753" s="42"/>
      <c r="BY753" s="42"/>
      <c r="BZ753" s="42"/>
      <c r="CA753" s="42"/>
      <c r="CB753" s="42"/>
      <c r="CC753" s="42"/>
      <c r="CD753" s="42"/>
      <c r="CE753" s="42"/>
      <c r="CF753" s="42"/>
      <c r="CG753" s="42"/>
      <c r="CH753" s="42"/>
      <c r="CS753" s="29"/>
      <c r="CT753" s="29"/>
      <c r="CU753" s="29"/>
      <c r="CV753" s="522"/>
      <c r="CW753" s="522"/>
      <c r="CX753" s="211"/>
      <c r="CY753" s="211"/>
      <c r="CZ753" s="211"/>
      <c r="DA753" s="211"/>
      <c r="DB753" s="211"/>
      <c r="DC753" s="211"/>
      <c r="DD753" s="211"/>
      <c r="DE753" s="211"/>
      <c r="DF753" s="60"/>
      <c r="DG753" s="60"/>
      <c r="DH753" s="60"/>
      <c r="DI753" s="60"/>
      <c r="DJ753" s="60"/>
    </row>
    <row r="754" spans="3:114" s="25" customFormat="1">
      <c r="C754" s="24"/>
      <c r="D754" s="24"/>
      <c r="G754" s="57"/>
      <c r="H754" s="57"/>
      <c r="I754" s="57"/>
      <c r="J754" s="57"/>
      <c r="K754" s="57"/>
      <c r="L754" s="57"/>
      <c r="M754" s="57"/>
      <c r="N754" s="57"/>
      <c r="O754" s="57"/>
      <c r="P754" s="57"/>
      <c r="Q754" s="57"/>
      <c r="R754" s="57"/>
      <c r="S754" s="57"/>
      <c r="T754" s="559"/>
      <c r="U754" s="29"/>
      <c r="V754" s="29"/>
      <c r="AJ754" s="1215"/>
      <c r="AK754" s="1142"/>
      <c r="AM754" s="42"/>
      <c r="AN754" s="42"/>
      <c r="AO754" s="42"/>
      <c r="AP754" s="42"/>
      <c r="AQ754" s="42"/>
      <c r="AR754" s="42"/>
      <c r="AS754" s="42"/>
      <c r="AT754" s="42"/>
      <c r="AU754" s="42"/>
      <c r="AV754" s="42"/>
      <c r="AW754" s="42"/>
      <c r="AX754" s="42"/>
      <c r="AY754" s="42"/>
      <c r="AZ754" s="42"/>
      <c r="BA754" s="42"/>
      <c r="BB754" s="42"/>
      <c r="BC754" s="42"/>
      <c r="BD754" s="42"/>
      <c r="BE754" s="42"/>
      <c r="BF754" s="42"/>
      <c r="BG754" s="42"/>
      <c r="BH754" s="42"/>
      <c r="BI754" s="42"/>
      <c r="BJ754" s="42"/>
      <c r="BK754" s="42"/>
      <c r="BL754" s="42"/>
      <c r="BM754" s="42"/>
      <c r="BN754" s="42"/>
      <c r="BO754" s="42"/>
      <c r="BP754" s="42"/>
      <c r="BQ754" s="42"/>
      <c r="BR754" s="42"/>
      <c r="BS754" s="42"/>
      <c r="BT754" s="42"/>
      <c r="BU754" s="42"/>
      <c r="BV754" s="42"/>
      <c r="BW754" s="42"/>
      <c r="BX754" s="42"/>
      <c r="BY754" s="42"/>
      <c r="BZ754" s="42"/>
      <c r="CA754" s="42"/>
      <c r="CB754" s="42"/>
      <c r="CC754" s="42"/>
      <c r="CD754" s="42"/>
      <c r="CE754" s="42"/>
      <c r="CF754" s="42"/>
      <c r="CG754" s="42"/>
      <c r="CH754" s="42"/>
      <c r="CS754" s="29"/>
      <c r="CT754" s="29"/>
      <c r="CU754" s="29"/>
      <c r="CV754" s="522"/>
      <c r="CW754" s="522"/>
      <c r="CX754" s="211"/>
      <c r="CY754" s="211"/>
      <c r="CZ754" s="211"/>
      <c r="DA754" s="211"/>
      <c r="DB754" s="211"/>
      <c r="DC754" s="211"/>
      <c r="DD754" s="211"/>
      <c r="DE754" s="211"/>
      <c r="DF754" s="60"/>
      <c r="DG754" s="60"/>
      <c r="DH754" s="60"/>
      <c r="DI754" s="60"/>
      <c r="DJ754" s="60"/>
    </row>
    <row r="755" spans="3:114" s="25" customFormat="1">
      <c r="C755" s="24"/>
      <c r="D755" s="24"/>
      <c r="G755" s="57"/>
      <c r="H755" s="57"/>
      <c r="I755" s="57"/>
      <c r="J755" s="57"/>
      <c r="K755" s="57"/>
      <c r="L755" s="57"/>
      <c r="M755" s="57"/>
      <c r="N755" s="57"/>
      <c r="O755" s="57"/>
      <c r="P755" s="57"/>
      <c r="Q755" s="57"/>
      <c r="R755" s="57"/>
      <c r="S755" s="57"/>
      <c r="T755" s="559"/>
      <c r="U755" s="29"/>
      <c r="V755" s="29"/>
      <c r="AJ755" s="1215"/>
      <c r="AK755" s="1142"/>
      <c r="AM755" s="42"/>
      <c r="AN755" s="42"/>
      <c r="AO755" s="42"/>
      <c r="AP755" s="42"/>
      <c r="AQ755" s="42"/>
      <c r="AR755" s="42"/>
      <c r="AS755" s="42"/>
      <c r="AT755" s="42"/>
      <c r="AU755" s="42"/>
      <c r="AV755" s="42"/>
      <c r="AW755" s="42"/>
      <c r="AX755" s="42"/>
      <c r="AY755" s="42"/>
      <c r="AZ755" s="42"/>
      <c r="BA755" s="42"/>
      <c r="BB755" s="42"/>
      <c r="BC755" s="42"/>
      <c r="BD755" s="42"/>
      <c r="BE755" s="42"/>
      <c r="BF755" s="42"/>
      <c r="BG755" s="42"/>
      <c r="BH755" s="42"/>
      <c r="BI755" s="42"/>
      <c r="BJ755" s="42"/>
      <c r="BK755" s="42"/>
      <c r="BL755" s="42"/>
      <c r="BM755" s="42"/>
      <c r="BN755" s="42"/>
      <c r="BO755" s="42"/>
      <c r="BP755" s="42"/>
      <c r="BQ755" s="42"/>
      <c r="BR755" s="42"/>
      <c r="BS755" s="42"/>
      <c r="BT755" s="42"/>
      <c r="BU755" s="42"/>
      <c r="BV755" s="42"/>
      <c r="BW755" s="42"/>
      <c r="BX755" s="42"/>
      <c r="BY755" s="42"/>
      <c r="BZ755" s="42"/>
      <c r="CA755" s="42"/>
      <c r="CB755" s="42"/>
      <c r="CC755" s="42"/>
      <c r="CD755" s="42"/>
      <c r="CE755" s="42"/>
      <c r="CF755" s="42"/>
      <c r="CG755" s="42"/>
      <c r="CH755" s="42"/>
      <c r="CS755" s="29"/>
      <c r="CT755" s="29"/>
      <c r="CU755" s="29"/>
      <c r="CV755" s="522"/>
      <c r="CW755" s="522"/>
      <c r="CX755" s="211"/>
      <c r="CY755" s="211"/>
      <c r="CZ755" s="211"/>
      <c r="DA755" s="211"/>
      <c r="DB755" s="211"/>
      <c r="DC755" s="211"/>
      <c r="DD755" s="211"/>
      <c r="DE755" s="211"/>
      <c r="DF755" s="60"/>
      <c r="DG755" s="60"/>
      <c r="DH755" s="60"/>
      <c r="DI755" s="60"/>
      <c r="DJ755" s="60"/>
    </row>
    <row r="756" spans="3:114" s="25" customFormat="1">
      <c r="C756" s="24"/>
      <c r="D756" s="24"/>
      <c r="G756" s="57"/>
      <c r="H756" s="57"/>
      <c r="I756" s="57"/>
      <c r="J756" s="57"/>
      <c r="K756" s="57"/>
      <c r="L756" s="57"/>
      <c r="M756" s="57"/>
      <c r="N756" s="57"/>
      <c r="O756" s="57"/>
      <c r="P756" s="57"/>
      <c r="Q756" s="57"/>
      <c r="R756" s="57"/>
      <c r="S756" s="57"/>
      <c r="T756" s="559"/>
      <c r="U756" s="29"/>
      <c r="V756" s="29"/>
      <c r="AJ756" s="1215"/>
      <c r="AK756" s="1142"/>
      <c r="AM756" s="42"/>
      <c r="AN756" s="42"/>
      <c r="AO756" s="42"/>
      <c r="AP756" s="42"/>
      <c r="AQ756" s="42"/>
      <c r="AR756" s="42"/>
      <c r="AS756" s="42"/>
      <c r="AT756" s="42"/>
      <c r="AU756" s="42"/>
      <c r="AV756" s="42"/>
      <c r="AW756" s="42"/>
      <c r="AX756" s="42"/>
      <c r="AY756" s="42"/>
      <c r="AZ756" s="42"/>
      <c r="BA756" s="42"/>
      <c r="BB756" s="42"/>
      <c r="BC756" s="42"/>
      <c r="BD756" s="42"/>
      <c r="BE756" s="42"/>
      <c r="BF756" s="42"/>
      <c r="BG756" s="42"/>
      <c r="BH756" s="42"/>
      <c r="BI756" s="42"/>
      <c r="BJ756" s="42"/>
      <c r="BK756" s="42"/>
      <c r="BL756" s="42"/>
      <c r="BM756" s="42"/>
      <c r="BN756" s="42"/>
      <c r="BO756" s="42"/>
      <c r="BP756" s="42"/>
      <c r="BQ756" s="42"/>
      <c r="BR756" s="42"/>
      <c r="BS756" s="42"/>
      <c r="BT756" s="42"/>
      <c r="BU756" s="42"/>
      <c r="BV756" s="42"/>
      <c r="BW756" s="42"/>
      <c r="BX756" s="42"/>
      <c r="BY756" s="42"/>
      <c r="BZ756" s="42"/>
      <c r="CA756" s="42"/>
      <c r="CB756" s="42"/>
      <c r="CC756" s="42"/>
      <c r="CD756" s="42"/>
      <c r="CE756" s="42"/>
      <c r="CF756" s="42"/>
      <c r="CG756" s="42"/>
      <c r="CH756" s="42"/>
      <c r="CS756" s="29"/>
      <c r="CT756" s="29"/>
      <c r="CU756" s="29"/>
      <c r="CV756" s="522"/>
      <c r="CW756" s="522"/>
      <c r="CX756" s="211"/>
      <c r="CY756" s="211"/>
      <c r="CZ756" s="211"/>
      <c r="DA756" s="211"/>
      <c r="DB756" s="211"/>
      <c r="DC756" s="211"/>
      <c r="DD756" s="211"/>
      <c r="DE756" s="211"/>
      <c r="DF756" s="60"/>
      <c r="DG756" s="60"/>
      <c r="DH756" s="60"/>
      <c r="DI756" s="60"/>
      <c r="DJ756" s="60"/>
    </row>
    <row r="757" spans="3:114" s="25" customFormat="1">
      <c r="C757" s="24"/>
      <c r="D757" s="24"/>
      <c r="G757" s="57"/>
      <c r="H757" s="57"/>
      <c r="I757" s="57"/>
      <c r="J757" s="57"/>
      <c r="K757" s="57"/>
      <c r="L757" s="57"/>
      <c r="M757" s="57"/>
      <c r="N757" s="57"/>
      <c r="O757" s="57"/>
      <c r="P757" s="57"/>
      <c r="Q757" s="57"/>
      <c r="R757" s="57"/>
      <c r="S757" s="57"/>
      <c r="T757" s="559"/>
      <c r="U757" s="29"/>
      <c r="V757" s="29"/>
      <c r="AJ757" s="1215"/>
      <c r="AK757" s="1142"/>
      <c r="AM757" s="42"/>
      <c r="AN757" s="42"/>
      <c r="AO757" s="42"/>
      <c r="AP757" s="42"/>
      <c r="AQ757" s="42"/>
      <c r="AR757" s="42"/>
      <c r="AS757" s="42"/>
      <c r="AT757" s="42"/>
      <c r="AU757" s="42"/>
      <c r="AV757" s="42"/>
      <c r="AW757" s="42"/>
      <c r="AX757" s="42"/>
      <c r="AY757" s="42"/>
      <c r="AZ757" s="42"/>
      <c r="BA757" s="42"/>
      <c r="BB757" s="42"/>
      <c r="BC757" s="42"/>
      <c r="BD757" s="42"/>
      <c r="BE757" s="42"/>
      <c r="BF757" s="42"/>
      <c r="BG757" s="42"/>
      <c r="BH757" s="42"/>
      <c r="BI757" s="42"/>
      <c r="BJ757" s="42"/>
      <c r="BK757" s="42"/>
      <c r="BL757" s="42"/>
      <c r="BM757" s="42"/>
      <c r="BN757" s="42"/>
      <c r="BO757" s="42"/>
      <c r="BP757" s="42"/>
      <c r="BQ757" s="42"/>
      <c r="BR757" s="42"/>
      <c r="BS757" s="42"/>
      <c r="BT757" s="42"/>
      <c r="BU757" s="42"/>
      <c r="BV757" s="42"/>
      <c r="BW757" s="42"/>
      <c r="BX757" s="42"/>
      <c r="BY757" s="42"/>
      <c r="BZ757" s="42"/>
      <c r="CA757" s="42"/>
      <c r="CB757" s="42"/>
      <c r="CC757" s="42"/>
      <c r="CD757" s="42"/>
      <c r="CE757" s="42"/>
      <c r="CF757" s="42"/>
      <c r="CG757" s="42"/>
      <c r="CH757" s="42"/>
      <c r="CS757" s="29"/>
      <c r="CT757" s="29"/>
      <c r="CU757" s="29"/>
      <c r="CV757" s="522"/>
      <c r="CW757" s="522"/>
      <c r="CX757" s="211"/>
      <c r="CY757" s="211"/>
      <c r="CZ757" s="211"/>
      <c r="DA757" s="211"/>
      <c r="DB757" s="211"/>
      <c r="DC757" s="211"/>
      <c r="DD757" s="211"/>
      <c r="DE757" s="211"/>
      <c r="DF757" s="60"/>
      <c r="DG757" s="60"/>
      <c r="DH757" s="60"/>
      <c r="DI757" s="60"/>
      <c r="DJ757" s="60"/>
    </row>
    <row r="758" spans="3:114" s="25" customFormat="1">
      <c r="C758" s="24"/>
      <c r="D758" s="24"/>
      <c r="G758" s="57"/>
      <c r="H758" s="57"/>
      <c r="I758" s="57"/>
      <c r="J758" s="57"/>
      <c r="K758" s="57"/>
      <c r="L758" s="57"/>
      <c r="M758" s="57"/>
      <c r="N758" s="57"/>
      <c r="O758" s="57"/>
      <c r="P758" s="57"/>
      <c r="Q758" s="57"/>
      <c r="R758" s="57"/>
      <c r="S758" s="57"/>
      <c r="T758" s="559"/>
      <c r="U758" s="29"/>
      <c r="V758" s="29"/>
      <c r="AJ758" s="1215"/>
      <c r="AK758" s="1142"/>
      <c r="AM758" s="42"/>
      <c r="AN758" s="42"/>
      <c r="AO758" s="42"/>
      <c r="AP758" s="42"/>
      <c r="AQ758" s="42"/>
      <c r="AR758" s="42"/>
      <c r="AS758" s="42"/>
      <c r="AT758" s="42"/>
      <c r="AU758" s="42"/>
      <c r="AV758" s="42"/>
      <c r="AW758" s="42"/>
      <c r="AX758" s="42"/>
      <c r="AY758" s="42"/>
      <c r="AZ758" s="42"/>
      <c r="BA758" s="42"/>
      <c r="BB758" s="42"/>
      <c r="BC758" s="42"/>
      <c r="BD758" s="42"/>
      <c r="BE758" s="42"/>
      <c r="BF758" s="42"/>
      <c r="BG758" s="42"/>
      <c r="BH758" s="42"/>
      <c r="BI758" s="42"/>
      <c r="BJ758" s="42"/>
      <c r="BK758" s="42"/>
      <c r="BL758" s="42"/>
      <c r="BM758" s="42"/>
      <c r="BN758" s="42"/>
      <c r="BO758" s="42"/>
      <c r="BP758" s="42"/>
      <c r="BQ758" s="42"/>
      <c r="BR758" s="42"/>
      <c r="BS758" s="42"/>
      <c r="BT758" s="42"/>
      <c r="BU758" s="42"/>
      <c r="BV758" s="42"/>
      <c r="BW758" s="42"/>
      <c r="BX758" s="42"/>
      <c r="BY758" s="42"/>
      <c r="BZ758" s="42"/>
      <c r="CA758" s="42"/>
      <c r="CB758" s="42"/>
      <c r="CC758" s="42"/>
      <c r="CD758" s="42"/>
      <c r="CE758" s="42"/>
      <c r="CF758" s="42"/>
      <c r="CG758" s="42"/>
      <c r="CH758" s="42"/>
      <c r="CS758" s="29"/>
      <c r="CT758" s="29"/>
      <c r="CU758" s="29"/>
      <c r="CV758" s="522"/>
      <c r="CW758" s="522"/>
      <c r="CX758" s="211"/>
      <c r="CY758" s="211"/>
      <c r="CZ758" s="211"/>
      <c r="DA758" s="211"/>
      <c r="DB758" s="211"/>
      <c r="DC758" s="211"/>
      <c r="DD758" s="211"/>
      <c r="DE758" s="211"/>
      <c r="DF758" s="60"/>
      <c r="DG758" s="60"/>
      <c r="DH758" s="60"/>
      <c r="DI758" s="60"/>
      <c r="DJ758" s="60"/>
    </row>
    <row r="759" spans="3:114" s="25" customFormat="1">
      <c r="C759" s="24"/>
      <c r="D759" s="24"/>
      <c r="G759" s="57"/>
      <c r="H759" s="57"/>
      <c r="I759" s="57"/>
      <c r="J759" s="57"/>
      <c r="K759" s="57"/>
      <c r="L759" s="57"/>
      <c r="M759" s="57"/>
      <c r="N759" s="57"/>
      <c r="O759" s="57"/>
      <c r="P759" s="57"/>
      <c r="Q759" s="57"/>
      <c r="R759" s="57"/>
      <c r="S759" s="57"/>
      <c r="T759" s="559"/>
      <c r="U759" s="29"/>
      <c r="V759" s="29"/>
      <c r="AJ759" s="1215"/>
      <c r="AK759" s="1142"/>
      <c r="AM759" s="42"/>
      <c r="AN759" s="42"/>
      <c r="AO759" s="42"/>
      <c r="AP759" s="42"/>
      <c r="AQ759" s="42"/>
      <c r="AR759" s="42"/>
      <c r="AS759" s="42"/>
      <c r="AT759" s="42"/>
      <c r="AU759" s="42"/>
      <c r="AV759" s="42"/>
      <c r="AW759" s="42"/>
      <c r="AX759" s="42"/>
      <c r="AY759" s="42"/>
      <c r="AZ759" s="42"/>
      <c r="BA759" s="42"/>
      <c r="BB759" s="42"/>
      <c r="BC759" s="42"/>
      <c r="BD759" s="42"/>
      <c r="BE759" s="42"/>
      <c r="BF759" s="42"/>
      <c r="BG759" s="42"/>
      <c r="BH759" s="42"/>
      <c r="BI759" s="42"/>
      <c r="BJ759" s="42"/>
      <c r="BK759" s="42"/>
      <c r="BL759" s="42"/>
      <c r="BM759" s="42"/>
      <c r="BN759" s="42"/>
      <c r="BO759" s="42"/>
      <c r="BP759" s="42"/>
      <c r="BQ759" s="42"/>
      <c r="BR759" s="42"/>
      <c r="BS759" s="42"/>
      <c r="BT759" s="42"/>
      <c r="BU759" s="42"/>
      <c r="BV759" s="42"/>
      <c r="BW759" s="42"/>
      <c r="BX759" s="42"/>
      <c r="BY759" s="42"/>
      <c r="BZ759" s="42"/>
      <c r="CA759" s="42"/>
      <c r="CB759" s="42"/>
      <c r="CC759" s="42"/>
      <c r="CD759" s="42"/>
      <c r="CE759" s="42"/>
      <c r="CF759" s="42"/>
      <c r="CG759" s="42"/>
      <c r="CH759" s="42"/>
      <c r="CS759" s="29"/>
      <c r="CT759" s="29"/>
      <c r="CU759" s="29"/>
      <c r="CV759" s="522"/>
      <c r="CW759" s="522"/>
      <c r="CX759" s="211"/>
      <c r="CY759" s="211"/>
      <c r="CZ759" s="211"/>
      <c r="DA759" s="211"/>
      <c r="DB759" s="211"/>
      <c r="DC759" s="211"/>
      <c r="DD759" s="211"/>
      <c r="DE759" s="211"/>
      <c r="DF759" s="60"/>
      <c r="DG759" s="60"/>
      <c r="DH759" s="60"/>
      <c r="DI759" s="60"/>
      <c r="DJ759" s="60"/>
    </row>
    <row r="760" spans="3:114" s="25" customFormat="1">
      <c r="C760" s="24"/>
      <c r="D760" s="24"/>
      <c r="G760" s="57"/>
      <c r="H760" s="57"/>
      <c r="I760" s="57"/>
      <c r="J760" s="57"/>
      <c r="K760" s="57"/>
      <c r="L760" s="57"/>
      <c r="M760" s="57"/>
      <c r="N760" s="57"/>
      <c r="O760" s="57"/>
      <c r="P760" s="57"/>
      <c r="Q760" s="57"/>
      <c r="R760" s="57"/>
      <c r="S760" s="57"/>
      <c r="T760" s="559"/>
      <c r="U760" s="29"/>
      <c r="V760" s="29"/>
      <c r="AJ760" s="1215"/>
      <c r="AK760" s="1142"/>
      <c r="AM760" s="42"/>
      <c r="AN760" s="42"/>
      <c r="AO760" s="42"/>
      <c r="AP760" s="42"/>
      <c r="AQ760" s="42"/>
      <c r="AR760" s="42"/>
      <c r="AS760" s="42"/>
      <c r="AT760" s="42"/>
      <c r="AU760" s="42"/>
      <c r="AV760" s="42"/>
      <c r="AW760" s="42"/>
      <c r="AX760" s="42"/>
      <c r="AY760" s="42"/>
      <c r="AZ760" s="42"/>
      <c r="BA760" s="42"/>
      <c r="BB760" s="42"/>
      <c r="BC760" s="42"/>
      <c r="BD760" s="42"/>
      <c r="BE760" s="42"/>
      <c r="BF760" s="42"/>
      <c r="BG760" s="42"/>
      <c r="BH760" s="42"/>
      <c r="BI760" s="42"/>
      <c r="BJ760" s="42"/>
      <c r="BK760" s="42"/>
      <c r="BL760" s="42"/>
      <c r="BM760" s="42"/>
      <c r="BN760" s="42"/>
      <c r="BO760" s="42"/>
      <c r="BP760" s="42"/>
      <c r="BQ760" s="42"/>
      <c r="BR760" s="42"/>
      <c r="BS760" s="42"/>
      <c r="BT760" s="42"/>
      <c r="BU760" s="42"/>
      <c r="BV760" s="42"/>
      <c r="BW760" s="42"/>
      <c r="BX760" s="42"/>
      <c r="BY760" s="42"/>
      <c r="BZ760" s="42"/>
      <c r="CA760" s="42"/>
      <c r="CB760" s="42"/>
      <c r="CC760" s="42"/>
      <c r="CD760" s="42"/>
      <c r="CE760" s="42"/>
      <c r="CF760" s="42"/>
      <c r="CG760" s="42"/>
      <c r="CH760" s="42"/>
      <c r="CS760" s="29"/>
      <c r="CT760" s="29"/>
      <c r="CU760" s="29"/>
      <c r="CV760" s="522"/>
      <c r="CW760" s="522"/>
      <c r="CX760" s="211"/>
      <c r="CY760" s="211"/>
      <c r="CZ760" s="211"/>
      <c r="DA760" s="211"/>
      <c r="DB760" s="211"/>
      <c r="DC760" s="211"/>
      <c r="DD760" s="211"/>
      <c r="DE760" s="211"/>
      <c r="DF760" s="60"/>
      <c r="DG760" s="60"/>
      <c r="DH760" s="60"/>
      <c r="DI760" s="60"/>
      <c r="DJ760" s="60"/>
    </row>
    <row r="761" spans="3:114" s="25" customFormat="1">
      <c r="C761" s="24"/>
      <c r="D761" s="24"/>
      <c r="G761" s="57"/>
      <c r="H761" s="57"/>
      <c r="I761" s="57"/>
      <c r="J761" s="57"/>
      <c r="K761" s="57"/>
      <c r="L761" s="57"/>
      <c r="M761" s="57"/>
      <c r="N761" s="57"/>
      <c r="O761" s="57"/>
      <c r="P761" s="57"/>
      <c r="Q761" s="57"/>
      <c r="R761" s="57"/>
      <c r="S761" s="57"/>
      <c r="T761" s="559"/>
      <c r="U761" s="29"/>
      <c r="V761" s="29"/>
      <c r="AJ761" s="1215"/>
      <c r="AK761" s="1142"/>
      <c r="AM761" s="42"/>
      <c r="AN761" s="42"/>
      <c r="AO761" s="42"/>
      <c r="AP761" s="42"/>
      <c r="AQ761" s="42"/>
      <c r="AR761" s="42"/>
      <c r="AS761" s="42"/>
      <c r="AT761" s="42"/>
      <c r="AU761" s="42"/>
      <c r="AV761" s="42"/>
      <c r="AW761" s="42"/>
      <c r="AX761" s="42"/>
      <c r="AY761" s="42"/>
      <c r="AZ761" s="42"/>
      <c r="BA761" s="42"/>
      <c r="BB761" s="42"/>
      <c r="BC761" s="42"/>
      <c r="BD761" s="42"/>
      <c r="BE761" s="42"/>
      <c r="BF761" s="42"/>
      <c r="BG761" s="42"/>
      <c r="BH761" s="42"/>
      <c r="BI761" s="42"/>
      <c r="BJ761" s="42"/>
      <c r="BK761" s="42"/>
      <c r="BL761" s="42"/>
      <c r="BM761" s="42"/>
      <c r="BN761" s="42"/>
      <c r="BO761" s="42"/>
      <c r="BP761" s="42"/>
      <c r="BQ761" s="42"/>
      <c r="BR761" s="42"/>
      <c r="BS761" s="42"/>
      <c r="BT761" s="42"/>
      <c r="BU761" s="42"/>
      <c r="BV761" s="42"/>
      <c r="BW761" s="42"/>
      <c r="BX761" s="42"/>
      <c r="BY761" s="42"/>
      <c r="BZ761" s="42"/>
      <c r="CA761" s="42"/>
      <c r="CB761" s="42"/>
      <c r="CC761" s="42"/>
      <c r="CD761" s="42"/>
      <c r="CE761" s="42"/>
      <c r="CF761" s="42"/>
      <c r="CG761" s="42"/>
      <c r="CH761" s="42"/>
      <c r="CS761" s="29"/>
      <c r="CT761" s="29"/>
      <c r="CU761" s="29"/>
      <c r="CV761" s="522"/>
      <c r="CW761" s="522"/>
      <c r="CX761" s="211"/>
      <c r="CY761" s="211"/>
      <c r="CZ761" s="211"/>
      <c r="DA761" s="211"/>
      <c r="DB761" s="211"/>
      <c r="DC761" s="211"/>
      <c r="DD761" s="211"/>
      <c r="DE761" s="211"/>
      <c r="DF761" s="60"/>
      <c r="DG761" s="60"/>
      <c r="DH761" s="60"/>
      <c r="DI761" s="60"/>
      <c r="DJ761" s="60"/>
    </row>
    <row r="762" spans="3:114" s="25" customFormat="1">
      <c r="C762" s="24"/>
      <c r="D762" s="24"/>
      <c r="G762" s="57"/>
      <c r="H762" s="57"/>
      <c r="I762" s="57"/>
      <c r="J762" s="57"/>
      <c r="K762" s="57"/>
      <c r="L762" s="57"/>
      <c r="M762" s="57"/>
      <c r="N762" s="57"/>
      <c r="O762" s="57"/>
      <c r="P762" s="57"/>
      <c r="Q762" s="57"/>
      <c r="R762" s="57"/>
      <c r="S762" s="57"/>
      <c r="T762" s="559"/>
      <c r="U762" s="29"/>
      <c r="V762" s="29"/>
      <c r="AJ762" s="1215"/>
      <c r="AK762" s="1142"/>
      <c r="AM762" s="42"/>
      <c r="AN762" s="42"/>
      <c r="AO762" s="42"/>
      <c r="AP762" s="42"/>
      <c r="AQ762" s="42"/>
      <c r="AR762" s="42"/>
      <c r="AS762" s="42"/>
      <c r="AT762" s="42"/>
      <c r="AU762" s="42"/>
      <c r="AV762" s="42"/>
      <c r="AW762" s="42"/>
      <c r="AX762" s="42"/>
      <c r="AY762" s="42"/>
      <c r="AZ762" s="42"/>
      <c r="BA762" s="42"/>
      <c r="BB762" s="42"/>
      <c r="BC762" s="42"/>
      <c r="BD762" s="42"/>
      <c r="BE762" s="42"/>
      <c r="BF762" s="42"/>
      <c r="BG762" s="42"/>
      <c r="BH762" s="42"/>
      <c r="BI762" s="42"/>
      <c r="BJ762" s="42"/>
      <c r="BK762" s="42"/>
      <c r="BL762" s="42"/>
      <c r="BM762" s="42"/>
      <c r="BN762" s="42"/>
      <c r="BO762" s="42"/>
      <c r="BP762" s="42"/>
      <c r="BQ762" s="42"/>
      <c r="BR762" s="42"/>
      <c r="BS762" s="42"/>
      <c r="BT762" s="42"/>
      <c r="BU762" s="42"/>
      <c r="BV762" s="42"/>
      <c r="BW762" s="42"/>
      <c r="BX762" s="42"/>
      <c r="BY762" s="42"/>
      <c r="BZ762" s="42"/>
      <c r="CA762" s="42"/>
      <c r="CB762" s="42"/>
      <c r="CC762" s="42"/>
      <c r="CD762" s="42"/>
      <c r="CE762" s="42"/>
      <c r="CF762" s="42"/>
      <c r="CG762" s="42"/>
      <c r="CH762" s="42"/>
      <c r="CS762" s="29"/>
      <c r="CT762" s="29"/>
      <c r="CU762" s="29"/>
      <c r="CV762" s="522"/>
      <c r="CW762" s="522"/>
      <c r="CX762" s="211"/>
      <c r="CY762" s="211"/>
      <c r="CZ762" s="211"/>
      <c r="DA762" s="211"/>
      <c r="DB762" s="211"/>
      <c r="DC762" s="211"/>
      <c r="DD762" s="211"/>
      <c r="DE762" s="211"/>
      <c r="DF762" s="60"/>
      <c r="DG762" s="60"/>
      <c r="DH762" s="60"/>
      <c r="DI762" s="60"/>
      <c r="DJ762" s="60"/>
    </row>
    <row r="763" spans="3:114" s="25" customFormat="1">
      <c r="C763" s="24"/>
      <c r="D763" s="24"/>
      <c r="G763" s="57"/>
      <c r="H763" s="57"/>
      <c r="I763" s="57"/>
      <c r="J763" s="57"/>
      <c r="K763" s="57"/>
      <c r="L763" s="57"/>
      <c r="M763" s="57"/>
      <c r="N763" s="57"/>
      <c r="O763" s="57"/>
      <c r="P763" s="57"/>
      <c r="Q763" s="57"/>
      <c r="R763" s="57"/>
      <c r="S763" s="57"/>
      <c r="T763" s="559"/>
      <c r="U763" s="29"/>
      <c r="V763" s="29"/>
      <c r="AJ763" s="1215"/>
      <c r="AK763" s="1142"/>
      <c r="AM763" s="42"/>
      <c r="AN763" s="42"/>
      <c r="AO763" s="42"/>
      <c r="AP763" s="42"/>
      <c r="AQ763" s="42"/>
      <c r="AR763" s="42"/>
      <c r="AS763" s="42"/>
      <c r="AT763" s="42"/>
      <c r="AU763" s="42"/>
      <c r="AV763" s="42"/>
      <c r="AW763" s="42"/>
      <c r="AX763" s="42"/>
      <c r="AY763" s="42"/>
      <c r="AZ763" s="42"/>
      <c r="BA763" s="42"/>
      <c r="BB763" s="42"/>
      <c r="BC763" s="42"/>
      <c r="BD763" s="42"/>
      <c r="BE763" s="42"/>
      <c r="BF763" s="42"/>
      <c r="BG763" s="42"/>
      <c r="BH763" s="42"/>
      <c r="BI763" s="42"/>
      <c r="BJ763" s="42"/>
      <c r="BK763" s="42"/>
      <c r="BL763" s="42"/>
      <c r="BM763" s="42"/>
      <c r="BN763" s="42"/>
      <c r="BO763" s="42"/>
      <c r="BP763" s="42"/>
      <c r="BQ763" s="42"/>
      <c r="BR763" s="42"/>
      <c r="BS763" s="42"/>
      <c r="BT763" s="42"/>
      <c r="BU763" s="42"/>
      <c r="BV763" s="42"/>
      <c r="BW763" s="42"/>
      <c r="BX763" s="42"/>
      <c r="BY763" s="42"/>
      <c r="BZ763" s="42"/>
      <c r="CA763" s="42"/>
      <c r="CB763" s="42"/>
      <c r="CC763" s="42"/>
      <c r="CD763" s="42"/>
      <c r="CE763" s="42"/>
      <c r="CF763" s="42"/>
      <c r="CG763" s="42"/>
      <c r="CH763" s="42"/>
      <c r="CS763" s="29"/>
      <c r="CT763" s="29"/>
      <c r="CU763" s="29"/>
      <c r="CV763" s="522"/>
      <c r="CW763" s="522"/>
      <c r="CX763" s="211"/>
      <c r="CY763" s="211"/>
      <c r="CZ763" s="211"/>
      <c r="DA763" s="211"/>
      <c r="DB763" s="211"/>
      <c r="DC763" s="211"/>
      <c r="DD763" s="211"/>
      <c r="DE763" s="211"/>
      <c r="DF763" s="60"/>
      <c r="DG763" s="60"/>
      <c r="DH763" s="60"/>
      <c r="DI763" s="60"/>
      <c r="DJ763" s="60"/>
    </row>
    <row r="764" spans="3:114" s="25" customFormat="1">
      <c r="C764" s="24"/>
      <c r="D764" s="24"/>
      <c r="G764" s="57"/>
      <c r="H764" s="57"/>
      <c r="I764" s="57"/>
      <c r="J764" s="57"/>
      <c r="K764" s="57"/>
      <c r="L764" s="57"/>
      <c r="M764" s="57"/>
      <c r="N764" s="57"/>
      <c r="O764" s="57"/>
      <c r="P764" s="57"/>
      <c r="Q764" s="57"/>
      <c r="R764" s="57"/>
      <c r="S764" s="57"/>
      <c r="T764" s="559"/>
      <c r="U764" s="29"/>
      <c r="V764" s="29"/>
      <c r="AJ764" s="1215"/>
      <c r="AK764" s="1142"/>
      <c r="AM764" s="42"/>
      <c r="AN764" s="42"/>
      <c r="AO764" s="42"/>
      <c r="AP764" s="42"/>
      <c r="AQ764" s="42"/>
      <c r="AR764" s="42"/>
      <c r="AS764" s="42"/>
      <c r="AT764" s="42"/>
      <c r="AU764" s="42"/>
      <c r="AV764" s="42"/>
      <c r="AW764" s="42"/>
      <c r="AX764" s="42"/>
      <c r="AY764" s="42"/>
      <c r="AZ764" s="42"/>
      <c r="BA764" s="42"/>
      <c r="BB764" s="42"/>
      <c r="BC764" s="42"/>
      <c r="BD764" s="42"/>
      <c r="BE764" s="42"/>
      <c r="BF764" s="42"/>
      <c r="BG764" s="42"/>
      <c r="BH764" s="42"/>
      <c r="BI764" s="42"/>
      <c r="BJ764" s="42"/>
      <c r="BK764" s="42"/>
      <c r="BL764" s="42"/>
      <c r="BM764" s="42"/>
      <c r="BN764" s="42"/>
      <c r="BO764" s="42"/>
      <c r="BP764" s="42"/>
      <c r="BQ764" s="42"/>
      <c r="BR764" s="42"/>
      <c r="BS764" s="42"/>
      <c r="BT764" s="42"/>
      <c r="BU764" s="42"/>
      <c r="BV764" s="42"/>
      <c r="BW764" s="42"/>
      <c r="BX764" s="42"/>
      <c r="BY764" s="42"/>
      <c r="BZ764" s="42"/>
      <c r="CA764" s="42"/>
      <c r="CB764" s="42"/>
      <c r="CC764" s="42"/>
      <c r="CD764" s="42"/>
      <c r="CE764" s="42"/>
      <c r="CF764" s="42"/>
      <c r="CG764" s="42"/>
      <c r="CH764" s="42"/>
      <c r="CS764" s="29"/>
      <c r="CT764" s="29"/>
      <c r="CU764" s="29"/>
      <c r="CV764" s="522"/>
      <c r="CW764" s="522"/>
      <c r="CX764" s="211"/>
      <c r="CY764" s="211"/>
      <c r="CZ764" s="211"/>
      <c r="DA764" s="211"/>
      <c r="DB764" s="211"/>
      <c r="DC764" s="211"/>
      <c r="DD764" s="211"/>
      <c r="DE764" s="211"/>
      <c r="DF764" s="60"/>
      <c r="DG764" s="60"/>
      <c r="DH764" s="60"/>
      <c r="DI764" s="60"/>
      <c r="DJ764" s="60"/>
    </row>
    <row r="765" spans="3:114" s="25" customFormat="1">
      <c r="C765" s="24"/>
      <c r="D765" s="24"/>
      <c r="G765" s="57"/>
      <c r="H765" s="57"/>
      <c r="I765" s="57"/>
      <c r="J765" s="57"/>
      <c r="K765" s="57"/>
      <c r="L765" s="57"/>
      <c r="M765" s="57"/>
      <c r="N765" s="57"/>
      <c r="O765" s="57"/>
      <c r="P765" s="57"/>
      <c r="Q765" s="57"/>
      <c r="R765" s="57"/>
      <c r="S765" s="57"/>
      <c r="T765" s="559"/>
      <c r="U765" s="29"/>
      <c r="V765" s="29"/>
      <c r="AJ765" s="1215"/>
      <c r="AK765" s="1142"/>
      <c r="AM765" s="42"/>
      <c r="AN765" s="42"/>
      <c r="AO765" s="42"/>
      <c r="AP765" s="42"/>
      <c r="AQ765" s="42"/>
      <c r="AR765" s="42"/>
      <c r="AS765" s="42"/>
      <c r="AT765" s="42"/>
      <c r="AU765" s="42"/>
      <c r="AV765" s="42"/>
      <c r="AW765" s="42"/>
      <c r="AX765" s="42"/>
      <c r="AY765" s="42"/>
      <c r="AZ765" s="42"/>
      <c r="BA765" s="42"/>
      <c r="BB765" s="42"/>
      <c r="BC765" s="42"/>
      <c r="BD765" s="42"/>
      <c r="BE765" s="42"/>
      <c r="BF765" s="42"/>
      <c r="BG765" s="42"/>
      <c r="BH765" s="42"/>
      <c r="BI765" s="42"/>
      <c r="BJ765" s="42"/>
      <c r="BK765" s="42"/>
      <c r="BL765" s="42"/>
      <c r="BM765" s="42"/>
      <c r="BN765" s="42"/>
      <c r="BO765" s="42"/>
      <c r="BP765" s="42"/>
      <c r="BQ765" s="42"/>
      <c r="BR765" s="42"/>
      <c r="BS765" s="42"/>
      <c r="BT765" s="42"/>
      <c r="BU765" s="42"/>
      <c r="BV765" s="42"/>
      <c r="BW765" s="42"/>
      <c r="BX765" s="42"/>
      <c r="BY765" s="42"/>
      <c r="BZ765" s="42"/>
      <c r="CA765" s="42"/>
      <c r="CB765" s="42"/>
      <c r="CC765" s="42"/>
      <c r="CD765" s="42"/>
      <c r="CE765" s="42"/>
      <c r="CF765" s="42"/>
      <c r="CG765" s="42"/>
      <c r="CH765" s="42"/>
      <c r="CS765" s="29"/>
      <c r="CT765" s="29"/>
      <c r="CU765" s="29"/>
      <c r="CV765" s="522"/>
      <c r="CW765" s="522"/>
      <c r="CX765" s="211"/>
      <c r="CY765" s="211"/>
      <c r="CZ765" s="211"/>
      <c r="DA765" s="211"/>
      <c r="DB765" s="211"/>
      <c r="DC765" s="211"/>
      <c r="DD765" s="211"/>
      <c r="DE765" s="211"/>
      <c r="DF765" s="60"/>
      <c r="DG765" s="60"/>
      <c r="DH765" s="60"/>
      <c r="DI765" s="60"/>
      <c r="DJ765" s="60"/>
    </row>
    <row r="766" spans="3:114" s="25" customFormat="1">
      <c r="C766" s="24"/>
      <c r="D766" s="24"/>
      <c r="G766" s="57"/>
      <c r="H766" s="57"/>
      <c r="I766" s="57"/>
      <c r="J766" s="57"/>
      <c r="K766" s="57"/>
      <c r="L766" s="57"/>
      <c r="M766" s="57"/>
      <c r="N766" s="57"/>
      <c r="O766" s="57"/>
      <c r="P766" s="57"/>
      <c r="Q766" s="57"/>
      <c r="R766" s="57"/>
      <c r="S766" s="57"/>
      <c r="T766" s="559"/>
      <c r="U766" s="29"/>
      <c r="V766" s="29"/>
      <c r="AJ766" s="1215"/>
      <c r="AK766" s="1142"/>
      <c r="AM766" s="42"/>
      <c r="AN766" s="42"/>
      <c r="AO766" s="42"/>
      <c r="AP766" s="42"/>
      <c r="AQ766" s="42"/>
      <c r="AR766" s="42"/>
      <c r="AS766" s="42"/>
      <c r="AT766" s="42"/>
      <c r="AU766" s="42"/>
      <c r="AV766" s="42"/>
      <c r="AW766" s="42"/>
      <c r="AX766" s="42"/>
      <c r="AY766" s="42"/>
      <c r="AZ766" s="42"/>
      <c r="BA766" s="42"/>
      <c r="BB766" s="42"/>
      <c r="BC766" s="42"/>
      <c r="BD766" s="42"/>
      <c r="BE766" s="42"/>
      <c r="BF766" s="42"/>
      <c r="BG766" s="42"/>
      <c r="BH766" s="42"/>
      <c r="BI766" s="42"/>
      <c r="BJ766" s="42"/>
      <c r="BK766" s="42"/>
      <c r="BL766" s="42"/>
      <c r="BM766" s="42"/>
      <c r="BN766" s="42"/>
      <c r="BO766" s="42"/>
      <c r="BP766" s="42"/>
      <c r="BQ766" s="42"/>
      <c r="BR766" s="42"/>
      <c r="BS766" s="42"/>
      <c r="BT766" s="42"/>
      <c r="BU766" s="42"/>
      <c r="BV766" s="42"/>
      <c r="BW766" s="42"/>
      <c r="BX766" s="42"/>
      <c r="BY766" s="42"/>
      <c r="BZ766" s="42"/>
      <c r="CA766" s="42"/>
      <c r="CB766" s="42"/>
      <c r="CC766" s="42"/>
      <c r="CD766" s="42"/>
      <c r="CE766" s="42"/>
      <c r="CF766" s="42"/>
      <c r="CG766" s="42"/>
      <c r="CH766" s="42"/>
      <c r="CS766" s="29"/>
      <c r="CT766" s="29"/>
      <c r="CU766" s="29"/>
      <c r="CV766" s="522"/>
      <c r="CW766" s="522"/>
      <c r="CX766" s="211"/>
      <c r="CY766" s="211"/>
      <c r="CZ766" s="211"/>
      <c r="DA766" s="211"/>
      <c r="DB766" s="211"/>
      <c r="DC766" s="211"/>
      <c r="DD766" s="211"/>
      <c r="DE766" s="211"/>
      <c r="DF766" s="60"/>
      <c r="DG766" s="60"/>
      <c r="DH766" s="60"/>
      <c r="DI766" s="60"/>
      <c r="DJ766" s="60"/>
    </row>
    <row r="767" spans="3:114" s="25" customFormat="1">
      <c r="C767" s="24"/>
      <c r="D767" s="24"/>
      <c r="G767" s="57"/>
      <c r="H767" s="57"/>
      <c r="I767" s="57"/>
      <c r="J767" s="57"/>
      <c r="K767" s="57"/>
      <c r="L767" s="57"/>
      <c r="M767" s="57"/>
      <c r="N767" s="57"/>
      <c r="O767" s="57"/>
      <c r="P767" s="57"/>
      <c r="Q767" s="57"/>
      <c r="R767" s="57"/>
      <c r="S767" s="57"/>
      <c r="T767" s="559"/>
      <c r="U767" s="29"/>
      <c r="V767" s="29"/>
      <c r="AJ767" s="1215"/>
      <c r="AK767" s="1142"/>
      <c r="AM767" s="42"/>
      <c r="AN767" s="42"/>
      <c r="AO767" s="42"/>
      <c r="AP767" s="42"/>
      <c r="AQ767" s="42"/>
      <c r="AR767" s="42"/>
      <c r="AS767" s="42"/>
      <c r="AT767" s="42"/>
      <c r="AU767" s="42"/>
      <c r="AV767" s="42"/>
      <c r="AW767" s="42"/>
      <c r="AX767" s="42"/>
      <c r="AY767" s="42"/>
      <c r="AZ767" s="42"/>
      <c r="BA767" s="42"/>
      <c r="BB767" s="42"/>
      <c r="BC767" s="42"/>
      <c r="BD767" s="42"/>
      <c r="BE767" s="42"/>
      <c r="BF767" s="42"/>
      <c r="BG767" s="42"/>
      <c r="BH767" s="42"/>
      <c r="BI767" s="42"/>
      <c r="BJ767" s="42"/>
      <c r="BK767" s="42"/>
      <c r="BL767" s="42"/>
      <c r="BM767" s="42"/>
      <c r="BN767" s="42"/>
      <c r="BO767" s="42"/>
      <c r="BP767" s="42"/>
      <c r="BQ767" s="42"/>
      <c r="BR767" s="42"/>
      <c r="BS767" s="42"/>
      <c r="BT767" s="42"/>
      <c r="BU767" s="42"/>
      <c r="BV767" s="42"/>
      <c r="BW767" s="42"/>
      <c r="BX767" s="42"/>
      <c r="BY767" s="42"/>
      <c r="BZ767" s="42"/>
      <c r="CA767" s="42"/>
      <c r="CB767" s="42"/>
      <c r="CC767" s="42"/>
      <c r="CD767" s="42"/>
      <c r="CE767" s="42"/>
      <c r="CF767" s="42"/>
      <c r="CG767" s="42"/>
      <c r="CH767" s="42"/>
      <c r="CS767" s="29"/>
      <c r="CT767" s="29"/>
      <c r="CU767" s="29"/>
      <c r="CV767" s="522"/>
      <c r="CW767" s="522"/>
      <c r="CX767" s="211"/>
      <c r="CY767" s="211"/>
      <c r="CZ767" s="211"/>
      <c r="DA767" s="211"/>
      <c r="DB767" s="211"/>
      <c r="DC767" s="211"/>
      <c r="DD767" s="211"/>
      <c r="DE767" s="211"/>
      <c r="DF767" s="60"/>
      <c r="DG767" s="60"/>
      <c r="DH767" s="60"/>
      <c r="DI767" s="60"/>
      <c r="DJ767" s="60"/>
    </row>
    <row r="768" spans="3:114" s="25" customFormat="1">
      <c r="C768" s="24"/>
      <c r="D768" s="24"/>
      <c r="G768" s="57"/>
      <c r="H768" s="57"/>
      <c r="I768" s="57"/>
      <c r="J768" s="57"/>
      <c r="K768" s="57"/>
      <c r="L768" s="57"/>
      <c r="M768" s="57"/>
      <c r="N768" s="57"/>
      <c r="O768" s="57"/>
      <c r="P768" s="57"/>
      <c r="Q768" s="57"/>
      <c r="R768" s="57"/>
      <c r="S768" s="57"/>
      <c r="T768" s="559"/>
      <c r="U768" s="29"/>
      <c r="V768" s="29"/>
      <c r="AJ768" s="1215"/>
      <c r="AK768" s="1142"/>
      <c r="AM768" s="42"/>
      <c r="AN768" s="42"/>
      <c r="AO768" s="42"/>
      <c r="AP768" s="42"/>
      <c r="AQ768" s="42"/>
      <c r="AR768" s="42"/>
      <c r="AS768" s="42"/>
      <c r="AT768" s="42"/>
      <c r="AU768" s="42"/>
      <c r="AV768" s="42"/>
      <c r="AW768" s="42"/>
      <c r="AX768" s="42"/>
      <c r="AY768" s="42"/>
      <c r="AZ768" s="42"/>
      <c r="BA768" s="42"/>
      <c r="BB768" s="42"/>
      <c r="BC768" s="42"/>
      <c r="BD768" s="42"/>
      <c r="BE768" s="42"/>
      <c r="BF768" s="42"/>
      <c r="BG768" s="42"/>
      <c r="BH768" s="42"/>
      <c r="BI768" s="42"/>
      <c r="BJ768" s="42"/>
      <c r="BK768" s="42"/>
      <c r="BL768" s="42"/>
      <c r="BM768" s="42"/>
      <c r="BN768" s="42"/>
      <c r="BO768" s="42"/>
      <c r="BP768" s="42"/>
      <c r="BQ768" s="42"/>
      <c r="BR768" s="42"/>
      <c r="BS768" s="42"/>
      <c r="BT768" s="42"/>
      <c r="BU768" s="42"/>
      <c r="BV768" s="42"/>
      <c r="BW768" s="42"/>
      <c r="BX768" s="42"/>
      <c r="BY768" s="42"/>
      <c r="BZ768" s="42"/>
      <c r="CA768" s="42"/>
      <c r="CB768" s="42"/>
      <c r="CC768" s="42"/>
      <c r="CD768" s="42"/>
      <c r="CE768" s="42"/>
      <c r="CF768" s="42"/>
      <c r="CG768" s="42"/>
      <c r="CH768" s="42"/>
      <c r="CS768" s="29"/>
      <c r="CT768" s="29"/>
      <c r="CU768" s="29"/>
      <c r="CV768" s="522"/>
      <c r="CW768" s="522"/>
      <c r="CX768" s="211"/>
      <c r="CY768" s="211"/>
      <c r="CZ768" s="211"/>
      <c r="DA768" s="211"/>
      <c r="DB768" s="211"/>
      <c r="DC768" s="211"/>
      <c r="DD768" s="211"/>
      <c r="DE768" s="211"/>
      <c r="DF768" s="60"/>
      <c r="DG768" s="60"/>
      <c r="DH768" s="60"/>
      <c r="DI768" s="60"/>
      <c r="DJ768" s="60"/>
    </row>
    <row r="769" spans="3:114" s="25" customFormat="1">
      <c r="C769" s="24"/>
      <c r="D769" s="24"/>
      <c r="G769" s="57"/>
      <c r="H769" s="57"/>
      <c r="I769" s="57"/>
      <c r="J769" s="57"/>
      <c r="K769" s="57"/>
      <c r="L769" s="57"/>
      <c r="M769" s="57"/>
      <c r="N769" s="57"/>
      <c r="O769" s="57"/>
      <c r="P769" s="57"/>
      <c r="Q769" s="57"/>
      <c r="R769" s="57"/>
      <c r="S769" s="57"/>
      <c r="T769" s="559"/>
      <c r="U769" s="29"/>
      <c r="V769" s="29"/>
      <c r="AJ769" s="1215"/>
      <c r="AK769" s="1142"/>
      <c r="AM769" s="42"/>
      <c r="AN769" s="42"/>
      <c r="AO769" s="42"/>
      <c r="AP769" s="42"/>
      <c r="AQ769" s="42"/>
      <c r="AR769" s="42"/>
      <c r="AS769" s="42"/>
      <c r="AT769" s="42"/>
      <c r="AU769" s="42"/>
      <c r="AV769" s="42"/>
      <c r="AW769" s="42"/>
      <c r="AX769" s="42"/>
      <c r="AY769" s="42"/>
      <c r="AZ769" s="42"/>
      <c r="BA769" s="42"/>
      <c r="BB769" s="42"/>
      <c r="BC769" s="42"/>
      <c r="BD769" s="42"/>
      <c r="BE769" s="42"/>
      <c r="BF769" s="42"/>
      <c r="BG769" s="42"/>
      <c r="BH769" s="42"/>
      <c r="BI769" s="42"/>
      <c r="BJ769" s="42"/>
      <c r="BK769" s="42"/>
      <c r="BL769" s="42"/>
      <c r="BM769" s="42"/>
      <c r="BN769" s="42"/>
      <c r="BO769" s="42"/>
      <c r="BP769" s="42"/>
      <c r="BQ769" s="42"/>
      <c r="BR769" s="42"/>
      <c r="BS769" s="42"/>
      <c r="BT769" s="42"/>
      <c r="BU769" s="42"/>
      <c r="BV769" s="42"/>
      <c r="BW769" s="42"/>
      <c r="BX769" s="42"/>
      <c r="BY769" s="42"/>
      <c r="BZ769" s="42"/>
      <c r="CA769" s="42"/>
      <c r="CB769" s="42"/>
      <c r="CC769" s="42"/>
      <c r="CD769" s="42"/>
      <c r="CE769" s="42"/>
      <c r="CF769" s="42"/>
      <c r="CG769" s="42"/>
      <c r="CH769" s="42"/>
      <c r="CS769" s="29"/>
      <c r="CT769" s="29"/>
      <c r="CU769" s="29"/>
      <c r="CV769" s="522"/>
      <c r="CW769" s="522"/>
      <c r="CX769" s="211"/>
      <c r="CY769" s="211"/>
      <c r="CZ769" s="211"/>
      <c r="DA769" s="211"/>
      <c r="DB769" s="211"/>
      <c r="DC769" s="211"/>
      <c r="DD769" s="211"/>
      <c r="DE769" s="211"/>
      <c r="DF769" s="60"/>
      <c r="DG769" s="60"/>
      <c r="DH769" s="60"/>
      <c r="DI769" s="60"/>
      <c r="DJ769" s="60"/>
    </row>
    <row r="770" spans="3:114" s="25" customFormat="1">
      <c r="C770" s="24"/>
      <c r="D770" s="24"/>
      <c r="G770" s="57"/>
      <c r="H770" s="57"/>
      <c r="I770" s="57"/>
      <c r="J770" s="57"/>
      <c r="K770" s="57"/>
      <c r="L770" s="57"/>
      <c r="M770" s="57"/>
      <c r="N770" s="57"/>
      <c r="O770" s="57"/>
      <c r="P770" s="57"/>
      <c r="Q770" s="57"/>
      <c r="R770" s="57"/>
      <c r="S770" s="57"/>
      <c r="T770" s="559"/>
      <c r="U770" s="29"/>
      <c r="V770" s="29"/>
      <c r="AJ770" s="1215"/>
      <c r="AK770" s="1142"/>
      <c r="AM770" s="42"/>
      <c r="AN770" s="42"/>
      <c r="AO770" s="42"/>
      <c r="AP770" s="42"/>
      <c r="AQ770" s="42"/>
      <c r="AR770" s="42"/>
      <c r="AS770" s="42"/>
      <c r="AT770" s="42"/>
      <c r="AU770" s="42"/>
      <c r="AV770" s="42"/>
      <c r="AW770" s="42"/>
      <c r="AX770" s="42"/>
      <c r="AY770" s="42"/>
      <c r="AZ770" s="42"/>
      <c r="BA770" s="42"/>
      <c r="BB770" s="42"/>
      <c r="BC770" s="42"/>
      <c r="BD770" s="42"/>
      <c r="BE770" s="42"/>
      <c r="BF770" s="42"/>
      <c r="BG770" s="42"/>
      <c r="BH770" s="42"/>
      <c r="BI770" s="42"/>
      <c r="BJ770" s="42"/>
      <c r="BK770" s="42"/>
      <c r="BL770" s="42"/>
      <c r="BM770" s="42"/>
      <c r="BN770" s="42"/>
      <c r="BO770" s="42"/>
      <c r="BP770" s="42"/>
      <c r="BQ770" s="42"/>
      <c r="BR770" s="42"/>
      <c r="BS770" s="42"/>
      <c r="BT770" s="42"/>
      <c r="BU770" s="42"/>
      <c r="BV770" s="42"/>
      <c r="BW770" s="42"/>
      <c r="BX770" s="42"/>
      <c r="BY770" s="42"/>
      <c r="BZ770" s="42"/>
      <c r="CA770" s="42"/>
      <c r="CB770" s="42"/>
      <c r="CC770" s="42"/>
      <c r="CD770" s="42"/>
      <c r="CE770" s="42"/>
      <c r="CF770" s="42"/>
      <c r="CG770" s="42"/>
      <c r="CH770" s="42"/>
      <c r="CS770" s="29"/>
      <c r="CT770" s="29"/>
      <c r="CU770" s="29"/>
      <c r="CV770" s="522"/>
      <c r="CW770" s="522"/>
      <c r="CX770" s="211"/>
      <c r="CY770" s="211"/>
      <c r="CZ770" s="211"/>
      <c r="DA770" s="211"/>
      <c r="DB770" s="211"/>
      <c r="DC770" s="211"/>
      <c r="DD770" s="211"/>
      <c r="DE770" s="211"/>
      <c r="DF770" s="60"/>
      <c r="DG770" s="60"/>
      <c r="DH770" s="60"/>
      <c r="DI770" s="60"/>
      <c r="DJ770" s="60"/>
    </row>
    <row r="771" spans="3:114" s="25" customFormat="1">
      <c r="C771" s="24"/>
      <c r="D771" s="24"/>
      <c r="G771" s="57"/>
      <c r="H771" s="57"/>
      <c r="I771" s="57"/>
      <c r="J771" s="57"/>
      <c r="K771" s="57"/>
      <c r="L771" s="57"/>
      <c r="M771" s="57"/>
      <c r="N771" s="57"/>
      <c r="O771" s="57"/>
      <c r="P771" s="57"/>
      <c r="Q771" s="57"/>
      <c r="R771" s="57"/>
      <c r="S771" s="57"/>
      <c r="T771" s="559"/>
      <c r="U771" s="29"/>
      <c r="V771" s="29"/>
      <c r="AJ771" s="1215"/>
      <c r="AK771" s="1142"/>
      <c r="AM771" s="42"/>
      <c r="AN771" s="42"/>
      <c r="AO771" s="42"/>
      <c r="AP771" s="42"/>
      <c r="AQ771" s="42"/>
      <c r="AR771" s="42"/>
      <c r="AS771" s="42"/>
      <c r="AT771" s="42"/>
      <c r="AU771" s="42"/>
      <c r="AV771" s="42"/>
      <c r="AW771" s="42"/>
      <c r="AX771" s="42"/>
      <c r="AY771" s="42"/>
      <c r="AZ771" s="42"/>
      <c r="BA771" s="42"/>
      <c r="BB771" s="42"/>
      <c r="BC771" s="42"/>
      <c r="BD771" s="42"/>
      <c r="BE771" s="42"/>
      <c r="BF771" s="42"/>
      <c r="BG771" s="42"/>
      <c r="BH771" s="42"/>
      <c r="BI771" s="42"/>
      <c r="BJ771" s="42"/>
      <c r="BK771" s="42"/>
      <c r="BL771" s="42"/>
      <c r="BM771" s="42"/>
      <c r="BN771" s="42"/>
      <c r="BO771" s="42"/>
      <c r="BP771" s="42"/>
      <c r="BQ771" s="42"/>
      <c r="BR771" s="42"/>
      <c r="BS771" s="42"/>
      <c r="BT771" s="42"/>
      <c r="BU771" s="42"/>
      <c r="BV771" s="42"/>
      <c r="BW771" s="42"/>
      <c r="BX771" s="42"/>
      <c r="BY771" s="42"/>
      <c r="BZ771" s="42"/>
      <c r="CA771" s="42"/>
      <c r="CB771" s="42"/>
      <c r="CC771" s="42"/>
      <c r="CD771" s="42"/>
      <c r="CE771" s="42"/>
      <c r="CF771" s="42"/>
      <c r="CG771" s="42"/>
      <c r="CH771" s="42"/>
      <c r="CS771" s="29"/>
      <c r="CT771" s="29"/>
      <c r="CU771" s="29"/>
      <c r="CV771" s="522"/>
      <c r="CW771" s="522"/>
      <c r="CX771" s="211"/>
      <c r="CY771" s="211"/>
      <c r="CZ771" s="211"/>
      <c r="DA771" s="211"/>
      <c r="DB771" s="211"/>
      <c r="DC771" s="211"/>
      <c r="DD771" s="211"/>
      <c r="DE771" s="211"/>
      <c r="DF771" s="60"/>
      <c r="DG771" s="60"/>
      <c r="DH771" s="60"/>
      <c r="DI771" s="60"/>
      <c r="DJ771" s="60"/>
    </row>
    <row r="772" spans="3:114" s="25" customFormat="1">
      <c r="C772" s="24"/>
      <c r="D772" s="24"/>
      <c r="G772" s="57"/>
      <c r="H772" s="57"/>
      <c r="I772" s="57"/>
      <c r="J772" s="57"/>
      <c r="K772" s="57"/>
      <c r="L772" s="57"/>
      <c r="M772" s="57"/>
      <c r="N772" s="57"/>
      <c r="O772" s="57"/>
      <c r="P772" s="57"/>
      <c r="Q772" s="57"/>
      <c r="R772" s="57"/>
      <c r="S772" s="57"/>
      <c r="T772" s="559"/>
      <c r="U772" s="29"/>
      <c r="V772" s="29"/>
      <c r="AJ772" s="1215"/>
      <c r="AK772" s="1142"/>
      <c r="AM772" s="42"/>
      <c r="AN772" s="42"/>
      <c r="AO772" s="42"/>
      <c r="AP772" s="42"/>
      <c r="AQ772" s="42"/>
      <c r="AR772" s="42"/>
      <c r="AS772" s="42"/>
      <c r="AT772" s="42"/>
      <c r="AU772" s="42"/>
      <c r="AV772" s="42"/>
      <c r="AW772" s="42"/>
      <c r="AX772" s="42"/>
      <c r="AY772" s="42"/>
      <c r="AZ772" s="42"/>
      <c r="BA772" s="42"/>
      <c r="BB772" s="42"/>
      <c r="BC772" s="42"/>
      <c r="BD772" s="42"/>
      <c r="BE772" s="42"/>
      <c r="BF772" s="42"/>
      <c r="BG772" s="42"/>
      <c r="BH772" s="42"/>
      <c r="BI772" s="42"/>
      <c r="BJ772" s="42"/>
      <c r="BK772" s="42"/>
      <c r="BL772" s="42"/>
      <c r="BM772" s="42"/>
      <c r="BN772" s="42"/>
      <c r="BO772" s="42"/>
      <c r="BP772" s="42"/>
      <c r="BQ772" s="42"/>
      <c r="BR772" s="42"/>
      <c r="BS772" s="42"/>
      <c r="BT772" s="42"/>
      <c r="BU772" s="42"/>
      <c r="BV772" s="42"/>
      <c r="BW772" s="42"/>
      <c r="BX772" s="42"/>
      <c r="BY772" s="42"/>
      <c r="BZ772" s="42"/>
      <c r="CA772" s="42"/>
      <c r="CB772" s="42"/>
      <c r="CC772" s="42"/>
      <c r="CD772" s="42"/>
      <c r="CE772" s="42"/>
      <c r="CF772" s="42"/>
      <c r="CG772" s="42"/>
      <c r="CH772" s="42"/>
      <c r="CS772" s="29"/>
      <c r="CT772" s="29"/>
      <c r="CU772" s="29"/>
      <c r="CV772" s="522"/>
      <c r="CW772" s="522"/>
      <c r="CX772" s="211"/>
      <c r="CY772" s="211"/>
      <c r="CZ772" s="211"/>
      <c r="DA772" s="211"/>
      <c r="DB772" s="211"/>
      <c r="DC772" s="211"/>
      <c r="DD772" s="211"/>
      <c r="DE772" s="211"/>
      <c r="DF772" s="60"/>
      <c r="DG772" s="60"/>
      <c r="DH772" s="60"/>
      <c r="DI772" s="60"/>
      <c r="DJ772" s="60"/>
    </row>
    <row r="773" spans="3:114" s="25" customFormat="1">
      <c r="C773" s="24"/>
      <c r="D773" s="24"/>
      <c r="G773" s="57"/>
      <c r="H773" s="57"/>
      <c r="I773" s="57"/>
      <c r="J773" s="57"/>
      <c r="K773" s="57"/>
      <c r="L773" s="57"/>
      <c r="M773" s="57"/>
      <c r="N773" s="57"/>
      <c r="O773" s="57"/>
      <c r="P773" s="57"/>
      <c r="Q773" s="57"/>
      <c r="R773" s="57"/>
      <c r="S773" s="57"/>
      <c r="T773" s="559"/>
      <c r="U773" s="29"/>
      <c r="V773" s="29"/>
      <c r="AJ773" s="1215"/>
      <c r="AK773" s="1142"/>
      <c r="AM773" s="42"/>
      <c r="AN773" s="42"/>
      <c r="AO773" s="42"/>
      <c r="AP773" s="42"/>
      <c r="AQ773" s="42"/>
      <c r="AR773" s="42"/>
      <c r="AS773" s="42"/>
      <c r="AT773" s="42"/>
      <c r="AU773" s="42"/>
      <c r="AV773" s="42"/>
      <c r="AW773" s="42"/>
      <c r="AX773" s="42"/>
      <c r="AY773" s="42"/>
      <c r="AZ773" s="42"/>
      <c r="BA773" s="42"/>
      <c r="BB773" s="42"/>
      <c r="BC773" s="42"/>
      <c r="BD773" s="42"/>
      <c r="BE773" s="42"/>
      <c r="BF773" s="42"/>
      <c r="BG773" s="42"/>
      <c r="BH773" s="42"/>
      <c r="BI773" s="42"/>
      <c r="BJ773" s="42"/>
      <c r="BK773" s="42"/>
      <c r="BL773" s="42"/>
      <c r="BM773" s="42"/>
      <c r="BN773" s="42"/>
      <c r="BO773" s="42"/>
      <c r="BP773" s="42"/>
      <c r="BQ773" s="42"/>
      <c r="BR773" s="42"/>
      <c r="BS773" s="42"/>
      <c r="BT773" s="42"/>
      <c r="BU773" s="42"/>
      <c r="BV773" s="42"/>
      <c r="BW773" s="42"/>
      <c r="BX773" s="42"/>
      <c r="BY773" s="42"/>
      <c r="BZ773" s="42"/>
      <c r="CA773" s="42"/>
      <c r="CB773" s="42"/>
      <c r="CC773" s="42"/>
      <c r="CD773" s="42"/>
      <c r="CE773" s="42"/>
      <c r="CF773" s="42"/>
      <c r="CG773" s="42"/>
      <c r="CH773" s="42"/>
      <c r="CS773" s="29"/>
      <c r="CT773" s="29"/>
      <c r="CU773" s="29"/>
      <c r="CV773" s="522"/>
      <c r="CW773" s="522"/>
      <c r="CX773" s="211"/>
      <c r="CY773" s="211"/>
      <c r="CZ773" s="211"/>
      <c r="DA773" s="211"/>
      <c r="DB773" s="211"/>
      <c r="DC773" s="211"/>
      <c r="DD773" s="211"/>
      <c r="DE773" s="211"/>
      <c r="DF773" s="60"/>
      <c r="DG773" s="60"/>
      <c r="DH773" s="60"/>
      <c r="DI773" s="60"/>
      <c r="DJ773" s="60"/>
    </row>
    <row r="774" spans="3:114" s="25" customFormat="1">
      <c r="C774" s="24"/>
      <c r="D774" s="24"/>
      <c r="G774" s="57"/>
      <c r="H774" s="57"/>
      <c r="I774" s="57"/>
      <c r="J774" s="57"/>
      <c r="K774" s="57"/>
      <c r="L774" s="57"/>
      <c r="M774" s="57"/>
      <c r="N774" s="57"/>
      <c r="O774" s="57"/>
      <c r="P774" s="57"/>
      <c r="Q774" s="57"/>
      <c r="R774" s="57"/>
      <c r="S774" s="57"/>
      <c r="T774" s="559"/>
      <c r="U774" s="29"/>
      <c r="V774" s="29"/>
      <c r="AJ774" s="1215"/>
      <c r="AK774" s="1142"/>
      <c r="AM774" s="42"/>
      <c r="AN774" s="42"/>
      <c r="AO774" s="42"/>
      <c r="AP774" s="42"/>
      <c r="AQ774" s="42"/>
      <c r="AR774" s="42"/>
      <c r="AS774" s="42"/>
      <c r="AT774" s="42"/>
      <c r="AU774" s="42"/>
      <c r="AV774" s="42"/>
      <c r="AW774" s="42"/>
      <c r="AX774" s="42"/>
      <c r="AY774" s="42"/>
      <c r="AZ774" s="42"/>
      <c r="BA774" s="42"/>
      <c r="BB774" s="42"/>
      <c r="BC774" s="42"/>
      <c r="BD774" s="42"/>
      <c r="BE774" s="42"/>
      <c r="BF774" s="42"/>
      <c r="BG774" s="42"/>
      <c r="BH774" s="42"/>
      <c r="BI774" s="42"/>
      <c r="BJ774" s="42"/>
      <c r="BK774" s="42"/>
      <c r="BL774" s="42"/>
      <c r="BM774" s="42"/>
      <c r="BN774" s="42"/>
      <c r="BO774" s="42"/>
      <c r="BP774" s="42"/>
      <c r="BQ774" s="42"/>
      <c r="BR774" s="42"/>
      <c r="BS774" s="42"/>
      <c r="BT774" s="42"/>
      <c r="BU774" s="42"/>
      <c r="BV774" s="42"/>
      <c r="BW774" s="42"/>
      <c r="BX774" s="42"/>
      <c r="BY774" s="42"/>
      <c r="BZ774" s="42"/>
      <c r="CA774" s="42"/>
      <c r="CB774" s="42"/>
      <c r="CC774" s="42"/>
      <c r="CD774" s="42"/>
      <c r="CE774" s="42"/>
      <c r="CF774" s="42"/>
      <c r="CG774" s="42"/>
      <c r="CH774" s="42"/>
      <c r="CS774" s="29"/>
      <c r="CT774" s="29"/>
      <c r="CU774" s="29"/>
      <c r="CV774" s="522"/>
      <c r="CW774" s="522"/>
      <c r="CX774" s="211"/>
      <c r="CY774" s="211"/>
      <c r="CZ774" s="211"/>
      <c r="DA774" s="211"/>
      <c r="DB774" s="211"/>
      <c r="DC774" s="211"/>
      <c r="DD774" s="211"/>
      <c r="DE774" s="211"/>
      <c r="DF774" s="60"/>
      <c r="DG774" s="60"/>
      <c r="DH774" s="60"/>
      <c r="DI774" s="60"/>
      <c r="DJ774" s="60"/>
    </row>
    <row r="775" spans="3:114" s="25" customFormat="1">
      <c r="C775" s="24"/>
      <c r="D775" s="24"/>
      <c r="G775" s="57"/>
      <c r="H775" s="57"/>
      <c r="I775" s="57"/>
      <c r="J775" s="57"/>
      <c r="K775" s="57"/>
      <c r="L775" s="57"/>
      <c r="M775" s="57"/>
      <c r="N775" s="57"/>
      <c r="O775" s="57"/>
      <c r="P775" s="57"/>
      <c r="Q775" s="57"/>
      <c r="R775" s="57"/>
      <c r="S775" s="57"/>
      <c r="T775" s="559"/>
      <c r="U775" s="29"/>
      <c r="V775" s="29"/>
      <c r="AJ775" s="1215"/>
      <c r="AK775" s="1142"/>
      <c r="AM775" s="42"/>
      <c r="AN775" s="42"/>
      <c r="AO775" s="42"/>
      <c r="AP775" s="42"/>
      <c r="AQ775" s="42"/>
      <c r="AR775" s="42"/>
      <c r="AS775" s="42"/>
      <c r="AT775" s="42"/>
      <c r="AU775" s="42"/>
      <c r="AV775" s="42"/>
      <c r="AW775" s="42"/>
      <c r="AX775" s="42"/>
      <c r="AY775" s="42"/>
      <c r="AZ775" s="42"/>
      <c r="BA775" s="42"/>
      <c r="BB775" s="42"/>
      <c r="BC775" s="42"/>
      <c r="BD775" s="42"/>
      <c r="BE775" s="42"/>
      <c r="BF775" s="42"/>
      <c r="BG775" s="42"/>
      <c r="BH775" s="42"/>
      <c r="BI775" s="42"/>
      <c r="BJ775" s="42"/>
      <c r="BK775" s="42"/>
      <c r="BL775" s="42"/>
      <c r="BM775" s="42"/>
      <c r="BN775" s="42"/>
      <c r="BO775" s="42"/>
      <c r="BP775" s="42"/>
      <c r="BQ775" s="42"/>
      <c r="BR775" s="42"/>
      <c r="BS775" s="42"/>
      <c r="BT775" s="42"/>
      <c r="BU775" s="42"/>
      <c r="BV775" s="42"/>
      <c r="BW775" s="42"/>
      <c r="BX775" s="42"/>
      <c r="BY775" s="42"/>
      <c r="BZ775" s="42"/>
      <c r="CA775" s="42"/>
      <c r="CB775" s="42"/>
      <c r="CC775" s="42"/>
      <c r="CD775" s="42"/>
      <c r="CE775" s="42"/>
      <c r="CF775" s="42"/>
      <c r="CG775" s="42"/>
      <c r="CH775" s="42"/>
      <c r="CS775" s="29"/>
      <c r="CT775" s="29"/>
      <c r="CU775" s="29"/>
      <c r="CV775" s="522"/>
      <c r="CW775" s="522"/>
      <c r="CX775" s="211"/>
      <c r="CY775" s="211"/>
      <c r="CZ775" s="211"/>
      <c r="DA775" s="211"/>
      <c r="DB775" s="211"/>
      <c r="DC775" s="211"/>
      <c r="DD775" s="211"/>
      <c r="DE775" s="211"/>
      <c r="DF775" s="60"/>
      <c r="DG775" s="60"/>
      <c r="DH775" s="60"/>
      <c r="DI775" s="60"/>
      <c r="DJ775" s="60"/>
    </row>
    <row r="776" spans="3:114" s="25" customFormat="1">
      <c r="C776" s="24"/>
      <c r="D776" s="24"/>
      <c r="G776" s="57"/>
      <c r="H776" s="57"/>
      <c r="I776" s="57"/>
      <c r="J776" s="57"/>
      <c r="K776" s="57"/>
      <c r="L776" s="57"/>
      <c r="M776" s="57"/>
      <c r="N776" s="57"/>
      <c r="O776" s="57"/>
      <c r="P776" s="57"/>
      <c r="Q776" s="57"/>
      <c r="R776" s="57"/>
      <c r="S776" s="57"/>
      <c r="T776" s="559"/>
      <c r="U776" s="29"/>
      <c r="V776" s="29"/>
      <c r="AJ776" s="1215"/>
      <c r="AK776" s="1142"/>
      <c r="AM776" s="42"/>
      <c r="AN776" s="42"/>
      <c r="AO776" s="42"/>
      <c r="AP776" s="42"/>
      <c r="AQ776" s="42"/>
      <c r="AR776" s="42"/>
      <c r="AS776" s="42"/>
      <c r="AT776" s="42"/>
      <c r="AU776" s="42"/>
      <c r="AV776" s="42"/>
      <c r="AW776" s="42"/>
      <c r="AX776" s="42"/>
      <c r="AY776" s="42"/>
      <c r="AZ776" s="42"/>
      <c r="BA776" s="42"/>
      <c r="BB776" s="42"/>
      <c r="BC776" s="42"/>
      <c r="BD776" s="42"/>
      <c r="BE776" s="42"/>
      <c r="BF776" s="42"/>
      <c r="BG776" s="42"/>
      <c r="BH776" s="42"/>
      <c r="BI776" s="42"/>
      <c r="BJ776" s="42"/>
      <c r="BK776" s="42"/>
      <c r="BL776" s="42"/>
      <c r="BM776" s="42"/>
      <c r="BN776" s="42"/>
      <c r="BO776" s="42"/>
      <c r="BP776" s="42"/>
      <c r="BQ776" s="42"/>
      <c r="BR776" s="42"/>
      <c r="BS776" s="42"/>
      <c r="BT776" s="42"/>
      <c r="BU776" s="42"/>
      <c r="BV776" s="42"/>
      <c r="BW776" s="42"/>
      <c r="BX776" s="42"/>
      <c r="BY776" s="42"/>
      <c r="BZ776" s="42"/>
      <c r="CA776" s="42"/>
      <c r="CB776" s="42"/>
      <c r="CC776" s="42"/>
      <c r="CD776" s="42"/>
      <c r="CE776" s="42"/>
      <c r="CF776" s="42"/>
      <c r="CG776" s="42"/>
      <c r="CH776" s="42"/>
      <c r="CS776" s="29"/>
      <c r="CT776" s="29"/>
      <c r="CU776" s="29"/>
      <c r="CV776" s="522"/>
      <c r="CW776" s="522"/>
      <c r="CX776" s="211"/>
      <c r="CY776" s="211"/>
      <c r="CZ776" s="211"/>
      <c r="DA776" s="211"/>
      <c r="DB776" s="211"/>
      <c r="DC776" s="211"/>
      <c r="DD776" s="211"/>
      <c r="DE776" s="211"/>
      <c r="DF776" s="60"/>
      <c r="DG776" s="60"/>
      <c r="DH776" s="60"/>
      <c r="DI776" s="60"/>
      <c r="DJ776" s="60"/>
    </row>
    <row r="777" spans="3:114" s="25" customFormat="1">
      <c r="C777" s="24"/>
      <c r="D777" s="24"/>
      <c r="G777" s="57"/>
      <c r="H777" s="57"/>
      <c r="I777" s="57"/>
      <c r="J777" s="57"/>
      <c r="K777" s="57"/>
      <c r="L777" s="57"/>
      <c r="M777" s="57"/>
      <c r="N777" s="57"/>
      <c r="O777" s="57"/>
      <c r="P777" s="57"/>
      <c r="Q777" s="57"/>
      <c r="R777" s="57"/>
      <c r="S777" s="57"/>
      <c r="T777" s="559"/>
      <c r="U777" s="29"/>
      <c r="V777" s="29"/>
      <c r="AJ777" s="1215"/>
      <c r="AK777" s="1142"/>
      <c r="AM777" s="42"/>
      <c r="AN777" s="42"/>
      <c r="AO777" s="42"/>
      <c r="AP777" s="42"/>
      <c r="AQ777" s="42"/>
      <c r="AR777" s="42"/>
      <c r="AS777" s="42"/>
      <c r="AT777" s="42"/>
      <c r="AU777" s="42"/>
      <c r="AV777" s="42"/>
      <c r="AW777" s="42"/>
      <c r="AX777" s="42"/>
      <c r="AY777" s="42"/>
      <c r="AZ777" s="42"/>
      <c r="BA777" s="42"/>
      <c r="BB777" s="42"/>
      <c r="BC777" s="42"/>
      <c r="BD777" s="42"/>
      <c r="BE777" s="42"/>
      <c r="BF777" s="42"/>
      <c r="BG777" s="42"/>
      <c r="BH777" s="42"/>
      <c r="BI777" s="42"/>
      <c r="BJ777" s="42"/>
      <c r="BK777" s="42"/>
      <c r="BL777" s="42"/>
      <c r="BM777" s="42"/>
      <c r="BN777" s="42"/>
      <c r="BO777" s="42"/>
      <c r="BP777" s="42"/>
      <c r="BQ777" s="42"/>
      <c r="BR777" s="42"/>
      <c r="BS777" s="42"/>
      <c r="BT777" s="42"/>
      <c r="BU777" s="42"/>
      <c r="BV777" s="42"/>
      <c r="BW777" s="42"/>
      <c r="BX777" s="42"/>
      <c r="BY777" s="42"/>
      <c r="BZ777" s="42"/>
      <c r="CA777" s="42"/>
      <c r="CB777" s="42"/>
      <c r="CC777" s="42"/>
      <c r="CD777" s="42"/>
      <c r="CE777" s="42"/>
      <c r="CF777" s="42"/>
      <c r="CG777" s="42"/>
      <c r="CH777" s="42"/>
      <c r="CS777" s="29"/>
      <c r="CT777" s="29"/>
      <c r="CU777" s="29"/>
      <c r="CV777" s="522"/>
      <c r="CW777" s="522"/>
      <c r="CX777" s="211"/>
      <c r="CY777" s="211"/>
      <c r="CZ777" s="211"/>
      <c r="DA777" s="211"/>
      <c r="DB777" s="211"/>
      <c r="DC777" s="211"/>
      <c r="DD777" s="211"/>
      <c r="DE777" s="211"/>
      <c r="DF777" s="60"/>
      <c r="DG777" s="60"/>
      <c r="DH777" s="60"/>
      <c r="DI777" s="60"/>
      <c r="DJ777" s="60"/>
    </row>
    <row r="778" spans="3:114" s="25" customFormat="1">
      <c r="C778" s="24"/>
      <c r="D778" s="24"/>
      <c r="G778" s="57"/>
      <c r="H778" s="57"/>
      <c r="I778" s="57"/>
      <c r="J778" s="57"/>
      <c r="K778" s="57"/>
      <c r="L778" s="57"/>
      <c r="M778" s="57"/>
      <c r="N778" s="57"/>
      <c r="O778" s="57"/>
      <c r="P778" s="57"/>
      <c r="Q778" s="57"/>
      <c r="R778" s="57"/>
      <c r="S778" s="57"/>
      <c r="T778" s="559"/>
      <c r="U778" s="29"/>
      <c r="V778" s="29"/>
      <c r="AJ778" s="1215"/>
      <c r="AK778" s="1142"/>
      <c r="AM778" s="42"/>
      <c r="AN778" s="42"/>
      <c r="AO778" s="42"/>
      <c r="AP778" s="42"/>
      <c r="AQ778" s="42"/>
      <c r="AR778" s="42"/>
      <c r="AS778" s="42"/>
      <c r="AT778" s="42"/>
      <c r="AU778" s="42"/>
      <c r="AV778" s="42"/>
      <c r="AW778" s="42"/>
      <c r="AX778" s="42"/>
      <c r="AY778" s="42"/>
      <c r="AZ778" s="42"/>
      <c r="BA778" s="42"/>
      <c r="BB778" s="42"/>
      <c r="BC778" s="42"/>
      <c r="BD778" s="42"/>
      <c r="BE778" s="42"/>
      <c r="BF778" s="42"/>
      <c r="BG778" s="42"/>
      <c r="BH778" s="42"/>
      <c r="BI778" s="42"/>
      <c r="BJ778" s="42"/>
      <c r="BK778" s="42"/>
      <c r="BL778" s="42"/>
      <c r="BM778" s="42"/>
      <c r="BN778" s="42"/>
      <c r="BO778" s="42"/>
      <c r="BP778" s="42"/>
      <c r="BQ778" s="42"/>
      <c r="BR778" s="42"/>
      <c r="BS778" s="42"/>
      <c r="BT778" s="42"/>
      <c r="BU778" s="42"/>
      <c r="BV778" s="42"/>
      <c r="BW778" s="42"/>
      <c r="BX778" s="42"/>
      <c r="BY778" s="42"/>
      <c r="BZ778" s="42"/>
      <c r="CA778" s="42"/>
      <c r="CB778" s="42"/>
      <c r="CC778" s="42"/>
      <c r="CD778" s="42"/>
      <c r="CE778" s="42"/>
      <c r="CF778" s="42"/>
      <c r="CG778" s="42"/>
      <c r="CH778" s="42"/>
      <c r="CS778" s="29"/>
      <c r="CT778" s="29"/>
      <c r="CU778" s="29"/>
      <c r="CV778" s="522"/>
      <c r="CW778" s="522"/>
      <c r="CX778" s="211"/>
      <c r="CY778" s="211"/>
      <c r="CZ778" s="211"/>
      <c r="DA778" s="211"/>
      <c r="DB778" s="211"/>
      <c r="DC778" s="211"/>
      <c r="DD778" s="211"/>
      <c r="DE778" s="211"/>
      <c r="DF778" s="60"/>
      <c r="DG778" s="60"/>
      <c r="DH778" s="60"/>
      <c r="DI778" s="60"/>
      <c r="DJ778" s="60"/>
    </row>
    <row r="779" spans="3:114" s="25" customFormat="1">
      <c r="C779" s="24"/>
      <c r="D779" s="24"/>
      <c r="G779" s="57"/>
      <c r="H779" s="57"/>
      <c r="I779" s="57"/>
      <c r="J779" s="57"/>
      <c r="K779" s="57"/>
      <c r="L779" s="57"/>
      <c r="M779" s="57"/>
      <c r="N779" s="57"/>
      <c r="O779" s="57"/>
      <c r="P779" s="57"/>
      <c r="Q779" s="57"/>
      <c r="R779" s="57"/>
      <c r="S779" s="57"/>
      <c r="T779" s="559"/>
      <c r="U779" s="29"/>
      <c r="V779" s="29"/>
      <c r="AJ779" s="1215"/>
      <c r="AK779" s="1142"/>
      <c r="AM779" s="42"/>
      <c r="AN779" s="42"/>
      <c r="AO779" s="42"/>
      <c r="AP779" s="42"/>
      <c r="AQ779" s="42"/>
      <c r="AR779" s="42"/>
      <c r="AS779" s="42"/>
      <c r="AT779" s="42"/>
      <c r="AU779" s="42"/>
      <c r="AV779" s="42"/>
      <c r="AW779" s="42"/>
      <c r="AX779" s="42"/>
      <c r="AY779" s="42"/>
      <c r="AZ779" s="42"/>
      <c r="BA779" s="42"/>
      <c r="BB779" s="42"/>
      <c r="BC779" s="42"/>
      <c r="BD779" s="42"/>
      <c r="BE779" s="42"/>
      <c r="BF779" s="42"/>
      <c r="BG779" s="42"/>
      <c r="BH779" s="42"/>
      <c r="BI779" s="42"/>
      <c r="BJ779" s="42"/>
      <c r="BK779" s="42"/>
      <c r="BL779" s="42"/>
      <c r="BM779" s="42"/>
      <c r="BN779" s="42"/>
      <c r="BO779" s="42"/>
      <c r="BP779" s="42"/>
      <c r="BQ779" s="42"/>
      <c r="BR779" s="42"/>
      <c r="BS779" s="42"/>
      <c r="BT779" s="42"/>
      <c r="BU779" s="42"/>
      <c r="BV779" s="42"/>
      <c r="BW779" s="42"/>
      <c r="BX779" s="42"/>
      <c r="BY779" s="42"/>
      <c r="BZ779" s="42"/>
      <c r="CA779" s="42"/>
      <c r="CB779" s="42"/>
      <c r="CC779" s="42"/>
      <c r="CD779" s="42"/>
      <c r="CE779" s="42"/>
      <c r="CF779" s="42"/>
      <c r="CG779" s="42"/>
      <c r="CH779" s="42"/>
      <c r="CS779" s="29"/>
      <c r="CT779" s="29"/>
      <c r="CU779" s="29"/>
      <c r="CV779" s="522"/>
      <c r="CW779" s="522"/>
      <c r="CX779" s="211"/>
      <c r="CY779" s="211"/>
      <c r="CZ779" s="211"/>
      <c r="DA779" s="211"/>
      <c r="DB779" s="211"/>
      <c r="DC779" s="211"/>
      <c r="DD779" s="211"/>
      <c r="DE779" s="211"/>
      <c r="DF779" s="60"/>
      <c r="DG779" s="60"/>
      <c r="DH779" s="60"/>
      <c r="DI779" s="60"/>
      <c r="DJ779" s="60"/>
    </row>
    <row r="780" spans="3:114" s="25" customFormat="1">
      <c r="C780" s="24"/>
      <c r="D780" s="24"/>
      <c r="G780" s="57"/>
      <c r="H780" s="57"/>
      <c r="I780" s="57"/>
      <c r="J780" s="57"/>
      <c r="K780" s="57"/>
      <c r="L780" s="57"/>
      <c r="M780" s="57"/>
      <c r="N780" s="57"/>
      <c r="O780" s="57"/>
      <c r="P780" s="57"/>
      <c r="Q780" s="57"/>
      <c r="R780" s="57"/>
      <c r="S780" s="57"/>
      <c r="T780" s="559"/>
      <c r="U780" s="29"/>
      <c r="V780" s="29"/>
      <c r="AJ780" s="1215"/>
      <c r="AK780" s="1142"/>
      <c r="AM780" s="42"/>
      <c r="AN780" s="42"/>
      <c r="AO780" s="42"/>
      <c r="AP780" s="42"/>
      <c r="AQ780" s="42"/>
      <c r="AR780" s="42"/>
      <c r="AS780" s="42"/>
      <c r="AT780" s="42"/>
      <c r="AU780" s="42"/>
      <c r="AV780" s="42"/>
      <c r="AW780" s="42"/>
      <c r="AX780" s="42"/>
      <c r="AY780" s="42"/>
      <c r="AZ780" s="42"/>
      <c r="BA780" s="42"/>
      <c r="BB780" s="42"/>
      <c r="BC780" s="42"/>
      <c r="BD780" s="42"/>
      <c r="BE780" s="42"/>
      <c r="BF780" s="42"/>
      <c r="BG780" s="42"/>
      <c r="BH780" s="42"/>
      <c r="BI780" s="42"/>
      <c r="BJ780" s="42"/>
      <c r="BK780" s="42"/>
      <c r="BL780" s="42"/>
      <c r="BM780" s="42"/>
      <c r="BN780" s="42"/>
      <c r="BO780" s="42"/>
      <c r="BP780" s="42"/>
      <c r="BQ780" s="42"/>
      <c r="BR780" s="42"/>
      <c r="BS780" s="42"/>
      <c r="BT780" s="42"/>
      <c r="BU780" s="42"/>
      <c r="BV780" s="42"/>
      <c r="BW780" s="42"/>
      <c r="BX780" s="42"/>
      <c r="BY780" s="42"/>
      <c r="BZ780" s="42"/>
      <c r="CA780" s="42"/>
      <c r="CB780" s="42"/>
      <c r="CC780" s="42"/>
      <c r="CD780" s="42"/>
      <c r="CE780" s="42"/>
      <c r="CF780" s="42"/>
      <c r="CG780" s="42"/>
      <c r="CH780" s="42"/>
      <c r="CS780" s="29"/>
      <c r="CT780" s="29"/>
      <c r="CU780" s="29"/>
      <c r="CV780" s="522"/>
      <c r="CW780" s="522"/>
      <c r="CX780" s="211"/>
      <c r="CY780" s="211"/>
      <c r="CZ780" s="211"/>
      <c r="DA780" s="211"/>
      <c r="DB780" s="211"/>
      <c r="DC780" s="211"/>
      <c r="DD780" s="211"/>
      <c r="DE780" s="211"/>
      <c r="DF780" s="60"/>
      <c r="DG780" s="60"/>
      <c r="DH780" s="60"/>
      <c r="DI780" s="60"/>
      <c r="DJ780" s="60"/>
    </row>
    <row r="781" spans="3:114" s="25" customFormat="1">
      <c r="C781" s="24"/>
      <c r="D781" s="24"/>
      <c r="G781" s="57"/>
      <c r="H781" s="57"/>
      <c r="I781" s="57"/>
      <c r="J781" s="57"/>
      <c r="K781" s="57"/>
      <c r="L781" s="57"/>
      <c r="M781" s="57"/>
      <c r="N781" s="57"/>
      <c r="O781" s="57"/>
      <c r="P781" s="57"/>
      <c r="Q781" s="57"/>
      <c r="R781" s="57"/>
      <c r="S781" s="57"/>
      <c r="T781" s="559"/>
      <c r="U781" s="29"/>
      <c r="V781" s="29"/>
      <c r="AJ781" s="1215"/>
      <c r="AK781" s="1142"/>
      <c r="AM781" s="42"/>
      <c r="AN781" s="42"/>
      <c r="AO781" s="42"/>
      <c r="AP781" s="42"/>
      <c r="AQ781" s="42"/>
      <c r="AR781" s="42"/>
      <c r="AS781" s="42"/>
      <c r="AT781" s="42"/>
      <c r="AU781" s="42"/>
      <c r="AV781" s="42"/>
      <c r="AW781" s="42"/>
      <c r="AX781" s="42"/>
      <c r="AY781" s="42"/>
      <c r="AZ781" s="42"/>
      <c r="BA781" s="42"/>
      <c r="BB781" s="42"/>
      <c r="BC781" s="42"/>
      <c r="BD781" s="42"/>
      <c r="BE781" s="42"/>
      <c r="BF781" s="42"/>
      <c r="BG781" s="42"/>
      <c r="BH781" s="42"/>
      <c r="BI781" s="42"/>
      <c r="BJ781" s="42"/>
      <c r="BK781" s="42"/>
      <c r="BL781" s="42"/>
      <c r="BM781" s="42"/>
      <c r="BN781" s="42"/>
      <c r="BO781" s="42"/>
      <c r="BP781" s="42"/>
      <c r="BQ781" s="42"/>
      <c r="BR781" s="42"/>
      <c r="BS781" s="42"/>
      <c r="BT781" s="42"/>
      <c r="BU781" s="42"/>
      <c r="BV781" s="42"/>
      <c r="BW781" s="42"/>
      <c r="BX781" s="42"/>
      <c r="BY781" s="42"/>
      <c r="BZ781" s="42"/>
      <c r="CA781" s="42"/>
      <c r="CB781" s="42"/>
      <c r="CC781" s="42"/>
      <c r="CD781" s="42"/>
      <c r="CE781" s="42"/>
      <c r="CF781" s="42"/>
      <c r="CG781" s="42"/>
      <c r="CH781" s="42"/>
      <c r="CS781" s="29"/>
      <c r="CT781" s="29"/>
      <c r="CU781" s="29"/>
      <c r="CV781" s="522"/>
      <c r="CW781" s="522"/>
      <c r="CX781" s="211"/>
      <c r="CY781" s="211"/>
      <c r="CZ781" s="211"/>
      <c r="DA781" s="211"/>
      <c r="DB781" s="211"/>
      <c r="DC781" s="211"/>
      <c r="DD781" s="211"/>
      <c r="DE781" s="211"/>
      <c r="DF781" s="60"/>
      <c r="DG781" s="60"/>
      <c r="DH781" s="60"/>
      <c r="DI781" s="60"/>
      <c r="DJ781" s="60"/>
    </row>
    <row r="782" spans="3:114" s="25" customFormat="1">
      <c r="C782" s="24"/>
      <c r="D782" s="24"/>
      <c r="G782" s="57"/>
      <c r="H782" s="57"/>
      <c r="I782" s="57"/>
      <c r="J782" s="57"/>
      <c r="K782" s="57"/>
      <c r="L782" s="57"/>
      <c r="M782" s="57"/>
      <c r="N782" s="57"/>
      <c r="O782" s="57"/>
      <c r="P782" s="57"/>
      <c r="Q782" s="57"/>
      <c r="R782" s="57"/>
      <c r="S782" s="57"/>
      <c r="T782" s="559"/>
      <c r="U782" s="29"/>
      <c r="V782" s="29"/>
      <c r="AJ782" s="1215"/>
      <c r="AK782" s="1142"/>
      <c r="AM782" s="42"/>
      <c r="AN782" s="42"/>
      <c r="AO782" s="42"/>
      <c r="AP782" s="42"/>
      <c r="AQ782" s="42"/>
      <c r="AR782" s="42"/>
      <c r="AS782" s="42"/>
      <c r="AT782" s="42"/>
      <c r="AU782" s="42"/>
      <c r="AV782" s="42"/>
      <c r="AW782" s="42"/>
      <c r="AX782" s="42"/>
      <c r="AY782" s="42"/>
      <c r="AZ782" s="42"/>
      <c r="BA782" s="42"/>
      <c r="BB782" s="42"/>
      <c r="BC782" s="42"/>
      <c r="BD782" s="42"/>
      <c r="BE782" s="42"/>
      <c r="BF782" s="42"/>
      <c r="BG782" s="42"/>
      <c r="BH782" s="42"/>
      <c r="BI782" s="42"/>
      <c r="BJ782" s="42"/>
      <c r="BK782" s="42"/>
      <c r="BL782" s="42"/>
      <c r="BM782" s="42"/>
      <c r="BN782" s="42"/>
      <c r="BO782" s="42"/>
      <c r="BP782" s="42"/>
      <c r="BQ782" s="42"/>
      <c r="BR782" s="42"/>
      <c r="BS782" s="42"/>
      <c r="BT782" s="42"/>
      <c r="BU782" s="42"/>
      <c r="BV782" s="42"/>
      <c r="BW782" s="42"/>
      <c r="BX782" s="42"/>
      <c r="BY782" s="42"/>
      <c r="BZ782" s="42"/>
      <c r="CA782" s="42"/>
      <c r="CB782" s="42"/>
      <c r="CC782" s="42"/>
      <c r="CD782" s="42"/>
      <c r="CE782" s="42"/>
      <c r="CF782" s="42"/>
      <c r="CG782" s="42"/>
      <c r="CH782" s="42"/>
      <c r="CS782" s="29"/>
      <c r="CT782" s="29"/>
      <c r="CU782" s="29"/>
      <c r="CV782" s="522"/>
      <c r="CW782" s="522"/>
      <c r="CX782" s="211"/>
      <c r="CY782" s="211"/>
      <c r="CZ782" s="211"/>
      <c r="DA782" s="211"/>
      <c r="DB782" s="211"/>
      <c r="DC782" s="211"/>
      <c r="DD782" s="211"/>
      <c r="DE782" s="211"/>
      <c r="DF782" s="60"/>
      <c r="DG782" s="60"/>
      <c r="DH782" s="60"/>
      <c r="DI782" s="60"/>
      <c r="DJ782" s="60"/>
    </row>
    <row r="783" spans="3:114" s="25" customFormat="1">
      <c r="C783" s="24"/>
      <c r="D783" s="24"/>
      <c r="G783" s="57"/>
      <c r="H783" s="57"/>
      <c r="I783" s="57"/>
      <c r="J783" s="57"/>
      <c r="K783" s="57"/>
      <c r="L783" s="57"/>
      <c r="M783" s="57"/>
      <c r="N783" s="57"/>
      <c r="O783" s="57"/>
      <c r="P783" s="57"/>
      <c r="Q783" s="57"/>
      <c r="R783" s="57"/>
      <c r="S783" s="57"/>
      <c r="T783" s="559"/>
      <c r="U783" s="29"/>
      <c r="V783" s="29"/>
      <c r="AJ783" s="1215"/>
      <c r="AK783" s="1142"/>
      <c r="AM783" s="42"/>
      <c r="AN783" s="42"/>
      <c r="AO783" s="42"/>
      <c r="AP783" s="42"/>
      <c r="AQ783" s="42"/>
      <c r="AR783" s="42"/>
      <c r="AS783" s="42"/>
      <c r="AT783" s="42"/>
      <c r="AU783" s="42"/>
      <c r="AV783" s="42"/>
      <c r="AW783" s="42"/>
      <c r="AX783" s="42"/>
      <c r="AY783" s="42"/>
      <c r="AZ783" s="42"/>
      <c r="BA783" s="42"/>
      <c r="BB783" s="42"/>
      <c r="BC783" s="42"/>
      <c r="BD783" s="42"/>
      <c r="BE783" s="42"/>
      <c r="BF783" s="42"/>
      <c r="BG783" s="42"/>
      <c r="BH783" s="42"/>
      <c r="BI783" s="42"/>
      <c r="BJ783" s="42"/>
      <c r="BK783" s="42"/>
      <c r="BL783" s="42"/>
      <c r="BM783" s="42"/>
      <c r="BN783" s="42"/>
      <c r="BO783" s="42"/>
      <c r="BP783" s="42"/>
      <c r="BQ783" s="42"/>
      <c r="BR783" s="42"/>
      <c r="BS783" s="42"/>
      <c r="BT783" s="42"/>
      <c r="BU783" s="42"/>
      <c r="BV783" s="42"/>
      <c r="BW783" s="42"/>
      <c r="BX783" s="42"/>
      <c r="BY783" s="42"/>
      <c r="BZ783" s="42"/>
      <c r="CA783" s="42"/>
      <c r="CB783" s="42"/>
      <c r="CC783" s="42"/>
      <c r="CD783" s="42"/>
      <c r="CE783" s="42"/>
      <c r="CF783" s="42"/>
      <c r="CG783" s="42"/>
      <c r="CH783" s="42"/>
      <c r="CS783" s="29"/>
      <c r="CT783" s="29"/>
      <c r="CU783" s="29"/>
      <c r="CV783" s="522"/>
      <c r="CW783" s="522"/>
      <c r="CX783" s="211"/>
      <c r="CY783" s="211"/>
      <c r="CZ783" s="211"/>
      <c r="DA783" s="211"/>
      <c r="DB783" s="211"/>
      <c r="DC783" s="211"/>
      <c r="DD783" s="211"/>
      <c r="DE783" s="211"/>
      <c r="DF783" s="60"/>
      <c r="DG783" s="60"/>
      <c r="DH783" s="60"/>
      <c r="DI783" s="60"/>
      <c r="DJ783" s="60"/>
    </row>
    <row r="784" spans="3:114" s="25" customFormat="1">
      <c r="C784" s="24"/>
      <c r="D784" s="24"/>
      <c r="G784" s="57"/>
      <c r="H784" s="57"/>
      <c r="I784" s="57"/>
      <c r="J784" s="57"/>
      <c r="K784" s="57"/>
      <c r="L784" s="57"/>
      <c r="M784" s="57"/>
      <c r="N784" s="57"/>
      <c r="O784" s="57"/>
      <c r="P784" s="57"/>
      <c r="Q784" s="57"/>
      <c r="R784" s="57"/>
      <c r="S784" s="57"/>
      <c r="T784" s="559"/>
      <c r="U784" s="29"/>
      <c r="V784" s="29"/>
      <c r="AJ784" s="1215"/>
      <c r="AK784" s="1142"/>
      <c r="AM784" s="42"/>
      <c r="AN784" s="42"/>
      <c r="AO784" s="42"/>
      <c r="AP784" s="42"/>
      <c r="AQ784" s="42"/>
      <c r="AR784" s="42"/>
      <c r="AS784" s="42"/>
      <c r="AT784" s="42"/>
      <c r="AU784" s="42"/>
      <c r="AV784" s="42"/>
      <c r="AW784" s="42"/>
      <c r="AX784" s="42"/>
      <c r="AY784" s="42"/>
      <c r="AZ784" s="42"/>
      <c r="BA784" s="42"/>
      <c r="BB784" s="42"/>
      <c r="BC784" s="42"/>
      <c r="BD784" s="42"/>
      <c r="BE784" s="42"/>
      <c r="BF784" s="42"/>
      <c r="BG784" s="42"/>
      <c r="BH784" s="42"/>
      <c r="BI784" s="42"/>
      <c r="BJ784" s="42"/>
      <c r="BK784" s="42"/>
      <c r="BL784" s="42"/>
      <c r="BM784" s="42"/>
      <c r="BN784" s="42"/>
      <c r="BO784" s="42"/>
      <c r="BP784" s="42"/>
      <c r="BQ784" s="42"/>
      <c r="BR784" s="42"/>
      <c r="BS784" s="42"/>
      <c r="BT784" s="42"/>
      <c r="BU784" s="42"/>
      <c r="BV784" s="42"/>
      <c r="BW784" s="42"/>
      <c r="BX784" s="42"/>
      <c r="BY784" s="42"/>
      <c r="BZ784" s="42"/>
      <c r="CA784" s="42"/>
      <c r="CB784" s="42"/>
      <c r="CC784" s="42"/>
      <c r="CD784" s="42"/>
      <c r="CE784" s="42"/>
      <c r="CF784" s="42"/>
      <c r="CG784" s="42"/>
      <c r="CH784" s="42"/>
      <c r="CS784" s="29"/>
      <c r="CT784" s="29"/>
      <c r="CU784" s="29"/>
      <c r="CV784" s="522"/>
      <c r="CW784" s="522"/>
      <c r="CX784" s="211"/>
      <c r="CY784" s="211"/>
      <c r="CZ784" s="211"/>
      <c r="DA784" s="211"/>
      <c r="DB784" s="211"/>
      <c r="DC784" s="211"/>
      <c r="DD784" s="211"/>
      <c r="DE784" s="211"/>
      <c r="DF784" s="60"/>
      <c r="DG784" s="60"/>
      <c r="DH784" s="60"/>
      <c r="DI784" s="60"/>
      <c r="DJ784" s="60"/>
    </row>
    <row r="785" spans="3:114" s="25" customFormat="1">
      <c r="C785" s="24"/>
      <c r="D785" s="24"/>
      <c r="G785" s="57"/>
      <c r="H785" s="57"/>
      <c r="I785" s="57"/>
      <c r="J785" s="57"/>
      <c r="K785" s="57"/>
      <c r="L785" s="57"/>
      <c r="M785" s="57"/>
      <c r="N785" s="57"/>
      <c r="O785" s="57"/>
      <c r="P785" s="57"/>
      <c r="Q785" s="57"/>
      <c r="R785" s="57"/>
      <c r="S785" s="57"/>
      <c r="T785" s="559"/>
      <c r="U785" s="29"/>
      <c r="V785" s="29"/>
      <c r="AJ785" s="1215"/>
      <c r="AK785" s="1142"/>
      <c r="AM785" s="42"/>
      <c r="AN785" s="42"/>
      <c r="AO785" s="42"/>
      <c r="AP785" s="42"/>
      <c r="AQ785" s="42"/>
      <c r="AR785" s="42"/>
      <c r="AS785" s="42"/>
      <c r="AT785" s="42"/>
      <c r="AU785" s="42"/>
      <c r="AV785" s="42"/>
      <c r="AW785" s="42"/>
      <c r="AX785" s="42"/>
      <c r="AY785" s="42"/>
      <c r="AZ785" s="42"/>
      <c r="BA785" s="42"/>
      <c r="BB785" s="42"/>
      <c r="BC785" s="42"/>
      <c r="BD785" s="42"/>
      <c r="BE785" s="42"/>
      <c r="BF785" s="42"/>
      <c r="BG785" s="42"/>
      <c r="BH785" s="42"/>
      <c r="BI785" s="42"/>
      <c r="BJ785" s="42"/>
      <c r="BK785" s="42"/>
      <c r="BL785" s="42"/>
      <c r="BM785" s="42"/>
      <c r="BN785" s="42"/>
      <c r="BO785" s="42"/>
      <c r="BP785" s="42"/>
      <c r="BQ785" s="42"/>
      <c r="BR785" s="42"/>
      <c r="BS785" s="42"/>
      <c r="BT785" s="42"/>
      <c r="BU785" s="42"/>
      <c r="BV785" s="42"/>
      <c r="BW785" s="42"/>
      <c r="BX785" s="42"/>
      <c r="BY785" s="42"/>
      <c r="BZ785" s="42"/>
      <c r="CA785" s="42"/>
      <c r="CB785" s="42"/>
      <c r="CC785" s="42"/>
      <c r="CD785" s="42"/>
      <c r="CE785" s="42"/>
      <c r="CF785" s="42"/>
      <c r="CG785" s="42"/>
      <c r="CH785" s="42"/>
      <c r="CS785" s="29"/>
      <c r="CT785" s="29"/>
      <c r="CU785" s="29"/>
      <c r="CV785" s="522"/>
      <c r="CW785" s="522"/>
      <c r="CX785" s="211"/>
      <c r="CY785" s="211"/>
      <c r="CZ785" s="211"/>
      <c r="DA785" s="211"/>
      <c r="DB785" s="211"/>
      <c r="DC785" s="211"/>
      <c r="DD785" s="211"/>
      <c r="DE785" s="211"/>
      <c r="DF785" s="60"/>
      <c r="DG785" s="60"/>
      <c r="DH785" s="60"/>
      <c r="DI785" s="60"/>
      <c r="DJ785" s="60"/>
    </row>
    <row r="786" spans="3:114" s="25" customFormat="1">
      <c r="C786" s="24"/>
      <c r="D786" s="24"/>
      <c r="G786" s="57"/>
      <c r="H786" s="57"/>
      <c r="I786" s="57"/>
      <c r="J786" s="57"/>
      <c r="K786" s="57"/>
      <c r="L786" s="57"/>
      <c r="M786" s="57"/>
      <c r="N786" s="57"/>
      <c r="O786" s="57"/>
      <c r="P786" s="57"/>
      <c r="Q786" s="57"/>
      <c r="R786" s="57"/>
      <c r="S786" s="57"/>
      <c r="T786" s="559"/>
      <c r="U786" s="29"/>
      <c r="V786" s="29"/>
      <c r="AJ786" s="1215"/>
      <c r="AK786" s="1142"/>
      <c r="AM786" s="42"/>
      <c r="AN786" s="42"/>
      <c r="AO786" s="42"/>
      <c r="AP786" s="42"/>
      <c r="AQ786" s="42"/>
      <c r="AR786" s="42"/>
      <c r="AS786" s="42"/>
      <c r="AT786" s="42"/>
      <c r="AU786" s="42"/>
      <c r="AV786" s="42"/>
      <c r="AW786" s="42"/>
      <c r="AX786" s="42"/>
      <c r="AY786" s="42"/>
      <c r="AZ786" s="42"/>
      <c r="BA786" s="42"/>
      <c r="BB786" s="42"/>
      <c r="BC786" s="42"/>
      <c r="BD786" s="42"/>
      <c r="BE786" s="42"/>
      <c r="BF786" s="42"/>
      <c r="BG786" s="42"/>
      <c r="BH786" s="42"/>
      <c r="BI786" s="42"/>
      <c r="BJ786" s="42"/>
      <c r="BK786" s="42"/>
      <c r="BL786" s="42"/>
      <c r="BM786" s="42"/>
      <c r="BN786" s="42"/>
      <c r="BO786" s="42"/>
      <c r="BP786" s="42"/>
      <c r="BQ786" s="42"/>
      <c r="BR786" s="42"/>
      <c r="BS786" s="42"/>
      <c r="BT786" s="42"/>
      <c r="BU786" s="42"/>
      <c r="BV786" s="42"/>
      <c r="BW786" s="42"/>
      <c r="BX786" s="42"/>
      <c r="BY786" s="42"/>
      <c r="BZ786" s="42"/>
      <c r="CA786" s="42"/>
      <c r="CB786" s="42"/>
      <c r="CC786" s="42"/>
      <c r="CD786" s="42"/>
      <c r="CE786" s="42"/>
      <c r="CF786" s="42"/>
      <c r="CG786" s="42"/>
      <c r="CH786" s="42"/>
      <c r="CS786" s="29"/>
      <c r="CT786" s="29"/>
      <c r="CU786" s="29"/>
      <c r="CV786" s="522"/>
      <c r="CW786" s="522"/>
      <c r="CX786" s="211"/>
      <c r="CY786" s="211"/>
      <c r="CZ786" s="211"/>
      <c r="DA786" s="211"/>
      <c r="DB786" s="211"/>
      <c r="DC786" s="211"/>
      <c r="DD786" s="211"/>
      <c r="DE786" s="211"/>
      <c r="DF786" s="60"/>
      <c r="DG786" s="60"/>
      <c r="DH786" s="60"/>
      <c r="DI786" s="60"/>
      <c r="DJ786" s="60"/>
    </row>
    <row r="787" spans="3:114" s="25" customFormat="1">
      <c r="C787" s="24"/>
      <c r="D787" s="24"/>
      <c r="G787" s="57"/>
      <c r="H787" s="57"/>
      <c r="I787" s="57"/>
      <c r="J787" s="57"/>
      <c r="K787" s="57"/>
      <c r="L787" s="57"/>
      <c r="M787" s="57"/>
      <c r="N787" s="57"/>
      <c r="O787" s="57"/>
      <c r="P787" s="57"/>
      <c r="Q787" s="57"/>
      <c r="R787" s="57"/>
      <c r="S787" s="57"/>
      <c r="T787" s="559"/>
      <c r="U787" s="29"/>
      <c r="V787" s="29"/>
      <c r="AJ787" s="1215"/>
      <c r="AK787" s="1142"/>
      <c r="AM787" s="42"/>
      <c r="AN787" s="42"/>
      <c r="AO787" s="42"/>
      <c r="AP787" s="42"/>
      <c r="AQ787" s="42"/>
      <c r="AR787" s="42"/>
      <c r="AS787" s="42"/>
      <c r="AT787" s="42"/>
      <c r="AU787" s="42"/>
      <c r="AV787" s="42"/>
      <c r="AW787" s="42"/>
      <c r="AX787" s="42"/>
      <c r="AY787" s="42"/>
      <c r="AZ787" s="42"/>
      <c r="BA787" s="42"/>
      <c r="BB787" s="42"/>
      <c r="BC787" s="42"/>
      <c r="BD787" s="42"/>
      <c r="BE787" s="42"/>
      <c r="BF787" s="42"/>
      <c r="BG787" s="42"/>
      <c r="BH787" s="42"/>
      <c r="BI787" s="42"/>
      <c r="BJ787" s="42"/>
      <c r="BK787" s="42"/>
      <c r="BL787" s="42"/>
      <c r="BM787" s="42"/>
      <c r="BN787" s="42"/>
      <c r="BO787" s="42"/>
      <c r="BP787" s="42"/>
      <c r="BQ787" s="42"/>
      <c r="BR787" s="42"/>
      <c r="BS787" s="42"/>
      <c r="BT787" s="42"/>
      <c r="BU787" s="42"/>
      <c r="BV787" s="42"/>
      <c r="BW787" s="42"/>
      <c r="BX787" s="42"/>
      <c r="BY787" s="42"/>
      <c r="BZ787" s="42"/>
      <c r="CA787" s="42"/>
      <c r="CB787" s="42"/>
      <c r="CC787" s="42"/>
      <c r="CD787" s="42"/>
      <c r="CE787" s="42"/>
      <c r="CF787" s="42"/>
      <c r="CG787" s="42"/>
      <c r="CH787" s="42"/>
      <c r="CS787" s="29"/>
      <c r="CT787" s="29"/>
      <c r="CU787" s="29"/>
      <c r="CV787" s="522"/>
      <c r="CW787" s="522"/>
      <c r="CX787" s="211"/>
      <c r="CY787" s="211"/>
      <c r="CZ787" s="211"/>
      <c r="DA787" s="211"/>
      <c r="DB787" s="211"/>
      <c r="DC787" s="211"/>
      <c r="DD787" s="211"/>
      <c r="DE787" s="211"/>
      <c r="DF787" s="60"/>
      <c r="DG787" s="60"/>
      <c r="DH787" s="60"/>
      <c r="DI787" s="60"/>
      <c r="DJ787" s="60"/>
    </row>
    <row r="788" spans="3:114" s="25" customFormat="1">
      <c r="C788" s="24"/>
      <c r="D788" s="24"/>
      <c r="G788" s="57"/>
      <c r="H788" s="57"/>
      <c r="I788" s="57"/>
      <c r="J788" s="57"/>
      <c r="K788" s="57"/>
      <c r="L788" s="57"/>
      <c r="M788" s="57"/>
      <c r="N788" s="57"/>
      <c r="O788" s="57"/>
      <c r="P788" s="57"/>
      <c r="Q788" s="57"/>
      <c r="R788" s="57"/>
      <c r="S788" s="57"/>
      <c r="T788" s="559"/>
      <c r="U788" s="29"/>
      <c r="V788" s="29"/>
      <c r="AJ788" s="1215"/>
      <c r="AK788" s="1142"/>
      <c r="AM788" s="42"/>
      <c r="AN788" s="42"/>
      <c r="AO788" s="42"/>
      <c r="AP788" s="42"/>
      <c r="AQ788" s="42"/>
      <c r="AR788" s="42"/>
      <c r="AS788" s="42"/>
      <c r="AT788" s="42"/>
      <c r="AU788" s="42"/>
      <c r="AV788" s="42"/>
      <c r="AW788" s="42"/>
      <c r="AX788" s="42"/>
      <c r="AY788" s="42"/>
      <c r="AZ788" s="42"/>
      <c r="BA788" s="42"/>
      <c r="BB788" s="42"/>
      <c r="BC788" s="42"/>
      <c r="BD788" s="42"/>
      <c r="BE788" s="42"/>
      <c r="BF788" s="42"/>
      <c r="BG788" s="42"/>
      <c r="BH788" s="42"/>
      <c r="BI788" s="42"/>
      <c r="BJ788" s="42"/>
      <c r="BK788" s="42"/>
      <c r="BL788" s="42"/>
      <c r="BM788" s="42"/>
      <c r="BN788" s="42"/>
      <c r="BO788" s="42"/>
      <c r="BP788" s="42"/>
      <c r="BQ788" s="42"/>
      <c r="BR788" s="42"/>
      <c r="BS788" s="42"/>
      <c r="BT788" s="42"/>
      <c r="BU788" s="42"/>
      <c r="BV788" s="42"/>
      <c r="BW788" s="42"/>
      <c r="BX788" s="42"/>
      <c r="BY788" s="42"/>
      <c r="BZ788" s="42"/>
      <c r="CA788" s="42"/>
      <c r="CB788" s="42"/>
      <c r="CC788" s="42"/>
      <c r="CD788" s="42"/>
      <c r="CE788" s="42"/>
      <c r="CF788" s="42"/>
      <c r="CG788" s="42"/>
      <c r="CH788" s="42"/>
      <c r="CS788" s="29"/>
      <c r="CT788" s="29"/>
      <c r="CU788" s="29"/>
      <c r="CV788" s="522"/>
      <c r="CW788" s="522"/>
      <c r="CX788" s="211"/>
      <c r="CY788" s="211"/>
      <c r="CZ788" s="211"/>
      <c r="DA788" s="211"/>
      <c r="DB788" s="211"/>
      <c r="DC788" s="211"/>
      <c r="DD788" s="211"/>
      <c r="DE788" s="211"/>
      <c r="DF788" s="60"/>
      <c r="DG788" s="60"/>
      <c r="DH788" s="60"/>
      <c r="DI788" s="60"/>
      <c r="DJ788" s="60"/>
    </row>
    <row r="789" spans="3:114" s="25" customFormat="1">
      <c r="C789" s="24"/>
      <c r="D789" s="24"/>
      <c r="G789" s="57"/>
      <c r="H789" s="57"/>
      <c r="I789" s="57"/>
      <c r="J789" s="57"/>
      <c r="K789" s="57"/>
      <c r="L789" s="57"/>
      <c r="M789" s="57"/>
      <c r="N789" s="57"/>
      <c r="O789" s="57"/>
      <c r="P789" s="57"/>
      <c r="Q789" s="57"/>
      <c r="R789" s="57"/>
      <c r="S789" s="57"/>
      <c r="T789" s="559"/>
      <c r="U789" s="29"/>
      <c r="V789" s="29"/>
      <c r="AJ789" s="1215"/>
      <c r="AK789" s="1142"/>
      <c r="AM789" s="42"/>
      <c r="AN789" s="42"/>
      <c r="AO789" s="42"/>
      <c r="AP789" s="42"/>
      <c r="AQ789" s="42"/>
      <c r="AR789" s="42"/>
      <c r="AS789" s="42"/>
      <c r="AT789" s="42"/>
      <c r="AU789" s="42"/>
      <c r="AV789" s="42"/>
      <c r="AW789" s="42"/>
      <c r="AX789" s="42"/>
      <c r="AY789" s="42"/>
      <c r="AZ789" s="42"/>
      <c r="BA789" s="42"/>
      <c r="BB789" s="42"/>
      <c r="BC789" s="42"/>
      <c r="BD789" s="42"/>
      <c r="BE789" s="42"/>
      <c r="BF789" s="42"/>
      <c r="BG789" s="42"/>
      <c r="BH789" s="42"/>
      <c r="BI789" s="42"/>
      <c r="BJ789" s="42"/>
      <c r="BK789" s="42"/>
      <c r="BL789" s="42"/>
      <c r="BM789" s="42"/>
      <c r="BN789" s="42"/>
      <c r="BO789" s="42"/>
      <c r="BP789" s="42"/>
      <c r="BQ789" s="42"/>
      <c r="BR789" s="42"/>
      <c r="BS789" s="42"/>
      <c r="BT789" s="42"/>
      <c r="BU789" s="42"/>
      <c r="BV789" s="42"/>
      <c r="BW789" s="42"/>
      <c r="BX789" s="42"/>
      <c r="BY789" s="42"/>
      <c r="BZ789" s="42"/>
      <c r="CA789" s="42"/>
      <c r="CB789" s="42"/>
      <c r="CC789" s="42"/>
      <c r="CD789" s="42"/>
      <c r="CE789" s="42"/>
      <c r="CF789" s="42"/>
      <c r="CG789" s="42"/>
      <c r="CH789" s="42"/>
      <c r="CS789" s="29"/>
      <c r="CT789" s="29"/>
      <c r="CU789" s="29"/>
      <c r="CV789" s="522"/>
      <c r="CW789" s="522"/>
      <c r="CX789" s="211"/>
      <c r="CY789" s="211"/>
      <c r="CZ789" s="211"/>
      <c r="DA789" s="211"/>
      <c r="DB789" s="211"/>
      <c r="DC789" s="211"/>
      <c r="DD789" s="211"/>
      <c r="DE789" s="211"/>
      <c r="DF789" s="60"/>
      <c r="DG789" s="60"/>
      <c r="DH789" s="60"/>
      <c r="DI789" s="60"/>
      <c r="DJ789" s="60"/>
    </row>
    <row r="790" spans="3:114" s="25" customFormat="1">
      <c r="C790" s="24"/>
      <c r="D790" s="24"/>
      <c r="G790" s="57"/>
      <c r="H790" s="57"/>
      <c r="I790" s="57"/>
      <c r="J790" s="57"/>
      <c r="K790" s="57"/>
      <c r="L790" s="57"/>
      <c r="M790" s="57"/>
      <c r="N790" s="57"/>
      <c r="O790" s="57"/>
      <c r="P790" s="57"/>
      <c r="Q790" s="57"/>
      <c r="R790" s="57"/>
      <c r="S790" s="57"/>
      <c r="T790" s="559"/>
      <c r="U790" s="29"/>
      <c r="V790" s="29"/>
      <c r="AJ790" s="1215"/>
      <c r="AK790" s="1142"/>
      <c r="AM790" s="42"/>
      <c r="AN790" s="42"/>
      <c r="AO790" s="42"/>
      <c r="AP790" s="42"/>
      <c r="AQ790" s="42"/>
      <c r="AR790" s="42"/>
      <c r="AS790" s="42"/>
      <c r="AT790" s="42"/>
      <c r="AU790" s="42"/>
      <c r="AV790" s="42"/>
      <c r="AW790" s="42"/>
      <c r="AX790" s="42"/>
      <c r="AY790" s="42"/>
      <c r="AZ790" s="42"/>
      <c r="BA790" s="42"/>
      <c r="BB790" s="42"/>
      <c r="BC790" s="42"/>
      <c r="BD790" s="42"/>
      <c r="BE790" s="42"/>
      <c r="BF790" s="42"/>
      <c r="BG790" s="42"/>
      <c r="BH790" s="42"/>
      <c r="BI790" s="42"/>
      <c r="BJ790" s="42"/>
      <c r="BK790" s="42"/>
      <c r="BL790" s="42"/>
      <c r="BM790" s="42"/>
      <c r="BN790" s="42"/>
      <c r="BO790" s="42"/>
      <c r="BP790" s="42"/>
      <c r="BQ790" s="42"/>
      <c r="BR790" s="42"/>
      <c r="BS790" s="42"/>
      <c r="BT790" s="42"/>
      <c r="BU790" s="42"/>
      <c r="BV790" s="42"/>
      <c r="BW790" s="42"/>
      <c r="BX790" s="42"/>
      <c r="BY790" s="42"/>
      <c r="BZ790" s="42"/>
      <c r="CA790" s="42"/>
      <c r="CB790" s="42"/>
      <c r="CC790" s="42"/>
      <c r="CD790" s="42"/>
      <c r="CE790" s="42"/>
      <c r="CF790" s="42"/>
      <c r="CG790" s="42"/>
      <c r="CH790" s="42"/>
      <c r="CS790" s="29"/>
      <c r="CT790" s="29"/>
      <c r="CU790" s="29"/>
      <c r="CV790" s="522"/>
      <c r="CW790" s="522"/>
      <c r="CX790" s="211"/>
      <c r="CY790" s="211"/>
      <c r="CZ790" s="211"/>
      <c r="DA790" s="211"/>
      <c r="DB790" s="211"/>
      <c r="DC790" s="211"/>
      <c r="DD790" s="211"/>
      <c r="DE790" s="211"/>
      <c r="DF790" s="60"/>
      <c r="DG790" s="60"/>
      <c r="DH790" s="60"/>
      <c r="DI790" s="60"/>
      <c r="DJ790" s="60"/>
    </row>
    <row r="791" spans="3:114" s="25" customFormat="1">
      <c r="C791" s="24"/>
      <c r="D791" s="24"/>
      <c r="G791" s="57"/>
      <c r="H791" s="57"/>
      <c r="I791" s="57"/>
      <c r="J791" s="57"/>
      <c r="K791" s="57"/>
      <c r="L791" s="57"/>
      <c r="M791" s="57"/>
      <c r="N791" s="57"/>
      <c r="O791" s="57"/>
      <c r="P791" s="57"/>
      <c r="Q791" s="57"/>
      <c r="R791" s="57"/>
      <c r="S791" s="57"/>
      <c r="T791" s="559"/>
      <c r="U791" s="29"/>
      <c r="V791" s="29"/>
      <c r="AJ791" s="1215"/>
      <c r="AK791" s="1142"/>
      <c r="AM791" s="42"/>
      <c r="AN791" s="42"/>
      <c r="AO791" s="42"/>
      <c r="AP791" s="42"/>
      <c r="AQ791" s="42"/>
      <c r="AR791" s="42"/>
      <c r="AS791" s="42"/>
      <c r="AT791" s="42"/>
      <c r="AU791" s="42"/>
      <c r="AV791" s="42"/>
      <c r="AW791" s="42"/>
      <c r="AX791" s="42"/>
      <c r="AY791" s="42"/>
      <c r="AZ791" s="42"/>
      <c r="BA791" s="42"/>
      <c r="BB791" s="42"/>
      <c r="BC791" s="42"/>
      <c r="BD791" s="42"/>
      <c r="BE791" s="42"/>
      <c r="BF791" s="42"/>
      <c r="BG791" s="42"/>
      <c r="BH791" s="42"/>
      <c r="BI791" s="42"/>
      <c r="BJ791" s="42"/>
      <c r="BK791" s="42"/>
      <c r="BL791" s="42"/>
      <c r="BM791" s="42"/>
      <c r="BN791" s="42"/>
      <c r="BO791" s="42"/>
      <c r="BP791" s="42"/>
      <c r="BQ791" s="42"/>
      <c r="BR791" s="42"/>
      <c r="BS791" s="42"/>
      <c r="BT791" s="42"/>
      <c r="BU791" s="42"/>
      <c r="BV791" s="42"/>
      <c r="BW791" s="42"/>
      <c r="BX791" s="42"/>
      <c r="BY791" s="42"/>
      <c r="BZ791" s="42"/>
      <c r="CA791" s="42"/>
      <c r="CB791" s="42"/>
      <c r="CC791" s="42"/>
      <c r="CD791" s="42"/>
      <c r="CE791" s="42"/>
      <c r="CF791" s="42"/>
      <c r="CG791" s="42"/>
      <c r="CH791" s="42"/>
      <c r="CS791" s="29"/>
      <c r="CT791" s="29"/>
      <c r="CU791" s="29"/>
      <c r="CV791" s="522"/>
      <c r="CW791" s="522"/>
      <c r="CX791" s="211"/>
      <c r="CY791" s="211"/>
      <c r="CZ791" s="211"/>
      <c r="DA791" s="211"/>
      <c r="DB791" s="211"/>
      <c r="DC791" s="211"/>
      <c r="DD791" s="211"/>
      <c r="DE791" s="211"/>
      <c r="DF791" s="60"/>
      <c r="DG791" s="60"/>
      <c r="DH791" s="60"/>
      <c r="DI791" s="60"/>
      <c r="DJ791" s="60"/>
    </row>
    <row r="792" spans="3:114" s="25" customFormat="1">
      <c r="C792" s="24"/>
      <c r="D792" s="24"/>
      <c r="G792" s="57"/>
      <c r="H792" s="57"/>
      <c r="I792" s="57"/>
      <c r="J792" s="57"/>
      <c r="K792" s="57"/>
      <c r="L792" s="57"/>
      <c r="M792" s="57"/>
      <c r="N792" s="57"/>
      <c r="O792" s="57"/>
      <c r="P792" s="57"/>
      <c r="Q792" s="57"/>
      <c r="R792" s="57"/>
      <c r="S792" s="57"/>
      <c r="T792" s="559"/>
      <c r="U792" s="29"/>
      <c r="V792" s="29"/>
      <c r="AJ792" s="1215"/>
      <c r="AK792" s="1142"/>
      <c r="AM792" s="42"/>
      <c r="AN792" s="42"/>
      <c r="AO792" s="42"/>
      <c r="AP792" s="42"/>
      <c r="AQ792" s="42"/>
      <c r="AR792" s="42"/>
      <c r="AS792" s="42"/>
      <c r="AT792" s="42"/>
      <c r="AU792" s="42"/>
      <c r="AV792" s="42"/>
      <c r="AW792" s="42"/>
      <c r="AX792" s="42"/>
      <c r="AY792" s="42"/>
      <c r="AZ792" s="42"/>
      <c r="BA792" s="42"/>
      <c r="BB792" s="42"/>
      <c r="BC792" s="42"/>
      <c r="BD792" s="42"/>
      <c r="BE792" s="42"/>
      <c r="BF792" s="42"/>
      <c r="BG792" s="42"/>
      <c r="BH792" s="42"/>
      <c r="BI792" s="42"/>
      <c r="BJ792" s="42"/>
      <c r="BK792" s="42"/>
      <c r="BL792" s="42"/>
      <c r="BM792" s="42"/>
      <c r="BN792" s="42"/>
      <c r="BO792" s="42"/>
      <c r="BP792" s="42"/>
      <c r="BQ792" s="42"/>
      <c r="BR792" s="42"/>
      <c r="BS792" s="42"/>
      <c r="BT792" s="42"/>
      <c r="BU792" s="42"/>
      <c r="BV792" s="42"/>
      <c r="BW792" s="42"/>
      <c r="BX792" s="42"/>
      <c r="BY792" s="42"/>
      <c r="BZ792" s="42"/>
      <c r="CA792" s="42"/>
      <c r="CB792" s="42"/>
      <c r="CC792" s="42"/>
      <c r="CD792" s="42"/>
      <c r="CE792" s="42"/>
      <c r="CF792" s="42"/>
      <c r="CG792" s="42"/>
      <c r="CH792" s="42"/>
      <c r="CS792" s="29"/>
      <c r="CT792" s="29"/>
      <c r="CU792" s="29"/>
      <c r="CV792" s="522"/>
      <c r="CW792" s="522"/>
      <c r="CX792" s="211"/>
      <c r="CY792" s="211"/>
      <c r="CZ792" s="211"/>
      <c r="DA792" s="211"/>
      <c r="DB792" s="211"/>
      <c r="DC792" s="211"/>
      <c r="DD792" s="211"/>
      <c r="DE792" s="211"/>
      <c r="DF792" s="60"/>
      <c r="DG792" s="60"/>
      <c r="DH792" s="60"/>
      <c r="DI792" s="60"/>
      <c r="DJ792" s="60"/>
    </row>
    <row r="793" spans="3:114" s="25" customFormat="1">
      <c r="C793" s="24"/>
      <c r="D793" s="24"/>
      <c r="G793" s="57"/>
      <c r="H793" s="57"/>
      <c r="I793" s="57"/>
      <c r="J793" s="57"/>
      <c r="K793" s="57"/>
      <c r="L793" s="57"/>
      <c r="M793" s="57"/>
      <c r="N793" s="57"/>
      <c r="O793" s="57"/>
      <c r="P793" s="57"/>
      <c r="Q793" s="57"/>
      <c r="R793" s="57"/>
      <c r="S793" s="57"/>
      <c r="T793" s="559"/>
      <c r="U793" s="29"/>
      <c r="V793" s="29"/>
      <c r="AJ793" s="1215"/>
      <c r="AK793" s="1142"/>
      <c r="AM793" s="42"/>
      <c r="AN793" s="42"/>
      <c r="AO793" s="42"/>
      <c r="AP793" s="42"/>
      <c r="AQ793" s="42"/>
      <c r="AR793" s="42"/>
      <c r="AS793" s="42"/>
      <c r="AT793" s="42"/>
      <c r="AU793" s="42"/>
      <c r="AV793" s="42"/>
      <c r="AW793" s="42"/>
      <c r="AX793" s="42"/>
      <c r="AY793" s="42"/>
      <c r="AZ793" s="42"/>
      <c r="BA793" s="42"/>
      <c r="BB793" s="42"/>
      <c r="BC793" s="42"/>
      <c r="BD793" s="42"/>
      <c r="BE793" s="42"/>
      <c r="BF793" s="42"/>
      <c r="BG793" s="42"/>
      <c r="BH793" s="42"/>
      <c r="BI793" s="42"/>
      <c r="BJ793" s="42"/>
      <c r="BK793" s="42"/>
      <c r="BL793" s="42"/>
      <c r="BM793" s="42"/>
      <c r="BN793" s="42"/>
      <c r="BO793" s="42"/>
      <c r="BP793" s="42"/>
      <c r="BQ793" s="42"/>
      <c r="BR793" s="42"/>
      <c r="BS793" s="42"/>
      <c r="BT793" s="42"/>
      <c r="BU793" s="42"/>
      <c r="BV793" s="42"/>
      <c r="BW793" s="42"/>
      <c r="BX793" s="42"/>
      <c r="BY793" s="42"/>
      <c r="BZ793" s="42"/>
      <c r="CA793" s="42"/>
      <c r="CB793" s="42"/>
      <c r="CC793" s="42"/>
      <c r="CD793" s="42"/>
      <c r="CE793" s="42"/>
      <c r="CF793" s="42"/>
      <c r="CG793" s="42"/>
      <c r="CH793" s="42"/>
      <c r="CS793" s="29"/>
      <c r="CT793" s="29"/>
      <c r="CU793" s="29"/>
      <c r="CV793" s="522"/>
      <c r="CW793" s="522"/>
      <c r="CX793" s="211"/>
      <c r="CY793" s="211"/>
      <c r="CZ793" s="211"/>
      <c r="DA793" s="211"/>
      <c r="DB793" s="211"/>
      <c r="DC793" s="211"/>
      <c r="DD793" s="211"/>
      <c r="DE793" s="211"/>
      <c r="DF793" s="60"/>
      <c r="DG793" s="60"/>
      <c r="DH793" s="60"/>
      <c r="DI793" s="60"/>
      <c r="DJ793" s="60"/>
    </row>
    <row r="794" spans="3:114" s="25" customFormat="1">
      <c r="C794" s="24"/>
      <c r="D794" s="24"/>
      <c r="G794" s="57"/>
      <c r="H794" s="57"/>
      <c r="I794" s="57"/>
      <c r="J794" s="57"/>
      <c r="K794" s="57"/>
      <c r="L794" s="57"/>
      <c r="M794" s="57"/>
      <c r="N794" s="57"/>
      <c r="O794" s="57"/>
      <c r="P794" s="57"/>
      <c r="Q794" s="57"/>
      <c r="R794" s="57"/>
      <c r="S794" s="57"/>
      <c r="T794" s="559"/>
      <c r="U794" s="29"/>
      <c r="V794" s="29"/>
      <c r="AJ794" s="1215"/>
      <c r="AK794" s="1142"/>
      <c r="AM794" s="42"/>
      <c r="AN794" s="42"/>
      <c r="AO794" s="42"/>
      <c r="AP794" s="42"/>
      <c r="AQ794" s="42"/>
      <c r="AR794" s="42"/>
      <c r="AS794" s="42"/>
      <c r="AT794" s="42"/>
      <c r="AU794" s="42"/>
      <c r="AV794" s="42"/>
      <c r="AW794" s="42"/>
      <c r="AX794" s="42"/>
      <c r="AY794" s="42"/>
      <c r="AZ794" s="42"/>
      <c r="BA794" s="42"/>
      <c r="BB794" s="42"/>
      <c r="BC794" s="42"/>
      <c r="BD794" s="42"/>
      <c r="BE794" s="42"/>
      <c r="BF794" s="42"/>
      <c r="BG794" s="42"/>
      <c r="BH794" s="42"/>
      <c r="BI794" s="42"/>
      <c r="BJ794" s="42"/>
      <c r="BK794" s="42"/>
      <c r="BL794" s="42"/>
      <c r="BM794" s="42"/>
      <c r="BN794" s="42"/>
      <c r="BO794" s="42"/>
      <c r="BP794" s="42"/>
      <c r="BQ794" s="42"/>
      <c r="BR794" s="42"/>
      <c r="BS794" s="42"/>
      <c r="BT794" s="42"/>
      <c r="BU794" s="42"/>
      <c r="BV794" s="42"/>
      <c r="BW794" s="42"/>
      <c r="BX794" s="42"/>
      <c r="BY794" s="42"/>
      <c r="BZ794" s="42"/>
      <c r="CA794" s="42"/>
      <c r="CB794" s="42"/>
      <c r="CC794" s="42"/>
      <c r="CD794" s="42"/>
      <c r="CE794" s="42"/>
      <c r="CF794" s="42"/>
      <c r="CG794" s="42"/>
      <c r="CH794" s="42"/>
      <c r="CS794" s="29"/>
      <c r="CT794" s="29"/>
      <c r="CU794" s="29"/>
      <c r="CV794" s="522"/>
      <c r="CW794" s="522"/>
      <c r="CX794" s="211"/>
      <c r="CY794" s="211"/>
      <c r="CZ794" s="211"/>
      <c r="DA794" s="211"/>
      <c r="DB794" s="211"/>
      <c r="DC794" s="211"/>
      <c r="DD794" s="211"/>
      <c r="DE794" s="211"/>
      <c r="DF794" s="60"/>
      <c r="DG794" s="60"/>
      <c r="DH794" s="60"/>
      <c r="DI794" s="60"/>
      <c r="DJ794" s="60"/>
    </row>
    <row r="795" spans="3:114" s="25" customFormat="1">
      <c r="C795" s="24"/>
      <c r="D795" s="24"/>
      <c r="G795" s="57"/>
      <c r="H795" s="57"/>
      <c r="I795" s="57"/>
      <c r="J795" s="57"/>
      <c r="K795" s="57"/>
      <c r="L795" s="57"/>
      <c r="M795" s="57"/>
      <c r="N795" s="57"/>
      <c r="O795" s="57"/>
      <c r="P795" s="57"/>
      <c r="Q795" s="57"/>
      <c r="R795" s="57"/>
      <c r="S795" s="57"/>
      <c r="T795" s="559"/>
      <c r="U795" s="29"/>
      <c r="V795" s="29"/>
      <c r="AJ795" s="1215"/>
      <c r="AK795" s="1142"/>
      <c r="AM795" s="42"/>
      <c r="AN795" s="42"/>
      <c r="AO795" s="42"/>
      <c r="AP795" s="42"/>
      <c r="AQ795" s="42"/>
      <c r="AR795" s="42"/>
      <c r="AS795" s="42"/>
      <c r="AT795" s="42"/>
      <c r="AU795" s="42"/>
      <c r="AV795" s="42"/>
      <c r="AW795" s="42"/>
      <c r="AX795" s="42"/>
      <c r="AY795" s="42"/>
      <c r="AZ795" s="42"/>
      <c r="BA795" s="42"/>
      <c r="BB795" s="42"/>
      <c r="BC795" s="42"/>
      <c r="BD795" s="42"/>
      <c r="BE795" s="42"/>
      <c r="BF795" s="42"/>
      <c r="BG795" s="42"/>
      <c r="BH795" s="42"/>
      <c r="BI795" s="42"/>
      <c r="BJ795" s="42"/>
      <c r="BK795" s="42"/>
      <c r="BL795" s="42"/>
      <c r="BM795" s="42"/>
      <c r="BN795" s="42"/>
      <c r="BO795" s="42"/>
      <c r="BP795" s="42"/>
      <c r="BQ795" s="42"/>
      <c r="BR795" s="42"/>
      <c r="BS795" s="42"/>
      <c r="BT795" s="42"/>
      <c r="BU795" s="42"/>
      <c r="BV795" s="42"/>
      <c r="BW795" s="42"/>
      <c r="BX795" s="42"/>
      <c r="BY795" s="42"/>
      <c r="BZ795" s="42"/>
      <c r="CA795" s="42"/>
      <c r="CB795" s="42"/>
      <c r="CC795" s="42"/>
      <c r="CD795" s="42"/>
      <c r="CE795" s="42"/>
      <c r="CF795" s="42"/>
      <c r="CG795" s="42"/>
      <c r="CH795" s="42"/>
      <c r="CS795" s="29"/>
      <c r="CT795" s="29"/>
      <c r="CU795" s="29"/>
      <c r="CV795" s="522"/>
      <c r="CW795" s="522"/>
      <c r="CX795" s="211"/>
      <c r="CY795" s="211"/>
      <c r="CZ795" s="211"/>
      <c r="DA795" s="211"/>
      <c r="DB795" s="211"/>
      <c r="DC795" s="211"/>
      <c r="DD795" s="211"/>
      <c r="DE795" s="211"/>
      <c r="DF795" s="60"/>
      <c r="DG795" s="60"/>
      <c r="DH795" s="60"/>
      <c r="DI795" s="60"/>
      <c r="DJ795" s="60"/>
    </row>
    <row r="796" spans="3:114" s="25" customFormat="1">
      <c r="C796" s="24"/>
      <c r="D796" s="24"/>
      <c r="G796" s="57"/>
      <c r="H796" s="57"/>
      <c r="I796" s="57"/>
      <c r="J796" s="57"/>
      <c r="K796" s="57"/>
      <c r="L796" s="57"/>
      <c r="M796" s="57"/>
      <c r="N796" s="57"/>
      <c r="O796" s="57"/>
      <c r="P796" s="57"/>
      <c r="Q796" s="57"/>
      <c r="R796" s="57"/>
      <c r="S796" s="57"/>
      <c r="T796" s="559"/>
      <c r="U796" s="29"/>
      <c r="V796" s="29"/>
      <c r="AJ796" s="1215"/>
      <c r="AK796" s="1142"/>
      <c r="AM796" s="42"/>
      <c r="AN796" s="42"/>
      <c r="AO796" s="42"/>
      <c r="AP796" s="42"/>
      <c r="AQ796" s="42"/>
      <c r="AR796" s="42"/>
      <c r="AS796" s="42"/>
      <c r="AT796" s="42"/>
      <c r="AU796" s="42"/>
      <c r="AV796" s="42"/>
      <c r="AW796" s="42"/>
      <c r="AX796" s="42"/>
      <c r="AY796" s="42"/>
      <c r="AZ796" s="42"/>
      <c r="BA796" s="42"/>
      <c r="BB796" s="42"/>
      <c r="BC796" s="42"/>
      <c r="BD796" s="42"/>
      <c r="BE796" s="42"/>
      <c r="BF796" s="42"/>
      <c r="BG796" s="42"/>
      <c r="BH796" s="42"/>
      <c r="BI796" s="42"/>
      <c r="BJ796" s="42"/>
      <c r="BK796" s="42"/>
      <c r="BL796" s="42"/>
      <c r="BM796" s="42"/>
      <c r="BN796" s="42"/>
      <c r="BO796" s="42"/>
      <c r="BP796" s="42"/>
      <c r="BQ796" s="42"/>
      <c r="BR796" s="42"/>
      <c r="BS796" s="42"/>
      <c r="BT796" s="42"/>
      <c r="BU796" s="42"/>
      <c r="BV796" s="42"/>
      <c r="BW796" s="42"/>
      <c r="BX796" s="42"/>
      <c r="BY796" s="42"/>
      <c r="BZ796" s="42"/>
      <c r="CA796" s="42"/>
      <c r="CB796" s="42"/>
      <c r="CC796" s="42"/>
      <c r="CD796" s="42"/>
      <c r="CE796" s="42"/>
      <c r="CF796" s="42"/>
      <c r="CG796" s="42"/>
      <c r="CH796" s="42"/>
      <c r="CS796" s="29"/>
      <c r="CT796" s="29"/>
      <c r="CU796" s="29"/>
      <c r="CV796" s="522"/>
      <c r="CW796" s="522"/>
      <c r="CX796" s="211"/>
      <c r="CY796" s="211"/>
      <c r="CZ796" s="211"/>
      <c r="DA796" s="211"/>
      <c r="DB796" s="211"/>
      <c r="DC796" s="211"/>
      <c r="DD796" s="211"/>
      <c r="DE796" s="211"/>
      <c r="DF796" s="60"/>
      <c r="DG796" s="60"/>
      <c r="DH796" s="60"/>
      <c r="DI796" s="60"/>
      <c r="DJ796" s="60"/>
    </row>
    <row r="797" spans="3:114" s="25" customFormat="1">
      <c r="C797" s="24"/>
      <c r="D797" s="24"/>
      <c r="G797" s="57"/>
      <c r="H797" s="57"/>
      <c r="I797" s="57"/>
      <c r="J797" s="57"/>
      <c r="K797" s="57"/>
      <c r="L797" s="57"/>
      <c r="M797" s="57"/>
      <c r="N797" s="57"/>
      <c r="O797" s="57"/>
      <c r="P797" s="57"/>
      <c r="Q797" s="57"/>
      <c r="R797" s="57"/>
      <c r="S797" s="57"/>
      <c r="T797" s="559"/>
      <c r="U797" s="29"/>
      <c r="V797" s="29"/>
      <c r="AJ797" s="1215"/>
      <c r="AK797" s="1142"/>
      <c r="AM797" s="42"/>
      <c r="AN797" s="42"/>
      <c r="AO797" s="42"/>
      <c r="AP797" s="42"/>
      <c r="AQ797" s="42"/>
      <c r="AR797" s="42"/>
      <c r="AS797" s="42"/>
      <c r="AT797" s="42"/>
      <c r="AU797" s="42"/>
      <c r="AV797" s="42"/>
      <c r="AW797" s="42"/>
      <c r="AX797" s="42"/>
      <c r="AY797" s="42"/>
      <c r="AZ797" s="42"/>
      <c r="BA797" s="42"/>
      <c r="BB797" s="42"/>
      <c r="BC797" s="42"/>
      <c r="BD797" s="42"/>
      <c r="BE797" s="42"/>
      <c r="BF797" s="42"/>
      <c r="BG797" s="42"/>
      <c r="BH797" s="42"/>
      <c r="BI797" s="42"/>
      <c r="BJ797" s="42"/>
      <c r="BK797" s="42"/>
      <c r="BL797" s="42"/>
      <c r="BM797" s="42"/>
      <c r="BN797" s="42"/>
      <c r="BO797" s="42"/>
      <c r="BP797" s="42"/>
      <c r="BQ797" s="42"/>
      <c r="BR797" s="42"/>
      <c r="BS797" s="42"/>
      <c r="BT797" s="42"/>
      <c r="BU797" s="42"/>
      <c r="BV797" s="42"/>
      <c r="BW797" s="42"/>
      <c r="BX797" s="42"/>
      <c r="BY797" s="42"/>
      <c r="BZ797" s="42"/>
      <c r="CA797" s="42"/>
      <c r="CB797" s="42"/>
      <c r="CC797" s="42"/>
      <c r="CD797" s="42"/>
      <c r="CE797" s="42"/>
      <c r="CF797" s="42"/>
      <c r="CG797" s="42"/>
      <c r="CH797" s="42"/>
      <c r="CS797" s="29"/>
      <c r="CT797" s="29"/>
      <c r="CU797" s="29"/>
      <c r="CV797" s="522"/>
      <c r="CW797" s="522"/>
      <c r="CX797" s="211"/>
      <c r="CY797" s="211"/>
      <c r="CZ797" s="211"/>
      <c r="DA797" s="211"/>
      <c r="DB797" s="211"/>
      <c r="DC797" s="211"/>
      <c r="DD797" s="211"/>
      <c r="DE797" s="211"/>
      <c r="DF797" s="60"/>
      <c r="DG797" s="60"/>
      <c r="DH797" s="60"/>
      <c r="DI797" s="60"/>
      <c r="DJ797" s="60"/>
    </row>
    <row r="798" spans="3:114" s="25" customFormat="1">
      <c r="C798" s="24"/>
      <c r="D798" s="24"/>
      <c r="G798" s="57"/>
      <c r="H798" s="57"/>
      <c r="I798" s="57"/>
      <c r="J798" s="57"/>
      <c r="K798" s="57"/>
      <c r="L798" s="57"/>
      <c r="M798" s="57"/>
      <c r="N798" s="57"/>
      <c r="O798" s="57"/>
      <c r="P798" s="57"/>
      <c r="Q798" s="57"/>
      <c r="R798" s="57"/>
      <c r="S798" s="57"/>
      <c r="T798" s="559"/>
      <c r="U798" s="29"/>
      <c r="V798" s="29"/>
      <c r="AJ798" s="1215"/>
      <c r="AK798" s="1142"/>
      <c r="AM798" s="42"/>
      <c r="AN798" s="42"/>
      <c r="AO798" s="42"/>
      <c r="AP798" s="42"/>
      <c r="AQ798" s="42"/>
      <c r="AR798" s="42"/>
      <c r="AS798" s="42"/>
      <c r="AT798" s="42"/>
      <c r="AU798" s="42"/>
      <c r="AV798" s="42"/>
      <c r="AW798" s="42"/>
      <c r="AX798" s="42"/>
      <c r="AY798" s="42"/>
      <c r="AZ798" s="42"/>
      <c r="BA798" s="42"/>
      <c r="BB798" s="42"/>
      <c r="BC798" s="42"/>
      <c r="BD798" s="42"/>
      <c r="BE798" s="42"/>
      <c r="BF798" s="42"/>
      <c r="BG798" s="42"/>
      <c r="BH798" s="42"/>
      <c r="BI798" s="42"/>
      <c r="BJ798" s="42"/>
      <c r="BK798" s="42"/>
      <c r="BL798" s="42"/>
      <c r="BM798" s="42"/>
      <c r="BN798" s="42"/>
      <c r="BO798" s="42"/>
      <c r="BP798" s="42"/>
      <c r="BQ798" s="42"/>
      <c r="BR798" s="42"/>
      <c r="BS798" s="42"/>
      <c r="BT798" s="42"/>
      <c r="BU798" s="42"/>
      <c r="BV798" s="42"/>
      <c r="BW798" s="42"/>
      <c r="BX798" s="42"/>
      <c r="BY798" s="42"/>
      <c r="BZ798" s="42"/>
      <c r="CA798" s="42"/>
      <c r="CB798" s="42"/>
      <c r="CC798" s="42"/>
      <c r="CD798" s="42"/>
      <c r="CE798" s="42"/>
      <c r="CF798" s="42"/>
      <c r="CG798" s="42"/>
      <c r="CH798" s="42"/>
      <c r="CS798" s="29"/>
      <c r="CT798" s="29"/>
      <c r="CU798" s="29"/>
      <c r="CV798" s="522"/>
      <c r="CW798" s="522"/>
      <c r="CX798" s="211"/>
      <c r="CY798" s="211"/>
      <c r="CZ798" s="211"/>
      <c r="DA798" s="211"/>
      <c r="DB798" s="211"/>
      <c r="DC798" s="211"/>
      <c r="DD798" s="211"/>
      <c r="DE798" s="211"/>
      <c r="DF798" s="60"/>
      <c r="DG798" s="60"/>
      <c r="DH798" s="60"/>
      <c r="DI798" s="60"/>
      <c r="DJ798" s="60"/>
    </row>
    <row r="799" spans="3:114" s="25" customFormat="1">
      <c r="C799" s="24"/>
      <c r="D799" s="24"/>
      <c r="G799" s="57"/>
      <c r="H799" s="57"/>
      <c r="I799" s="57"/>
      <c r="J799" s="57"/>
      <c r="K799" s="57"/>
      <c r="L799" s="57"/>
      <c r="M799" s="57"/>
      <c r="N799" s="57"/>
      <c r="O799" s="57"/>
      <c r="P799" s="57"/>
      <c r="Q799" s="57"/>
      <c r="R799" s="57"/>
      <c r="S799" s="57"/>
      <c r="T799" s="559"/>
      <c r="U799" s="29"/>
      <c r="V799" s="29"/>
      <c r="AJ799" s="1215"/>
      <c r="AK799" s="1142"/>
      <c r="AM799" s="42"/>
      <c r="AN799" s="42"/>
      <c r="AO799" s="42"/>
      <c r="AP799" s="42"/>
      <c r="AQ799" s="42"/>
      <c r="AR799" s="42"/>
      <c r="AS799" s="42"/>
      <c r="AT799" s="42"/>
      <c r="AU799" s="42"/>
      <c r="AV799" s="42"/>
      <c r="AW799" s="42"/>
      <c r="AX799" s="42"/>
      <c r="AY799" s="42"/>
      <c r="AZ799" s="42"/>
      <c r="BA799" s="42"/>
      <c r="BB799" s="42"/>
      <c r="BC799" s="42"/>
      <c r="BD799" s="42"/>
      <c r="BE799" s="42"/>
      <c r="BF799" s="42"/>
      <c r="BG799" s="42"/>
      <c r="BH799" s="42"/>
      <c r="BI799" s="42"/>
      <c r="BJ799" s="42"/>
      <c r="BK799" s="42"/>
      <c r="BL799" s="42"/>
      <c r="BM799" s="42"/>
      <c r="BN799" s="42"/>
      <c r="BO799" s="42"/>
      <c r="BP799" s="42"/>
      <c r="BQ799" s="42"/>
      <c r="BR799" s="42"/>
      <c r="BS799" s="42"/>
      <c r="BT799" s="42"/>
      <c r="BU799" s="42"/>
      <c r="BV799" s="42"/>
      <c r="BW799" s="42"/>
      <c r="BX799" s="42"/>
      <c r="BY799" s="42"/>
      <c r="BZ799" s="42"/>
      <c r="CA799" s="42"/>
      <c r="CB799" s="42"/>
      <c r="CC799" s="42"/>
      <c r="CD799" s="42"/>
      <c r="CE799" s="42"/>
      <c r="CF799" s="42"/>
      <c r="CG799" s="42"/>
      <c r="CH799" s="42"/>
      <c r="CS799" s="29"/>
      <c r="CT799" s="29"/>
      <c r="CU799" s="29"/>
      <c r="CV799" s="522"/>
      <c r="CW799" s="522"/>
      <c r="CX799" s="211"/>
      <c r="CY799" s="211"/>
      <c r="CZ799" s="211"/>
      <c r="DA799" s="211"/>
      <c r="DB799" s="211"/>
      <c r="DC799" s="211"/>
      <c r="DD799" s="211"/>
      <c r="DE799" s="211"/>
      <c r="DF799" s="60"/>
      <c r="DG799" s="60"/>
      <c r="DH799" s="60"/>
      <c r="DI799" s="60"/>
      <c r="DJ799" s="60"/>
    </row>
    <row r="800" spans="3:114" s="25" customFormat="1">
      <c r="C800" s="24"/>
      <c r="D800" s="24"/>
      <c r="G800" s="57"/>
      <c r="H800" s="57"/>
      <c r="I800" s="57"/>
      <c r="J800" s="57"/>
      <c r="K800" s="57"/>
      <c r="L800" s="57"/>
      <c r="M800" s="57"/>
      <c r="N800" s="57"/>
      <c r="O800" s="57"/>
      <c r="P800" s="57"/>
      <c r="Q800" s="57"/>
      <c r="R800" s="57"/>
      <c r="S800" s="57"/>
      <c r="T800" s="559"/>
      <c r="U800" s="29"/>
      <c r="V800" s="29"/>
      <c r="AJ800" s="1215"/>
      <c r="AK800" s="1142"/>
      <c r="AM800" s="42"/>
      <c r="AN800" s="42"/>
      <c r="AO800" s="42"/>
      <c r="AP800" s="42"/>
      <c r="AQ800" s="42"/>
      <c r="AR800" s="42"/>
      <c r="AS800" s="42"/>
      <c r="AT800" s="42"/>
      <c r="AU800" s="42"/>
      <c r="AV800" s="42"/>
      <c r="AW800" s="42"/>
      <c r="AX800" s="42"/>
      <c r="AY800" s="42"/>
      <c r="AZ800" s="42"/>
      <c r="BA800" s="42"/>
      <c r="BB800" s="42"/>
      <c r="BC800" s="42"/>
      <c r="BD800" s="42"/>
      <c r="BE800" s="42"/>
      <c r="BF800" s="42"/>
      <c r="BG800" s="42"/>
      <c r="BH800" s="42"/>
      <c r="BI800" s="42"/>
      <c r="BJ800" s="42"/>
      <c r="BK800" s="42"/>
      <c r="BL800" s="42"/>
      <c r="BM800" s="42"/>
      <c r="BN800" s="42"/>
      <c r="BO800" s="42"/>
      <c r="BP800" s="42"/>
      <c r="BQ800" s="42"/>
      <c r="BR800" s="42"/>
      <c r="BS800" s="42"/>
      <c r="BT800" s="42"/>
      <c r="BU800" s="42"/>
      <c r="BV800" s="42"/>
      <c r="BW800" s="42"/>
      <c r="BX800" s="42"/>
      <c r="BY800" s="42"/>
      <c r="BZ800" s="42"/>
      <c r="CA800" s="42"/>
      <c r="CB800" s="42"/>
      <c r="CC800" s="42"/>
      <c r="CD800" s="42"/>
      <c r="CE800" s="42"/>
      <c r="CF800" s="42"/>
      <c r="CG800" s="42"/>
      <c r="CH800" s="42"/>
      <c r="CS800" s="29"/>
      <c r="CT800" s="29"/>
      <c r="CU800" s="29"/>
      <c r="CV800" s="522"/>
      <c r="CW800" s="522"/>
      <c r="CX800" s="211"/>
      <c r="CY800" s="211"/>
      <c r="CZ800" s="211"/>
      <c r="DA800" s="211"/>
      <c r="DB800" s="211"/>
      <c r="DC800" s="211"/>
      <c r="DD800" s="211"/>
      <c r="DE800" s="211"/>
      <c r="DF800" s="60"/>
      <c r="DG800" s="60"/>
      <c r="DH800" s="60"/>
      <c r="DI800" s="60"/>
      <c r="DJ800" s="60"/>
    </row>
    <row r="801" spans="3:114" s="25" customFormat="1">
      <c r="C801" s="24"/>
      <c r="D801" s="24"/>
      <c r="G801" s="57"/>
      <c r="H801" s="57"/>
      <c r="I801" s="57"/>
      <c r="J801" s="57"/>
      <c r="K801" s="57"/>
      <c r="L801" s="57"/>
      <c r="M801" s="57"/>
      <c r="N801" s="57"/>
      <c r="O801" s="57"/>
      <c r="P801" s="57"/>
      <c r="Q801" s="57"/>
      <c r="R801" s="57"/>
      <c r="S801" s="57"/>
      <c r="T801" s="559"/>
      <c r="U801" s="29"/>
      <c r="V801" s="29"/>
      <c r="AJ801" s="1215"/>
      <c r="AK801" s="1142"/>
      <c r="AM801" s="42"/>
      <c r="AN801" s="42"/>
      <c r="AO801" s="42"/>
      <c r="AP801" s="42"/>
      <c r="AQ801" s="42"/>
      <c r="AR801" s="42"/>
      <c r="AS801" s="42"/>
      <c r="AT801" s="42"/>
      <c r="AU801" s="42"/>
      <c r="AV801" s="42"/>
      <c r="AW801" s="42"/>
      <c r="AX801" s="42"/>
      <c r="AY801" s="42"/>
      <c r="AZ801" s="42"/>
      <c r="BA801" s="42"/>
      <c r="BB801" s="42"/>
      <c r="BC801" s="42"/>
      <c r="BD801" s="42"/>
      <c r="BE801" s="42"/>
      <c r="BF801" s="42"/>
      <c r="BG801" s="42"/>
      <c r="BH801" s="42"/>
      <c r="BI801" s="42"/>
      <c r="BJ801" s="42"/>
      <c r="BK801" s="42"/>
      <c r="BL801" s="42"/>
      <c r="BM801" s="42"/>
      <c r="BN801" s="42"/>
      <c r="BO801" s="42"/>
      <c r="BP801" s="42"/>
      <c r="BQ801" s="42"/>
      <c r="BR801" s="42"/>
      <c r="BS801" s="42"/>
      <c r="BT801" s="42"/>
      <c r="BU801" s="42"/>
      <c r="BV801" s="42"/>
      <c r="BW801" s="42"/>
      <c r="BX801" s="42"/>
      <c r="BY801" s="42"/>
      <c r="BZ801" s="42"/>
      <c r="CA801" s="42"/>
      <c r="CB801" s="42"/>
      <c r="CC801" s="42"/>
      <c r="CD801" s="42"/>
      <c r="CE801" s="42"/>
      <c r="CF801" s="42"/>
      <c r="CG801" s="42"/>
      <c r="CH801" s="42"/>
      <c r="CS801" s="29"/>
      <c r="CT801" s="29"/>
      <c r="CU801" s="29"/>
      <c r="CV801" s="522"/>
      <c r="CW801" s="522"/>
      <c r="CX801" s="211"/>
      <c r="CY801" s="211"/>
      <c r="CZ801" s="211"/>
      <c r="DA801" s="211"/>
      <c r="DB801" s="211"/>
      <c r="DC801" s="211"/>
      <c r="DD801" s="211"/>
      <c r="DE801" s="211"/>
      <c r="DF801" s="60"/>
      <c r="DG801" s="60"/>
      <c r="DH801" s="60"/>
      <c r="DI801" s="60"/>
      <c r="DJ801" s="60"/>
    </row>
    <row r="802" spans="3:114" s="25" customFormat="1">
      <c r="C802" s="24"/>
      <c r="D802" s="24"/>
      <c r="G802" s="57"/>
      <c r="H802" s="57"/>
      <c r="I802" s="57"/>
      <c r="J802" s="57"/>
      <c r="K802" s="57"/>
      <c r="L802" s="57"/>
      <c r="M802" s="57"/>
      <c r="N802" s="57"/>
      <c r="O802" s="57"/>
      <c r="P802" s="57"/>
      <c r="Q802" s="57"/>
      <c r="R802" s="57"/>
      <c r="S802" s="57"/>
      <c r="T802" s="559"/>
      <c r="U802" s="29"/>
      <c r="V802" s="29"/>
      <c r="AJ802" s="1215"/>
      <c r="AK802" s="1142"/>
      <c r="AM802" s="42"/>
      <c r="AN802" s="42"/>
      <c r="AO802" s="42"/>
      <c r="AP802" s="42"/>
      <c r="AQ802" s="42"/>
      <c r="AR802" s="42"/>
      <c r="AS802" s="42"/>
      <c r="AT802" s="42"/>
      <c r="AU802" s="42"/>
      <c r="AV802" s="42"/>
      <c r="AW802" s="42"/>
      <c r="AX802" s="42"/>
      <c r="AY802" s="42"/>
      <c r="AZ802" s="42"/>
      <c r="BA802" s="42"/>
      <c r="BB802" s="42"/>
      <c r="BC802" s="42"/>
      <c r="BD802" s="42"/>
      <c r="BE802" s="42"/>
      <c r="BF802" s="42"/>
      <c r="BG802" s="42"/>
      <c r="BH802" s="42"/>
      <c r="BI802" s="42"/>
      <c r="BJ802" s="42"/>
      <c r="BK802" s="42"/>
      <c r="BL802" s="42"/>
      <c r="BM802" s="42"/>
      <c r="BN802" s="42"/>
      <c r="BO802" s="42"/>
      <c r="BP802" s="42"/>
      <c r="BQ802" s="42"/>
      <c r="BR802" s="42"/>
      <c r="BS802" s="42"/>
      <c r="BT802" s="42"/>
      <c r="BU802" s="42"/>
      <c r="BV802" s="42"/>
      <c r="BW802" s="42"/>
      <c r="BX802" s="42"/>
      <c r="BY802" s="42"/>
      <c r="BZ802" s="42"/>
      <c r="CA802" s="42"/>
      <c r="CB802" s="42"/>
      <c r="CC802" s="42"/>
      <c r="CD802" s="42"/>
      <c r="CE802" s="42"/>
      <c r="CF802" s="42"/>
      <c r="CG802" s="42"/>
      <c r="CH802" s="42"/>
      <c r="CS802" s="29"/>
      <c r="CT802" s="29"/>
      <c r="CU802" s="29"/>
      <c r="CV802" s="522"/>
      <c r="CW802" s="522"/>
      <c r="CX802" s="211"/>
      <c r="CY802" s="211"/>
      <c r="CZ802" s="211"/>
      <c r="DA802" s="211"/>
      <c r="DB802" s="211"/>
      <c r="DC802" s="211"/>
      <c r="DD802" s="211"/>
      <c r="DE802" s="211"/>
      <c r="DF802" s="60"/>
      <c r="DG802" s="60"/>
      <c r="DH802" s="60"/>
      <c r="DI802" s="60"/>
      <c r="DJ802" s="60"/>
    </row>
    <row r="803" spans="3:114" s="25" customFormat="1">
      <c r="C803" s="24"/>
      <c r="D803" s="24"/>
      <c r="G803" s="57"/>
      <c r="H803" s="57"/>
      <c r="I803" s="57"/>
      <c r="J803" s="57"/>
      <c r="K803" s="57"/>
      <c r="L803" s="57"/>
      <c r="M803" s="57"/>
      <c r="N803" s="57"/>
      <c r="O803" s="57"/>
      <c r="P803" s="57"/>
      <c r="Q803" s="57"/>
      <c r="R803" s="57"/>
      <c r="S803" s="57"/>
      <c r="T803" s="559"/>
      <c r="U803" s="29"/>
      <c r="V803" s="29"/>
      <c r="AJ803" s="1215"/>
      <c r="AK803" s="1142"/>
      <c r="AM803" s="42"/>
      <c r="AN803" s="42"/>
      <c r="AO803" s="42"/>
      <c r="AP803" s="42"/>
      <c r="AQ803" s="42"/>
      <c r="AR803" s="42"/>
      <c r="AS803" s="42"/>
      <c r="AT803" s="42"/>
      <c r="AU803" s="42"/>
      <c r="AV803" s="42"/>
      <c r="AW803" s="42"/>
      <c r="AX803" s="42"/>
      <c r="AY803" s="42"/>
      <c r="AZ803" s="42"/>
      <c r="BA803" s="42"/>
      <c r="BB803" s="42"/>
      <c r="BC803" s="42"/>
      <c r="BD803" s="42"/>
      <c r="BE803" s="42"/>
      <c r="BF803" s="42"/>
      <c r="BG803" s="42"/>
      <c r="BH803" s="42"/>
      <c r="BI803" s="42"/>
      <c r="BJ803" s="42"/>
      <c r="BK803" s="42"/>
      <c r="BL803" s="42"/>
      <c r="BM803" s="42"/>
      <c r="BN803" s="42"/>
      <c r="BO803" s="42"/>
      <c r="BP803" s="42"/>
      <c r="BQ803" s="42"/>
      <c r="BR803" s="42"/>
      <c r="BS803" s="42"/>
      <c r="BT803" s="42"/>
      <c r="BU803" s="42"/>
      <c r="BV803" s="42"/>
      <c r="BW803" s="42"/>
      <c r="BX803" s="42"/>
      <c r="BY803" s="42"/>
      <c r="BZ803" s="42"/>
      <c r="CA803" s="42"/>
      <c r="CB803" s="42"/>
      <c r="CC803" s="42"/>
      <c r="CD803" s="42"/>
      <c r="CE803" s="42"/>
      <c r="CF803" s="42"/>
      <c r="CG803" s="42"/>
      <c r="CH803" s="42"/>
      <c r="CS803" s="29"/>
      <c r="CT803" s="29"/>
      <c r="CU803" s="29"/>
      <c r="CV803" s="522"/>
      <c r="CW803" s="522"/>
      <c r="CX803" s="211"/>
      <c r="CY803" s="211"/>
      <c r="CZ803" s="211"/>
      <c r="DA803" s="211"/>
      <c r="DB803" s="211"/>
      <c r="DC803" s="211"/>
      <c r="DD803" s="211"/>
      <c r="DE803" s="211"/>
      <c r="DF803" s="60"/>
      <c r="DG803" s="60"/>
      <c r="DH803" s="60"/>
      <c r="DI803" s="60"/>
      <c r="DJ803" s="60"/>
    </row>
    <row r="804" spans="3:114" s="25" customFormat="1">
      <c r="C804" s="24"/>
      <c r="D804" s="24"/>
      <c r="G804" s="57"/>
      <c r="H804" s="57"/>
      <c r="I804" s="57"/>
      <c r="J804" s="57"/>
      <c r="K804" s="57"/>
      <c r="L804" s="57"/>
      <c r="M804" s="57"/>
      <c r="N804" s="57"/>
      <c r="O804" s="57"/>
      <c r="P804" s="57"/>
      <c r="Q804" s="57"/>
      <c r="R804" s="57"/>
      <c r="S804" s="57"/>
      <c r="T804" s="559"/>
      <c r="U804" s="29"/>
      <c r="V804" s="29"/>
      <c r="AJ804" s="1215"/>
      <c r="AK804" s="1142"/>
      <c r="AM804" s="42"/>
      <c r="AN804" s="42"/>
      <c r="AO804" s="42"/>
      <c r="AP804" s="42"/>
      <c r="AQ804" s="42"/>
      <c r="AR804" s="42"/>
      <c r="AS804" s="42"/>
      <c r="AT804" s="42"/>
      <c r="AU804" s="42"/>
      <c r="AV804" s="42"/>
      <c r="AW804" s="42"/>
      <c r="AX804" s="42"/>
      <c r="AY804" s="42"/>
      <c r="AZ804" s="42"/>
      <c r="BA804" s="42"/>
      <c r="BB804" s="42"/>
      <c r="BC804" s="42"/>
      <c r="BD804" s="42"/>
      <c r="BE804" s="42"/>
      <c r="BF804" s="42"/>
      <c r="BG804" s="42"/>
      <c r="BH804" s="42"/>
      <c r="BI804" s="42"/>
      <c r="BJ804" s="42"/>
      <c r="BK804" s="42"/>
      <c r="BL804" s="42"/>
      <c r="BM804" s="42"/>
      <c r="BN804" s="42"/>
      <c r="BO804" s="42"/>
      <c r="BP804" s="42"/>
      <c r="BQ804" s="42"/>
      <c r="BR804" s="42"/>
      <c r="BS804" s="42"/>
      <c r="BT804" s="42"/>
      <c r="BU804" s="42"/>
      <c r="BV804" s="42"/>
      <c r="BW804" s="42"/>
      <c r="BX804" s="42"/>
      <c r="BY804" s="42"/>
      <c r="BZ804" s="42"/>
      <c r="CA804" s="42"/>
      <c r="CB804" s="42"/>
      <c r="CC804" s="42"/>
      <c r="CD804" s="42"/>
      <c r="CE804" s="42"/>
      <c r="CF804" s="42"/>
      <c r="CG804" s="42"/>
      <c r="CH804" s="42"/>
      <c r="CS804" s="29"/>
      <c r="CT804" s="29"/>
      <c r="CU804" s="29"/>
      <c r="CV804" s="522"/>
      <c r="CW804" s="522"/>
      <c r="CX804" s="211"/>
      <c r="CY804" s="211"/>
      <c r="CZ804" s="211"/>
      <c r="DA804" s="211"/>
      <c r="DB804" s="211"/>
      <c r="DC804" s="211"/>
      <c r="DD804" s="211"/>
      <c r="DE804" s="211"/>
      <c r="DF804" s="60"/>
      <c r="DG804" s="60"/>
      <c r="DH804" s="60"/>
      <c r="DI804" s="60"/>
      <c r="DJ804" s="60"/>
    </row>
    <row r="805" spans="3:114" s="25" customFormat="1">
      <c r="C805" s="24"/>
      <c r="D805" s="24"/>
      <c r="G805" s="57"/>
      <c r="H805" s="57"/>
      <c r="I805" s="57"/>
      <c r="J805" s="57"/>
      <c r="K805" s="57"/>
      <c r="L805" s="57"/>
      <c r="M805" s="57"/>
      <c r="N805" s="57"/>
      <c r="O805" s="57"/>
      <c r="P805" s="57"/>
      <c r="Q805" s="57"/>
      <c r="R805" s="57"/>
      <c r="S805" s="57"/>
      <c r="T805" s="559"/>
      <c r="U805" s="29"/>
      <c r="V805" s="29"/>
      <c r="AJ805" s="1215"/>
      <c r="AK805" s="1142"/>
      <c r="AM805" s="42"/>
      <c r="AN805" s="42"/>
      <c r="AO805" s="42"/>
      <c r="AP805" s="42"/>
      <c r="AQ805" s="42"/>
      <c r="AR805" s="42"/>
      <c r="AS805" s="42"/>
      <c r="AT805" s="42"/>
      <c r="AU805" s="42"/>
      <c r="AV805" s="42"/>
      <c r="AW805" s="42"/>
      <c r="AX805" s="42"/>
      <c r="AY805" s="42"/>
      <c r="AZ805" s="42"/>
      <c r="BA805" s="42"/>
      <c r="BB805" s="42"/>
      <c r="BC805" s="42"/>
      <c r="BD805" s="42"/>
      <c r="BE805" s="42"/>
      <c r="BF805" s="42"/>
      <c r="BG805" s="42"/>
      <c r="BH805" s="42"/>
      <c r="BI805" s="42"/>
      <c r="BJ805" s="42"/>
      <c r="BK805" s="42"/>
      <c r="BL805" s="42"/>
      <c r="BM805" s="42"/>
      <c r="BN805" s="42"/>
      <c r="BO805" s="42"/>
      <c r="BP805" s="42"/>
      <c r="BQ805" s="42"/>
      <c r="BR805" s="42"/>
      <c r="BS805" s="42"/>
      <c r="BT805" s="42"/>
      <c r="BU805" s="42"/>
      <c r="BV805" s="42"/>
      <c r="BW805" s="42"/>
      <c r="BX805" s="42"/>
      <c r="BY805" s="42"/>
      <c r="BZ805" s="42"/>
      <c r="CA805" s="42"/>
      <c r="CB805" s="42"/>
      <c r="CC805" s="42"/>
      <c r="CD805" s="42"/>
      <c r="CE805" s="42"/>
      <c r="CF805" s="42"/>
      <c r="CG805" s="42"/>
      <c r="CH805" s="42"/>
      <c r="CS805" s="29"/>
      <c r="CT805" s="29"/>
      <c r="CU805" s="29"/>
      <c r="CV805" s="522"/>
      <c r="CW805" s="522"/>
      <c r="CX805" s="211"/>
      <c r="CY805" s="211"/>
      <c r="CZ805" s="211"/>
      <c r="DA805" s="211"/>
      <c r="DB805" s="211"/>
      <c r="DC805" s="211"/>
      <c r="DD805" s="211"/>
      <c r="DE805" s="211"/>
      <c r="DF805" s="60"/>
      <c r="DG805" s="60"/>
      <c r="DH805" s="60"/>
      <c r="DI805" s="60"/>
      <c r="DJ805" s="60"/>
    </row>
    <row r="806" spans="3:114" s="25" customFormat="1">
      <c r="C806" s="24"/>
      <c r="D806" s="24"/>
      <c r="G806" s="57"/>
      <c r="H806" s="57"/>
      <c r="I806" s="57"/>
      <c r="J806" s="57"/>
      <c r="K806" s="57"/>
      <c r="L806" s="57"/>
      <c r="M806" s="57"/>
      <c r="N806" s="57"/>
      <c r="O806" s="57"/>
      <c r="P806" s="57"/>
      <c r="Q806" s="57"/>
      <c r="R806" s="57"/>
      <c r="S806" s="57"/>
      <c r="T806" s="559"/>
      <c r="U806" s="29"/>
      <c r="V806" s="29"/>
      <c r="AJ806" s="1215"/>
      <c r="AK806" s="1142"/>
      <c r="AM806" s="42"/>
      <c r="AN806" s="42"/>
      <c r="AO806" s="42"/>
      <c r="AP806" s="42"/>
      <c r="AQ806" s="42"/>
      <c r="AR806" s="42"/>
      <c r="AS806" s="42"/>
      <c r="AT806" s="42"/>
      <c r="AU806" s="42"/>
      <c r="AV806" s="42"/>
      <c r="AW806" s="42"/>
      <c r="AX806" s="42"/>
      <c r="AY806" s="42"/>
      <c r="AZ806" s="42"/>
      <c r="BA806" s="42"/>
      <c r="BB806" s="42"/>
      <c r="BC806" s="42"/>
      <c r="BD806" s="42"/>
      <c r="BE806" s="42"/>
      <c r="BF806" s="42"/>
      <c r="BG806" s="42"/>
      <c r="BH806" s="42"/>
      <c r="BI806" s="42"/>
      <c r="BJ806" s="42"/>
      <c r="BK806" s="42"/>
      <c r="BL806" s="42"/>
      <c r="BM806" s="42"/>
      <c r="BN806" s="42"/>
      <c r="BO806" s="42"/>
      <c r="BP806" s="42"/>
      <c r="BQ806" s="42"/>
      <c r="BR806" s="42"/>
      <c r="BS806" s="42"/>
      <c r="BT806" s="42"/>
      <c r="BU806" s="42"/>
      <c r="BV806" s="42"/>
      <c r="BW806" s="42"/>
      <c r="BX806" s="42"/>
      <c r="BY806" s="42"/>
      <c r="BZ806" s="42"/>
      <c r="CA806" s="42"/>
      <c r="CB806" s="42"/>
      <c r="CC806" s="42"/>
      <c r="CD806" s="42"/>
      <c r="CE806" s="42"/>
      <c r="CF806" s="42"/>
      <c r="CG806" s="42"/>
      <c r="CH806" s="42"/>
      <c r="CS806" s="29"/>
      <c r="CT806" s="29"/>
      <c r="CU806" s="29"/>
      <c r="CV806" s="522"/>
      <c r="CW806" s="522"/>
      <c r="CX806" s="211"/>
      <c r="CY806" s="211"/>
      <c r="CZ806" s="211"/>
      <c r="DA806" s="211"/>
      <c r="DB806" s="211"/>
      <c r="DC806" s="211"/>
      <c r="DD806" s="211"/>
      <c r="DE806" s="211"/>
      <c r="DF806" s="60"/>
      <c r="DG806" s="60"/>
      <c r="DH806" s="60"/>
      <c r="DI806" s="60"/>
      <c r="DJ806" s="60"/>
    </row>
    <row r="807" spans="3:114" s="25" customFormat="1">
      <c r="C807" s="24"/>
      <c r="D807" s="24"/>
      <c r="G807" s="57"/>
      <c r="H807" s="57"/>
      <c r="I807" s="57"/>
      <c r="J807" s="57"/>
      <c r="K807" s="57"/>
      <c r="L807" s="57"/>
      <c r="M807" s="57"/>
      <c r="N807" s="57"/>
      <c r="O807" s="57"/>
      <c r="P807" s="57"/>
      <c r="Q807" s="57"/>
      <c r="R807" s="57"/>
      <c r="S807" s="57"/>
      <c r="T807" s="559"/>
      <c r="U807" s="29"/>
      <c r="V807" s="29"/>
      <c r="AJ807" s="1215"/>
      <c r="AK807" s="1142"/>
      <c r="AM807" s="42"/>
      <c r="AN807" s="42"/>
      <c r="AO807" s="42"/>
      <c r="AP807" s="42"/>
      <c r="AQ807" s="42"/>
      <c r="AR807" s="42"/>
      <c r="AS807" s="42"/>
      <c r="AT807" s="42"/>
      <c r="AU807" s="42"/>
      <c r="AV807" s="42"/>
      <c r="AW807" s="42"/>
      <c r="AX807" s="42"/>
      <c r="AY807" s="42"/>
      <c r="AZ807" s="42"/>
      <c r="BA807" s="42"/>
      <c r="BB807" s="42"/>
      <c r="BC807" s="42"/>
      <c r="BD807" s="42"/>
      <c r="BE807" s="42"/>
      <c r="BF807" s="42"/>
      <c r="BG807" s="42"/>
      <c r="BH807" s="42"/>
      <c r="BI807" s="42"/>
      <c r="BJ807" s="42"/>
      <c r="BK807" s="42"/>
      <c r="BL807" s="42"/>
      <c r="BM807" s="42"/>
      <c r="BN807" s="42"/>
      <c r="BO807" s="42"/>
      <c r="BP807" s="42"/>
      <c r="BQ807" s="42"/>
      <c r="BR807" s="42"/>
      <c r="BS807" s="42"/>
      <c r="BT807" s="42"/>
      <c r="BU807" s="42"/>
      <c r="BV807" s="42"/>
      <c r="BW807" s="42"/>
      <c r="BX807" s="42"/>
      <c r="BY807" s="42"/>
      <c r="BZ807" s="42"/>
      <c r="CA807" s="42"/>
      <c r="CB807" s="42"/>
      <c r="CC807" s="42"/>
      <c r="CD807" s="42"/>
      <c r="CE807" s="42"/>
      <c r="CF807" s="42"/>
      <c r="CG807" s="42"/>
      <c r="CH807" s="42"/>
      <c r="CS807" s="29"/>
      <c r="CT807" s="29"/>
      <c r="CU807" s="29"/>
      <c r="CV807" s="522"/>
      <c r="CW807" s="522"/>
      <c r="CX807" s="211"/>
      <c r="CY807" s="211"/>
      <c r="CZ807" s="211"/>
      <c r="DA807" s="211"/>
      <c r="DB807" s="211"/>
      <c r="DC807" s="211"/>
      <c r="DD807" s="211"/>
      <c r="DE807" s="211"/>
      <c r="DF807" s="60"/>
      <c r="DG807" s="60"/>
      <c r="DH807" s="60"/>
      <c r="DI807" s="60"/>
      <c r="DJ807" s="60"/>
    </row>
    <row r="808" spans="3:114" s="25" customFormat="1">
      <c r="C808" s="24"/>
      <c r="D808" s="24"/>
      <c r="G808" s="57"/>
      <c r="H808" s="57"/>
      <c r="I808" s="57"/>
      <c r="J808" s="57"/>
      <c r="K808" s="57"/>
      <c r="L808" s="57"/>
      <c r="M808" s="57"/>
      <c r="N808" s="57"/>
      <c r="O808" s="57"/>
      <c r="P808" s="57"/>
      <c r="Q808" s="57"/>
      <c r="R808" s="57"/>
      <c r="S808" s="57"/>
      <c r="T808" s="559"/>
      <c r="U808" s="29"/>
      <c r="V808" s="29"/>
      <c r="AJ808" s="1215"/>
      <c r="AK808" s="1142"/>
      <c r="AM808" s="42"/>
      <c r="AN808" s="42"/>
      <c r="AO808" s="42"/>
      <c r="AP808" s="42"/>
      <c r="AQ808" s="42"/>
      <c r="AR808" s="42"/>
      <c r="AS808" s="42"/>
      <c r="AT808" s="42"/>
      <c r="AU808" s="42"/>
      <c r="AV808" s="42"/>
      <c r="AW808" s="42"/>
      <c r="AX808" s="42"/>
      <c r="AY808" s="42"/>
      <c r="AZ808" s="42"/>
      <c r="BA808" s="42"/>
      <c r="BB808" s="42"/>
      <c r="BC808" s="42"/>
      <c r="BD808" s="42"/>
      <c r="BE808" s="42"/>
      <c r="BF808" s="42"/>
      <c r="BG808" s="42"/>
      <c r="BH808" s="42"/>
      <c r="BI808" s="42"/>
      <c r="BJ808" s="42"/>
      <c r="BK808" s="42"/>
      <c r="BL808" s="42"/>
      <c r="BM808" s="42"/>
      <c r="BN808" s="42"/>
      <c r="BO808" s="42"/>
      <c r="BP808" s="42"/>
      <c r="BQ808" s="42"/>
      <c r="BR808" s="42"/>
      <c r="BS808" s="42"/>
      <c r="BT808" s="42"/>
      <c r="BU808" s="42"/>
      <c r="BV808" s="42"/>
      <c r="BW808" s="42"/>
      <c r="BX808" s="42"/>
      <c r="BY808" s="42"/>
      <c r="BZ808" s="42"/>
      <c r="CA808" s="42"/>
      <c r="CB808" s="42"/>
      <c r="CC808" s="42"/>
      <c r="CD808" s="42"/>
      <c r="CE808" s="42"/>
      <c r="CF808" s="42"/>
      <c r="CG808" s="42"/>
      <c r="CH808" s="42"/>
      <c r="CS808" s="29"/>
      <c r="CT808" s="29"/>
      <c r="CU808" s="29"/>
      <c r="CV808" s="522"/>
      <c r="CW808" s="522"/>
      <c r="CX808" s="211"/>
      <c r="CY808" s="211"/>
      <c r="CZ808" s="211"/>
      <c r="DA808" s="211"/>
      <c r="DB808" s="211"/>
      <c r="DC808" s="211"/>
      <c r="DD808" s="211"/>
      <c r="DE808" s="211"/>
      <c r="DF808" s="60"/>
      <c r="DG808" s="60"/>
      <c r="DH808" s="60"/>
      <c r="DI808" s="60"/>
      <c r="DJ808" s="60"/>
    </row>
    <row r="809" spans="3:114" s="25" customFormat="1">
      <c r="C809" s="24"/>
      <c r="D809" s="24"/>
      <c r="G809" s="57"/>
      <c r="H809" s="57"/>
      <c r="I809" s="57"/>
      <c r="J809" s="57"/>
      <c r="K809" s="57"/>
      <c r="L809" s="57"/>
      <c r="M809" s="57"/>
      <c r="N809" s="57"/>
      <c r="O809" s="57"/>
      <c r="P809" s="57"/>
      <c r="Q809" s="57"/>
      <c r="R809" s="57"/>
      <c r="S809" s="57"/>
      <c r="T809" s="559"/>
      <c r="U809" s="29"/>
      <c r="V809" s="29"/>
      <c r="AJ809" s="1215"/>
      <c r="AK809" s="1142"/>
      <c r="AM809" s="42"/>
      <c r="AN809" s="42"/>
      <c r="AO809" s="42"/>
      <c r="AP809" s="42"/>
      <c r="AQ809" s="42"/>
      <c r="AR809" s="42"/>
      <c r="AS809" s="42"/>
      <c r="AT809" s="42"/>
      <c r="AU809" s="42"/>
      <c r="AV809" s="42"/>
      <c r="AW809" s="42"/>
      <c r="AX809" s="42"/>
      <c r="AY809" s="42"/>
      <c r="AZ809" s="42"/>
      <c r="BA809" s="42"/>
      <c r="BB809" s="42"/>
      <c r="BC809" s="42"/>
      <c r="BD809" s="42"/>
      <c r="BE809" s="42"/>
      <c r="BF809" s="42"/>
      <c r="BG809" s="42"/>
      <c r="BH809" s="42"/>
      <c r="BI809" s="42"/>
      <c r="BJ809" s="42"/>
      <c r="BK809" s="42"/>
      <c r="BL809" s="42"/>
      <c r="BM809" s="42"/>
      <c r="BN809" s="42"/>
      <c r="BO809" s="42"/>
      <c r="BP809" s="42"/>
      <c r="BQ809" s="42"/>
      <c r="BR809" s="42"/>
      <c r="BS809" s="42"/>
      <c r="BT809" s="42"/>
      <c r="BU809" s="42"/>
      <c r="BV809" s="42"/>
      <c r="BW809" s="42"/>
      <c r="BX809" s="42"/>
      <c r="BY809" s="42"/>
      <c r="BZ809" s="42"/>
      <c r="CA809" s="42"/>
      <c r="CB809" s="42"/>
      <c r="CC809" s="42"/>
      <c r="CD809" s="42"/>
      <c r="CE809" s="42"/>
      <c r="CF809" s="42"/>
      <c r="CG809" s="42"/>
      <c r="CH809" s="42"/>
      <c r="CS809" s="29"/>
      <c r="CT809" s="29"/>
      <c r="CU809" s="29"/>
      <c r="CV809" s="522"/>
      <c r="CW809" s="522"/>
      <c r="CX809" s="211"/>
      <c r="CY809" s="211"/>
      <c r="CZ809" s="211"/>
      <c r="DA809" s="211"/>
      <c r="DB809" s="211"/>
      <c r="DC809" s="211"/>
      <c r="DD809" s="211"/>
      <c r="DE809" s="211"/>
      <c r="DF809" s="60"/>
      <c r="DG809" s="60"/>
      <c r="DH809" s="60"/>
      <c r="DI809" s="60"/>
      <c r="DJ809" s="60"/>
    </row>
    <row r="810" spans="3:114" s="25" customFormat="1">
      <c r="C810" s="24"/>
      <c r="D810" s="24"/>
      <c r="G810" s="57"/>
      <c r="H810" s="57"/>
      <c r="I810" s="57"/>
      <c r="J810" s="57"/>
      <c r="K810" s="57"/>
      <c r="L810" s="57"/>
      <c r="M810" s="57"/>
      <c r="N810" s="57"/>
      <c r="O810" s="57"/>
      <c r="P810" s="57"/>
      <c r="Q810" s="57"/>
      <c r="R810" s="57"/>
      <c r="S810" s="57"/>
      <c r="T810" s="559"/>
      <c r="U810" s="29"/>
      <c r="V810" s="29"/>
      <c r="AJ810" s="1215"/>
      <c r="AK810" s="1142"/>
      <c r="AM810" s="42"/>
      <c r="AN810" s="42"/>
      <c r="AO810" s="42"/>
      <c r="AP810" s="42"/>
      <c r="AQ810" s="42"/>
      <c r="AR810" s="42"/>
      <c r="AS810" s="42"/>
      <c r="AT810" s="42"/>
      <c r="AU810" s="42"/>
      <c r="AV810" s="42"/>
      <c r="AW810" s="42"/>
      <c r="AX810" s="42"/>
      <c r="AY810" s="42"/>
      <c r="AZ810" s="42"/>
      <c r="BA810" s="42"/>
      <c r="BB810" s="42"/>
      <c r="BC810" s="42"/>
      <c r="BD810" s="42"/>
      <c r="BE810" s="42"/>
      <c r="BF810" s="42"/>
      <c r="BG810" s="42"/>
      <c r="BH810" s="42"/>
      <c r="BI810" s="42"/>
      <c r="BJ810" s="42"/>
      <c r="BK810" s="42"/>
      <c r="BL810" s="42"/>
      <c r="BM810" s="42"/>
      <c r="BN810" s="42"/>
      <c r="BO810" s="42"/>
      <c r="BP810" s="42"/>
      <c r="BQ810" s="42"/>
      <c r="BR810" s="42"/>
      <c r="BS810" s="42"/>
      <c r="BT810" s="42"/>
      <c r="BU810" s="42"/>
      <c r="BV810" s="42"/>
      <c r="BW810" s="42"/>
      <c r="BX810" s="42"/>
      <c r="BY810" s="42"/>
      <c r="BZ810" s="42"/>
      <c r="CA810" s="42"/>
      <c r="CB810" s="42"/>
      <c r="CC810" s="42"/>
      <c r="CD810" s="42"/>
      <c r="CE810" s="42"/>
      <c r="CF810" s="42"/>
      <c r="CG810" s="42"/>
      <c r="CH810" s="42"/>
      <c r="CS810" s="29"/>
      <c r="CT810" s="29"/>
      <c r="CU810" s="29"/>
      <c r="CV810" s="522"/>
      <c r="CW810" s="522"/>
      <c r="CX810" s="211"/>
      <c r="CY810" s="211"/>
      <c r="CZ810" s="211"/>
      <c r="DA810" s="211"/>
      <c r="DB810" s="211"/>
      <c r="DC810" s="211"/>
      <c r="DD810" s="211"/>
      <c r="DE810" s="211"/>
      <c r="DF810" s="60"/>
      <c r="DG810" s="60"/>
      <c r="DH810" s="60"/>
      <c r="DI810" s="60"/>
      <c r="DJ810" s="60"/>
    </row>
    <row r="811" spans="3:114" s="25" customFormat="1">
      <c r="C811" s="24"/>
      <c r="D811" s="24"/>
      <c r="G811" s="57"/>
      <c r="H811" s="57"/>
      <c r="I811" s="57"/>
      <c r="J811" s="57"/>
      <c r="K811" s="57"/>
      <c r="L811" s="57"/>
      <c r="M811" s="57"/>
      <c r="N811" s="57"/>
      <c r="O811" s="57"/>
      <c r="P811" s="57"/>
      <c r="Q811" s="57"/>
      <c r="R811" s="57"/>
      <c r="S811" s="57"/>
      <c r="T811" s="559"/>
      <c r="U811" s="29"/>
      <c r="V811" s="29"/>
      <c r="AJ811" s="1215"/>
      <c r="AK811" s="1142"/>
      <c r="AM811" s="42"/>
      <c r="AN811" s="42"/>
      <c r="AO811" s="42"/>
      <c r="AP811" s="42"/>
      <c r="AQ811" s="42"/>
      <c r="AR811" s="42"/>
      <c r="AS811" s="42"/>
      <c r="AT811" s="42"/>
      <c r="AU811" s="42"/>
      <c r="AV811" s="42"/>
      <c r="AW811" s="42"/>
      <c r="AX811" s="42"/>
      <c r="AY811" s="42"/>
      <c r="AZ811" s="42"/>
      <c r="BA811" s="42"/>
      <c r="BB811" s="42"/>
      <c r="BC811" s="42"/>
      <c r="BD811" s="42"/>
      <c r="BE811" s="42"/>
      <c r="BF811" s="42"/>
      <c r="BG811" s="42"/>
      <c r="BH811" s="42"/>
      <c r="BI811" s="42"/>
      <c r="BJ811" s="42"/>
      <c r="BK811" s="42"/>
      <c r="BL811" s="42"/>
      <c r="BM811" s="42"/>
      <c r="BN811" s="42"/>
      <c r="BO811" s="42"/>
      <c r="BP811" s="42"/>
      <c r="BQ811" s="42"/>
      <c r="BR811" s="42"/>
      <c r="BS811" s="42"/>
      <c r="BT811" s="42"/>
      <c r="BU811" s="42"/>
      <c r="BV811" s="42"/>
      <c r="BW811" s="42"/>
      <c r="BX811" s="42"/>
      <c r="BY811" s="42"/>
      <c r="BZ811" s="42"/>
      <c r="CA811" s="42"/>
      <c r="CB811" s="42"/>
      <c r="CC811" s="42"/>
      <c r="CD811" s="42"/>
      <c r="CE811" s="42"/>
      <c r="CF811" s="42"/>
      <c r="CG811" s="42"/>
      <c r="CH811" s="42"/>
      <c r="CS811" s="29"/>
      <c r="CT811" s="29"/>
      <c r="CU811" s="29"/>
      <c r="CV811" s="522"/>
      <c r="CW811" s="522"/>
      <c r="CX811" s="211"/>
      <c r="CY811" s="211"/>
      <c r="CZ811" s="211"/>
      <c r="DA811" s="211"/>
      <c r="DB811" s="211"/>
      <c r="DC811" s="211"/>
      <c r="DD811" s="211"/>
      <c r="DE811" s="211"/>
      <c r="DF811" s="60"/>
      <c r="DG811" s="60"/>
      <c r="DH811" s="60"/>
      <c r="DI811" s="60"/>
      <c r="DJ811" s="60"/>
    </row>
    <row r="812" spans="3:114" s="25" customFormat="1">
      <c r="C812" s="24"/>
      <c r="D812" s="24"/>
      <c r="G812" s="57"/>
      <c r="H812" s="57"/>
      <c r="I812" s="57"/>
      <c r="J812" s="57"/>
      <c r="K812" s="57"/>
      <c r="L812" s="57"/>
      <c r="M812" s="57"/>
      <c r="N812" s="57"/>
      <c r="O812" s="57"/>
      <c r="P812" s="57"/>
      <c r="Q812" s="57"/>
      <c r="R812" s="57"/>
      <c r="S812" s="57"/>
      <c r="T812" s="559"/>
      <c r="U812" s="29"/>
      <c r="V812" s="29"/>
      <c r="AJ812" s="1215"/>
      <c r="AK812" s="1142"/>
      <c r="AM812" s="42"/>
      <c r="AN812" s="42"/>
      <c r="AO812" s="42"/>
      <c r="AP812" s="42"/>
      <c r="AQ812" s="42"/>
      <c r="AR812" s="42"/>
      <c r="AS812" s="42"/>
      <c r="AT812" s="42"/>
      <c r="AU812" s="42"/>
      <c r="AV812" s="42"/>
      <c r="AW812" s="42"/>
      <c r="AX812" s="42"/>
      <c r="AY812" s="42"/>
      <c r="AZ812" s="42"/>
      <c r="BA812" s="42"/>
      <c r="BB812" s="42"/>
      <c r="BC812" s="42"/>
      <c r="BD812" s="42"/>
      <c r="BE812" s="42"/>
      <c r="BF812" s="42"/>
      <c r="BG812" s="42"/>
      <c r="BH812" s="42"/>
      <c r="BI812" s="42"/>
      <c r="BJ812" s="42"/>
      <c r="BK812" s="42"/>
      <c r="BL812" s="42"/>
      <c r="BM812" s="42"/>
      <c r="BN812" s="42"/>
      <c r="BO812" s="42"/>
      <c r="BP812" s="42"/>
      <c r="BQ812" s="42"/>
      <c r="BR812" s="42"/>
      <c r="BS812" s="42"/>
      <c r="BT812" s="42"/>
      <c r="BU812" s="42"/>
      <c r="BV812" s="42"/>
      <c r="BW812" s="42"/>
      <c r="BX812" s="42"/>
      <c r="BY812" s="42"/>
      <c r="BZ812" s="42"/>
      <c r="CA812" s="42"/>
      <c r="CB812" s="42"/>
      <c r="CC812" s="42"/>
      <c r="CD812" s="42"/>
      <c r="CE812" s="42"/>
      <c r="CF812" s="42"/>
      <c r="CG812" s="42"/>
      <c r="CH812" s="42"/>
      <c r="CS812" s="29"/>
      <c r="CT812" s="29"/>
      <c r="CU812" s="29"/>
      <c r="CV812" s="522"/>
      <c r="CW812" s="522"/>
      <c r="CX812" s="211"/>
      <c r="CY812" s="211"/>
      <c r="CZ812" s="211"/>
      <c r="DA812" s="211"/>
      <c r="DB812" s="211"/>
      <c r="DC812" s="211"/>
      <c r="DD812" s="211"/>
      <c r="DE812" s="211"/>
      <c r="DF812" s="60"/>
      <c r="DG812" s="60"/>
      <c r="DH812" s="60"/>
      <c r="DI812" s="60"/>
      <c r="DJ812" s="60"/>
    </row>
    <row r="813" spans="3:114" s="25" customFormat="1">
      <c r="C813" s="24"/>
      <c r="D813" s="24"/>
      <c r="G813" s="57"/>
      <c r="H813" s="57"/>
      <c r="I813" s="57"/>
      <c r="J813" s="57"/>
      <c r="K813" s="57"/>
      <c r="L813" s="57"/>
      <c r="M813" s="57"/>
      <c r="N813" s="57"/>
      <c r="O813" s="57"/>
      <c r="P813" s="57"/>
      <c r="Q813" s="57"/>
      <c r="R813" s="57"/>
      <c r="S813" s="57"/>
      <c r="T813" s="559"/>
      <c r="U813" s="29"/>
      <c r="V813" s="29"/>
      <c r="AJ813" s="1215"/>
      <c r="AK813" s="1142"/>
      <c r="AM813" s="42"/>
      <c r="AN813" s="42"/>
      <c r="AO813" s="42"/>
      <c r="AP813" s="42"/>
      <c r="AQ813" s="42"/>
      <c r="AR813" s="42"/>
      <c r="AS813" s="42"/>
      <c r="AT813" s="42"/>
      <c r="AU813" s="42"/>
      <c r="AV813" s="42"/>
      <c r="AW813" s="42"/>
      <c r="AX813" s="42"/>
      <c r="AY813" s="42"/>
      <c r="AZ813" s="42"/>
      <c r="BA813" s="42"/>
      <c r="BB813" s="42"/>
      <c r="BC813" s="42"/>
      <c r="BD813" s="42"/>
      <c r="BE813" s="42"/>
      <c r="BF813" s="42"/>
      <c r="BG813" s="42"/>
      <c r="BH813" s="42"/>
      <c r="BI813" s="42"/>
      <c r="BJ813" s="42"/>
      <c r="BK813" s="42"/>
      <c r="BL813" s="42"/>
      <c r="BM813" s="42"/>
      <c r="BN813" s="42"/>
      <c r="BO813" s="42"/>
      <c r="BP813" s="42"/>
      <c r="BQ813" s="42"/>
      <c r="BR813" s="42"/>
      <c r="BS813" s="42"/>
      <c r="BT813" s="42"/>
      <c r="BU813" s="42"/>
      <c r="BV813" s="42"/>
      <c r="BW813" s="42"/>
      <c r="BX813" s="42"/>
      <c r="BY813" s="42"/>
      <c r="BZ813" s="42"/>
      <c r="CA813" s="42"/>
      <c r="CB813" s="42"/>
      <c r="CC813" s="42"/>
      <c r="CD813" s="42"/>
      <c r="CE813" s="42"/>
      <c r="CF813" s="42"/>
      <c r="CG813" s="42"/>
      <c r="CH813" s="42"/>
      <c r="CS813" s="29"/>
      <c r="CT813" s="29"/>
      <c r="CU813" s="29"/>
      <c r="CV813" s="522"/>
      <c r="CW813" s="522"/>
      <c r="CX813" s="211"/>
      <c r="CY813" s="211"/>
      <c r="CZ813" s="211"/>
      <c r="DA813" s="211"/>
      <c r="DB813" s="211"/>
      <c r="DC813" s="211"/>
      <c r="DD813" s="211"/>
      <c r="DE813" s="211"/>
      <c r="DF813" s="60"/>
      <c r="DG813" s="60"/>
      <c r="DH813" s="60"/>
      <c r="DI813" s="60"/>
      <c r="DJ813" s="60"/>
    </row>
    <row r="814" spans="3:114" s="25" customFormat="1">
      <c r="C814" s="24"/>
      <c r="D814" s="24"/>
      <c r="G814" s="57"/>
      <c r="H814" s="57"/>
      <c r="I814" s="57"/>
      <c r="J814" s="57"/>
      <c r="K814" s="57"/>
      <c r="L814" s="57"/>
      <c r="M814" s="57"/>
      <c r="N814" s="57"/>
      <c r="O814" s="57"/>
      <c r="P814" s="57"/>
      <c r="Q814" s="57"/>
      <c r="R814" s="57"/>
      <c r="S814" s="57"/>
      <c r="T814" s="559"/>
      <c r="U814" s="29"/>
      <c r="V814" s="29"/>
      <c r="AJ814" s="1215"/>
      <c r="AK814" s="1142"/>
      <c r="AM814" s="42"/>
      <c r="AN814" s="42"/>
      <c r="AO814" s="42"/>
      <c r="AP814" s="42"/>
      <c r="AQ814" s="42"/>
      <c r="AR814" s="42"/>
      <c r="AS814" s="42"/>
      <c r="AT814" s="42"/>
      <c r="AU814" s="42"/>
      <c r="AV814" s="42"/>
      <c r="AW814" s="42"/>
      <c r="AX814" s="42"/>
      <c r="AY814" s="42"/>
      <c r="AZ814" s="42"/>
      <c r="BA814" s="42"/>
      <c r="BB814" s="42"/>
      <c r="BC814" s="42"/>
      <c r="BD814" s="42"/>
      <c r="BE814" s="42"/>
      <c r="BF814" s="42"/>
      <c r="BG814" s="42"/>
      <c r="BH814" s="42"/>
      <c r="BI814" s="42"/>
      <c r="BJ814" s="42"/>
      <c r="BK814" s="42"/>
      <c r="BL814" s="42"/>
      <c r="BM814" s="42"/>
      <c r="BN814" s="42"/>
      <c r="BO814" s="42"/>
      <c r="BP814" s="42"/>
      <c r="BQ814" s="42"/>
      <c r="BR814" s="42"/>
      <c r="BS814" s="42"/>
      <c r="BT814" s="42"/>
      <c r="BU814" s="42"/>
      <c r="BV814" s="42"/>
      <c r="BW814" s="42"/>
      <c r="BX814" s="42"/>
      <c r="BY814" s="42"/>
      <c r="BZ814" s="42"/>
      <c r="CA814" s="42"/>
      <c r="CB814" s="42"/>
      <c r="CC814" s="42"/>
      <c r="CD814" s="42"/>
      <c r="CE814" s="42"/>
      <c r="CF814" s="42"/>
      <c r="CG814" s="42"/>
      <c r="CH814" s="42"/>
      <c r="CS814" s="29"/>
      <c r="CT814" s="29"/>
      <c r="CU814" s="29"/>
      <c r="CV814" s="522"/>
      <c r="CW814" s="522"/>
      <c r="CX814" s="211"/>
      <c r="CY814" s="211"/>
      <c r="CZ814" s="211"/>
      <c r="DA814" s="211"/>
      <c r="DB814" s="211"/>
      <c r="DC814" s="211"/>
      <c r="DD814" s="211"/>
      <c r="DE814" s="211"/>
      <c r="DF814" s="60"/>
      <c r="DG814" s="60"/>
      <c r="DH814" s="60"/>
      <c r="DI814" s="60"/>
      <c r="DJ814" s="60"/>
    </row>
    <row r="815" spans="3:114" s="25" customFormat="1">
      <c r="C815" s="24"/>
      <c r="D815" s="24"/>
      <c r="G815" s="57"/>
      <c r="H815" s="57"/>
      <c r="I815" s="57"/>
      <c r="J815" s="57"/>
      <c r="K815" s="57"/>
      <c r="L815" s="57"/>
      <c r="M815" s="57"/>
      <c r="N815" s="57"/>
      <c r="O815" s="57"/>
      <c r="P815" s="57"/>
      <c r="Q815" s="57"/>
      <c r="R815" s="57"/>
      <c r="S815" s="57"/>
      <c r="T815" s="559"/>
      <c r="U815" s="29"/>
      <c r="V815" s="29"/>
      <c r="AJ815" s="1215"/>
      <c r="AK815" s="1142"/>
      <c r="AM815" s="42"/>
      <c r="AN815" s="42"/>
      <c r="AO815" s="42"/>
      <c r="AP815" s="42"/>
      <c r="AQ815" s="42"/>
      <c r="AR815" s="42"/>
      <c r="AS815" s="42"/>
      <c r="AT815" s="42"/>
      <c r="AU815" s="42"/>
      <c r="AV815" s="42"/>
      <c r="AW815" s="42"/>
      <c r="AX815" s="42"/>
      <c r="AY815" s="42"/>
      <c r="AZ815" s="42"/>
      <c r="BA815" s="42"/>
      <c r="BB815" s="42"/>
      <c r="BC815" s="42"/>
      <c r="BD815" s="42"/>
      <c r="BE815" s="42"/>
      <c r="BF815" s="42"/>
      <c r="BG815" s="42"/>
      <c r="BH815" s="42"/>
      <c r="BI815" s="42"/>
      <c r="BJ815" s="42"/>
      <c r="BK815" s="42"/>
      <c r="BL815" s="42"/>
      <c r="BM815" s="42"/>
      <c r="BN815" s="42"/>
      <c r="BO815" s="42"/>
      <c r="BP815" s="42"/>
      <c r="BQ815" s="42"/>
      <c r="BR815" s="42"/>
      <c r="BS815" s="42"/>
      <c r="BT815" s="42"/>
      <c r="BU815" s="42"/>
      <c r="BV815" s="42"/>
      <c r="BW815" s="42"/>
      <c r="BX815" s="42"/>
      <c r="BY815" s="42"/>
      <c r="BZ815" s="42"/>
      <c r="CA815" s="42"/>
      <c r="CB815" s="42"/>
      <c r="CC815" s="42"/>
      <c r="CD815" s="42"/>
      <c r="CE815" s="42"/>
      <c r="CF815" s="42"/>
      <c r="CG815" s="42"/>
      <c r="CH815" s="42"/>
      <c r="CS815" s="29"/>
      <c r="CT815" s="29"/>
      <c r="CU815" s="29"/>
      <c r="CV815" s="522"/>
      <c r="CW815" s="522"/>
      <c r="CX815" s="211"/>
      <c r="CY815" s="211"/>
      <c r="CZ815" s="211"/>
      <c r="DA815" s="211"/>
      <c r="DB815" s="211"/>
      <c r="DC815" s="211"/>
      <c r="DD815" s="211"/>
      <c r="DE815" s="211"/>
      <c r="DF815" s="60"/>
      <c r="DG815" s="60"/>
      <c r="DH815" s="60"/>
      <c r="DI815" s="60"/>
      <c r="DJ815" s="60"/>
    </row>
    <row r="816" spans="3:114" s="25" customFormat="1">
      <c r="C816" s="24"/>
      <c r="D816" s="24"/>
      <c r="G816" s="57"/>
      <c r="H816" s="57"/>
      <c r="I816" s="57"/>
      <c r="J816" s="57"/>
      <c r="K816" s="57"/>
      <c r="L816" s="57"/>
      <c r="M816" s="57"/>
      <c r="N816" s="57"/>
      <c r="O816" s="57"/>
      <c r="P816" s="57"/>
      <c r="Q816" s="57"/>
      <c r="R816" s="57"/>
      <c r="S816" s="57"/>
      <c r="T816" s="559"/>
      <c r="U816" s="29"/>
      <c r="V816" s="29"/>
      <c r="AJ816" s="1215"/>
      <c r="AK816" s="1142"/>
      <c r="AM816" s="42"/>
      <c r="AN816" s="42"/>
      <c r="AO816" s="42"/>
      <c r="AP816" s="42"/>
      <c r="AQ816" s="42"/>
      <c r="AR816" s="42"/>
      <c r="AS816" s="42"/>
      <c r="AT816" s="42"/>
      <c r="AU816" s="42"/>
      <c r="AV816" s="42"/>
      <c r="AW816" s="42"/>
      <c r="AX816" s="42"/>
      <c r="AY816" s="42"/>
      <c r="AZ816" s="42"/>
      <c r="BA816" s="42"/>
      <c r="BB816" s="42"/>
      <c r="BC816" s="42"/>
      <c r="BD816" s="42"/>
      <c r="BE816" s="42"/>
      <c r="BF816" s="42"/>
      <c r="BG816" s="42"/>
      <c r="BH816" s="42"/>
      <c r="BI816" s="42"/>
      <c r="BJ816" s="42"/>
      <c r="BK816" s="42"/>
      <c r="BL816" s="42"/>
      <c r="BM816" s="42"/>
      <c r="BN816" s="42"/>
      <c r="BO816" s="42"/>
      <c r="BP816" s="42"/>
      <c r="BQ816" s="42"/>
      <c r="BR816" s="42"/>
      <c r="BS816" s="42"/>
      <c r="BT816" s="42"/>
      <c r="BU816" s="42"/>
      <c r="BV816" s="42"/>
      <c r="BW816" s="42"/>
      <c r="BX816" s="42"/>
      <c r="BY816" s="42"/>
      <c r="BZ816" s="42"/>
      <c r="CA816" s="42"/>
      <c r="CB816" s="42"/>
      <c r="CC816" s="42"/>
      <c r="CD816" s="42"/>
      <c r="CE816" s="42"/>
      <c r="CF816" s="42"/>
      <c r="CG816" s="42"/>
      <c r="CH816" s="42"/>
      <c r="CS816" s="29"/>
      <c r="CT816" s="29"/>
      <c r="CU816" s="29"/>
      <c r="CV816" s="522"/>
      <c r="CW816" s="522"/>
      <c r="CX816" s="211"/>
      <c r="CY816" s="211"/>
      <c r="CZ816" s="211"/>
      <c r="DA816" s="211"/>
      <c r="DB816" s="211"/>
      <c r="DC816" s="211"/>
      <c r="DD816" s="211"/>
      <c r="DE816" s="211"/>
      <c r="DF816" s="60"/>
      <c r="DG816" s="60"/>
      <c r="DH816" s="60"/>
      <c r="DI816" s="60"/>
      <c r="DJ816" s="60"/>
    </row>
    <row r="817" spans="3:114" s="25" customFormat="1">
      <c r="C817" s="24"/>
      <c r="D817" s="24"/>
      <c r="G817" s="57"/>
      <c r="H817" s="57"/>
      <c r="I817" s="57"/>
      <c r="J817" s="57"/>
      <c r="K817" s="57"/>
      <c r="L817" s="57"/>
      <c r="M817" s="57"/>
      <c r="N817" s="57"/>
      <c r="O817" s="57"/>
      <c r="P817" s="57"/>
      <c r="Q817" s="57"/>
      <c r="R817" s="57"/>
      <c r="S817" s="57"/>
      <c r="T817" s="559"/>
      <c r="U817" s="29"/>
      <c r="V817" s="29"/>
      <c r="AJ817" s="1215"/>
      <c r="AK817" s="1142"/>
      <c r="AM817" s="42"/>
      <c r="AN817" s="42"/>
      <c r="AO817" s="42"/>
      <c r="AP817" s="42"/>
      <c r="AQ817" s="42"/>
      <c r="AR817" s="42"/>
      <c r="AS817" s="42"/>
      <c r="AT817" s="42"/>
      <c r="AU817" s="42"/>
      <c r="AV817" s="42"/>
      <c r="AW817" s="42"/>
      <c r="AX817" s="42"/>
      <c r="AY817" s="42"/>
      <c r="AZ817" s="42"/>
      <c r="BA817" s="42"/>
      <c r="BB817" s="42"/>
      <c r="BC817" s="42"/>
      <c r="BD817" s="42"/>
      <c r="BE817" s="42"/>
      <c r="BF817" s="42"/>
      <c r="BG817" s="42"/>
      <c r="BH817" s="42"/>
      <c r="BI817" s="42"/>
      <c r="BJ817" s="42"/>
      <c r="BK817" s="42"/>
      <c r="BL817" s="42"/>
      <c r="BM817" s="42"/>
      <c r="BN817" s="42"/>
      <c r="BO817" s="42"/>
      <c r="BP817" s="42"/>
      <c r="BQ817" s="42"/>
      <c r="BR817" s="42"/>
      <c r="BS817" s="42"/>
      <c r="BT817" s="42"/>
      <c r="BU817" s="42"/>
      <c r="BV817" s="42"/>
      <c r="BW817" s="42"/>
      <c r="BX817" s="42"/>
      <c r="BY817" s="42"/>
      <c r="BZ817" s="42"/>
      <c r="CA817" s="42"/>
      <c r="CB817" s="42"/>
      <c r="CC817" s="42"/>
      <c r="CD817" s="42"/>
      <c r="CE817" s="42"/>
      <c r="CF817" s="42"/>
      <c r="CG817" s="42"/>
      <c r="CH817" s="42"/>
      <c r="CS817" s="29"/>
      <c r="CT817" s="29"/>
      <c r="CU817" s="29"/>
      <c r="CV817" s="522"/>
      <c r="CW817" s="522"/>
      <c r="CX817" s="211"/>
      <c r="CY817" s="211"/>
      <c r="CZ817" s="211"/>
      <c r="DA817" s="211"/>
      <c r="DB817" s="211"/>
      <c r="DC817" s="211"/>
      <c r="DD817" s="211"/>
      <c r="DE817" s="211"/>
      <c r="DF817" s="60"/>
      <c r="DG817" s="60"/>
      <c r="DH817" s="60"/>
      <c r="DI817" s="60"/>
      <c r="DJ817" s="60"/>
    </row>
    <row r="818" spans="3:114" s="25" customFormat="1">
      <c r="C818" s="24"/>
      <c r="D818" s="24"/>
      <c r="G818" s="57"/>
      <c r="H818" s="57"/>
      <c r="I818" s="57"/>
      <c r="J818" s="57"/>
      <c r="K818" s="57"/>
      <c r="L818" s="57"/>
      <c r="M818" s="57"/>
      <c r="N818" s="57"/>
      <c r="O818" s="57"/>
      <c r="P818" s="57"/>
      <c r="Q818" s="57"/>
      <c r="R818" s="57"/>
      <c r="S818" s="57"/>
      <c r="T818" s="559"/>
      <c r="U818" s="29"/>
      <c r="V818" s="29"/>
      <c r="AJ818" s="1215"/>
      <c r="AK818" s="1142"/>
      <c r="AM818" s="42"/>
      <c r="AN818" s="42"/>
      <c r="AO818" s="42"/>
      <c r="AP818" s="42"/>
      <c r="AQ818" s="42"/>
      <c r="AR818" s="42"/>
      <c r="AS818" s="42"/>
      <c r="AT818" s="42"/>
      <c r="AU818" s="42"/>
      <c r="AV818" s="42"/>
      <c r="AW818" s="42"/>
      <c r="AX818" s="42"/>
      <c r="AY818" s="42"/>
      <c r="AZ818" s="42"/>
      <c r="BA818" s="42"/>
      <c r="BB818" s="42"/>
      <c r="BC818" s="42"/>
      <c r="BD818" s="42"/>
      <c r="BE818" s="42"/>
      <c r="BF818" s="42"/>
      <c r="BG818" s="42"/>
      <c r="BH818" s="42"/>
      <c r="BI818" s="42"/>
      <c r="BJ818" s="42"/>
      <c r="BK818" s="42"/>
      <c r="BL818" s="42"/>
      <c r="BM818" s="42"/>
      <c r="BN818" s="42"/>
      <c r="BO818" s="42"/>
      <c r="BP818" s="42"/>
      <c r="BQ818" s="42"/>
      <c r="BR818" s="42"/>
      <c r="BS818" s="42"/>
      <c r="BT818" s="42"/>
      <c r="BU818" s="42"/>
      <c r="BV818" s="42"/>
      <c r="BW818" s="42"/>
      <c r="BX818" s="42"/>
      <c r="BY818" s="42"/>
      <c r="BZ818" s="42"/>
      <c r="CA818" s="42"/>
      <c r="CB818" s="42"/>
      <c r="CC818" s="42"/>
      <c r="CD818" s="42"/>
      <c r="CE818" s="42"/>
      <c r="CF818" s="42"/>
      <c r="CG818" s="42"/>
      <c r="CH818" s="42"/>
      <c r="CS818" s="29"/>
      <c r="CT818" s="29"/>
      <c r="CU818" s="29"/>
      <c r="CV818" s="522"/>
      <c r="CW818" s="522"/>
      <c r="CX818" s="211"/>
      <c r="CY818" s="211"/>
      <c r="CZ818" s="211"/>
      <c r="DA818" s="211"/>
      <c r="DB818" s="211"/>
      <c r="DC818" s="211"/>
      <c r="DD818" s="211"/>
      <c r="DE818" s="211"/>
      <c r="DF818" s="60"/>
      <c r="DG818" s="60"/>
      <c r="DH818" s="60"/>
      <c r="DI818" s="60"/>
      <c r="DJ818" s="60"/>
    </row>
    <row r="819" spans="3:114" s="25" customFormat="1">
      <c r="C819" s="24"/>
      <c r="D819" s="24"/>
      <c r="G819" s="57"/>
      <c r="H819" s="57"/>
      <c r="I819" s="57"/>
      <c r="J819" s="57"/>
      <c r="K819" s="57"/>
      <c r="L819" s="57"/>
      <c r="M819" s="57"/>
      <c r="N819" s="57"/>
      <c r="O819" s="57"/>
      <c r="P819" s="57"/>
      <c r="Q819" s="57"/>
      <c r="R819" s="57"/>
      <c r="S819" s="57"/>
      <c r="T819" s="559"/>
      <c r="U819" s="29"/>
      <c r="V819" s="29"/>
      <c r="AJ819" s="1215"/>
      <c r="AK819" s="1142"/>
      <c r="AM819" s="42"/>
      <c r="AN819" s="42"/>
      <c r="AO819" s="42"/>
      <c r="AP819" s="42"/>
      <c r="AQ819" s="42"/>
      <c r="AR819" s="42"/>
      <c r="AS819" s="42"/>
      <c r="AT819" s="42"/>
      <c r="AU819" s="42"/>
      <c r="AV819" s="42"/>
      <c r="AW819" s="42"/>
      <c r="AX819" s="42"/>
      <c r="AY819" s="42"/>
      <c r="AZ819" s="42"/>
      <c r="BA819" s="42"/>
      <c r="BB819" s="42"/>
      <c r="BC819" s="42"/>
      <c r="BD819" s="42"/>
      <c r="BE819" s="42"/>
      <c r="BF819" s="42"/>
      <c r="BG819" s="42"/>
      <c r="BH819" s="42"/>
      <c r="BI819" s="42"/>
      <c r="BJ819" s="42"/>
      <c r="BK819" s="42"/>
      <c r="BL819" s="42"/>
      <c r="BM819" s="42"/>
      <c r="BN819" s="42"/>
      <c r="BO819" s="42"/>
      <c r="BP819" s="42"/>
      <c r="BQ819" s="42"/>
      <c r="BR819" s="42"/>
      <c r="BS819" s="42"/>
      <c r="BT819" s="42"/>
      <c r="BU819" s="42"/>
      <c r="BV819" s="42"/>
      <c r="BW819" s="42"/>
      <c r="BX819" s="42"/>
      <c r="BY819" s="42"/>
      <c r="BZ819" s="42"/>
      <c r="CA819" s="42"/>
      <c r="CB819" s="42"/>
      <c r="CC819" s="42"/>
      <c r="CD819" s="42"/>
      <c r="CE819" s="42"/>
      <c r="CF819" s="42"/>
      <c r="CG819" s="42"/>
      <c r="CH819" s="42"/>
      <c r="CS819" s="29"/>
      <c r="CT819" s="29"/>
      <c r="CU819" s="29"/>
      <c r="CV819" s="522"/>
      <c r="CW819" s="522"/>
      <c r="CX819" s="211"/>
      <c r="CY819" s="211"/>
      <c r="CZ819" s="211"/>
      <c r="DA819" s="211"/>
      <c r="DB819" s="211"/>
      <c r="DC819" s="211"/>
      <c r="DD819" s="211"/>
      <c r="DE819" s="211"/>
      <c r="DF819" s="60"/>
      <c r="DG819" s="60"/>
      <c r="DH819" s="60"/>
      <c r="DI819" s="60"/>
      <c r="DJ819" s="60"/>
    </row>
    <row r="820" spans="3:114" s="25" customFormat="1">
      <c r="C820" s="24"/>
      <c r="D820" s="24"/>
      <c r="G820" s="57"/>
      <c r="H820" s="57"/>
      <c r="I820" s="57"/>
      <c r="J820" s="57"/>
      <c r="K820" s="57"/>
      <c r="L820" s="57"/>
      <c r="M820" s="57"/>
      <c r="N820" s="57"/>
      <c r="O820" s="57"/>
      <c r="P820" s="57"/>
      <c r="Q820" s="57"/>
      <c r="R820" s="57"/>
      <c r="S820" s="57"/>
      <c r="T820" s="559"/>
      <c r="U820" s="29"/>
      <c r="V820" s="29"/>
      <c r="AJ820" s="1215"/>
      <c r="AK820" s="1142"/>
      <c r="AM820" s="42"/>
      <c r="AN820" s="42"/>
      <c r="AO820" s="42"/>
      <c r="AP820" s="42"/>
      <c r="AQ820" s="42"/>
      <c r="AR820" s="42"/>
      <c r="AS820" s="42"/>
      <c r="AT820" s="42"/>
      <c r="AU820" s="42"/>
      <c r="AV820" s="42"/>
      <c r="AW820" s="42"/>
      <c r="AX820" s="42"/>
      <c r="AY820" s="42"/>
      <c r="AZ820" s="42"/>
      <c r="BA820" s="42"/>
      <c r="BB820" s="42"/>
      <c r="BC820" s="42"/>
      <c r="BD820" s="42"/>
      <c r="BE820" s="42"/>
      <c r="BF820" s="42"/>
      <c r="BG820" s="42"/>
      <c r="BH820" s="42"/>
      <c r="BI820" s="42"/>
      <c r="BJ820" s="42"/>
      <c r="BK820" s="42"/>
      <c r="BL820" s="42"/>
      <c r="BM820" s="42"/>
      <c r="BN820" s="42"/>
      <c r="BO820" s="42"/>
      <c r="BP820" s="42"/>
      <c r="BQ820" s="42"/>
      <c r="BR820" s="42"/>
      <c r="BS820" s="42"/>
      <c r="BT820" s="42"/>
      <c r="BU820" s="42"/>
      <c r="BV820" s="42"/>
      <c r="BW820" s="42"/>
      <c r="BX820" s="42"/>
      <c r="BY820" s="42"/>
      <c r="BZ820" s="42"/>
      <c r="CA820" s="42"/>
      <c r="CB820" s="42"/>
      <c r="CC820" s="42"/>
      <c r="CD820" s="42"/>
      <c r="CE820" s="42"/>
      <c r="CF820" s="42"/>
      <c r="CG820" s="42"/>
      <c r="CH820" s="42"/>
      <c r="CS820" s="29"/>
      <c r="CT820" s="29"/>
      <c r="CU820" s="29"/>
      <c r="CV820" s="522"/>
      <c r="CW820" s="522"/>
      <c r="CX820" s="211"/>
      <c r="CY820" s="211"/>
      <c r="CZ820" s="211"/>
      <c r="DA820" s="211"/>
      <c r="DB820" s="211"/>
      <c r="DC820" s="211"/>
      <c r="DD820" s="211"/>
      <c r="DE820" s="211"/>
      <c r="DF820" s="60"/>
      <c r="DG820" s="60"/>
      <c r="DH820" s="60"/>
      <c r="DI820" s="60"/>
      <c r="DJ820" s="60"/>
    </row>
    <row r="821" spans="3:114" s="25" customFormat="1">
      <c r="C821" s="24"/>
      <c r="D821" s="24"/>
      <c r="G821" s="57"/>
      <c r="H821" s="57"/>
      <c r="I821" s="57"/>
      <c r="J821" s="57"/>
      <c r="K821" s="57"/>
      <c r="L821" s="57"/>
      <c r="M821" s="57"/>
      <c r="N821" s="57"/>
      <c r="O821" s="57"/>
      <c r="P821" s="57"/>
      <c r="Q821" s="57"/>
      <c r="R821" s="57"/>
      <c r="S821" s="57"/>
      <c r="T821" s="559"/>
      <c r="U821" s="29"/>
      <c r="V821" s="29"/>
      <c r="AJ821" s="1215"/>
      <c r="AK821" s="1142"/>
      <c r="AM821" s="42"/>
      <c r="AN821" s="42"/>
      <c r="AO821" s="42"/>
      <c r="AP821" s="42"/>
      <c r="AQ821" s="42"/>
      <c r="AR821" s="42"/>
      <c r="AS821" s="42"/>
      <c r="AT821" s="42"/>
      <c r="AU821" s="42"/>
      <c r="AV821" s="42"/>
      <c r="AW821" s="42"/>
      <c r="AX821" s="42"/>
      <c r="AY821" s="42"/>
      <c r="AZ821" s="42"/>
      <c r="BA821" s="42"/>
      <c r="BB821" s="42"/>
      <c r="BC821" s="42"/>
      <c r="BD821" s="42"/>
      <c r="BE821" s="42"/>
      <c r="BF821" s="42"/>
      <c r="BG821" s="42"/>
      <c r="BH821" s="42"/>
      <c r="BI821" s="42"/>
      <c r="BJ821" s="42"/>
      <c r="BK821" s="42"/>
      <c r="BL821" s="42"/>
      <c r="BM821" s="42"/>
      <c r="BN821" s="42"/>
      <c r="BO821" s="42"/>
      <c r="BP821" s="42"/>
      <c r="BQ821" s="42"/>
      <c r="BR821" s="42"/>
      <c r="BS821" s="42"/>
      <c r="BT821" s="42"/>
      <c r="BU821" s="42"/>
      <c r="BV821" s="42"/>
      <c r="BW821" s="42"/>
      <c r="BX821" s="42"/>
      <c r="BY821" s="42"/>
      <c r="BZ821" s="42"/>
      <c r="CA821" s="42"/>
      <c r="CB821" s="42"/>
      <c r="CC821" s="42"/>
      <c r="CD821" s="42"/>
      <c r="CE821" s="42"/>
      <c r="CF821" s="42"/>
      <c r="CG821" s="42"/>
      <c r="CH821" s="42"/>
      <c r="CS821" s="29"/>
      <c r="CT821" s="29"/>
      <c r="CU821" s="29"/>
      <c r="CV821" s="522"/>
      <c r="CW821" s="522"/>
      <c r="CX821" s="211"/>
      <c r="CY821" s="211"/>
      <c r="CZ821" s="211"/>
      <c r="DA821" s="211"/>
      <c r="DB821" s="211"/>
      <c r="DC821" s="211"/>
      <c r="DD821" s="211"/>
      <c r="DE821" s="211"/>
      <c r="DF821" s="60"/>
      <c r="DG821" s="60"/>
      <c r="DH821" s="60"/>
      <c r="DI821" s="60"/>
      <c r="DJ821" s="60"/>
    </row>
    <row r="822" spans="3:114" s="25" customFormat="1">
      <c r="C822" s="24"/>
      <c r="D822" s="24"/>
      <c r="G822" s="57"/>
      <c r="H822" s="57"/>
      <c r="I822" s="57"/>
      <c r="J822" s="57"/>
      <c r="K822" s="57"/>
      <c r="L822" s="57"/>
      <c r="M822" s="57"/>
      <c r="N822" s="57"/>
      <c r="O822" s="57"/>
      <c r="P822" s="57"/>
      <c r="Q822" s="57"/>
      <c r="R822" s="57"/>
      <c r="S822" s="57"/>
      <c r="T822" s="559"/>
      <c r="U822" s="29"/>
      <c r="V822" s="29"/>
      <c r="AJ822" s="1215"/>
      <c r="AK822" s="1142"/>
      <c r="AM822" s="42"/>
      <c r="AN822" s="42"/>
      <c r="AO822" s="42"/>
      <c r="AP822" s="42"/>
      <c r="AQ822" s="42"/>
      <c r="AR822" s="42"/>
      <c r="AS822" s="42"/>
      <c r="AT822" s="42"/>
      <c r="AU822" s="42"/>
      <c r="AV822" s="42"/>
      <c r="AW822" s="42"/>
      <c r="AX822" s="42"/>
      <c r="AY822" s="42"/>
      <c r="AZ822" s="42"/>
      <c r="BA822" s="42"/>
      <c r="BB822" s="42"/>
      <c r="BC822" s="42"/>
      <c r="BD822" s="42"/>
      <c r="BE822" s="42"/>
      <c r="BF822" s="42"/>
      <c r="BG822" s="42"/>
      <c r="BH822" s="42"/>
      <c r="BI822" s="42"/>
      <c r="BJ822" s="42"/>
      <c r="BK822" s="42"/>
      <c r="BL822" s="42"/>
      <c r="BM822" s="42"/>
      <c r="BN822" s="42"/>
      <c r="BO822" s="42"/>
      <c r="BP822" s="42"/>
      <c r="BQ822" s="42"/>
      <c r="BR822" s="42"/>
      <c r="BS822" s="42"/>
      <c r="BT822" s="42"/>
      <c r="BU822" s="42"/>
      <c r="BV822" s="42"/>
      <c r="BW822" s="42"/>
      <c r="BX822" s="42"/>
      <c r="BY822" s="42"/>
      <c r="BZ822" s="42"/>
      <c r="CA822" s="42"/>
      <c r="CB822" s="42"/>
      <c r="CC822" s="42"/>
      <c r="CD822" s="42"/>
      <c r="CE822" s="42"/>
      <c r="CF822" s="42"/>
      <c r="CG822" s="42"/>
      <c r="CH822" s="42"/>
      <c r="CS822" s="29"/>
      <c r="CT822" s="29"/>
      <c r="CU822" s="29"/>
      <c r="CV822" s="522"/>
      <c r="CW822" s="522"/>
      <c r="CX822" s="211"/>
      <c r="CY822" s="211"/>
      <c r="CZ822" s="211"/>
      <c r="DA822" s="211"/>
      <c r="DB822" s="211"/>
      <c r="DC822" s="211"/>
      <c r="DD822" s="211"/>
      <c r="DE822" s="211"/>
      <c r="DF822" s="60"/>
      <c r="DG822" s="60"/>
      <c r="DH822" s="60"/>
      <c r="DI822" s="60"/>
      <c r="DJ822" s="60"/>
    </row>
    <row r="823" spans="3:114" s="25" customFormat="1">
      <c r="C823" s="24"/>
      <c r="D823" s="24"/>
      <c r="G823" s="57"/>
      <c r="H823" s="57"/>
      <c r="I823" s="57"/>
      <c r="J823" s="57"/>
      <c r="K823" s="57"/>
      <c r="L823" s="57"/>
      <c r="M823" s="57"/>
      <c r="N823" s="57"/>
      <c r="O823" s="57"/>
      <c r="P823" s="57"/>
      <c r="Q823" s="57"/>
      <c r="R823" s="57"/>
      <c r="S823" s="57"/>
      <c r="T823" s="559"/>
      <c r="U823" s="29"/>
      <c r="V823" s="29"/>
      <c r="AJ823" s="1215"/>
      <c r="AK823" s="1142"/>
      <c r="AM823" s="42"/>
      <c r="AN823" s="42"/>
      <c r="AO823" s="42"/>
      <c r="AP823" s="42"/>
      <c r="AQ823" s="42"/>
      <c r="AR823" s="42"/>
      <c r="AS823" s="42"/>
      <c r="AT823" s="42"/>
      <c r="AU823" s="42"/>
      <c r="AV823" s="42"/>
      <c r="AW823" s="42"/>
      <c r="AX823" s="42"/>
      <c r="AY823" s="42"/>
      <c r="AZ823" s="42"/>
      <c r="BA823" s="42"/>
      <c r="BB823" s="42"/>
      <c r="BC823" s="42"/>
      <c r="BD823" s="42"/>
      <c r="BE823" s="42"/>
      <c r="BF823" s="42"/>
      <c r="BG823" s="42"/>
      <c r="BH823" s="42"/>
      <c r="BI823" s="42"/>
      <c r="BJ823" s="42"/>
      <c r="BK823" s="42"/>
      <c r="BL823" s="42"/>
      <c r="BM823" s="42"/>
      <c r="BN823" s="42"/>
      <c r="BO823" s="42"/>
      <c r="BP823" s="42"/>
      <c r="BQ823" s="42"/>
      <c r="BR823" s="42"/>
      <c r="BS823" s="42"/>
      <c r="BT823" s="42"/>
      <c r="BU823" s="42"/>
      <c r="BV823" s="42"/>
      <c r="BW823" s="42"/>
      <c r="BX823" s="42"/>
      <c r="BY823" s="42"/>
      <c r="BZ823" s="42"/>
      <c r="CA823" s="42"/>
      <c r="CB823" s="42"/>
      <c r="CC823" s="42"/>
      <c r="CD823" s="42"/>
      <c r="CE823" s="42"/>
      <c r="CF823" s="42"/>
      <c r="CG823" s="42"/>
      <c r="CH823" s="42"/>
      <c r="CS823" s="29"/>
      <c r="CT823" s="29"/>
      <c r="CU823" s="29"/>
      <c r="CV823" s="522"/>
      <c r="CW823" s="522"/>
      <c r="CX823" s="211"/>
      <c r="CY823" s="211"/>
      <c r="CZ823" s="211"/>
      <c r="DA823" s="211"/>
      <c r="DB823" s="211"/>
      <c r="DC823" s="211"/>
      <c r="DD823" s="211"/>
      <c r="DE823" s="211"/>
      <c r="DF823" s="60"/>
      <c r="DG823" s="60"/>
      <c r="DH823" s="60"/>
      <c r="DI823" s="60"/>
      <c r="DJ823" s="60"/>
    </row>
    <row r="824" spans="3:114" s="25" customFormat="1">
      <c r="C824" s="24"/>
      <c r="D824" s="24"/>
      <c r="G824" s="57"/>
      <c r="H824" s="57"/>
      <c r="I824" s="57"/>
      <c r="J824" s="57"/>
      <c r="K824" s="57"/>
      <c r="L824" s="57"/>
      <c r="M824" s="57"/>
      <c r="N824" s="57"/>
      <c r="O824" s="57"/>
      <c r="P824" s="57"/>
      <c r="Q824" s="57"/>
      <c r="R824" s="57"/>
      <c r="S824" s="57"/>
      <c r="T824" s="559"/>
      <c r="U824" s="29"/>
      <c r="V824" s="29"/>
      <c r="AJ824" s="1215"/>
      <c r="AK824" s="1142"/>
      <c r="AM824" s="42"/>
      <c r="AN824" s="42"/>
      <c r="AO824" s="42"/>
      <c r="AP824" s="42"/>
      <c r="AQ824" s="42"/>
      <c r="AR824" s="42"/>
      <c r="AS824" s="42"/>
      <c r="AT824" s="42"/>
      <c r="AU824" s="42"/>
      <c r="AV824" s="42"/>
      <c r="AW824" s="42"/>
      <c r="AX824" s="42"/>
      <c r="AY824" s="42"/>
      <c r="AZ824" s="42"/>
      <c r="BA824" s="42"/>
      <c r="BB824" s="42"/>
      <c r="BC824" s="42"/>
      <c r="BD824" s="42"/>
      <c r="BE824" s="42"/>
      <c r="BF824" s="42"/>
      <c r="BG824" s="42"/>
      <c r="BH824" s="42"/>
      <c r="BI824" s="42"/>
      <c r="BJ824" s="42"/>
      <c r="BK824" s="42"/>
      <c r="BL824" s="42"/>
      <c r="BM824" s="42"/>
      <c r="BN824" s="42"/>
      <c r="BO824" s="42"/>
      <c r="BP824" s="42"/>
      <c r="BQ824" s="42"/>
      <c r="BR824" s="42"/>
      <c r="BS824" s="42"/>
      <c r="BT824" s="42"/>
      <c r="BU824" s="42"/>
      <c r="BV824" s="42"/>
      <c r="BW824" s="42"/>
      <c r="BX824" s="42"/>
      <c r="BY824" s="42"/>
      <c r="BZ824" s="42"/>
      <c r="CA824" s="42"/>
      <c r="CB824" s="42"/>
      <c r="CC824" s="42"/>
      <c r="CD824" s="42"/>
      <c r="CE824" s="42"/>
      <c r="CF824" s="42"/>
      <c r="CG824" s="42"/>
      <c r="CH824" s="42"/>
      <c r="CS824" s="29"/>
      <c r="CT824" s="29"/>
      <c r="CU824" s="29"/>
      <c r="CV824" s="522"/>
      <c r="CW824" s="522"/>
      <c r="CX824" s="211"/>
      <c r="CY824" s="211"/>
      <c r="CZ824" s="211"/>
      <c r="DA824" s="211"/>
      <c r="DB824" s="211"/>
      <c r="DC824" s="211"/>
      <c r="DD824" s="211"/>
      <c r="DE824" s="211"/>
      <c r="DF824" s="60"/>
      <c r="DG824" s="60"/>
      <c r="DH824" s="60"/>
      <c r="DI824" s="60"/>
      <c r="DJ824" s="60"/>
    </row>
    <row r="825" spans="3:114" s="25" customFormat="1">
      <c r="C825" s="24"/>
      <c r="D825" s="24"/>
      <c r="G825" s="57"/>
      <c r="H825" s="57"/>
      <c r="I825" s="57"/>
      <c r="J825" s="57"/>
      <c r="K825" s="57"/>
      <c r="L825" s="57"/>
      <c r="M825" s="57"/>
      <c r="N825" s="57"/>
      <c r="O825" s="57"/>
      <c r="P825" s="57"/>
      <c r="Q825" s="57"/>
      <c r="R825" s="57"/>
      <c r="S825" s="57"/>
      <c r="T825" s="559"/>
      <c r="U825" s="29"/>
      <c r="V825" s="29"/>
      <c r="AJ825" s="1215"/>
      <c r="AK825" s="1142"/>
      <c r="AM825" s="42"/>
      <c r="AN825" s="42"/>
      <c r="AO825" s="42"/>
      <c r="AP825" s="42"/>
      <c r="AQ825" s="42"/>
      <c r="AR825" s="42"/>
      <c r="AS825" s="42"/>
      <c r="AT825" s="42"/>
      <c r="AU825" s="42"/>
      <c r="AV825" s="42"/>
      <c r="AW825" s="42"/>
      <c r="AX825" s="42"/>
      <c r="AY825" s="42"/>
      <c r="AZ825" s="42"/>
      <c r="BA825" s="42"/>
      <c r="BB825" s="42"/>
      <c r="BC825" s="42"/>
      <c r="BD825" s="42"/>
      <c r="BE825" s="42"/>
      <c r="BF825" s="42"/>
      <c r="BG825" s="42"/>
      <c r="BH825" s="42"/>
      <c r="BI825" s="42"/>
      <c r="BJ825" s="42"/>
      <c r="BK825" s="42"/>
      <c r="BL825" s="42"/>
      <c r="BM825" s="42"/>
      <c r="BN825" s="42"/>
      <c r="BO825" s="42"/>
      <c r="BP825" s="42"/>
      <c r="BQ825" s="42"/>
      <c r="BR825" s="42"/>
      <c r="BS825" s="42"/>
      <c r="BT825" s="42"/>
      <c r="BU825" s="42"/>
      <c r="BV825" s="42"/>
      <c r="BW825" s="42"/>
      <c r="BX825" s="42"/>
      <c r="BY825" s="42"/>
      <c r="BZ825" s="42"/>
      <c r="CA825" s="42"/>
      <c r="CB825" s="42"/>
      <c r="CC825" s="42"/>
      <c r="CD825" s="42"/>
      <c r="CE825" s="42"/>
      <c r="CF825" s="42"/>
      <c r="CG825" s="42"/>
      <c r="CH825" s="42"/>
      <c r="CS825" s="29"/>
      <c r="CT825" s="29"/>
      <c r="CU825" s="29"/>
      <c r="CV825" s="522"/>
      <c r="CW825" s="522"/>
      <c r="CX825" s="211"/>
      <c r="CY825" s="211"/>
      <c r="CZ825" s="211"/>
      <c r="DA825" s="211"/>
      <c r="DB825" s="211"/>
      <c r="DC825" s="211"/>
      <c r="DD825" s="211"/>
      <c r="DE825" s="211"/>
      <c r="DF825" s="60"/>
      <c r="DG825" s="60"/>
      <c r="DH825" s="60"/>
      <c r="DI825" s="60"/>
      <c r="DJ825" s="60"/>
    </row>
    <row r="826" spans="3:114" s="25" customFormat="1">
      <c r="C826" s="24"/>
      <c r="D826" s="24"/>
      <c r="G826" s="57"/>
      <c r="H826" s="57"/>
      <c r="I826" s="57"/>
      <c r="J826" s="57"/>
      <c r="K826" s="57"/>
      <c r="L826" s="57"/>
      <c r="M826" s="57"/>
      <c r="N826" s="57"/>
      <c r="O826" s="57"/>
      <c r="P826" s="57"/>
      <c r="Q826" s="57"/>
      <c r="R826" s="57"/>
      <c r="S826" s="57"/>
      <c r="T826" s="559"/>
      <c r="U826" s="29"/>
      <c r="V826" s="29"/>
      <c r="AJ826" s="1215"/>
      <c r="AK826" s="1142"/>
      <c r="AM826" s="42"/>
      <c r="AN826" s="42"/>
      <c r="AO826" s="42"/>
      <c r="AP826" s="42"/>
      <c r="AQ826" s="42"/>
      <c r="AR826" s="42"/>
      <c r="AS826" s="42"/>
      <c r="AT826" s="42"/>
      <c r="AU826" s="42"/>
      <c r="AV826" s="42"/>
      <c r="AW826" s="42"/>
      <c r="AX826" s="42"/>
      <c r="AY826" s="42"/>
      <c r="AZ826" s="42"/>
      <c r="BA826" s="42"/>
      <c r="BB826" s="42"/>
      <c r="BC826" s="42"/>
      <c r="BD826" s="42"/>
      <c r="BE826" s="42"/>
      <c r="BF826" s="42"/>
      <c r="BG826" s="42"/>
      <c r="BH826" s="42"/>
      <c r="BI826" s="42"/>
      <c r="BJ826" s="42"/>
      <c r="BK826" s="42"/>
      <c r="BL826" s="42"/>
      <c r="BM826" s="42"/>
      <c r="BN826" s="42"/>
      <c r="BO826" s="42"/>
      <c r="BP826" s="42"/>
      <c r="BQ826" s="42"/>
      <c r="BR826" s="42"/>
      <c r="BS826" s="42"/>
      <c r="BT826" s="42"/>
      <c r="BU826" s="42"/>
      <c r="BV826" s="42"/>
      <c r="BW826" s="42"/>
      <c r="BX826" s="42"/>
      <c r="BY826" s="42"/>
      <c r="BZ826" s="42"/>
      <c r="CA826" s="42"/>
      <c r="CB826" s="42"/>
      <c r="CC826" s="42"/>
      <c r="CD826" s="42"/>
      <c r="CE826" s="42"/>
      <c r="CF826" s="42"/>
      <c r="CG826" s="42"/>
      <c r="CH826" s="42"/>
      <c r="CS826" s="29"/>
      <c r="CT826" s="29"/>
      <c r="CU826" s="29"/>
      <c r="CV826" s="522"/>
      <c r="CW826" s="522"/>
      <c r="CX826" s="211"/>
      <c r="CY826" s="211"/>
      <c r="CZ826" s="211"/>
      <c r="DA826" s="211"/>
      <c r="DB826" s="211"/>
      <c r="DC826" s="211"/>
      <c r="DD826" s="211"/>
      <c r="DE826" s="211"/>
      <c r="DF826" s="60"/>
      <c r="DG826" s="60"/>
      <c r="DH826" s="60"/>
      <c r="DI826" s="60"/>
      <c r="DJ826" s="60"/>
    </row>
    <row r="827" spans="3:114" s="25" customFormat="1">
      <c r="C827" s="24"/>
      <c r="D827" s="24"/>
      <c r="G827" s="57"/>
      <c r="H827" s="57"/>
      <c r="I827" s="57"/>
      <c r="J827" s="57"/>
      <c r="K827" s="57"/>
      <c r="L827" s="57"/>
      <c r="M827" s="57"/>
      <c r="N827" s="57"/>
      <c r="O827" s="57"/>
      <c r="P827" s="57"/>
      <c r="Q827" s="57"/>
      <c r="R827" s="57"/>
      <c r="S827" s="57"/>
      <c r="T827" s="559"/>
      <c r="U827" s="29"/>
      <c r="V827" s="29"/>
      <c r="AJ827" s="1215"/>
      <c r="AK827" s="1142"/>
      <c r="AM827" s="42"/>
      <c r="AN827" s="42"/>
      <c r="AO827" s="42"/>
      <c r="AP827" s="42"/>
      <c r="AQ827" s="42"/>
      <c r="AR827" s="42"/>
      <c r="AS827" s="42"/>
      <c r="AT827" s="42"/>
      <c r="AU827" s="42"/>
      <c r="AV827" s="42"/>
      <c r="AW827" s="42"/>
      <c r="AX827" s="42"/>
      <c r="AY827" s="42"/>
      <c r="AZ827" s="42"/>
      <c r="BA827" s="42"/>
      <c r="BB827" s="42"/>
      <c r="BC827" s="42"/>
      <c r="BD827" s="42"/>
      <c r="BE827" s="42"/>
      <c r="BF827" s="42"/>
      <c r="BG827" s="42"/>
      <c r="BH827" s="42"/>
      <c r="BI827" s="42"/>
      <c r="BJ827" s="42"/>
      <c r="BK827" s="42"/>
      <c r="BL827" s="42"/>
      <c r="BM827" s="42"/>
      <c r="BN827" s="42"/>
      <c r="BO827" s="42"/>
      <c r="BP827" s="42"/>
      <c r="BQ827" s="42"/>
      <c r="BR827" s="42"/>
      <c r="BS827" s="42"/>
      <c r="BT827" s="42"/>
      <c r="BU827" s="42"/>
      <c r="BV827" s="42"/>
      <c r="BW827" s="42"/>
      <c r="BX827" s="42"/>
      <c r="BY827" s="42"/>
      <c r="BZ827" s="42"/>
      <c r="CA827" s="42"/>
      <c r="CB827" s="42"/>
      <c r="CC827" s="42"/>
      <c r="CD827" s="42"/>
      <c r="CE827" s="42"/>
      <c r="CF827" s="42"/>
      <c r="CG827" s="42"/>
      <c r="CH827" s="42"/>
      <c r="CS827" s="29"/>
      <c r="CT827" s="29"/>
      <c r="CU827" s="29"/>
      <c r="CV827" s="522"/>
      <c r="CW827" s="522"/>
      <c r="CX827" s="211"/>
      <c r="CY827" s="211"/>
      <c r="CZ827" s="211"/>
      <c r="DA827" s="211"/>
      <c r="DB827" s="211"/>
      <c r="DC827" s="211"/>
      <c r="DD827" s="211"/>
      <c r="DE827" s="211"/>
      <c r="DF827" s="60"/>
      <c r="DG827" s="60"/>
      <c r="DH827" s="60"/>
      <c r="DI827" s="60"/>
      <c r="DJ827" s="60"/>
    </row>
    <row r="828" spans="3:114" s="25" customFormat="1">
      <c r="C828" s="24"/>
      <c r="D828" s="24"/>
      <c r="G828" s="57"/>
      <c r="H828" s="57"/>
      <c r="I828" s="57"/>
      <c r="J828" s="57"/>
      <c r="K828" s="57"/>
      <c r="L828" s="57"/>
      <c r="M828" s="57"/>
      <c r="N828" s="57"/>
      <c r="O828" s="57"/>
      <c r="P828" s="57"/>
      <c r="Q828" s="57"/>
      <c r="R828" s="57"/>
      <c r="S828" s="57"/>
      <c r="T828" s="559"/>
      <c r="U828" s="29"/>
      <c r="V828" s="29"/>
      <c r="AJ828" s="1215"/>
      <c r="AK828" s="1142"/>
      <c r="AM828" s="42"/>
      <c r="AN828" s="42"/>
      <c r="AO828" s="42"/>
      <c r="AP828" s="42"/>
      <c r="AQ828" s="42"/>
      <c r="AR828" s="42"/>
      <c r="AS828" s="42"/>
      <c r="AT828" s="42"/>
      <c r="AU828" s="42"/>
      <c r="AV828" s="42"/>
      <c r="AW828" s="42"/>
      <c r="AX828" s="42"/>
      <c r="AY828" s="42"/>
      <c r="AZ828" s="42"/>
      <c r="BA828" s="42"/>
      <c r="BB828" s="42"/>
      <c r="BC828" s="42"/>
      <c r="BD828" s="42"/>
      <c r="BE828" s="42"/>
      <c r="BF828" s="42"/>
      <c r="BG828" s="42"/>
      <c r="BH828" s="42"/>
      <c r="BI828" s="42"/>
      <c r="BJ828" s="42"/>
      <c r="BK828" s="42"/>
      <c r="BL828" s="42"/>
      <c r="BM828" s="42"/>
      <c r="BN828" s="42"/>
      <c r="BO828" s="42"/>
      <c r="BP828" s="42"/>
      <c r="BQ828" s="42"/>
      <c r="BR828" s="42"/>
      <c r="BS828" s="42"/>
      <c r="BT828" s="42"/>
      <c r="BU828" s="42"/>
      <c r="BV828" s="42"/>
      <c r="BW828" s="42"/>
      <c r="BX828" s="42"/>
      <c r="BY828" s="42"/>
      <c r="BZ828" s="42"/>
      <c r="CA828" s="42"/>
      <c r="CB828" s="42"/>
      <c r="CC828" s="42"/>
      <c r="CD828" s="42"/>
      <c r="CE828" s="42"/>
      <c r="CF828" s="42"/>
      <c r="CG828" s="42"/>
      <c r="CH828" s="42"/>
      <c r="CS828" s="29"/>
      <c r="CT828" s="29"/>
      <c r="CU828" s="29"/>
      <c r="CV828" s="522"/>
      <c r="CW828" s="522"/>
      <c r="CX828" s="211"/>
      <c r="CY828" s="211"/>
      <c r="CZ828" s="211"/>
      <c r="DA828" s="211"/>
      <c r="DB828" s="211"/>
      <c r="DC828" s="211"/>
      <c r="DD828" s="211"/>
      <c r="DE828" s="211"/>
      <c r="DF828" s="60"/>
      <c r="DG828" s="60"/>
      <c r="DH828" s="60"/>
      <c r="DI828" s="60"/>
      <c r="DJ828" s="60"/>
    </row>
    <row r="829" spans="3:114" s="25" customFormat="1">
      <c r="C829" s="24"/>
      <c r="D829" s="24"/>
      <c r="G829" s="57"/>
      <c r="H829" s="57"/>
      <c r="I829" s="57"/>
      <c r="J829" s="57"/>
      <c r="K829" s="57"/>
      <c r="L829" s="57"/>
      <c r="M829" s="57"/>
      <c r="N829" s="57"/>
      <c r="O829" s="57"/>
      <c r="P829" s="57"/>
      <c r="Q829" s="57"/>
      <c r="R829" s="57"/>
      <c r="S829" s="57"/>
      <c r="T829" s="559"/>
      <c r="U829" s="29"/>
      <c r="V829" s="29"/>
      <c r="AJ829" s="1215"/>
      <c r="AK829" s="1142"/>
      <c r="AM829" s="42"/>
      <c r="AN829" s="42"/>
      <c r="AO829" s="42"/>
      <c r="AP829" s="42"/>
      <c r="AQ829" s="42"/>
      <c r="AR829" s="42"/>
      <c r="AS829" s="42"/>
      <c r="AT829" s="42"/>
      <c r="AU829" s="42"/>
      <c r="AV829" s="42"/>
      <c r="AW829" s="42"/>
      <c r="AX829" s="42"/>
      <c r="AY829" s="42"/>
      <c r="AZ829" s="42"/>
      <c r="BA829" s="42"/>
      <c r="BB829" s="42"/>
      <c r="BC829" s="42"/>
      <c r="BD829" s="42"/>
      <c r="BE829" s="42"/>
      <c r="BF829" s="42"/>
      <c r="BG829" s="42"/>
      <c r="BH829" s="42"/>
      <c r="BI829" s="42"/>
      <c r="BJ829" s="42"/>
      <c r="BK829" s="42"/>
      <c r="BL829" s="42"/>
      <c r="BM829" s="42"/>
      <c r="BN829" s="42"/>
      <c r="BO829" s="42"/>
      <c r="BP829" s="42"/>
      <c r="BQ829" s="42"/>
      <c r="BR829" s="42"/>
      <c r="BS829" s="42"/>
      <c r="BT829" s="42"/>
      <c r="BU829" s="42"/>
      <c r="BV829" s="42"/>
      <c r="BW829" s="42"/>
      <c r="BX829" s="42"/>
      <c r="BY829" s="42"/>
      <c r="BZ829" s="42"/>
      <c r="CA829" s="42"/>
      <c r="CB829" s="42"/>
      <c r="CC829" s="42"/>
      <c r="CD829" s="42"/>
      <c r="CE829" s="42"/>
      <c r="CF829" s="42"/>
      <c r="CG829" s="42"/>
      <c r="CH829" s="42"/>
      <c r="CS829" s="29"/>
      <c r="CT829" s="29"/>
      <c r="CU829" s="29"/>
      <c r="CV829" s="522"/>
      <c r="CW829" s="522"/>
      <c r="CX829" s="211"/>
      <c r="CY829" s="211"/>
      <c r="CZ829" s="211"/>
      <c r="DA829" s="211"/>
      <c r="DB829" s="211"/>
      <c r="DC829" s="211"/>
      <c r="DD829" s="211"/>
      <c r="DE829" s="211"/>
      <c r="DF829" s="60"/>
      <c r="DG829" s="60"/>
      <c r="DH829" s="60"/>
      <c r="DI829" s="60"/>
      <c r="DJ829" s="60"/>
    </row>
    <row r="830" spans="3:114" s="25" customFormat="1">
      <c r="C830" s="24"/>
      <c r="D830" s="24"/>
      <c r="G830" s="57"/>
      <c r="H830" s="57"/>
      <c r="I830" s="57"/>
      <c r="J830" s="57"/>
      <c r="K830" s="57"/>
      <c r="L830" s="57"/>
      <c r="M830" s="57"/>
      <c r="N830" s="57"/>
      <c r="O830" s="57"/>
      <c r="P830" s="57"/>
      <c r="Q830" s="57"/>
      <c r="R830" s="57"/>
      <c r="S830" s="57"/>
      <c r="T830" s="559"/>
      <c r="U830" s="29"/>
      <c r="V830" s="29"/>
      <c r="AJ830" s="1215"/>
      <c r="AK830" s="1142"/>
      <c r="AM830" s="42"/>
      <c r="AN830" s="42"/>
      <c r="AO830" s="42"/>
      <c r="AP830" s="42"/>
      <c r="AQ830" s="42"/>
      <c r="AR830" s="42"/>
      <c r="AS830" s="42"/>
      <c r="AT830" s="42"/>
      <c r="AU830" s="42"/>
      <c r="AV830" s="42"/>
      <c r="AW830" s="42"/>
      <c r="AX830" s="42"/>
      <c r="AY830" s="42"/>
      <c r="AZ830" s="42"/>
      <c r="BA830" s="42"/>
      <c r="BB830" s="42"/>
      <c r="BC830" s="42"/>
      <c r="BD830" s="42"/>
      <c r="BE830" s="42"/>
      <c r="BF830" s="42"/>
      <c r="BG830" s="42"/>
      <c r="BH830" s="42"/>
      <c r="BI830" s="42"/>
      <c r="BJ830" s="42"/>
      <c r="BK830" s="42"/>
      <c r="BL830" s="42"/>
      <c r="BM830" s="42"/>
      <c r="BN830" s="42"/>
      <c r="BO830" s="42"/>
      <c r="BP830" s="42"/>
      <c r="BQ830" s="42"/>
      <c r="BR830" s="42"/>
      <c r="BS830" s="42"/>
      <c r="BT830" s="42"/>
      <c r="BU830" s="42"/>
      <c r="BV830" s="42"/>
      <c r="BW830" s="42"/>
      <c r="BX830" s="42"/>
      <c r="BY830" s="42"/>
      <c r="BZ830" s="42"/>
      <c r="CA830" s="42"/>
      <c r="CB830" s="42"/>
      <c r="CC830" s="42"/>
      <c r="CD830" s="42"/>
      <c r="CE830" s="42"/>
      <c r="CF830" s="42"/>
      <c r="CG830" s="42"/>
      <c r="CH830" s="42"/>
      <c r="CS830" s="29"/>
      <c r="CT830" s="29"/>
      <c r="CU830" s="29"/>
      <c r="CV830" s="522"/>
      <c r="CW830" s="522"/>
      <c r="CX830" s="211"/>
      <c r="CY830" s="211"/>
      <c r="CZ830" s="211"/>
      <c r="DA830" s="211"/>
      <c r="DB830" s="211"/>
      <c r="DC830" s="211"/>
      <c r="DD830" s="211"/>
      <c r="DE830" s="211"/>
      <c r="DF830" s="60"/>
      <c r="DG830" s="60"/>
      <c r="DH830" s="60"/>
      <c r="DI830" s="60"/>
      <c r="DJ830" s="60"/>
    </row>
    <row r="831" spans="3:114" s="25" customFormat="1">
      <c r="C831" s="24"/>
      <c r="D831" s="24"/>
      <c r="G831" s="57"/>
      <c r="H831" s="57"/>
      <c r="I831" s="57"/>
      <c r="J831" s="57"/>
      <c r="K831" s="57"/>
      <c r="L831" s="57"/>
      <c r="M831" s="57"/>
      <c r="N831" s="57"/>
      <c r="O831" s="57"/>
      <c r="P831" s="57"/>
      <c r="Q831" s="57"/>
      <c r="R831" s="57"/>
      <c r="S831" s="57"/>
      <c r="T831" s="559"/>
      <c r="U831" s="29"/>
      <c r="V831" s="29"/>
      <c r="AJ831" s="1215"/>
      <c r="AK831" s="1142"/>
      <c r="AM831" s="42"/>
      <c r="AN831" s="42"/>
      <c r="AO831" s="42"/>
      <c r="AP831" s="42"/>
      <c r="AQ831" s="42"/>
      <c r="AR831" s="42"/>
      <c r="AS831" s="42"/>
      <c r="AT831" s="42"/>
      <c r="AU831" s="42"/>
      <c r="AV831" s="42"/>
      <c r="AW831" s="42"/>
      <c r="AX831" s="42"/>
      <c r="AY831" s="42"/>
      <c r="AZ831" s="42"/>
      <c r="BA831" s="42"/>
      <c r="BB831" s="42"/>
      <c r="BC831" s="42"/>
      <c r="BD831" s="42"/>
      <c r="BE831" s="42"/>
      <c r="BF831" s="42"/>
      <c r="BG831" s="42"/>
      <c r="BH831" s="42"/>
      <c r="BI831" s="42"/>
      <c r="BJ831" s="42"/>
      <c r="BK831" s="42"/>
      <c r="BL831" s="42"/>
      <c r="BM831" s="42"/>
      <c r="BN831" s="42"/>
      <c r="BO831" s="42"/>
      <c r="BP831" s="42"/>
      <c r="BQ831" s="42"/>
      <c r="BR831" s="42"/>
      <c r="BS831" s="42"/>
      <c r="BT831" s="42"/>
      <c r="BU831" s="42"/>
      <c r="BV831" s="42"/>
      <c r="BW831" s="42"/>
      <c r="BX831" s="42"/>
      <c r="BY831" s="42"/>
      <c r="BZ831" s="42"/>
      <c r="CA831" s="42"/>
      <c r="CB831" s="42"/>
      <c r="CC831" s="42"/>
      <c r="CD831" s="42"/>
      <c r="CE831" s="42"/>
      <c r="CF831" s="42"/>
      <c r="CG831" s="42"/>
      <c r="CH831" s="42"/>
      <c r="CS831" s="29"/>
      <c r="CT831" s="29"/>
      <c r="CU831" s="29"/>
      <c r="CV831" s="522"/>
      <c r="CW831" s="522"/>
      <c r="CX831" s="211"/>
      <c r="CY831" s="211"/>
      <c r="CZ831" s="211"/>
      <c r="DA831" s="211"/>
      <c r="DB831" s="211"/>
      <c r="DC831" s="211"/>
      <c r="DD831" s="211"/>
      <c r="DE831" s="211"/>
      <c r="DF831" s="60"/>
      <c r="DG831" s="60"/>
      <c r="DH831" s="60"/>
      <c r="DI831" s="60"/>
      <c r="DJ831" s="60"/>
    </row>
    <row r="832" spans="3:114" s="25" customFormat="1">
      <c r="C832" s="24"/>
      <c r="D832" s="24"/>
      <c r="G832" s="57"/>
      <c r="H832" s="57"/>
      <c r="I832" s="57"/>
      <c r="J832" s="57"/>
      <c r="K832" s="57"/>
      <c r="L832" s="57"/>
      <c r="M832" s="57"/>
      <c r="N832" s="57"/>
      <c r="O832" s="57"/>
      <c r="P832" s="57"/>
      <c r="Q832" s="57"/>
      <c r="R832" s="57"/>
      <c r="S832" s="57"/>
      <c r="T832" s="559"/>
      <c r="U832" s="29"/>
      <c r="V832" s="29"/>
      <c r="AJ832" s="1215"/>
      <c r="AK832" s="1142"/>
      <c r="AM832" s="42"/>
      <c r="AN832" s="42"/>
      <c r="AO832" s="42"/>
      <c r="AP832" s="42"/>
      <c r="AQ832" s="42"/>
      <c r="AR832" s="42"/>
      <c r="AS832" s="42"/>
      <c r="AT832" s="42"/>
      <c r="AU832" s="42"/>
      <c r="AV832" s="42"/>
      <c r="AW832" s="42"/>
      <c r="AX832" s="42"/>
      <c r="AY832" s="42"/>
      <c r="AZ832" s="42"/>
      <c r="BA832" s="42"/>
      <c r="BB832" s="42"/>
      <c r="BC832" s="42"/>
      <c r="BD832" s="42"/>
      <c r="BE832" s="42"/>
      <c r="BF832" s="42"/>
      <c r="BG832" s="42"/>
      <c r="BH832" s="42"/>
      <c r="BI832" s="42"/>
      <c r="BJ832" s="42"/>
      <c r="BK832" s="42"/>
      <c r="BL832" s="42"/>
      <c r="BM832" s="42"/>
      <c r="BN832" s="42"/>
      <c r="BO832" s="42"/>
      <c r="BP832" s="42"/>
      <c r="BQ832" s="42"/>
      <c r="BR832" s="42"/>
      <c r="BS832" s="42"/>
      <c r="BT832" s="42"/>
      <c r="BU832" s="42"/>
      <c r="BV832" s="42"/>
      <c r="BW832" s="42"/>
      <c r="BX832" s="42"/>
      <c r="BY832" s="42"/>
      <c r="BZ832" s="42"/>
      <c r="CA832" s="42"/>
      <c r="CB832" s="42"/>
      <c r="CC832" s="42"/>
      <c r="CD832" s="42"/>
      <c r="CE832" s="42"/>
      <c r="CF832" s="42"/>
      <c r="CG832" s="42"/>
      <c r="CH832" s="42"/>
      <c r="CS832" s="29"/>
      <c r="CT832" s="29"/>
      <c r="CU832" s="29"/>
      <c r="CV832" s="522"/>
      <c r="CW832" s="522"/>
      <c r="CX832" s="211"/>
      <c r="CY832" s="211"/>
      <c r="CZ832" s="211"/>
      <c r="DA832" s="211"/>
      <c r="DB832" s="211"/>
      <c r="DC832" s="211"/>
      <c r="DD832" s="211"/>
      <c r="DE832" s="211"/>
      <c r="DF832" s="60"/>
      <c r="DG832" s="60"/>
      <c r="DH832" s="60"/>
      <c r="DI832" s="60"/>
      <c r="DJ832" s="60"/>
    </row>
    <row r="833" spans="3:114" s="25" customFormat="1">
      <c r="C833" s="24"/>
      <c r="D833" s="24"/>
      <c r="G833" s="57"/>
      <c r="H833" s="57"/>
      <c r="I833" s="57"/>
      <c r="J833" s="57"/>
      <c r="K833" s="57"/>
      <c r="L833" s="57"/>
      <c r="M833" s="57"/>
      <c r="N833" s="57"/>
      <c r="O833" s="57"/>
      <c r="P833" s="57"/>
      <c r="Q833" s="57"/>
      <c r="R833" s="57"/>
      <c r="S833" s="57"/>
      <c r="T833" s="559"/>
      <c r="U833" s="29"/>
      <c r="V833" s="29"/>
      <c r="AJ833" s="1215"/>
      <c r="AK833" s="1142"/>
      <c r="AM833" s="42"/>
      <c r="AN833" s="42"/>
      <c r="AO833" s="42"/>
      <c r="AP833" s="42"/>
      <c r="AQ833" s="42"/>
      <c r="AR833" s="42"/>
      <c r="AS833" s="42"/>
      <c r="AT833" s="42"/>
      <c r="AU833" s="42"/>
      <c r="AV833" s="42"/>
      <c r="AW833" s="42"/>
      <c r="AX833" s="42"/>
      <c r="AY833" s="42"/>
      <c r="AZ833" s="42"/>
      <c r="BA833" s="42"/>
      <c r="BB833" s="42"/>
      <c r="BC833" s="42"/>
      <c r="BD833" s="42"/>
      <c r="BE833" s="42"/>
      <c r="BF833" s="42"/>
      <c r="BG833" s="42"/>
      <c r="BH833" s="42"/>
      <c r="BI833" s="42"/>
      <c r="BJ833" s="42"/>
      <c r="BK833" s="42"/>
      <c r="BL833" s="42"/>
      <c r="BM833" s="42"/>
      <c r="BN833" s="42"/>
      <c r="BO833" s="42"/>
      <c r="BP833" s="42"/>
      <c r="BQ833" s="42"/>
      <c r="BR833" s="42"/>
      <c r="BS833" s="42"/>
      <c r="BT833" s="42"/>
      <c r="BU833" s="42"/>
      <c r="BV833" s="42"/>
      <c r="BW833" s="42"/>
      <c r="BX833" s="42"/>
      <c r="BY833" s="42"/>
      <c r="BZ833" s="42"/>
      <c r="CA833" s="42"/>
      <c r="CB833" s="42"/>
      <c r="CC833" s="42"/>
      <c r="CD833" s="42"/>
      <c r="CE833" s="42"/>
      <c r="CF833" s="42"/>
      <c r="CG833" s="42"/>
      <c r="CH833" s="42"/>
      <c r="CS833" s="29"/>
      <c r="CT833" s="29"/>
      <c r="CU833" s="29"/>
      <c r="CV833" s="522"/>
      <c r="CW833" s="522"/>
      <c r="CX833" s="211"/>
      <c r="CY833" s="211"/>
      <c r="CZ833" s="211"/>
      <c r="DA833" s="211"/>
      <c r="DB833" s="211"/>
      <c r="DC833" s="211"/>
      <c r="DD833" s="211"/>
      <c r="DE833" s="211"/>
      <c r="DF833" s="60"/>
      <c r="DG833" s="60"/>
      <c r="DH833" s="60"/>
      <c r="DI833" s="60"/>
      <c r="DJ833" s="60"/>
    </row>
    <row r="834" spans="3:114" s="25" customFormat="1">
      <c r="C834" s="24"/>
      <c r="D834" s="24"/>
      <c r="G834" s="57"/>
      <c r="H834" s="57"/>
      <c r="I834" s="57"/>
      <c r="J834" s="57"/>
      <c r="K834" s="57"/>
      <c r="L834" s="57"/>
      <c r="M834" s="57"/>
      <c r="N834" s="57"/>
      <c r="O834" s="57"/>
      <c r="P834" s="57"/>
      <c r="Q834" s="57"/>
      <c r="R834" s="57"/>
      <c r="S834" s="57"/>
      <c r="T834" s="559"/>
      <c r="U834" s="29"/>
      <c r="V834" s="29"/>
      <c r="AJ834" s="1215"/>
      <c r="AK834" s="1142"/>
      <c r="AM834" s="42"/>
      <c r="AN834" s="42"/>
      <c r="AO834" s="42"/>
      <c r="AP834" s="42"/>
      <c r="AQ834" s="42"/>
      <c r="AR834" s="42"/>
      <c r="AS834" s="42"/>
      <c r="AT834" s="42"/>
      <c r="AU834" s="42"/>
      <c r="AV834" s="42"/>
      <c r="AW834" s="42"/>
      <c r="AX834" s="42"/>
      <c r="AY834" s="42"/>
      <c r="AZ834" s="42"/>
      <c r="BA834" s="42"/>
      <c r="BB834" s="42"/>
      <c r="BC834" s="42"/>
      <c r="BD834" s="42"/>
      <c r="BE834" s="42"/>
      <c r="BF834" s="42"/>
      <c r="BG834" s="42"/>
      <c r="BH834" s="42"/>
      <c r="BI834" s="42"/>
      <c r="BJ834" s="42"/>
      <c r="BK834" s="42"/>
      <c r="BL834" s="42"/>
      <c r="BM834" s="42"/>
      <c r="BN834" s="42"/>
      <c r="BO834" s="42"/>
      <c r="BP834" s="42"/>
      <c r="BQ834" s="42"/>
      <c r="BR834" s="42"/>
      <c r="BS834" s="42"/>
      <c r="BT834" s="42"/>
      <c r="BU834" s="42"/>
      <c r="BV834" s="42"/>
      <c r="BW834" s="42"/>
      <c r="BX834" s="42"/>
      <c r="BY834" s="42"/>
      <c r="BZ834" s="42"/>
      <c r="CA834" s="42"/>
      <c r="CB834" s="42"/>
      <c r="CC834" s="42"/>
      <c r="CD834" s="42"/>
      <c r="CE834" s="42"/>
      <c r="CF834" s="42"/>
      <c r="CG834" s="42"/>
      <c r="CH834" s="42"/>
      <c r="CS834" s="29"/>
      <c r="CT834" s="29"/>
      <c r="CU834" s="29"/>
      <c r="CV834" s="522"/>
      <c r="CW834" s="522"/>
      <c r="CX834" s="211"/>
      <c r="CY834" s="211"/>
      <c r="CZ834" s="211"/>
      <c r="DA834" s="211"/>
      <c r="DB834" s="211"/>
      <c r="DC834" s="211"/>
      <c r="DD834" s="211"/>
      <c r="DE834" s="211"/>
      <c r="DF834" s="60"/>
      <c r="DG834" s="60"/>
      <c r="DH834" s="60"/>
      <c r="DI834" s="60"/>
      <c r="DJ834" s="60"/>
    </row>
    <row r="835" spans="3:114" s="25" customFormat="1">
      <c r="C835" s="24"/>
      <c r="D835" s="24"/>
      <c r="G835" s="57"/>
      <c r="H835" s="57"/>
      <c r="I835" s="57"/>
      <c r="J835" s="57"/>
      <c r="K835" s="57"/>
      <c r="L835" s="57"/>
      <c r="M835" s="57"/>
      <c r="N835" s="57"/>
      <c r="O835" s="57"/>
      <c r="P835" s="57"/>
      <c r="Q835" s="57"/>
      <c r="R835" s="57"/>
      <c r="S835" s="57"/>
      <c r="T835" s="559"/>
      <c r="U835" s="29"/>
      <c r="V835" s="29"/>
      <c r="AJ835" s="1215"/>
      <c r="AK835" s="1142"/>
      <c r="AM835" s="42"/>
      <c r="AN835" s="42"/>
      <c r="AO835" s="42"/>
      <c r="AP835" s="42"/>
      <c r="AQ835" s="42"/>
      <c r="AR835" s="42"/>
      <c r="AS835" s="42"/>
      <c r="AT835" s="42"/>
      <c r="AU835" s="42"/>
      <c r="AV835" s="42"/>
      <c r="AW835" s="42"/>
      <c r="AX835" s="42"/>
      <c r="AY835" s="42"/>
      <c r="AZ835" s="42"/>
      <c r="BA835" s="42"/>
      <c r="BB835" s="42"/>
      <c r="BC835" s="42"/>
      <c r="BD835" s="42"/>
      <c r="BE835" s="42"/>
      <c r="BF835" s="42"/>
      <c r="BG835" s="42"/>
      <c r="BH835" s="42"/>
      <c r="BI835" s="42"/>
      <c r="BJ835" s="42"/>
      <c r="BK835" s="42"/>
      <c r="BL835" s="42"/>
      <c r="BM835" s="42"/>
      <c r="BN835" s="42"/>
      <c r="BO835" s="42"/>
      <c r="BP835" s="42"/>
      <c r="BQ835" s="42"/>
      <c r="BR835" s="42"/>
      <c r="BS835" s="42"/>
      <c r="BT835" s="42"/>
      <c r="BU835" s="42"/>
      <c r="BV835" s="42"/>
      <c r="BW835" s="42"/>
      <c r="BX835" s="42"/>
      <c r="BY835" s="42"/>
      <c r="BZ835" s="42"/>
      <c r="CA835" s="42"/>
      <c r="CB835" s="42"/>
      <c r="CC835" s="42"/>
      <c r="CD835" s="42"/>
      <c r="CE835" s="42"/>
      <c r="CF835" s="42"/>
      <c r="CG835" s="42"/>
      <c r="CH835" s="42"/>
      <c r="CS835" s="29"/>
      <c r="CT835" s="29"/>
      <c r="CU835" s="29"/>
      <c r="CV835" s="522"/>
      <c r="CW835" s="522"/>
      <c r="CX835" s="211"/>
      <c r="CY835" s="211"/>
      <c r="CZ835" s="211"/>
      <c r="DA835" s="211"/>
      <c r="DB835" s="211"/>
      <c r="DC835" s="211"/>
      <c r="DD835" s="211"/>
      <c r="DE835" s="211"/>
      <c r="DF835" s="60"/>
      <c r="DG835" s="60"/>
      <c r="DH835" s="60"/>
      <c r="DI835" s="60"/>
      <c r="DJ835" s="60"/>
    </row>
    <row r="836" spans="3:114" s="25" customFormat="1">
      <c r="C836" s="24"/>
      <c r="D836" s="24"/>
      <c r="G836" s="57"/>
      <c r="H836" s="57"/>
      <c r="I836" s="57"/>
      <c r="J836" s="57"/>
      <c r="K836" s="57"/>
      <c r="L836" s="57"/>
      <c r="M836" s="57"/>
      <c r="N836" s="57"/>
      <c r="O836" s="57"/>
      <c r="P836" s="57"/>
      <c r="Q836" s="57"/>
      <c r="R836" s="57"/>
      <c r="S836" s="57"/>
      <c r="T836" s="559"/>
      <c r="U836" s="29"/>
      <c r="V836" s="29"/>
      <c r="AJ836" s="1215"/>
      <c r="AK836" s="1142"/>
      <c r="AM836" s="42"/>
      <c r="AN836" s="42"/>
      <c r="AO836" s="42"/>
      <c r="AP836" s="42"/>
      <c r="AQ836" s="42"/>
      <c r="AR836" s="42"/>
      <c r="AS836" s="42"/>
      <c r="AT836" s="42"/>
      <c r="AU836" s="42"/>
      <c r="AV836" s="42"/>
      <c r="AW836" s="42"/>
      <c r="AX836" s="42"/>
      <c r="AY836" s="42"/>
      <c r="AZ836" s="42"/>
      <c r="BA836" s="42"/>
      <c r="BB836" s="42"/>
      <c r="BC836" s="42"/>
      <c r="BD836" s="42"/>
      <c r="BE836" s="42"/>
      <c r="BF836" s="42"/>
      <c r="BG836" s="42"/>
      <c r="BH836" s="42"/>
      <c r="BI836" s="42"/>
      <c r="BJ836" s="42"/>
      <c r="BK836" s="42"/>
      <c r="BL836" s="42"/>
      <c r="BM836" s="42"/>
      <c r="BN836" s="42"/>
      <c r="BO836" s="42"/>
      <c r="BP836" s="42"/>
      <c r="BQ836" s="42"/>
      <c r="BR836" s="42"/>
      <c r="BS836" s="42"/>
      <c r="BT836" s="42"/>
      <c r="BU836" s="42"/>
      <c r="BV836" s="42"/>
      <c r="BW836" s="42"/>
      <c r="BX836" s="42"/>
      <c r="BY836" s="42"/>
      <c r="BZ836" s="42"/>
      <c r="CA836" s="42"/>
      <c r="CB836" s="42"/>
      <c r="CC836" s="42"/>
      <c r="CD836" s="42"/>
      <c r="CE836" s="42"/>
      <c r="CF836" s="42"/>
      <c r="CG836" s="42"/>
      <c r="CH836" s="42"/>
      <c r="CS836" s="29"/>
      <c r="CT836" s="29"/>
      <c r="CU836" s="29"/>
      <c r="CV836" s="522"/>
      <c r="CW836" s="522"/>
      <c r="CX836" s="211"/>
      <c r="CY836" s="211"/>
      <c r="CZ836" s="211"/>
      <c r="DA836" s="211"/>
      <c r="DB836" s="211"/>
      <c r="DC836" s="211"/>
      <c r="DD836" s="211"/>
      <c r="DE836" s="211"/>
      <c r="DF836" s="60"/>
      <c r="DG836" s="60"/>
      <c r="DH836" s="60"/>
      <c r="DI836" s="60"/>
      <c r="DJ836" s="60"/>
    </row>
    <row r="837" spans="3:114" s="25" customFormat="1">
      <c r="C837" s="24"/>
      <c r="D837" s="24"/>
      <c r="G837" s="57"/>
      <c r="H837" s="57"/>
      <c r="I837" s="57"/>
      <c r="J837" s="57"/>
      <c r="K837" s="57"/>
      <c r="L837" s="57"/>
      <c r="M837" s="57"/>
      <c r="N837" s="57"/>
      <c r="O837" s="57"/>
      <c r="P837" s="57"/>
      <c r="Q837" s="57"/>
      <c r="R837" s="57"/>
      <c r="S837" s="57"/>
      <c r="T837" s="559"/>
      <c r="U837" s="29"/>
      <c r="V837" s="29"/>
      <c r="AJ837" s="1215"/>
      <c r="AK837" s="1142"/>
      <c r="AM837" s="42"/>
      <c r="AN837" s="42"/>
      <c r="AO837" s="42"/>
      <c r="AP837" s="42"/>
      <c r="AQ837" s="42"/>
      <c r="AR837" s="42"/>
      <c r="AS837" s="42"/>
      <c r="AT837" s="42"/>
      <c r="AU837" s="42"/>
      <c r="AV837" s="42"/>
      <c r="AW837" s="42"/>
      <c r="AX837" s="42"/>
      <c r="AY837" s="42"/>
      <c r="AZ837" s="42"/>
      <c r="BA837" s="42"/>
      <c r="BB837" s="42"/>
      <c r="BC837" s="42"/>
      <c r="BD837" s="42"/>
      <c r="BE837" s="42"/>
      <c r="BF837" s="42"/>
      <c r="BG837" s="42"/>
      <c r="BH837" s="42"/>
      <c r="BI837" s="42"/>
      <c r="BJ837" s="42"/>
      <c r="BK837" s="42"/>
      <c r="BL837" s="42"/>
      <c r="BM837" s="42"/>
      <c r="BN837" s="42"/>
      <c r="BO837" s="42"/>
      <c r="BP837" s="42"/>
      <c r="BQ837" s="42"/>
      <c r="BR837" s="42"/>
      <c r="BS837" s="42"/>
      <c r="BT837" s="42"/>
      <c r="BU837" s="42"/>
      <c r="BV837" s="42"/>
      <c r="BW837" s="42"/>
      <c r="BX837" s="42"/>
      <c r="BY837" s="42"/>
      <c r="BZ837" s="42"/>
      <c r="CA837" s="42"/>
      <c r="CB837" s="42"/>
      <c r="CC837" s="42"/>
      <c r="CD837" s="42"/>
      <c r="CE837" s="42"/>
      <c r="CF837" s="42"/>
      <c r="CG837" s="42"/>
      <c r="CH837" s="42"/>
      <c r="CS837" s="29"/>
      <c r="CT837" s="29"/>
      <c r="CU837" s="29"/>
      <c r="CV837" s="522"/>
      <c r="CW837" s="522"/>
      <c r="CX837" s="211"/>
      <c r="CY837" s="211"/>
      <c r="CZ837" s="211"/>
      <c r="DA837" s="211"/>
      <c r="DB837" s="211"/>
      <c r="DC837" s="211"/>
      <c r="DD837" s="211"/>
      <c r="DE837" s="211"/>
      <c r="DF837" s="60"/>
      <c r="DG837" s="60"/>
      <c r="DH837" s="60"/>
      <c r="DI837" s="60"/>
      <c r="DJ837" s="60"/>
    </row>
    <row r="838" spans="3:114" s="25" customFormat="1">
      <c r="C838" s="24"/>
      <c r="D838" s="24"/>
      <c r="G838" s="57"/>
      <c r="H838" s="57"/>
      <c r="I838" s="57"/>
      <c r="J838" s="57"/>
      <c r="K838" s="57"/>
      <c r="L838" s="57"/>
      <c r="M838" s="57"/>
      <c r="N838" s="57"/>
      <c r="O838" s="57"/>
      <c r="P838" s="57"/>
      <c r="Q838" s="57"/>
      <c r="R838" s="57"/>
      <c r="S838" s="57"/>
      <c r="T838" s="559"/>
      <c r="U838" s="29"/>
      <c r="V838" s="29"/>
      <c r="AJ838" s="1215"/>
      <c r="AK838" s="1142"/>
      <c r="AM838" s="42"/>
      <c r="AN838" s="42"/>
      <c r="AO838" s="42"/>
      <c r="AP838" s="42"/>
      <c r="AQ838" s="42"/>
      <c r="AR838" s="42"/>
      <c r="AS838" s="42"/>
      <c r="AT838" s="42"/>
      <c r="AU838" s="42"/>
      <c r="AV838" s="42"/>
      <c r="AW838" s="42"/>
      <c r="AX838" s="42"/>
      <c r="AY838" s="42"/>
      <c r="AZ838" s="42"/>
      <c r="BA838" s="42"/>
      <c r="BB838" s="42"/>
      <c r="BC838" s="42"/>
      <c r="BD838" s="42"/>
      <c r="BE838" s="42"/>
      <c r="BF838" s="42"/>
      <c r="BG838" s="42"/>
      <c r="BH838" s="42"/>
      <c r="BI838" s="42"/>
      <c r="BJ838" s="42"/>
      <c r="BK838" s="42"/>
      <c r="BL838" s="42"/>
      <c r="BM838" s="42"/>
      <c r="BN838" s="42"/>
      <c r="BO838" s="42"/>
      <c r="BP838" s="42"/>
      <c r="BQ838" s="42"/>
      <c r="BR838" s="42"/>
      <c r="BS838" s="42"/>
      <c r="BT838" s="42"/>
      <c r="BU838" s="42"/>
      <c r="BV838" s="42"/>
      <c r="BW838" s="42"/>
      <c r="BX838" s="42"/>
      <c r="BY838" s="42"/>
      <c r="BZ838" s="42"/>
      <c r="CA838" s="42"/>
      <c r="CB838" s="42"/>
      <c r="CC838" s="42"/>
      <c r="CD838" s="42"/>
      <c r="CE838" s="42"/>
      <c r="CF838" s="42"/>
      <c r="CG838" s="42"/>
      <c r="CH838" s="42"/>
      <c r="CS838" s="29"/>
      <c r="CT838" s="29"/>
      <c r="CU838" s="29"/>
      <c r="CV838" s="522"/>
      <c r="CW838" s="522"/>
      <c r="CX838" s="211"/>
      <c r="CY838" s="211"/>
      <c r="CZ838" s="211"/>
      <c r="DA838" s="211"/>
      <c r="DB838" s="211"/>
      <c r="DC838" s="211"/>
      <c r="DD838" s="211"/>
      <c r="DE838" s="211"/>
      <c r="DF838" s="60"/>
      <c r="DG838" s="60"/>
      <c r="DH838" s="60"/>
      <c r="DI838" s="60"/>
      <c r="DJ838" s="60"/>
    </row>
    <row r="839" spans="3:114" s="25" customFormat="1">
      <c r="C839" s="24"/>
      <c r="D839" s="24"/>
      <c r="G839" s="57"/>
      <c r="H839" s="57"/>
      <c r="I839" s="57"/>
      <c r="J839" s="57"/>
      <c r="K839" s="57"/>
      <c r="L839" s="57"/>
      <c r="M839" s="57"/>
      <c r="N839" s="57"/>
      <c r="O839" s="57"/>
      <c r="P839" s="57"/>
      <c r="Q839" s="57"/>
      <c r="R839" s="57"/>
      <c r="S839" s="57"/>
      <c r="T839" s="559"/>
      <c r="U839" s="29"/>
      <c r="V839" s="29"/>
      <c r="AJ839" s="1215"/>
      <c r="AK839" s="1142"/>
      <c r="AM839" s="42"/>
      <c r="AN839" s="42"/>
      <c r="AO839" s="42"/>
      <c r="AP839" s="42"/>
      <c r="AQ839" s="42"/>
      <c r="AR839" s="42"/>
      <c r="AS839" s="42"/>
      <c r="AT839" s="42"/>
      <c r="AU839" s="42"/>
      <c r="AV839" s="42"/>
      <c r="AW839" s="42"/>
      <c r="AX839" s="42"/>
      <c r="AY839" s="42"/>
      <c r="AZ839" s="42"/>
      <c r="BA839" s="42"/>
      <c r="BB839" s="42"/>
      <c r="BC839" s="42"/>
      <c r="BD839" s="42"/>
      <c r="BE839" s="42"/>
      <c r="BF839" s="42"/>
      <c r="BG839" s="42"/>
      <c r="BH839" s="42"/>
      <c r="BI839" s="42"/>
      <c r="BJ839" s="42"/>
      <c r="BK839" s="42"/>
      <c r="BL839" s="42"/>
      <c r="BM839" s="42"/>
      <c r="BN839" s="42"/>
      <c r="BO839" s="42"/>
      <c r="BP839" s="42"/>
      <c r="BQ839" s="42"/>
      <c r="BR839" s="42"/>
      <c r="BS839" s="42"/>
      <c r="BT839" s="42"/>
      <c r="BU839" s="42"/>
      <c r="BV839" s="42"/>
      <c r="BW839" s="42"/>
      <c r="BX839" s="42"/>
      <c r="BY839" s="42"/>
      <c r="BZ839" s="42"/>
      <c r="CA839" s="42"/>
      <c r="CB839" s="42"/>
      <c r="CC839" s="42"/>
      <c r="CD839" s="42"/>
      <c r="CE839" s="42"/>
      <c r="CF839" s="42"/>
      <c r="CG839" s="42"/>
      <c r="CH839" s="42"/>
      <c r="CS839" s="29"/>
      <c r="CT839" s="29"/>
      <c r="CU839" s="29"/>
      <c r="CV839" s="522"/>
      <c r="CW839" s="522"/>
      <c r="CX839" s="211"/>
      <c r="CY839" s="211"/>
      <c r="CZ839" s="211"/>
      <c r="DA839" s="211"/>
      <c r="DB839" s="211"/>
      <c r="DC839" s="211"/>
      <c r="DD839" s="211"/>
      <c r="DE839" s="211"/>
      <c r="DF839" s="60"/>
      <c r="DG839" s="60"/>
      <c r="DH839" s="60"/>
      <c r="DI839" s="60"/>
      <c r="DJ839" s="60"/>
    </row>
    <row r="840" spans="3:114" s="25" customFormat="1">
      <c r="C840" s="24"/>
      <c r="D840" s="24"/>
      <c r="G840" s="57"/>
      <c r="H840" s="57"/>
      <c r="I840" s="57"/>
      <c r="J840" s="57"/>
      <c r="K840" s="57"/>
      <c r="L840" s="57"/>
      <c r="M840" s="57"/>
      <c r="N840" s="57"/>
      <c r="O840" s="57"/>
      <c r="P840" s="57"/>
      <c r="Q840" s="57"/>
      <c r="R840" s="57"/>
      <c r="S840" s="57"/>
      <c r="T840" s="559"/>
      <c r="U840" s="29"/>
      <c r="V840" s="29"/>
      <c r="AJ840" s="1215"/>
      <c r="AK840" s="1142"/>
      <c r="AM840" s="42"/>
      <c r="AN840" s="42"/>
      <c r="AO840" s="42"/>
      <c r="AP840" s="42"/>
      <c r="AQ840" s="42"/>
      <c r="AR840" s="42"/>
      <c r="AS840" s="42"/>
      <c r="AT840" s="42"/>
      <c r="AU840" s="42"/>
      <c r="AV840" s="42"/>
      <c r="AW840" s="42"/>
      <c r="AX840" s="42"/>
      <c r="AY840" s="42"/>
      <c r="AZ840" s="42"/>
      <c r="BA840" s="42"/>
      <c r="BB840" s="42"/>
      <c r="BC840" s="42"/>
      <c r="BD840" s="42"/>
      <c r="BE840" s="42"/>
      <c r="BF840" s="42"/>
      <c r="BG840" s="42"/>
      <c r="BH840" s="42"/>
      <c r="BI840" s="42"/>
      <c r="BJ840" s="42"/>
      <c r="BK840" s="42"/>
      <c r="BL840" s="42"/>
      <c r="BM840" s="42"/>
      <c r="BN840" s="42"/>
      <c r="BO840" s="42"/>
      <c r="BP840" s="42"/>
      <c r="BQ840" s="42"/>
      <c r="BR840" s="42"/>
      <c r="BS840" s="42"/>
      <c r="BT840" s="42"/>
      <c r="BU840" s="42"/>
      <c r="BV840" s="42"/>
      <c r="BW840" s="42"/>
      <c r="BX840" s="42"/>
      <c r="BY840" s="42"/>
      <c r="BZ840" s="42"/>
      <c r="CA840" s="42"/>
      <c r="CB840" s="42"/>
      <c r="CC840" s="42"/>
      <c r="CD840" s="42"/>
      <c r="CE840" s="42"/>
      <c r="CF840" s="42"/>
      <c r="CG840" s="42"/>
      <c r="CH840" s="42"/>
      <c r="CS840" s="29"/>
      <c r="CT840" s="29"/>
      <c r="CU840" s="29"/>
      <c r="CV840" s="522"/>
      <c r="CW840" s="522"/>
      <c r="CX840" s="211"/>
      <c r="CY840" s="211"/>
      <c r="CZ840" s="211"/>
      <c r="DA840" s="211"/>
      <c r="DB840" s="211"/>
      <c r="DC840" s="211"/>
      <c r="DD840" s="211"/>
      <c r="DE840" s="211"/>
      <c r="DF840" s="60"/>
      <c r="DG840" s="60"/>
      <c r="DH840" s="60"/>
      <c r="DI840" s="60"/>
      <c r="DJ840" s="60"/>
    </row>
    <row r="841" spans="3:114" s="25" customFormat="1">
      <c r="C841" s="24"/>
      <c r="D841" s="24"/>
      <c r="G841" s="57"/>
      <c r="H841" s="57"/>
      <c r="I841" s="57"/>
      <c r="J841" s="57"/>
      <c r="K841" s="57"/>
      <c r="L841" s="57"/>
      <c r="M841" s="57"/>
      <c r="N841" s="57"/>
      <c r="O841" s="57"/>
      <c r="P841" s="57"/>
      <c r="Q841" s="57"/>
      <c r="R841" s="57"/>
      <c r="S841" s="57"/>
      <c r="T841" s="559"/>
      <c r="U841" s="29"/>
      <c r="V841" s="29"/>
      <c r="AJ841" s="1215"/>
      <c r="AK841" s="1142"/>
      <c r="AM841" s="42"/>
      <c r="AN841" s="42"/>
      <c r="AO841" s="42"/>
      <c r="AP841" s="42"/>
      <c r="AQ841" s="42"/>
      <c r="AR841" s="42"/>
      <c r="AS841" s="42"/>
      <c r="AT841" s="42"/>
      <c r="AU841" s="42"/>
      <c r="AV841" s="42"/>
      <c r="AW841" s="42"/>
      <c r="AX841" s="42"/>
      <c r="AY841" s="42"/>
      <c r="AZ841" s="42"/>
      <c r="BA841" s="42"/>
      <c r="BB841" s="42"/>
      <c r="BC841" s="42"/>
      <c r="BD841" s="42"/>
      <c r="BE841" s="42"/>
      <c r="BF841" s="42"/>
      <c r="BG841" s="42"/>
      <c r="BH841" s="42"/>
      <c r="BI841" s="42"/>
      <c r="BJ841" s="42"/>
      <c r="BK841" s="42"/>
      <c r="BL841" s="42"/>
      <c r="BM841" s="42"/>
      <c r="BN841" s="42"/>
      <c r="BO841" s="42"/>
      <c r="BP841" s="42"/>
      <c r="BQ841" s="42"/>
      <c r="BR841" s="42"/>
      <c r="BS841" s="42"/>
      <c r="BT841" s="42"/>
      <c r="BU841" s="42"/>
      <c r="BV841" s="42"/>
      <c r="BW841" s="42"/>
      <c r="BX841" s="42"/>
      <c r="BY841" s="42"/>
      <c r="BZ841" s="42"/>
      <c r="CA841" s="42"/>
      <c r="CB841" s="42"/>
      <c r="CC841" s="42"/>
      <c r="CD841" s="42"/>
      <c r="CE841" s="42"/>
      <c r="CF841" s="42"/>
      <c r="CG841" s="42"/>
      <c r="CH841" s="42"/>
      <c r="CS841" s="29"/>
      <c r="CT841" s="29"/>
      <c r="CU841" s="29"/>
      <c r="CV841" s="522"/>
      <c r="CW841" s="522"/>
      <c r="CX841" s="211"/>
      <c r="CY841" s="211"/>
      <c r="CZ841" s="211"/>
      <c r="DA841" s="211"/>
      <c r="DB841" s="211"/>
      <c r="DC841" s="211"/>
      <c r="DD841" s="211"/>
      <c r="DE841" s="211"/>
      <c r="DF841" s="60"/>
      <c r="DG841" s="60"/>
      <c r="DH841" s="60"/>
      <c r="DI841" s="60"/>
      <c r="DJ841" s="60"/>
    </row>
    <row r="842" spans="3:114" s="25" customFormat="1">
      <c r="C842" s="24"/>
      <c r="D842" s="24"/>
      <c r="G842" s="57"/>
      <c r="H842" s="57"/>
      <c r="I842" s="57"/>
      <c r="J842" s="57"/>
      <c r="K842" s="57"/>
      <c r="L842" s="57"/>
      <c r="M842" s="57"/>
      <c r="N842" s="57"/>
      <c r="O842" s="57"/>
      <c r="P842" s="57"/>
      <c r="Q842" s="57"/>
      <c r="R842" s="57"/>
      <c r="S842" s="57"/>
      <c r="T842" s="559"/>
      <c r="U842" s="29"/>
      <c r="V842" s="29"/>
      <c r="AJ842" s="1215"/>
      <c r="AK842" s="1142"/>
      <c r="AM842" s="42"/>
      <c r="AN842" s="42"/>
      <c r="AO842" s="42"/>
      <c r="AP842" s="42"/>
      <c r="AQ842" s="42"/>
      <c r="AR842" s="42"/>
      <c r="AS842" s="42"/>
      <c r="AT842" s="42"/>
      <c r="AU842" s="42"/>
      <c r="AV842" s="42"/>
      <c r="AW842" s="42"/>
      <c r="AX842" s="42"/>
      <c r="AY842" s="42"/>
      <c r="AZ842" s="42"/>
      <c r="BA842" s="42"/>
      <c r="BB842" s="42"/>
      <c r="BC842" s="42"/>
      <c r="BD842" s="42"/>
      <c r="BE842" s="42"/>
      <c r="BF842" s="42"/>
      <c r="BG842" s="42"/>
      <c r="BH842" s="42"/>
      <c r="BI842" s="42"/>
      <c r="BJ842" s="42"/>
      <c r="BK842" s="42"/>
      <c r="BL842" s="42"/>
      <c r="BM842" s="42"/>
      <c r="BN842" s="42"/>
      <c r="BO842" s="42"/>
      <c r="BP842" s="42"/>
      <c r="BQ842" s="42"/>
      <c r="BR842" s="42"/>
      <c r="BS842" s="42"/>
      <c r="BT842" s="42"/>
      <c r="BU842" s="42"/>
      <c r="BV842" s="42"/>
      <c r="BW842" s="42"/>
      <c r="BX842" s="42"/>
      <c r="BY842" s="42"/>
      <c r="BZ842" s="42"/>
      <c r="CA842" s="42"/>
      <c r="CB842" s="42"/>
      <c r="CC842" s="42"/>
      <c r="CD842" s="42"/>
      <c r="CE842" s="42"/>
      <c r="CF842" s="42"/>
      <c r="CG842" s="42"/>
      <c r="CH842" s="42"/>
      <c r="CS842" s="29"/>
      <c r="CT842" s="29"/>
      <c r="CU842" s="29"/>
      <c r="CV842" s="522"/>
      <c r="CW842" s="522"/>
      <c r="CX842" s="211"/>
      <c r="CY842" s="211"/>
      <c r="CZ842" s="211"/>
      <c r="DA842" s="211"/>
      <c r="DB842" s="211"/>
      <c r="DC842" s="211"/>
      <c r="DD842" s="211"/>
      <c r="DE842" s="211"/>
      <c r="DF842" s="60"/>
      <c r="DG842" s="60"/>
      <c r="DH842" s="60"/>
      <c r="DI842" s="60"/>
      <c r="DJ842" s="60"/>
    </row>
    <row r="843" spans="3:114" s="25" customFormat="1">
      <c r="C843" s="24"/>
      <c r="D843" s="24"/>
      <c r="G843" s="57"/>
      <c r="H843" s="57"/>
      <c r="I843" s="57"/>
      <c r="J843" s="57"/>
      <c r="K843" s="57"/>
      <c r="L843" s="57"/>
      <c r="M843" s="57"/>
      <c r="N843" s="57"/>
      <c r="O843" s="57"/>
      <c r="P843" s="57"/>
      <c r="Q843" s="57"/>
      <c r="R843" s="57"/>
      <c r="S843" s="57"/>
      <c r="T843" s="559"/>
      <c r="U843" s="29"/>
      <c r="V843" s="29"/>
      <c r="AJ843" s="1215"/>
      <c r="AK843" s="1142"/>
      <c r="AM843" s="42"/>
      <c r="AN843" s="42"/>
      <c r="AO843" s="42"/>
      <c r="AP843" s="42"/>
      <c r="AQ843" s="42"/>
      <c r="AR843" s="42"/>
      <c r="AS843" s="42"/>
      <c r="AT843" s="42"/>
      <c r="AU843" s="42"/>
      <c r="AV843" s="42"/>
      <c r="AW843" s="42"/>
      <c r="AX843" s="42"/>
      <c r="AY843" s="42"/>
      <c r="AZ843" s="42"/>
      <c r="BA843" s="42"/>
      <c r="BB843" s="42"/>
      <c r="BC843" s="42"/>
      <c r="BD843" s="42"/>
      <c r="BE843" s="42"/>
      <c r="BF843" s="42"/>
      <c r="BG843" s="42"/>
      <c r="BH843" s="42"/>
      <c r="BI843" s="42"/>
      <c r="BJ843" s="42"/>
      <c r="BK843" s="42"/>
      <c r="BL843" s="42"/>
      <c r="BM843" s="42"/>
      <c r="BN843" s="42"/>
      <c r="BO843" s="42"/>
      <c r="BP843" s="42"/>
      <c r="BQ843" s="42"/>
      <c r="BR843" s="42"/>
      <c r="BS843" s="42"/>
      <c r="BT843" s="42"/>
      <c r="BU843" s="42"/>
      <c r="BV843" s="42"/>
      <c r="BW843" s="42"/>
      <c r="BX843" s="42"/>
      <c r="BY843" s="42"/>
      <c r="BZ843" s="42"/>
      <c r="CA843" s="42"/>
      <c r="CB843" s="42"/>
      <c r="CC843" s="42"/>
      <c r="CD843" s="42"/>
      <c r="CE843" s="42"/>
      <c r="CF843" s="42"/>
      <c r="CG843" s="42"/>
      <c r="CH843" s="42"/>
      <c r="CS843" s="29"/>
      <c r="CT843" s="29"/>
      <c r="CU843" s="29"/>
      <c r="CV843" s="522"/>
      <c r="CW843" s="522"/>
      <c r="CX843" s="211"/>
      <c r="CY843" s="211"/>
      <c r="CZ843" s="211"/>
      <c r="DA843" s="211"/>
      <c r="DB843" s="211"/>
      <c r="DC843" s="211"/>
      <c r="DD843" s="211"/>
      <c r="DE843" s="211"/>
      <c r="DF843" s="60"/>
      <c r="DG843" s="60"/>
      <c r="DH843" s="60"/>
      <c r="DI843" s="60"/>
      <c r="DJ843" s="60"/>
    </row>
    <row r="844" spans="3:114" s="25" customFormat="1">
      <c r="C844" s="24"/>
      <c r="D844" s="24"/>
      <c r="G844" s="57"/>
      <c r="H844" s="57"/>
      <c r="I844" s="57"/>
      <c r="J844" s="57"/>
      <c r="K844" s="57"/>
      <c r="L844" s="57"/>
      <c r="M844" s="57"/>
      <c r="N844" s="57"/>
      <c r="O844" s="57"/>
      <c r="P844" s="57"/>
      <c r="Q844" s="57"/>
      <c r="R844" s="57"/>
      <c r="S844" s="57"/>
      <c r="T844" s="559"/>
      <c r="U844" s="29"/>
      <c r="V844" s="29"/>
      <c r="AJ844" s="1215"/>
      <c r="AK844" s="1142"/>
      <c r="AM844" s="42"/>
      <c r="AN844" s="42"/>
      <c r="AO844" s="42"/>
      <c r="AP844" s="42"/>
      <c r="AQ844" s="42"/>
      <c r="AR844" s="42"/>
      <c r="AS844" s="42"/>
      <c r="AT844" s="42"/>
      <c r="AU844" s="42"/>
      <c r="AV844" s="42"/>
      <c r="AW844" s="42"/>
      <c r="AX844" s="42"/>
      <c r="AY844" s="42"/>
      <c r="AZ844" s="42"/>
      <c r="BA844" s="42"/>
      <c r="BB844" s="42"/>
      <c r="BC844" s="42"/>
      <c r="BD844" s="42"/>
      <c r="BE844" s="42"/>
      <c r="BF844" s="42"/>
      <c r="BG844" s="42"/>
      <c r="BH844" s="42"/>
      <c r="BI844" s="42"/>
      <c r="BJ844" s="42"/>
      <c r="BK844" s="42"/>
      <c r="BL844" s="42"/>
      <c r="BM844" s="42"/>
      <c r="BN844" s="42"/>
      <c r="BO844" s="42"/>
      <c r="BP844" s="42"/>
      <c r="BQ844" s="42"/>
      <c r="BR844" s="42"/>
      <c r="BS844" s="42"/>
      <c r="BT844" s="42"/>
      <c r="BU844" s="42"/>
      <c r="BV844" s="42"/>
      <c r="BW844" s="42"/>
      <c r="BX844" s="42"/>
      <c r="BY844" s="42"/>
      <c r="BZ844" s="42"/>
      <c r="CA844" s="42"/>
      <c r="CB844" s="42"/>
      <c r="CC844" s="42"/>
      <c r="CD844" s="42"/>
      <c r="CE844" s="42"/>
      <c r="CF844" s="42"/>
      <c r="CG844" s="42"/>
      <c r="CH844" s="42"/>
      <c r="CS844" s="29"/>
      <c r="CT844" s="29"/>
      <c r="CU844" s="29"/>
      <c r="CV844" s="522"/>
      <c r="CW844" s="522"/>
      <c r="CX844" s="211"/>
      <c r="CY844" s="211"/>
      <c r="CZ844" s="211"/>
      <c r="DA844" s="211"/>
      <c r="DB844" s="211"/>
      <c r="DC844" s="211"/>
      <c r="DD844" s="211"/>
      <c r="DE844" s="211"/>
      <c r="DF844" s="60"/>
      <c r="DG844" s="60"/>
      <c r="DH844" s="60"/>
      <c r="DI844" s="60"/>
      <c r="DJ844" s="60"/>
    </row>
    <row r="845" spans="3:114" s="25" customFormat="1">
      <c r="C845" s="24"/>
      <c r="D845" s="24"/>
      <c r="G845" s="57"/>
      <c r="H845" s="57"/>
      <c r="I845" s="57"/>
      <c r="J845" s="57"/>
      <c r="K845" s="57"/>
      <c r="L845" s="57"/>
      <c r="M845" s="57"/>
      <c r="N845" s="57"/>
      <c r="O845" s="57"/>
      <c r="P845" s="57"/>
      <c r="Q845" s="57"/>
      <c r="R845" s="57"/>
      <c r="S845" s="57"/>
      <c r="T845" s="559"/>
      <c r="U845" s="29"/>
      <c r="V845" s="29"/>
      <c r="AJ845" s="1215"/>
      <c r="AK845" s="1142"/>
      <c r="AM845" s="42"/>
      <c r="AN845" s="42"/>
      <c r="AO845" s="42"/>
      <c r="AP845" s="42"/>
      <c r="AQ845" s="42"/>
      <c r="AR845" s="42"/>
      <c r="AS845" s="42"/>
      <c r="AT845" s="42"/>
      <c r="AU845" s="42"/>
      <c r="AV845" s="42"/>
      <c r="AW845" s="42"/>
      <c r="AX845" s="42"/>
      <c r="AY845" s="42"/>
      <c r="AZ845" s="42"/>
      <c r="BA845" s="42"/>
      <c r="BB845" s="42"/>
      <c r="BC845" s="42"/>
      <c r="BD845" s="42"/>
      <c r="BE845" s="42"/>
      <c r="BF845" s="42"/>
      <c r="BG845" s="42"/>
      <c r="BH845" s="42"/>
      <c r="BI845" s="42"/>
      <c r="BJ845" s="42"/>
      <c r="BK845" s="42"/>
      <c r="BL845" s="42"/>
      <c r="BM845" s="42"/>
      <c r="BN845" s="42"/>
      <c r="BO845" s="42"/>
      <c r="BP845" s="42"/>
      <c r="BQ845" s="42"/>
      <c r="BR845" s="42"/>
      <c r="BS845" s="42"/>
      <c r="BT845" s="42"/>
      <c r="BU845" s="42"/>
      <c r="BV845" s="42"/>
      <c r="BW845" s="42"/>
      <c r="BX845" s="42"/>
      <c r="BY845" s="42"/>
      <c r="BZ845" s="42"/>
      <c r="CA845" s="42"/>
      <c r="CB845" s="42"/>
      <c r="CC845" s="42"/>
      <c r="CD845" s="42"/>
      <c r="CE845" s="42"/>
      <c r="CF845" s="42"/>
      <c r="CG845" s="42"/>
      <c r="CH845" s="42"/>
      <c r="CS845" s="29"/>
      <c r="CT845" s="29"/>
      <c r="CU845" s="29"/>
      <c r="CV845" s="522"/>
      <c r="CW845" s="522"/>
      <c r="CX845" s="211"/>
      <c r="CY845" s="211"/>
      <c r="CZ845" s="211"/>
      <c r="DA845" s="211"/>
      <c r="DB845" s="211"/>
      <c r="DC845" s="211"/>
      <c r="DD845" s="211"/>
      <c r="DE845" s="211"/>
      <c r="DF845" s="60"/>
      <c r="DG845" s="60"/>
      <c r="DH845" s="60"/>
      <c r="DI845" s="60"/>
      <c r="DJ845" s="60"/>
    </row>
    <row r="846" spans="3:114" s="25" customFormat="1">
      <c r="C846" s="24"/>
      <c r="D846" s="24"/>
      <c r="G846" s="57"/>
      <c r="H846" s="57"/>
      <c r="I846" s="57"/>
      <c r="J846" s="57"/>
      <c r="K846" s="57"/>
      <c r="L846" s="57"/>
      <c r="M846" s="57"/>
      <c r="N846" s="57"/>
      <c r="O846" s="57"/>
      <c r="P846" s="57"/>
      <c r="Q846" s="57"/>
      <c r="R846" s="57"/>
      <c r="S846" s="57"/>
      <c r="T846" s="559"/>
      <c r="U846" s="29"/>
      <c r="V846" s="29"/>
      <c r="AJ846" s="1215"/>
      <c r="AK846" s="1142"/>
      <c r="AM846" s="42"/>
      <c r="AN846" s="42"/>
      <c r="AO846" s="42"/>
      <c r="AP846" s="42"/>
      <c r="AQ846" s="42"/>
      <c r="AR846" s="42"/>
      <c r="AS846" s="42"/>
      <c r="AT846" s="42"/>
      <c r="AU846" s="42"/>
      <c r="AV846" s="42"/>
      <c r="AW846" s="42"/>
      <c r="AX846" s="42"/>
      <c r="AY846" s="42"/>
      <c r="AZ846" s="42"/>
      <c r="BA846" s="42"/>
      <c r="BB846" s="42"/>
      <c r="BC846" s="42"/>
      <c r="BD846" s="42"/>
      <c r="BE846" s="42"/>
      <c r="BF846" s="42"/>
      <c r="BG846" s="42"/>
      <c r="BH846" s="42"/>
      <c r="BI846" s="42"/>
      <c r="BJ846" s="42"/>
      <c r="BK846" s="42"/>
      <c r="BL846" s="42"/>
      <c r="BM846" s="42"/>
      <c r="BN846" s="42"/>
      <c r="BO846" s="42"/>
      <c r="BP846" s="42"/>
      <c r="BQ846" s="42"/>
      <c r="BR846" s="42"/>
      <c r="BS846" s="42"/>
      <c r="BT846" s="42"/>
      <c r="BU846" s="42"/>
      <c r="BV846" s="42"/>
      <c r="BW846" s="42"/>
      <c r="BX846" s="42"/>
      <c r="BY846" s="42"/>
      <c r="BZ846" s="42"/>
      <c r="CA846" s="42"/>
      <c r="CB846" s="42"/>
      <c r="CC846" s="42"/>
      <c r="CD846" s="42"/>
      <c r="CE846" s="42"/>
      <c r="CF846" s="42"/>
      <c r="CG846" s="42"/>
      <c r="CH846" s="42"/>
      <c r="CS846" s="29"/>
      <c r="CT846" s="29"/>
      <c r="CU846" s="29"/>
      <c r="CV846" s="522"/>
      <c r="CW846" s="522"/>
      <c r="CX846" s="211"/>
      <c r="CY846" s="211"/>
      <c r="CZ846" s="211"/>
      <c r="DA846" s="211"/>
      <c r="DB846" s="211"/>
      <c r="DC846" s="211"/>
      <c r="DD846" s="211"/>
      <c r="DE846" s="211"/>
      <c r="DF846" s="60"/>
      <c r="DG846" s="60"/>
      <c r="DH846" s="60"/>
      <c r="DI846" s="60"/>
      <c r="DJ846" s="60"/>
    </row>
    <row r="847" spans="3:114" s="25" customFormat="1">
      <c r="C847" s="24"/>
      <c r="D847" s="24"/>
      <c r="G847" s="57"/>
      <c r="H847" s="57"/>
      <c r="I847" s="57"/>
      <c r="J847" s="57"/>
      <c r="K847" s="57"/>
      <c r="L847" s="57"/>
      <c r="M847" s="57"/>
      <c r="N847" s="57"/>
      <c r="O847" s="57"/>
      <c r="P847" s="57"/>
      <c r="Q847" s="57"/>
      <c r="R847" s="57"/>
      <c r="S847" s="57"/>
      <c r="T847" s="559"/>
      <c r="U847" s="29"/>
      <c r="V847" s="29"/>
      <c r="AJ847" s="1215"/>
      <c r="AK847" s="1142"/>
      <c r="AM847" s="42"/>
      <c r="AN847" s="42"/>
      <c r="AO847" s="42"/>
      <c r="AP847" s="42"/>
      <c r="AQ847" s="42"/>
      <c r="AR847" s="42"/>
      <c r="AS847" s="42"/>
      <c r="AT847" s="42"/>
      <c r="AU847" s="42"/>
      <c r="AV847" s="42"/>
      <c r="AW847" s="42"/>
      <c r="AX847" s="42"/>
      <c r="AY847" s="42"/>
      <c r="AZ847" s="42"/>
      <c r="BA847" s="42"/>
      <c r="BB847" s="42"/>
      <c r="BC847" s="42"/>
      <c r="BD847" s="42"/>
      <c r="BE847" s="42"/>
      <c r="BF847" s="42"/>
      <c r="BG847" s="42"/>
      <c r="BH847" s="42"/>
      <c r="BI847" s="42"/>
      <c r="BJ847" s="42"/>
      <c r="BK847" s="42"/>
      <c r="BL847" s="42"/>
      <c r="BM847" s="42"/>
      <c r="BN847" s="42"/>
      <c r="BO847" s="42"/>
      <c r="BP847" s="42"/>
      <c r="BQ847" s="42"/>
      <c r="BR847" s="42"/>
      <c r="BS847" s="42"/>
      <c r="BT847" s="42"/>
      <c r="BU847" s="42"/>
      <c r="BV847" s="42"/>
      <c r="BW847" s="42"/>
      <c r="BX847" s="42"/>
      <c r="BY847" s="42"/>
      <c r="BZ847" s="42"/>
      <c r="CA847" s="42"/>
      <c r="CB847" s="42"/>
      <c r="CC847" s="42"/>
      <c r="CD847" s="42"/>
      <c r="CE847" s="42"/>
      <c r="CF847" s="42"/>
      <c r="CG847" s="42"/>
      <c r="CH847" s="42"/>
      <c r="CS847" s="29"/>
      <c r="CT847" s="29"/>
      <c r="CU847" s="29"/>
      <c r="CV847" s="522"/>
      <c r="CW847" s="522"/>
      <c r="CX847" s="211"/>
      <c r="CY847" s="211"/>
      <c r="CZ847" s="211"/>
      <c r="DA847" s="211"/>
      <c r="DB847" s="211"/>
      <c r="DC847" s="211"/>
      <c r="DD847" s="211"/>
      <c r="DE847" s="211"/>
      <c r="DF847" s="60"/>
      <c r="DG847" s="60"/>
      <c r="DH847" s="60"/>
      <c r="DI847" s="60"/>
      <c r="DJ847" s="60"/>
    </row>
    <row r="848" spans="3:114" s="25" customFormat="1">
      <c r="C848" s="24"/>
      <c r="D848" s="24"/>
      <c r="G848" s="57"/>
      <c r="H848" s="57"/>
      <c r="I848" s="57"/>
      <c r="J848" s="57"/>
      <c r="K848" s="57"/>
      <c r="L848" s="57"/>
      <c r="M848" s="57"/>
      <c r="N848" s="57"/>
      <c r="O848" s="57"/>
      <c r="P848" s="57"/>
      <c r="Q848" s="57"/>
      <c r="R848" s="57"/>
      <c r="S848" s="57"/>
      <c r="T848" s="559"/>
      <c r="U848" s="29"/>
      <c r="V848" s="29"/>
      <c r="AJ848" s="1215"/>
      <c r="AK848" s="1142"/>
      <c r="AM848" s="42"/>
      <c r="AN848" s="42"/>
      <c r="AO848" s="42"/>
      <c r="AP848" s="42"/>
      <c r="AQ848" s="42"/>
      <c r="AR848" s="42"/>
      <c r="AS848" s="42"/>
      <c r="AT848" s="42"/>
      <c r="AU848" s="42"/>
      <c r="AV848" s="42"/>
      <c r="AW848" s="42"/>
      <c r="AX848" s="42"/>
      <c r="AY848" s="42"/>
      <c r="AZ848" s="42"/>
      <c r="BA848" s="42"/>
      <c r="BB848" s="42"/>
      <c r="BC848" s="42"/>
      <c r="BD848" s="42"/>
      <c r="BE848" s="42"/>
      <c r="BF848" s="42"/>
      <c r="BG848" s="42"/>
      <c r="BH848" s="42"/>
      <c r="BI848" s="42"/>
      <c r="BJ848" s="42"/>
      <c r="BK848" s="42"/>
      <c r="BL848" s="42"/>
      <c r="BM848" s="42"/>
      <c r="BN848" s="42"/>
      <c r="BO848" s="42"/>
      <c r="BP848" s="42"/>
      <c r="BQ848" s="42"/>
      <c r="BR848" s="42"/>
      <c r="BS848" s="42"/>
      <c r="BT848" s="42"/>
      <c r="BU848" s="42"/>
      <c r="BV848" s="42"/>
      <c r="BW848" s="42"/>
      <c r="BX848" s="42"/>
      <c r="BY848" s="42"/>
      <c r="BZ848" s="42"/>
      <c r="CA848" s="42"/>
      <c r="CB848" s="42"/>
      <c r="CC848" s="42"/>
      <c r="CD848" s="42"/>
      <c r="CE848" s="42"/>
      <c r="CF848" s="42"/>
      <c r="CG848" s="42"/>
      <c r="CH848" s="42"/>
      <c r="CS848" s="29"/>
      <c r="CT848" s="29"/>
      <c r="CU848" s="29"/>
      <c r="CV848" s="522"/>
      <c r="CW848" s="522"/>
      <c r="CX848" s="211"/>
      <c r="CY848" s="211"/>
      <c r="CZ848" s="211"/>
      <c r="DA848" s="211"/>
      <c r="DB848" s="211"/>
      <c r="DC848" s="211"/>
      <c r="DD848" s="211"/>
      <c r="DE848" s="211"/>
      <c r="DF848" s="60"/>
      <c r="DG848" s="60"/>
      <c r="DH848" s="60"/>
      <c r="DI848" s="60"/>
      <c r="DJ848" s="60"/>
    </row>
    <row r="849" spans="3:114" s="25" customFormat="1">
      <c r="C849" s="24"/>
      <c r="D849" s="24"/>
      <c r="G849" s="57"/>
      <c r="H849" s="57"/>
      <c r="I849" s="57"/>
      <c r="J849" s="57"/>
      <c r="K849" s="57"/>
      <c r="L849" s="57"/>
      <c r="M849" s="57"/>
      <c r="N849" s="57"/>
      <c r="O849" s="57"/>
      <c r="P849" s="57"/>
      <c r="Q849" s="57"/>
      <c r="R849" s="57"/>
      <c r="S849" s="57"/>
      <c r="T849" s="559"/>
      <c r="U849" s="29"/>
      <c r="V849" s="29"/>
      <c r="AJ849" s="1215"/>
      <c r="AK849" s="1142"/>
      <c r="AM849" s="42"/>
      <c r="AN849" s="42"/>
      <c r="AO849" s="42"/>
      <c r="AP849" s="42"/>
      <c r="AQ849" s="42"/>
      <c r="AR849" s="42"/>
      <c r="AS849" s="42"/>
      <c r="AT849" s="42"/>
      <c r="AU849" s="42"/>
      <c r="AV849" s="42"/>
      <c r="AW849" s="42"/>
      <c r="AX849" s="42"/>
      <c r="AY849" s="42"/>
      <c r="AZ849" s="42"/>
      <c r="BA849" s="42"/>
      <c r="BB849" s="42"/>
      <c r="BC849" s="42"/>
      <c r="BD849" s="42"/>
      <c r="BE849" s="42"/>
      <c r="BF849" s="42"/>
      <c r="BG849" s="42"/>
      <c r="BH849" s="42"/>
      <c r="BI849" s="42"/>
      <c r="BJ849" s="42"/>
      <c r="BK849" s="42"/>
      <c r="BL849" s="42"/>
      <c r="BM849" s="42"/>
      <c r="BN849" s="42"/>
      <c r="BO849" s="42"/>
      <c r="BP849" s="42"/>
      <c r="BQ849" s="42"/>
      <c r="BR849" s="42"/>
      <c r="BS849" s="42"/>
      <c r="BT849" s="42"/>
      <c r="BU849" s="42"/>
      <c r="BV849" s="42"/>
      <c r="BW849" s="42"/>
      <c r="BX849" s="42"/>
      <c r="BY849" s="42"/>
      <c r="BZ849" s="42"/>
      <c r="CA849" s="42"/>
      <c r="CB849" s="42"/>
      <c r="CC849" s="42"/>
      <c r="CD849" s="42"/>
      <c r="CE849" s="42"/>
      <c r="CF849" s="42"/>
      <c r="CG849" s="42"/>
      <c r="CH849" s="42"/>
      <c r="CS849" s="29"/>
      <c r="CT849" s="29"/>
      <c r="CU849" s="29"/>
      <c r="CV849" s="522"/>
      <c r="CW849" s="522"/>
      <c r="CX849" s="211"/>
      <c r="CY849" s="211"/>
      <c r="CZ849" s="211"/>
      <c r="DA849" s="211"/>
      <c r="DB849" s="211"/>
      <c r="DC849" s="211"/>
      <c r="DD849" s="211"/>
      <c r="DE849" s="211"/>
      <c r="DF849" s="60"/>
      <c r="DG849" s="60"/>
      <c r="DH849" s="60"/>
      <c r="DI849" s="60"/>
      <c r="DJ849" s="60"/>
    </row>
    <row r="850" spans="3:114" s="25" customFormat="1">
      <c r="C850" s="24"/>
      <c r="D850" s="24"/>
      <c r="G850" s="57"/>
      <c r="H850" s="57"/>
      <c r="I850" s="57"/>
      <c r="J850" s="57"/>
      <c r="K850" s="57"/>
      <c r="L850" s="57"/>
      <c r="M850" s="57"/>
      <c r="N850" s="57"/>
      <c r="O850" s="57"/>
      <c r="P850" s="57"/>
      <c r="Q850" s="57"/>
      <c r="R850" s="57"/>
      <c r="S850" s="57"/>
      <c r="T850" s="559"/>
      <c r="U850" s="29"/>
      <c r="V850" s="29"/>
      <c r="AJ850" s="1215"/>
      <c r="AK850" s="1142"/>
      <c r="AM850" s="42"/>
      <c r="AN850" s="42"/>
      <c r="AO850" s="42"/>
      <c r="AP850" s="42"/>
      <c r="AQ850" s="42"/>
      <c r="AR850" s="42"/>
      <c r="AS850" s="42"/>
      <c r="AT850" s="42"/>
      <c r="AU850" s="42"/>
      <c r="AV850" s="42"/>
      <c r="AW850" s="42"/>
      <c r="AX850" s="42"/>
      <c r="AY850" s="42"/>
      <c r="AZ850" s="42"/>
      <c r="BA850" s="42"/>
      <c r="BB850" s="42"/>
      <c r="BC850" s="42"/>
      <c r="BD850" s="42"/>
      <c r="BE850" s="42"/>
      <c r="BF850" s="42"/>
      <c r="BG850" s="42"/>
      <c r="BH850" s="42"/>
      <c r="BI850" s="42"/>
      <c r="BJ850" s="42"/>
      <c r="BK850" s="42"/>
      <c r="BL850" s="42"/>
      <c r="BM850" s="42"/>
      <c r="BN850" s="42"/>
      <c r="BO850" s="42"/>
      <c r="BP850" s="42"/>
      <c r="BQ850" s="42"/>
      <c r="BR850" s="42"/>
      <c r="BS850" s="42"/>
      <c r="BT850" s="42"/>
      <c r="BU850" s="42"/>
      <c r="BV850" s="42"/>
      <c r="BW850" s="42"/>
      <c r="BX850" s="42"/>
      <c r="BY850" s="42"/>
      <c r="BZ850" s="42"/>
      <c r="CA850" s="42"/>
      <c r="CB850" s="42"/>
      <c r="CC850" s="42"/>
      <c r="CD850" s="42"/>
      <c r="CE850" s="42"/>
      <c r="CF850" s="42"/>
      <c r="CG850" s="42"/>
      <c r="CH850" s="42"/>
      <c r="CS850" s="29"/>
      <c r="CT850" s="29"/>
      <c r="CU850" s="29"/>
      <c r="CV850" s="522"/>
      <c r="CW850" s="522"/>
      <c r="CX850" s="211"/>
      <c r="CY850" s="211"/>
      <c r="CZ850" s="211"/>
      <c r="DA850" s="211"/>
      <c r="DB850" s="211"/>
      <c r="DC850" s="211"/>
      <c r="DD850" s="211"/>
      <c r="DE850" s="211"/>
      <c r="DF850" s="60"/>
      <c r="DG850" s="60"/>
      <c r="DH850" s="60"/>
      <c r="DI850" s="60"/>
      <c r="DJ850" s="60"/>
    </row>
    <row r="851" spans="3:114" s="25" customFormat="1">
      <c r="C851" s="24"/>
      <c r="D851" s="24"/>
      <c r="G851" s="57"/>
      <c r="H851" s="57"/>
      <c r="I851" s="57"/>
      <c r="J851" s="57"/>
      <c r="K851" s="57"/>
      <c r="L851" s="57"/>
      <c r="M851" s="57"/>
      <c r="N851" s="57"/>
      <c r="O851" s="57"/>
      <c r="P851" s="57"/>
      <c r="Q851" s="57"/>
      <c r="R851" s="57"/>
      <c r="S851" s="57"/>
      <c r="T851" s="559"/>
      <c r="U851" s="29"/>
      <c r="V851" s="29"/>
      <c r="AJ851" s="1215"/>
      <c r="AK851" s="1142"/>
      <c r="AM851" s="42"/>
      <c r="AN851" s="42"/>
      <c r="AO851" s="42"/>
      <c r="AP851" s="42"/>
      <c r="AQ851" s="42"/>
      <c r="AR851" s="42"/>
      <c r="AS851" s="42"/>
      <c r="AT851" s="42"/>
      <c r="AU851" s="42"/>
      <c r="AV851" s="42"/>
      <c r="AW851" s="42"/>
      <c r="AX851" s="42"/>
      <c r="AY851" s="42"/>
      <c r="AZ851" s="42"/>
      <c r="BA851" s="42"/>
      <c r="BB851" s="42"/>
      <c r="BC851" s="42"/>
      <c r="BD851" s="42"/>
      <c r="BE851" s="42"/>
      <c r="BF851" s="42"/>
      <c r="BG851" s="42"/>
      <c r="BH851" s="42"/>
      <c r="BI851" s="42"/>
      <c r="BJ851" s="42"/>
      <c r="BK851" s="42"/>
      <c r="BL851" s="42"/>
      <c r="BM851" s="42"/>
      <c r="BN851" s="42"/>
      <c r="BO851" s="42"/>
      <c r="BP851" s="42"/>
      <c r="BQ851" s="42"/>
      <c r="BR851" s="42"/>
      <c r="BS851" s="42"/>
      <c r="BT851" s="42"/>
      <c r="BU851" s="42"/>
      <c r="BV851" s="42"/>
      <c r="BW851" s="42"/>
      <c r="BX851" s="42"/>
      <c r="BY851" s="42"/>
      <c r="BZ851" s="42"/>
      <c r="CA851" s="42"/>
      <c r="CB851" s="42"/>
      <c r="CC851" s="42"/>
      <c r="CD851" s="42"/>
      <c r="CE851" s="42"/>
      <c r="CF851" s="42"/>
      <c r="CG851" s="42"/>
      <c r="CH851" s="42"/>
      <c r="CS851" s="29"/>
      <c r="CT851" s="29"/>
      <c r="CU851" s="29"/>
      <c r="CV851" s="522"/>
      <c r="CW851" s="522"/>
      <c r="CX851" s="211"/>
      <c r="CY851" s="211"/>
      <c r="CZ851" s="211"/>
      <c r="DA851" s="211"/>
      <c r="DB851" s="211"/>
      <c r="DC851" s="211"/>
      <c r="DD851" s="211"/>
      <c r="DE851" s="211"/>
      <c r="DF851" s="60"/>
      <c r="DG851" s="60"/>
      <c r="DH851" s="60"/>
      <c r="DI851" s="60"/>
      <c r="DJ851" s="60"/>
    </row>
    <row r="852" spans="3:114" s="25" customFormat="1">
      <c r="C852" s="24"/>
      <c r="D852" s="24"/>
      <c r="G852" s="57"/>
      <c r="H852" s="57"/>
      <c r="I852" s="57"/>
      <c r="J852" s="57"/>
      <c r="K852" s="57"/>
      <c r="L852" s="57"/>
      <c r="M852" s="57"/>
      <c r="N852" s="57"/>
      <c r="O852" s="57"/>
      <c r="P852" s="57"/>
      <c r="Q852" s="57"/>
      <c r="R852" s="57"/>
      <c r="S852" s="57"/>
      <c r="T852" s="559"/>
      <c r="U852" s="29"/>
      <c r="V852" s="29"/>
      <c r="AJ852" s="1215"/>
      <c r="AK852" s="1142"/>
      <c r="AM852" s="42"/>
      <c r="AN852" s="42"/>
      <c r="AO852" s="42"/>
      <c r="AP852" s="42"/>
      <c r="AQ852" s="42"/>
      <c r="AR852" s="42"/>
      <c r="AS852" s="42"/>
      <c r="AT852" s="42"/>
      <c r="AU852" s="42"/>
      <c r="AV852" s="42"/>
      <c r="AW852" s="42"/>
      <c r="AX852" s="42"/>
      <c r="AY852" s="42"/>
      <c r="AZ852" s="42"/>
      <c r="BA852" s="42"/>
      <c r="BB852" s="42"/>
      <c r="BC852" s="42"/>
      <c r="BD852" s="42"/>
      <c r="BE852" s="42"/>
      <c r="BF852" s="42"/>
      <c r="BG852" s="42"/>
      <c r="BH852" s="42"/>
      <c r="BI852" s="42"/>
      <c r="BJ852" s="42"/>
      <c r="BK852" s="42"/>
      <c r="BL852" s="42"/>
      <c r="BM852" s="42"/>
      <c r="BN852" s="42"/>
      <c r="BO852" s="42"/>
      <c r="BP852" s="42"/>
      <c r="BQ852" s="42"/>
      <c r="BR852" s="42"/>
      <c r="BS852" s="42"/>
      <c r="BT852" s="42"/>
      <c r="BU852" s="42"/>
      <c r="BV852" s="42"/>
      <c r="BW852" s="42"/>
      <c r="BX852" s="42"/>
      <c r="BY852" s="42"/>
      <c r="BZ852" s="42"/>
      <c r="CA852" s="42"/>
      <c r="CB852" s="42"/>
      <c r="CC852" s="42"/>
      <c r="CD852" s="42"/>
      <c r="CE852" s="42"/>
      <c r="CF852" s="42"/>
      <c r="CG852" s="42"/>
      <c r="CH852" s="42"/>
      <c r="CS852" s="29"/>
      <c r="CT852" s="29"/>
      <c r="CU852" s="29"/>
      <c r="CV852" s="522"/>
      <c r="CW852" s="522"/>
      <c r="CX852" s="211"/>
      <c r="CY852" s="211"/>
      <c r="CZ852" s="211"/>
      <c r="DA852" s="211"/>
      <c r="DB852" s="211"/>
      <c r="DC852" s="211"/>
      <c r="DD852" s="211"/>
      <c r="DE852" s="211"/>
      <c r="DF852" s="60"/>
      <c r="DG852" s="60"/>
      <c r="DH852" s="60"/>
      <c r="DI852" s="60"/>
      <c r="DJ852" s="60"/>
    </row>
    <row r="853" spans="3:114" s="25" customFormat="1">
      <c r="C853" s="24"/>
      <c r="D853" s="24"/>
      <c r="G853" s="57"/>
      <c r="H853" s="57"/>
      <c r="I853" s="57"/>
      <c r="J853" s="57"/>
      <c r="K853" s="57"/>
      <c r="L853" s="57"/>
      <c r="M853" s="57"/>
      <c r="N853" s="57"/>
      <c r="O853" s="57"/>
      <c r="P853" s="57"/>
      <c r="Q853" s="57"/>
      <c r="R853" s="57"/>
      <c r="S853" s="57"/>
      <c r="T853" s="559"/>
      <c r="U853" s="29"/>
      <c r="V853" s="29"/>
      <c r="AJ853" s="1215"/>
      <c r="AK853" s="1142"/>
      <c r="AM853" s="42"/>
      <c r="AN853" s="42"/>
      <c r="AO853" s="42"/>
      <c r="AP853" s="42"/>
      <c r="AQ853" s="42"/>
      <c r="AR853" s="42"/>
      <c r="AS853" s="42"/>
      <c r="AT853" s="42"/>
      <c r="AU853" s="42"/>
      <c r="AV853" s="42"/>
      <c r="AW853" s="42"/>
      <c r="AX853" s="42"/>
      <c r="AY853" s="42"/>
      <c r="AZ853" s="42"/>
      <c r="BA853" s="42"/>
      <c r="BB853" s="42"/>
      <c r="BC853" s="42"/>
      <c r="BD853" s="42"/>
      <c r="BE853" s="42"/>
      <c r="BF853" s="42"/>
      <c r="BG853" s="42"/>
      <c r="BH853" s="42"/>
      <c r="BI853" s="42"/>
      <c r="BJ853" s="42"/>
      <c r="BK853" s="42"/>
      <c r="BL853" s="42"/>
      <c r="BM853" s="42"/>
      <c r="BN853" s="42"/>
      <c r="BO853" s="42"/>
      <c r="BP853" s="42"/>
      <c r="BQ853" s="42"/>
      <c r="BR853" s="42"/>
      <c r="BS853" s="42"/>
      <c r="BT853" s="42"/>
      <c r="BU853" s="42"/>
      <c r="BV853" s="42"/>
      <c r="BW853" s="42"/>
      <c r="BX853" s="42"/>
      <c r="BY853" s="42"/>
      <c r="BZ853" s="42"/>
      <c r="CA853" s="42"/>
      <c r="CB853" s="42"/>
      <c r="CC853" s="42"/>
      <c r="CD853" s="42"/>
      <c r="CE853" s="42"/>
      <c r="CF853" s="42"/>
      <c r="CG853" s="42"/>
      <c r="CH853" s="42"/>
      <c r="CS853" s="29"/>
      <c r="CT853" s="29"/>
      <c r="CU853" s="29"/>
      <c r="CV853" s="522"/>
      <c r="CW853" s="522"/>
      <c r="CX853" s="211"/>
      <c r="CY853" s="211"/>
      <c r="CZ853" s="211"/>
      <c r="DA853" s="211"/>
      <c r="DB853" s="211"/>
      <c r="DC853" s="211"/>
      <c r="DD853" s="211"/>
      <c r="DE853" s="211"/>
      <c r="DF853" s="60"/>
      <c r="DG853" s="60"/>
      <c r="DH853" s="60"/>
      <c r="DI853" s="60"/>
      <c r="DJ853" s="60"/>
    </row>
    <row r="854" spans="3:114" s="25" customFormat="1">
      <c r="C854" s="24"/>
      <c r="D854" s="24"/>
      <c r="G854" s="57"/>
      <c r="H854" s="57"/>
      <c r="I854" s="57"/>
      <c r="J854" s="57"/>
      <c r="K854" s="57"/>
      <c r="L854" s="57"/>
      <c r="M854" s="57"/>
      <c r="N854" s="57"/>
      <c r="O854" s="57"/>
      <c r="P854" s="57"/>
      <c r="Q854" s="57"/>
      <c r="R854" s="57"/>
      <c r="S854" s="57"/>
      <c r="T854" s="559"/>
      <c r="U854" s="29"/>
      <c r="V854" s="29"/>
      <c r="AJ854" s="1215"/>
      <c r="AK854" s="1142"/>
      <c r="AM854" s="42"/>
      <c r="AN854" s="42"/>
      <c r="AO854" s="42"/>
      <c r="AP854" s="42"/>
      <c r="AQ854" s="42"/>
      <c r="AR854" s="42"/>
      <c r="AS854" s="42"/>
      <c r="AT854" s="42"/>
      <c r="AU854" s="42"/>
      <c r="AV854" s="42"/>
      <c r="AW854" s="42"/>
      <c r="AX854" s="42"/>
      <c r="AY854" s="42"/>
      <c r="AZ854" s="42"/>
      <c r="BA854" s="42"/>
      <c r="BB854" s="42"/>
      <c r="BC854" s="42"/>
      <c r="BD854" s="42"/>
      <c r="BE854" s="42"/>
      <c r="BF854" s="42"/>
      <c r="BG854" s="42"/>
      <c r="BH854" s="42"/>
      <c r="BI854" s="42"/>
      <c r="BJ854" s="42"/>
      <c r="BK854" s="42"/>
      <c r="BL854" s="42"/>
      <c r="BM854" s="42"/>
      <c r="BN854" s="42"/>
      <c r="BO854" s="42"/>
      <c r="BP854" s="42"/>
      <c r="BQ854" s="42"/>
      <c r="BR854" s="42"/>
      <c r="BS854" s="42"/>
      <c r="BT854" s="42"/>
      <c r="BU854" s="42"/>
      <c r="BV854" s="42"/>
      <c r="BW854" s="42"/>
      <c r="BX854" s="42"/>
      <c r="BY854" s="42"/>
      <c r="BZ854" s="42"/>
      <c r="CA854" s="42"/>
      <c r="CB854" s="42"/>
      <c r="CC854" s="42"/>
      <c r="CD854" s="42"/>
      <c r="CE854" s="42"/>
      <c r="CF854" s="42"/>
      <c r="CG854" s="42"/>
      <c r="CH854" s="42"/>
      <c r="CS854" s="29"/>
      <c r="CT854" s="29"/>
      <c r="CU854" s="29"/>
      <c r="CV854" s="522"/>
      <c r="CW854" s="522"/>
      <c r="CX854" s="211"/>
      <c r="CY854" s="211"/>
      <c r="CZ854" s="211"/>
      <c r="DA854" s="211"/>
      <c r="DB854" s="211"/>
      <c r="DC854" s="211"/>
      <c r="DD854" s="211"/>
      <c r="DE854" s="211"/>
      <c r="DF854" s="60"/>
      <c r="DG854" s="60"/>
      <c r="DH854" s="60"/>
      <c r="DI854" s="60"/>
      <c r="DJ854" s="60"/>
    </row>
    <row r="855" spans="3:114" s="25" customFormat="1">
      <c r="C855" s="24"/>
      <c r="D855" s="24"/>
      <c r="G855" s="57"/>
      <c r="H855" s="57"/>
      <c r="I855" s="57"/>
      <c r="J855" s="57"/>
      <c r="K855" s="57"/>
      <c r="L855" s="57"/>
      <c r="M855" s="57"/>
      <c r="N855" s="57"/>
      <c r="O855" s="57"/>
      <c r="P855" s="57"/>
      <c r="Q855" s="57"/>
      <c r="R855" s="57"/>
      <c r="S855" s="57"/>
      <c r="T855" s="559"/>
      <c r="U855" s="29"/>
      <c r="V855" s="29"/>
      <c r="AJ855" s="1215"/>
      <c r="AK855" s="1142"/>
      <c r="AM855" s="42"/>
      <c r="AN855" s="42"/>
      <c r="AO855" s="42"/>
      <c r="AP855" s="42"/>
      <c r="AQ855" s="42"/>
      <c r="AR855" s="42"/>
      <c r="AS855" s="42"/>
      <c r="AT855" s="42"/>
      <c r="AU855" s="42"/>
      <c r="AV855" s="42"/>
      <c r="AW855" s="42"/>
      <c r="AX855" s="42"/>
      <c r="AY855" s="42"/>
      <c r="AZ855" s="42"/>
      <c r="BA855" s="42"/>
      <c r="BB855" s="42"/>
      <c r="BC855" s="42"/>
      <c r="BD855" s="42"/>
      <c r="BE855" s="42"/>
      <c r="BF855" s="42"/>
      <c r="BG855" s="42"/>
      <c r="BH855" s="42"/>
      <c r="BI855" s="42"/>
      <c r="BJ855" s="42"/>
      <c r="BK855" s="42"/>
      <c r="BL855" s="42"/>
      <c r="BM855" s="42"/>
      <c r="BN855" s="42"/>
      <c r="BO855" s="42"/>
      <c r="BP855" s="42"/>
      <c r="BQ855" s="42"/>
      <c r="BR855" s="42"/>
      <c r="BS855" s="42"/>
      <c r="BT855" s="42"/>
      <c r="BU855" s="42"/>
      <c r="BV855" s="42"/>
      <c r="BW855" s="42"/>
      <c r="BX855" s="42"/>
      <c r="BY855" s="42"/>
      <c r="BZ855" s="42"/>
      <c r="CA855" s="42"/>
      <c r="CB855" s="42"/>
      <c r="CC855" s="42"/>
      <c r="CD855" s="42"/>
      <c r="CE855" s="42"/>
      <c r="CF855" s="42"/>
      <c r="CG855" s="42"/>
      <c r="CH855" s="42"/>
      <c r="CS855" s="29"/>
      <c r="CT855" s="29"/>
      <c r="CU855" s="29"/>
      <c r="CV855" s="522"/>
      <c r="CW855" s="522"/>
      <c r="CX855" s="211"/>
      <c r="CY855" s="211"/>
      <c r="CZ855" s="211"/>
      <c r="DA855" s="211"/>
      <c r="DB855" s="211"/>
      <c r="DC855" s="211"/>
      <c r="DD855" s="211"/>
      <c r="DE855" s="211"/>
      <c r="DF855" s="60"/>
      <c r="DG855" s="60"/>
      <c r="DH855" s="60"/>
      <c r="DI855" s="60"/>
      <c r="DJ855" s="60"/>
    </row>
    <row r="856" spans="3:114" s="25" customFormat="1">
      <c r="C856" s="24"/>
      <c r="D856" s="24"/>
      <c r="G856" s="57"/>
      <c r="H856" s="57"/>
      <c r="I856" s="57"/>
      <c r="J856" s="57"/>
      <c r="K856" s="57"/>
      <c r="L856" s="57"/>
      <c r="M856" s="57"/>
      <c r="N856" s="57"/>
      <c r="O856" s="57"/>
      <c r="P856" s="57"/>
      <c r="Q856" s="57"/>
      <c r="R856" s="57"/>
      <c r="S856" s="57"/>
      <c r="T856" s="559"/>
      <c r="U856" s="29"/>
      <c r="V856" s="29"/>
      <c r="AJ856" s="1215"/>
      <c r="AK856" s="1142"/>
      <c r="AM856" s="42"/>
      <c r="AN856" s="42"/>
      <c r="AO856" s="42"/>
      <c r="AP856" s="42"/>
      <c r="AQ856" s="42"/>
      <c r="AR856" s="42"/>
      <c r="AS856" s="42"/>
      <c r="AT856" s="42"/>
      <c r="AU856" s="42"/>
      <c r="AV856" s="42"/>
      <c r="AW856" s="42"/>
      <c r="AX856" s="42"/>
      <c r="AY856" s="42"/>
      <c r="AZ856" s="42"/>
      <c r="BA856" s="42"/>
      <c r="BB856" s="42"/>
      <c r="BC856" s="42"/>
      <c r="BD856" s="42"/>
      <c r="BE856" s="42"/>
      <c r="BF856" s="42"/>
      <c r="BG856" s="42"/>
      <c r="BH856" s="42"/>
      <c r="BI856" s="42"/>
      <c r="BJ856" s="42"/>
      <c r="BK856" s="42"/>
      <c r="BL856" s="42"/>
      <c r="BM856" s="42"/>
      <c r="BN856" s="42"/>
      <c r="BO856" s="42"/>
      <c r="BP856" s="42"/>
      <c r="BQ856" s="42"/>
      <c r="BR856" s="42"/>
      <c r="BS856" s="42"/>
      <c r="BT856" s="42"/>
      <c r="BU856" s="42"/>
      <c r="BV856" s="42"/>
      <c r="BW856" s="42"/>
      <c r="BX856" s="42"/>
      <c r="BY856" s="42"/>
      <c r="BZ856" s="42"/>
      <c r="CA856" s="42"/>
      <c r="CB856" s="42"/>
      <c r="CC856" s="42"/>
      <c r="CD856" s="42"/>
      <c r="CE856" s="42"/>
      <c r="CF856" s="42"/>
      <c r="CG856" s="42"/>
      <c r="CH856" s="42"/>
      <c r="CS856" s="29"/>
      <c r="CT856" s="29"/>
      <c r="CU856" s="29"/>
      <c r="CV856" s="522"/>
      <c r="CW856" s="522"/>
      <c r="CX856" s="211"/>
      <c r="CY856" s="211"/>
      <c r="CZ856" s="211"/>
      <c r="DA856" s="211"/>
      <c r="DB856" s="211"/>
      <c r="DC856" s="211"/>
      <c r="DD856" s="211"/>
      <c r="DE856" s="211"/>
      <c r="DF856" s="60"/>
      <c r="DG856" s="60"/>
      <c r="DH856" s="60"/>
      <c r="DI856" s="60"/>
      <c r="DJ856" s="60"/>
    </row>
    <row r="857" spans="3:114" s="25" customFormat="1">
      <c r="C857" s="24"/>
      <c r="D857" s="24"/>
      <c r="G857" s="57"/>
      <c r="H857" s="57"/>
      <c r="I857" s="57"/>
      <c r="J857" s="57"/>
      <c r="K857" s="57"/>
      <c r="L857" s="57"/>
      <c r="M857" s="57"/>
      <c r="N857" s="57"/>
      <c r="O857" s="57"/>
      <c r="P857" s="57"/>
      <c r="Q857" s="57"/>
      <c r="R857" s="57"/>
      <c r="S857" s="57"/>
      <c r="T857" s="559"/>
      <c r="U857" s="29"/>
      <c r="V857" s="29"/>
      <c r="AJ857" s="1215"/>
      <c r="AK857" s="1142"/>
      <c r="AM857" s="42"/>
      <c r="AN857" s="42"/>
      <c r="AO857" s="42"/>
      <c r="AP857" s="42"/>
      <c r="AQ857" s="42"/>
      <c r="AR857" s="42"/>
      <c r="AS857" s="42"/>
      <c r="AT857" s="42"/>
      <c r="AU857" s="42"/>
      <c r="AV857" s="42"/>
      <c r="AW857" s="42"/>
      <c r="AX857" s="42"/>
      <c r="AY857" s="42"/>
      <c r="AZ857" s="42"/>
      <c r="BA857" s="42"/>
      <c r="BB857" s="42"/>
      <c r="BC857" s="42"/>
      <c r="BD857" s="42"/>
      <c r="BE857" s="42"/>
      <c r="BF857" s="42"/>
      <c r="BG857" s="42"/>
      <c r="BH857" s="42"/>
      <c r="BI857" s="42"/>
      <c r="BJ857" s="42"/>
      <c r="BK857" s="42"/>
      <c r="BL857" s="42"/>
      <c r="BM857" s="42"/>
      <c r="BN857" s="42"/>
      <c r="BO857" s="42"/>
      <c r="BP857" s="42"/>
      <c r="BQ857" s="42"/>
      <c r="BR857" s="42"/>
      <c r="BS857" s="42"/>
      <c r="BT857" s="42"/>
      <c r="BU857" s="42"/>
      <c r="BV857" s="42"/>
      <c r="BW857" s="42"/>
      <c r="BX857" s="42"/>
      <c r="BY857" s="42"/>
      <c r="BZ857" s="42"/>
      <c r="CA857" s="42"/>
      <c r="CB857" s="42"/>
      <c r="CC857" s="42"/>
      <c r="CD857" s="42"/>
      <c r="CE857" s="42"/>
      <c r="CF857" s="42"/>
      <c r="CG857" s="42"/>
      <c r="CH857" s="42"/>
      <c r="CS857" s="29"/>
      <c r="CT857" s="29"/>
      <c r="CU857" s="29"/>
      <c r="CV857" s="522"/>
      <c r="CW857" s="522"/>
      <c r="CX857" s="211"/>
      <c r="CY857" s="211"/>
      <c r="CZ857" s="211"/>
      <c r="DA857" s="211"/>
      <c r="DB857" s="211"/>
      <c r="DC857" s="211"/>
      <c r="DD857" s="211"/>
      <c r="DE857" s="211"/>
      <c r="DF857" s="60"/>
      <c r="DG857" s="60"/>
      <c r="DH857" s="60"/>
      <c r="DI857" s="60"/>
      <c r="DJ857" s="60"/>
    </row>
    <row r="858" spans="3:114" s="25" customFormat="1">
      <c r="C858" s="24"/>
      <c r="D858" s="24"/>
      <c r="G858" s="57"/>
      <c r="H858" s="57"/>
      <c r="I858" s="57"/>
      <c r="J858" s="57"/>
      <c r="K858" s="57"/>
      <c r="L858" s="57"/>
      <c r="M858" s="57"/>
      <c r="N858" s="57"/>
      <c r="O858" s="57"/>
      <c r="P858" s="57"/>
      <c r="Q858" s="57"/>
      <c r="R858" s="57"/>
      <c r="S858" s="57"/>
      <c r="T858" s="559"/>
      <c r="U858" s="29"/>
      <c r="V858" s="29"/>
      <c r="AJ858" s="1215"/>
      <c r="AK858" s="1142"/>
      <c r="AM858" s="42"/>
      <c r="AN858" s="42"/>
      <c r="AO858" s="42"/>
      <c r="AP858" s="42"/>
      <c r="AQ858" s="42"/>
      <c r="AR858" s="42"/>
      <c r="AS858" s="42"/>
      <c r="AT858" s="42"/>
      <c r="AU858" s="42"/>
      <c r="AV858" s="42"/>
      <c r="AW858" s="42"/>
      <c r="AX858" s="42"/>
      <c r="AY858" s="42"/>
      <c r="AZ858" s="42"/>
      <c r="BA858" s="42"/>
      <c r="BB858" s="42"/>
      <c r="BC858" s="42"/>
      <c r="BD858" s="42"/>
      <c r="BE858" s="42"/>
      <c r="BF858" s="42"/>
      <c r="BG858" s="42"/>
      <c r="BH858" s="42"/>
      <c r="BI858" s="42"/>
      <c r="BJ858" s="42"/>
      <c r="BK858" s="42"/>
      <c r="BL858" s="42"/>
      <c r="BM858" s="42"/>
      <c r="BN858" s="42"/>
      <c r="BO858" s="42"/>
      <c r="BP858" s="42"/>
      <c r="BQ858" s="42"/>
      <c r="BR858" s="42"/>
      <c r="BS858" s="42"/>
      <c r="BT858" s="42"/>
      <c r="BU858" s="42"/>
      <c r="BV858" s="42"/>
      <c r="BW858" s="42"/>
      <c r="BX858" s="42"/>
      <c r="BY858" s="42"/>
      <c r="BZ858" s="42"/>
      <c r="CA858" s="42"/>
      <c r="CB858" s="42"/>
      <c r="CC858" s="42"/>
      <c r="CD858" s="42"/>
      <c r="CE858" s="42"/>
      <c r="CF858" s="42"/>
      <c r="CG858" s="42"/>
      <c r="CH858" s="42"/>
      <c r="CS858" s="29"/>
      <c r="CT858" s="29"/>
      <c r="CU858" s="29"/>
      <c r="CV858" s="522"/>
      <c r="CW858" s="522"/>
      <c r="CX858" s="211"/>
      <c r="CY858" s="211"/>
      <c r="CZ858" s="211"/>
      <c r="DA858" s="211"/>
      <c r="DB858" s="211"/>
      <c r="DC858" s="211"/>
      <c r="DD858" s="211"/>
      <c r="DE858" s="211"/>
      <c r="DF858" s="60"/>
      <c r="DG858" s="60"/>
      <c r="DH858" s="60"/>
      <c r="DI858" s="60"/>
      <c r="DJ858" s="60"/>
    </row>
    <row r="859" spans="3:114" s="25" customFormat="1">
      <c r="C859" s="24"/>
      <c r="D859" s="24"/>
      <c r="G859" s="57"/>
      <c r="H859" s="57"/>
      <c r="I859" s="57"/>
      <c r="J859" s="57"/>
      <c r="K859" s="57"/>
      <c r="L859" s="57"/>
      <c r="M859" s="57"/>
      <c r="N859" s="57"/>
      <c r="O859" s="57"/>
      <c r="P859" s="57"/>
      <c r="Q859" s="57"/>
      <c r="R859" s="57"/>
      <c r="S859" s="57"/>
      <c r="T859" s="559"/>
      <c r="U859" s="29"/>
      <c r="V859" s="29"/>
      <c r="AJ859" s="1215"/>
      <c r="AK859" s="1142"/>
      <c r="AM859" s="42"/>
      <c r="AN859" s="42"/>
      <c r="AO859" s="42"/>
      <c r="AP859" s="42"/>
      <c r="AQ859" s="42"/>
      <c r="AR859" s="42"/>
      <c r="AS859" s="42"/>
      <c r="AT859" s="42"/>
      <c r="AU859" s="42"/>
      <c r="AV859" s="42"/>
      <c r="AW859" s="42"/>
      <c r="AX859" s="42"/>
      <c r="AY859" s="42"/>
      <c r="AZ859" s="42"/>
      <c r="BA859" s="42"/>
      <c r="BB859" s="42"/>
      <c r="BC859" s="42"/>
      <c r="BD859" s="42"/>
      <c r="BE859" s="42"/>
      <c r="BF859" s="42"/>
      <c r="BG859" s="42"/>
      <c r="BH859" s="42"/>
      <c r="BI859" s="42"/>
      <c r="BJ859" s="42"/>
      <c r="BK859" s="42"/>
      <c r="BL859" s="42"/>
      <c r="BM859" s="42"/>
      <c r="BN859" s="42"/>
      <c r="BO859" s="42"/>
      <c r="BP859" s="42"/>
      <c r="BQ859" s="42"/>
      <c r="BR859" s="42"/>
      <c r="BS859" s="42"/>
      <c r="BT859" s="42"/>
      <c r="BU859" s="42"/>
      <c r="BV859" s="42"/>
      <c r="BW859" s="42"/>
      <c r="BX859" s="42"/>
      <c r="BY859" s="42"/>
      <c r="BZ859" s="42"/>
      <c r="CA859" s="42"/>
      <c r="CB859" s="42"/>
      <c r="CC859" s="42"/>
      <c r="CD859" s="42"/>
      <c r="CE859" s="42"/>
      <c r="CF859" s="42"/>
      <c r="CG859" s="42"/>
      <c r="CH859" s="42"/>
      <c r="CS859" s="29"/>
      <c r="CT859" s="29"/>
      <c r="CU859" s="29"/>
      <c r="CV859" s="522"/>
      <c r="CW859" s="522"/>
      <c r="CX859" s="211"/>
      <c r="CY859" s="211"/>
      <c r="CZ859" s="211"/>
      <c r="DA859" s="211"/>
      <c r="DB859" s="211"/>
      <c r="DC859" s="211"/>
      <c r="DD859" s="211"/>
      <c r="DE859" s="211"/>
      <c r="DF859" s="60"/>
      <c r="DG859" s="60"/>
      <c r="DH859" s="60"/>
      <c r="DI859" s="60"/>
      <c r="DJ859" s="60"/>
    </row>
    <row r="860" spans="3:114" s="25" customFormat="1">
      <c r="C860" s="24"/>
      <c r="D860" s="24"/>
      <c r="G860" s="57"/>
      <c r="H860" s="57"/>
      <c r="I860" s="57"/>
      <c r="J860" s="57"/>
      <c r="K860" s="57"/>
      <c r="L860" s="57"/>
      <c r="M860" s="57"/>
      <c r="N860" s="57"/>
      <c r="O860" s="57"/>
      <c r="P860" s="57"/>
      <c r="Q860" s="57"/>
      <c r="R860" s="57"/>
      <c r="S860" s="57"/>
      <c r="T860" s="559"/>
      <c r="U860" s="29"/>
      <c r="V860" s="29"/>
      <c r="AJ860" s="1215"/>
      <c r="AK860" s="1142"/>
      <c r="AM860" s="42"/>
      <c r="AN860" s="42"/>
      <c r="AO860" s="42"/>
      <c r="AP860" s="42"/>
      <c r="AQ860" s="42"/>
      <c r="AR860" s="42"/>
      <c r="AS860" s="42"/>
      <c r="AT860" s="42"/>
      <c r="AU860" s="42"/>
      <c r="AV860" s="42"/>
      <c r="AW860" s="42"/>
      <c r="AX860" s="42"/>
      <c r="AY860" s="42"/>
      <c r="AZ860" s="42"/>
      <c r="BA860" s="42"/>
      <c r="BB860" s="42"/>
      <c r="BC860" s="42"/>
      <c r="BD860" s="42"/>
      <c r="BE860" s="42"/>
      <c r="BF860" s="42"/>
      <c r="BG860" s="42"/>
      <c r="BH860" s="42"/>
      <c r="BI860" s="42"/>
      <c r="BJ860" s="42"/>
      <c r="BK860" s="42"/>
      <c r="BL860" s="42"/>
      <c r="BM860" s="42"/>
      <c r="BN860" s="42"/>
      <c r="BO860" s="42"/>
      <c r="BP860" s="42"/>
      <c r="BQ860" s="42"/>
      <c r="BR860" s="42"/>
      <c r="BS860" s="42"/>
      <c r="BT860" s="42"/>
      <c r="BU860" s="42"/>
      <c r="BV860" s="42"/>
      <c r="BW860" s="42"/>
      <c r="BX860" s="42"/>
      <c r="BY860" s="42"/>
      <c r="BZ860" s="42"/>
      <c r="CA860" s="42"/>
      <c r="CB860" s="42"/>
      <c r="CC860" s="42"/>
      <c r="CD860" s="42"/>
      <c r="CE860" s="42"/>
      <c r="CF860" s="42"/>
      <c r="CG860" s="42"/>
      <c r="CH860" s="42"/>
      <c r="CS860" s="29"/>
      <c r="CT860" s="29"/>
      <c r="CU860" s="29"/>
      <c r="CV860" s="522"/>
      <c r="CW860" s="522"/>
      <c r="CX860" s="211"/>
      <c r="CY860" s="211"/>
      <c r="CZ860" s="211"/>
      <c r="DA860" s="211"/>
      <c r="DB860" s="211"/>
      <c r="DC860" s="211"/>
      <c r="DD860" s="211"/>
      <c r="DE860" s="211"/>
      <c r="DF860" s="60"/>
      <c r="DG860" s="60"/>
      <c r="DH860" s="60"/>
      <c r="DI860" s="60"/>
      <c r="DJ860" s="60"/>
    </row>
    <row r="861" spans="3:114" s="25" customFormat="1">
      <c r="C861" s="24"/>
      <c r="D861" s="24"/>
      <c r="G861" s="57"/>
      <c r="H861" s="57"/>
      <c r="I861" s="57"/>
      <c r="J861" s="57"/>
      <c r="K861" s="57"/>
      <c r="L861" s="57"/>
      <c r="M861" s="57"/>
      <c r="N861" s="57"/>
      <c r="O861" s="57"/>
      <c r="P861" s="57"/>
      <c r="Q861" s="57"/>
      <c r="R861" s="57"/>
      <c r="S861" s="57"/>
      <c r="T861" s="559"/>
      <c r="U861" s="29"/>
      <c r="V861" s="29"/>
      <c r="AJ861" s="1215"/>
      <c r="AK861" s="1142"/>
      <c r="AM861" s="42"/>
      <c r="AN861" s="42"/>
      <c r="AO861" s="42"/>
      <c r="AP861" s="42"/>
      <c r="AQ861" s="42"/>
      <c r="AR861" s="42"/>
      <c r="AS861" s="42"/>
      <c r="AT861" s="42"/>
      <c r="AU861" s="42"/>
      <c r="AV861" s="42"/>
      <c r="AW861" s="42"/>
      <c r="AX861" s="42"/>
      <c r="AY861" s="42"/>
      <c r="AZ861" s="42"/>
      <c r="BA861" s="42"/>
      <c r="BB861" s="42"/>
      <c r="BC861" s="42"/>
      <c r="BD861" s="42"/>
      <c r="BE861" s="42"/>
      <c r="BF861" s="42"/>
      <c r="BG861" s="42"/>
      <c r="BH861" s="42"/>
      <c r="BI861" s="42"/>
      <c r="BJ861" s="42"/>
      <c r="BK861" s="42"/>
      <c r="BL861" s="42"/>
      <c r="BM861" s="42"/>
      <c r="BN861" s="42"/>
      <c r="BO861" s="42"/>
      <c r="BP861" s="42"/>
      <c r="BQ861" s="42"/>
      <c r="BR861" s="42"/>
      <c r="BS861" s="42"/>
      <c r="BT861" s="42"/>
      <c r="BU861" s="42"/>
      <c r="BV861" s="42"/>
      <c r="BW861" s="42"/>
      <c r="BX861" s="42"/>
      <c r="BY861" s="42"/>
      <c r="BZ861" s="42"/>
      <c r="CA861" s="42"/>
      <c r="CB861" s="42"/>
      <c r="CC861" s="42"/>
      <c r="CD861" s="42"/>
      <c r="CE861" s="42"/>
      <c r="CF861" s="42"/>
      <c r="CG861" s="42"/>
      <c r="CH861" s="42"/>
      <c r="CS861" s="29"/>
      <c r="CT861" s="29"/>
      <c r="CU861" s="29"/>
      <c r="CV861" s="522"/>
      <c r="CW861" s="522"/>
      <c r="CX861" s="211"/>
      <c r="CY861" s="211"/>
      <c r="CZ861" s="211"/>
      <c r="DA861" s="211"/>
      <c r="DB861" s="211"/>
      <c r="DC861" s="211"/>
      <c r="DD861" s="211"/>
      <c r="DE861" s="211"/>
      <c r="DF861" s="60"/>
      <c r="DG861" s="60"/>
      <c r="DH861" s="60"/>
      <c r="DI861" s="60"/>
      <c r="DJ861" s="60"/>
    </row>
    <row r="862" spans="3:114" s="25" customFormat="1">
      <c r="C862" s="24"/>
      <c r="D862" s="24"/>
      <c r="G862" s="57"/>
      <c r="H862" s="57"/>
      <c r="I862" s="57"/>
      <c r="J862" s="57"/>
      <c r="K862" s="57"/>
      <c r="L862" s="57"/>
      <c r="M862" s="57"/>
      <c r="N862" s="57"/>
      <c r="O862" s="57"/>
      <c r="P862" s="57"/>
      <c r="Q862" s="57"/>
      <c r="R862" s="57"/>
      <c r="S862" s="57"/>
      <c r="T862" s="559"/>
      <c r="U862" s="29"/>
      <c r="V862" s="29"/>
      <c r="AJ862" s="1215"/>
      <c r="AK862" s="1142"/>
      <c r="AM862" s="42"/>
      <c r="AN862" s="42"/>
      <c r="AO862" s="42"/>
      <c r="AP862" s="42"/>
      <c r="AQ862" s="42"/>
      <c r="AR862" s="42"/>
      <c r="AS862" s="42"/>
      <c r="AT862" s="42"/>
      <c r="AU862" s="42"/>
      <c r="AV862" s="42"/>
      <c r="AW862" s="42"/>
      <c r="AX862" s="42"/>
      <c r="AY862" s="42"/>
      <c r="AZ862" s="42"/>
      <c r="BA862" s="42"/>
      <c r="BB862" s="42"/>
      <c r="BC862" s="42"/>
      <c r="BD862" s="42"/>
      <c r="BE862" s="42"/>
      <c r="BF862" s="42"/>
      <c r="BG862" s="42"/>
      <c r="BH862" s="42"/>
      <c r="BI862" s="42"/>
      <c r="BJ862" s="42"/>
      <c r="BK862" s="42"/>
      <c r="BL862" s="42"/>
      <c r="BM862" s="42"/>
      <c r="BN862" s="42"/>
      <c r="BO862" s="42"/>
      <c r="BP862" s="42"/>
      <c r="BQ862" s="42"/>
      <c r="BR862" s="42"/>
      <c r="BS862" s="42"/>
      <c r="BT862" s="42"/>
      <c r="BU862" s="42"/>
      <c r="BV862" s="42"/>
      <c r="BW862" s="42"/>
      <c r="BX862" s="42"/>
      <c r="BY862" s="42"/>
      <c r="BZ862" s="42"/>
      <c r="CA862" s="42"/>
      <c r="CB862" s="42"/>
      <c r="CC862" s="42"/>
      <c r="CD862" s="42"/>
      <c r="CE862" s="42"/>
      <c r="CF862" s="42"/>
      <c r="CG862" s="42"/>
      <c r="CH862" s="42"/>
      <c r="CS862" s="29"/>
      <c r="CT862" s="29"/>
      <c r="CU862" s="29"/>
      <c r="CV862" s="522"/>
      <c r="CW862" s="522"/>
      <c r="CX862" s="211"/>
      <c r="CY862" s="211"/>
      <c r="CZ862" s="211"/>
      <c r="DA862" s="211"/>
      <c r="DB862" s="211"/>
      <c r="DC862" s="211"/>
      <c r="DD862" s="211"/>
      <c r="DE862" s="211"/>
      <c r="DF862" s="60"/>
      <c r="DG862" s="60"/>
      <c r="DH862" s="60"/>
      <c r="DI862" s="60"/>
      <c r="DJ862" s="60"/>
    </row>
    <row r="863" spans="3:114" s="25" customFormat="1">
      <c r="C863" s="24"/>
      <c r="D863" s="24"/>
      <c r="G863" s="57"/>
      <c r="H863" s="57"/>
      <c r="I863" s="57"/>
      <c r="J863" s="57"/>
      <c r="K863" s="57"/>
      <c r="L863" s="57"/>
      <c r="M863" s="57"/>
      <c r="N863" s="57"/>
      <c r="O863" s="57"/>
      <c r="P863" s="57"/>
      <c r="Q863" s="57"/>
      <c r="R863" s="57"/>
      <c r="S863" s="57"/>
      <c r="T863" s="559"/>
      <c r="U863" s="29"/>
      <c r="V863" s="29"/>
      <c r="AJ863" s="1215"/>
      <c r="AK863" s="1142"/>
      <c r="AM863" s="42"/>
      <c r="AN863" s="42"/>
      <c r="AO863" s="42"/>
      <c r="AP863" s="42"/>
      <c r="AQ863" s="42"/>
      <c r="AR863" s="42"/>
      <c r="AS863" s="42"/>
      <c r="AT863" s="42"/>
      <c r="AU863" s="42"/>
      <c r="AV863" s="42"/>
      <c r="AW863" s="42"/>
      <c r="AX863" s="42"/>
      <c r="AY863" s="42"/>
      <c r="AZ863" s="42"/>
      <c r="BA863" s="42"/>
      <c r="BB863" s="42"/>
      <c r="BC863" s="42"/>
      <c r="BD863" s="42"/>
      <c r="BE863" s="42"/>
      <c r="BF863" s="42"/>
      <c r="BG863" s="42"/>
      <c r="BH863" s="42"/>
      <c r="BI863" s="42"/>
      <c r="BJ863" s="42"/>
      <c r="BK863" s="42"/>
      <c r="BL863" s="42"/>
      <c r="BM863" s="42"/>
      <c r="BN863" s="42"/>
      <c r="BO863" s="42"/>
      <c r="BP863" s="42"/>
      <c r="BQ863" s="42"/>
      <c r="BR863" s="42"/>
      <c r="BS863" s="42"/>
      <c r="BT863" s="42"/>
      <c r="BU863" s="42"/>
      <c r="BV863" s="42"/>
      <c r="BW863" s="42"/>
      <c r="BX863" s="42"/>
      <c r="BY863" s="42"/>
      <c r="BZ863" s="42"/>
      <c r="CA863" s="42"/>
      <c r="CB863" s="42"/>
      <c r="CC863" s="42"/>
      <c r="CD863" s="42"/>
      <c r="CE863" s="42"/>
      <c r="CF863" s="42"/>
      <c r="CG863" s="42"/>
      <c r="CH863" s="42"/>
      <c r="CS863" s="29"/>
      <c r="CT863" s="29"/>
      <c r="CU863" s="29"/>
      <c r="CV863" s="522"/>
      <c r="CW863" s="522"/>
      <c r="CX863" s="211"/>
      <c r="CY863" s="211"/>
      <c r="CZ863" s="211"/>
      <c r="DA863" s="211"/>
      <c r="DB863" s="211"/>
      <c r="DC863" s="211"/>
      <c r="DD863" s="211"/>
      <c r="DE863" s="211"/>
      <c r="DF863" s="60"/>
      <c r="DG863" s="60"/>
      <c r="DH863" s="60"/>
      <c r="DI863" s="60"/>
      <c r="DJ863" s="60"/>
    </row>
    <row r="864" spans="3:114" s="25" customFormat="1">
      <c r="C864" s="24"/>
      <c r="D864" s="24"/>
      <c r="G864" s="57"/>
      <c r="H864" s="57"/>
      <c r="I864" s="57"/>
      <c r="J864" s="57"/>
      <c r="K864" s="57"/>
      <c r="L864" s="57"/>
      <c r="M864" s="57"/>
      <c r="N864" s="57"/>
      <c r="O864" s="57"/>
      <c r="P864" s="57"/>
      <c r="Q864" s="57"/>
      <c r="R864" s="57"/>
      <c r="S864" s="57"/>
      <c r="T864" s="559"/>
      <c r="U864" s="29"/>
      <c r="V864" s="29"/>
      <c r="AJ864" s="1215"/>
      <c r="AK864" s="1142"/>
      <c r="AM864" s="42"/>
      <c r="AN864" s="42"/>
      <c r="AO864" s="42"/>
      <c r="AP864" s="42"/>
      <c r="AQ864" s="42"/>
      <c r="AR864" s="42"/>
      <c r="AS864" s="42"/>
      <c r="AT864" s="42"/>
      <c r="AU864" s="42"/>
      <c r="AV864" s="42"/>
      <c r="AW864" s="42"/>
      <c r="AX864" s="42"/>
      <c r="AY864" s="42"/>
      <c r="AZ864" s="42"/>
      <c r="BA864" s="42"/>
      <c r="BB864" s="42"/>
      <c r="BC864" s="42"/>
      <c r="BD864" s="42"/>
      <c r="BE864" s="42"/>
      <c r="BF864" s="42"/>
      <c r="BG864" s="42"/>
      <c r="BH864" s="42"/>
      <c r="BI864" s="42"/>
      <c r="BJ864" s="42"/>
      <c r="BK864" s="42"/>
      <c r="BL864" s="42"/>
      <c r="BM864" s="42"/>
      <c r="BN864" s="42"/>
      <c r="BO864" s="42"/>
      <c r="BP864" s="42"/>
      <c r="BQ864" s="42"/>
      <c r="BR864" s="42"/>
      <c r="BS864" s="42"/>
      <c r="BT864" s="42"/>
      <c r="BU864" s="42"/>
      <c r="BV864" s="42"/>
      <c r="BW864" s="42"/>
      <c r="BX864" s="42"/>
      <c r="BY864" s="42"/>
      <c r="BZ864" s="42"/>
      <c r="CA864" s="42"/>
      <c r="CB864" s="42"/>
      <c r="CC864" s="42"/>
      <c r="CD864" s="42"/>
      <c r="CE864" s="42"/>
      <c r="CF864" s="42"/>
      <c r="CG864" s="42"/>
      <c r="CH864" s="42"/>
      <c r="CS864" s="29"/>
      <c r="CT864" s="29"/>
      <c r="CU864" s="29"/>
      <c r="CV864" s="522"/>
      <c r="CW864" s="522"/>
      <c r="CX864" s="211"/>
      <c r="CY864" s="211"/>
      <c r="CZ864" s="211"/>
      <c r="DA864" s="211"/>
      <c r="DB864" s="211"/>
      <c r="DC864" s="211"/>
      <c r="DD864" s="211"/>
      <c r="DE864" s="211"/>
      <c r="DF864" s="60"/>
      <c r="DG864" s="60"/>
      <c r="DH864" s="60"/>
      <c r="DI864" s="60"/>
      <c r="DJ864" s="60"/>
    </row>
    <row r="865" spans="3:114" s="25" customFormat="1">
      <c r="C865" s="24"/>
      <c r="D865" s="24"/>
      <c r="G865" s="57"/>
      <c r="H865" s="57"/>
      <c r="I865" s="57"/>
      <c r="J865" s="57"/>
      <c r="K865" s="57"/>
      <c r="L865" s="57"/>
      <c r="M865" s="57"/>
      <c r="N865" s="57"/>
      <c r="O865" s="57"/>
      <c r="P865" s="57"/>
      <c r="Q865" s="57"/>
      <c r="R865" s="57"/>
      <c r="S865" s="57"/>
      <c r="T865" s="559"/>
      <c r="U865" s="29"/>
      <c r="V865" s="29"/>
      <c r="AJ865" s="1215"/>
      <c r="AK865" s="1142"/>
      <c r="AM865" s="42"/>
      <c r="AN865" s="42"/>
      <c r="AO865" s="42"/>
      <c r="AP865" s="42"/>
      <c r="AQ865" s="42"/>
      <c r="AR865" s="42"/>
      <c r="AS865" s="42"/>
      <c r="AT865" s="42"/>
      <c r="AU865" s="42"/>
      <c r="AV865" s="42"/>
      <c r="AW865" s="42"/>
      <c r="AX865" s="42"/>
      <c r="AY865" s="42"/>
      <c r="AZ865" s="42"/>
      <c r="BA865" s="42"/>
      <c r="BB865" s="42"/>
      <c r="BC865" s="42"/>
      <c r="BD865" s="42"/>
      <c r="BE865" s="42"/>
      <c r="BF865" s="42"/>
      <c r="BG865" s="42"/>
      <c r="BH865" s="42"/>
      <c r="BI865" s="42"/>
      <c r="BJ865" s="42"/>
      <c r="BK865" s="42"/>
      <c r="BL865" s="42"/>
      <c r="BM865" s="42"/>
      <c r="BN865" s="42"/>
      <c r="BO865" s="42"/>
      <c r="BP865" s="42"/>
      <c r="BQ865" s="42"/>
      <c r="BR865" s="42"/>
      <c r="BS865" s="42"/>
      <c r="BT865" s="42"/>
      <c r="BU865" s="42"/>
      <c r="BV865" s="42"/>
      <c r="BW865" s="42"/>
      <c r="BX865" s="42"/>
      <c r="BY865" s="42"/>
      <c r="BZ865" s="42"/>
      <c r="CA865" s="42"/>
      <c r="CB865" s="42"/>
      <c r="CC865" s="42"/>
      <c r="CD865" s="42"/>
      <c r="CE865" s="42"/>
      <c r="CF865" s="42"/>
      <c r="CG865" s="42"/>
      <c r="CH865" s="42"/>
      <c r="CS865" s="29"/>
      <c r="CT865" s="29"/>
      <c r="CU865" s="29"/>
      <c r="CV865" s="522"/>
      <c r="CW865" s="522"/>
      <c r="CX865" s="211"/>
      <c r="CY865" s="211"/>
      <c r="CZ865" s="211"/>
      <c r="DA865" s="211"/>
      <c r="DB865" s="211"/>
      <c r="DC865" s="211"/>
      <c r="DD865" s="211"/>
      <c r="DE865" s="211"/>
      <c r="DF865" s="60"/>
      <c r="DG865" s="60"/>
      <c r="DH865" s="60"/>
      <c r="DI865" s="60"/>
      <c r="DJ865" s="60"/>
    </row>
    <row r="866" spans="3:114" s="25" customFormat="1">
      <c r="C866" s="24"/>
      <c r="D866" s="24"/>
      <c r="G866" s="57"/>
      <c r="H866" s="57"/>
      <c r="I866" s="57"/>
      <c r="J866" s="57"/>
      <c r="K866" s="57"/>
      <c r="L866" s="57"/>
      <c r="M866" s="57"/>
      <c r="N866" s="57"/>
      <c r="O866" s="57"/>
      <c r="P866" s="57"/>
      <c r="Q866" s="57"/>
      <c r="R866" s="57"/>
      <c r="S866" s="57"/>
      <c r="T866" s="559"/>
      <c r="U866" s="29"/>
      <c r="V866" s="29"/>
      <c r="AJ866" s="1215"/>
      <c r="AK866" s="1142"/>
      <c r="AM866" s="42"/>
      <c r="AN866" s="42"/>
      <c r="AO866" s="42"/>
      <c r="AP866" s="42"/>
      <c r="AQ866" s="42"/>
      <c r="AR866" s="42"/>
      <c r="AS866" s="42"/>
      <c r="AT866" s="42"/>
      <c r="AU866" s="42"/>
      <c r="AV866" s="42"/>
      <c r="AW866" s="42"/>
      <c r="AX866" s="42"/>
      <c r="AY866" s="42"/>
      <c r="AZ866" s="42"/>
      <c r="BA866" s="42"/>
      <c r="BB866" s="42"/>
      <c r="BC866" s="42"/>
      <c r="BD866" s="42"/>
      <c r="BE866" s="42"/>
      <c r="BF866" s="42"/>
      <c r="BG866" s="42"/>
      <c r="BH866" s="42"/>
      <c r="BI866" s="42"/>
      <c r="BJ866" s="42"/>
      <c r="BK866" s="42"/>
      <c r="BL866" s="42"/>
      <c r="BM866" s="42"/>
      <c r="BN866" s="42"/>
      <c r="BO866" s="42"/>
      <c r="BP866" s="42"/>
      <c r="BQ866" s="42"/>
      <c r="BR866" s="42"/>
      <c r="BS866" s="42"/>
      <c r="BT866" s="42"/>
      <c r="BU866" s="42"/>
      <c r="BV866" s="42"/>
      <c r="BW866" s="42"/>
      <c r="BX866" s="42"/>
      <c r="BY866" s="42"/>
      <c r="BZ866" s="42"/>
      <c r="CA866" s="42"/>
      <c r="CB866" s="42"/>
      <c r="CC866" s="42"/>
      <c r="CD866" s="42"/>
      <c r="CE866" s="42"/>
      <c r="CF866" s="42"/>
      <c r="CG866" s="42"/>
      <c r="CH866" s="42"/>
      <c r="CS866" s="29"/>
      <c r="CT866" s="29"/>
      <c r="CU866" s="29"/>
      <c r="CV866" s="522"/>
      <c r="CW866" s="522"/>
      <c r="CX866" s="211"/>
      <c r="CY866" s="211"/>
      <c r="CZ866" s="211"/>
      <c r="DA866" s="211"/>
      <c r="DB866" s="211"/>
      <c r="DC866" s="211"/>
      <c r="DD866" s="211"/>
      <c r="DE866" s="211"/>
      <c r="DF866" s="60"/>
      <c r="DG866" s="60"/>
      <c r="DH866" s="60"/>
      <c r="DI866" s="60"/>
      <c r="DJ866" s="60"/>
    </row>
    <row r="867" spans="3:114" s="25" customFormat="1">
      <c r="C867" s="24"/>
      <c r="D867" s="24"/>
      <c r="G867" s="57"/>
      <c r="H867" s="57"/>
      <c r="I867" s="57"/>
      <c r="J867" s="57"/>
      <c r="K867" s="57"/>
      <c r="L867" s="57"/>
      <c r="M867" s="57"/>
      <c r="N867" s="57"/>
      <c r="O867" s="57"/>
      <c r="P867" s="57"/>
      <c r="Q867" s="57"/>
      <c r="R867" s="57"/>
      <c r="S867" s="57"/>
      <c r="T867" s="559"/>
      <c r="U867" s="29"/>
      <c r="V867" s="29"/>
      <c r="AJ867" s="1215"/>
      <c r="AK867" s="1142"/>
      <c r="AM867" s="42"/>
      <c r="AN867" s="42"/>
      <c r="AO867" s="42"/>
      <c r="AP867" s="42"/>
      <c r="AQ867" s="42"/>
      <c r="AR867" s="42"/>
      <c r="AS867" s="42"/>
      <c r="AT867" s="42"/>
      <c r="AU867" s="42"/>
      <c r="AV867" s="42"/>
      <c r="AW867" s="42"/>
      <c r="AX867" s="42"/>
      <c r="AY867" s="42"/>
      <c r="AZ867" s="42"/>
      <c r="BA867" s="42"/>
      <c r="BB867" s="42"/>
      <c r="BC867" s="42"/>
      <c r="BD867" s="42"/>
      <c r="BE867" s="42"/>
      <c r="BF867" s="42"/>
      <c r="BG867" s="42"/>
      <c r="BH867" s="42"/>
      <c r="BI867" s="42"/>
      <c r="BJ867" s="42"/>
      <c r="BK867" s="42"/>
      <c r="BL867" s="42"/>
      <c r="BM867" s="42"/>
      <c r="BN867" s="42"/>
      <c r="BO867" s="42"/>
      <c r="BP867" s="42"/>
      <c r="BQ867" s="42"/>
      <c r="BR867" s="42"/>
      <c r="BS867" s="42"/>
      <c r="BT867" s="42"/>
      <c r="BU867" s="42"/>
      <c r="BV867" s="42"/>
      <c r="BW867" s="42"/>
      <c r="BX867" s="42"/>
      <c r="BY867" s="42"/>
      <c r="BZ867" s="42"/>
      <c r="CA867" s="42"/>
      <c r="CB867" s="42"/>
      <c r="CC867" s="42"/>
      <c r="CD867" s="42"/>
      <c r="CE867" s="42"/>
      <c r="CF867" s="42"/>
      <c r="CG867" s="42"/>
      <c r="CH867" s="42"/>
      <c r="CS867" s="29"/>
      <c r="CT867" s="29"/>
      <c r="CU867" s="29"/>
      <c r="CV867" s="522"/>
      <c r="CW867" s="522"/>
      <c r="CX867" s="211"/>
      <c r="CY867" s="211"/>
      <c r="CZ867" s="211"/>
      <c r="DA867" s="211"/>
      <c r="DB867" s="211"/>
      <c r="DC867" s="211"/>
      <c r="DD867" s="211"/>
      <c r="DE867" s="211"/>
      <c r="DF867" s="60"/>
      <c r="DG867" s="60"/>
      <c r="DH867" s="60"/>
      <c r="DI867" s="60"/>
      <c r="DJ867" s="60"/>
    </row>
    <row r="868" spans="3:114" s="25" customFormat="1">
      <c r="C868" s="24"/>
      <c r="D868" s="24"/>
      <c r="G868" s="57"/>
      <c r="H868" s="57"/>
      <c r="I868" s="57"/>
      <c r="J868" s="57"/>
      <c r="K868" s="57"/>
      <c r="L868" s="57"/>
      <c r="M868" s="57"/>
      <c r="N868" s="57"/>
      <c r="O868" s="57"/>
      <c r="P868" s="57"/>
      <c r="Q868" s="57"/>
      <c r="R868" s="57"/>
      <c r="S868" s="57"/>
      <c r="T868" s="559"/>
      <c r="U868" s="29"/>
      <c r="V868" s="29"/>
      <c r="AJ868" s="1215"/>
      <c r="AK868" s="1142"/>
      <c r="AM868" s="42"/>
      <c r="AN868" s="42"/>
      <c r="AO868" s="42"/>
      <c r="AP868" s="42"/>
      <c r="AQ868" s="42"/>
      <c r="AR868" s="42"/>
      <c r="AS868" s="42"/>
      <c r="AT868" s="42"/>
      <c r="AU868" s="42"/>
      <c r="AV868" s="42"/>
      <c r="AW868" s="42"/>
      <c r="AX868" s="42"/>
      <c r="AY868" s="42"/>
      <c r="AZ868" s="42"/>
      <c r="BA868" s="42"/>
      <c r="BB868" s="42"/>
      <c r="BC868" s="42"/>
      <c r="BD868" s="42"/>
      <c r="BE868" s="42"/>
      <c r="BF868" s="42"/>
      <c r="BG868" s="42"/>
      <c r="BH868" s="42"/>
      <c r="BI868" s="42"/>
      <c r="BJ868" s="42"/>
      <c r="BK868" s="42"/>
      <c r="BL868" s="42"/>
      <c r="BM868" s="42"/>
      <c r="BN868" s="42"/>
      <c r="BO868" s="42"/>
      <c r="BP868" s="42"/>
      <c r="BQ868" s="42"/>
      <c r="BR868" s="42"/>
      <c r="BS868" s="42"/>
      <c r="BT868" s="42"/>
      <c r="BU868" s="42"/>
      <c r="BV868" s="42"/>
      <c r="BW868" s="42"/>
      <c r="BX868" s="42"/>
      <c r="BY868" s="42"/>
      <c r="BZ868" s="42"/>
      <c r="CA868" s="42"/>
      <c r="CB868" s="42"/>
      <c r="CC868" s="42"/>
      <c r="CD868" s="42"/>
      <c r="CE868" s="42"/>
      <c r="CF868" s="42"/>
      <c r="CG868" s="42"/>
      <c r="CH868" s="42"/>
      <c r="CS868" s="29"/>
      <c r="CT868" s="29"/>
      <c r="CU868" s="29"/>
      <c r="CV868" s="522"/>
      <c r="CW868" s="522"/>
      <c r="CX868" s="211"/>
      <c r="CY868" s="211"/>
      <c r="CZ868" s="211"/>
      <c r="DA868" s="211"/>
      <c r="DB868" s="211"/>
      <c r="DC868" s="211"/>
      <c r="DD868" s="211"/>
      <c r="DE868" s="211"/>
      <c r="DF868" s="60"/>
      <c r="DG868" s="60"/>
      <c r="DH868" s="60"/>
      <c r="DI868" s="60"/>
      <c r="DJ868" s="60"/>
    </row>
    <row r="869" spans="3:114" s="25" customFormat="1">
      <c r="C869" s="24"/>
      <c r="D869" s="24"/>
      <c r="G869" s="57"/>
      <c r="H869" s="57"/>
      <c r="I869" s="57"/>
      <c r="J869" s="57"/>
      <c r="K869" s="57"/>
      <c r="L869" s="57"/>
      <c r="M869" s="57"/>
      <c r="N869" s="57"/>
      <c r="O869" s="57"/>
      <c r="P869" s="57"/>
      <c r="Q869" s="57"/>
      <c r="R869" s="57"/>
      <c r="S869" s="57"/>
      <c r="T869" s="559"/>
      <c r="U869" s="29"/>
      <c r="V869" s="29"/>
      <c r="AJ869" s="1215"/>
      <c r="AK869" s="1142"/>
      <c r="AM869" s="42"/>
      <c r="AN869" s="42"/>
      <c r="AO869" s="42"/>
      <c r="AP869" s="42"/>
      <c r="AQ869" s="42"/>
      <c r="AR869" s="42"/>
      <c r="AS869" s="42"/>
      <c r="AT869" s="42"/>
      <c r="AU869" s="42"/>
      <c r="AV869" s="42"/>
      <c r="AW869" s="42"/>
      <c r="AX869" s="42"/>
      <c r="AY869" s="42"/>
      <c r="AZ869" s="42"/>
      <c r="BA869" s="42"/>
      <c r="BB869" s="42"/>
      <c r="BC869" s="42"/>
      <c r="BD869" s="42"/>
      <c r="BE869" s="42"/>
      <c r="BF869" s="42"/>
      <c r="BG869" s="42"/>
      <c r="BH869" s="42"/>
      <c r="BI869" s="42"/>
      <c r="BJ869" s="42"/>
      <c r="BK869" s="42"/>
      <c r="BL869" s="42"/>
      <c r="BM869" s="42"/>
      <c r="BN869" s="42"/>
      <c r="BO869" s="42"/>
      <c r="BP869" s="42"/>
      <c r="BQ869" s="42"/>
      <c r="BR869" s="42"/>
      <c r="BS869" s="42"/>
      <c r="BT869" s="42"/>
      <c r="BU869" s="42"/>
      <c r="BV869" s="42"/>
      <c r="BW869" s="42"/>
      <c r="BX869" s="42"/>
      <c r="BY869" s="42"/>
      <c r="BZ869" s="42"/>
      <c r="CA869" s="42"/>
      <c r="CB869" s="42"/>
      <c r="CC869" s="42"/>
      <c r="CD869" s="42"/>
      <c r="CE869" s="42"/>
      <c r="CF869" s="42"/>
      <c r="CG869" s="42"/>
      <c r="CH869" s="42"/>
      <c r="CS869" s="29"/>
      <c r="CT869" s="29"/>
      <c r="CU869" s="29"/>
      <c r="CV869" s="522"/>
      <c r="CW869" s="522"/>
      <c r="CX869" s="211"/>
      <c r="CY869" s="211"/>
      <c r="CZ869" s="211"/>
      <c r="DA869" s="211"/>
      <c r="DB869" s="211"/>
      <c r="DC869" s="211"/>
      <c r="DD869" s="211"/>
      <c r="DE869" s="211"/>
      <c r="DF869" s="60"/>
      <c r="DG869" s="60"/>
      <c r="DH869" s="60"/>
      <c r="DI869" s="60"/>
      <c r="DJ869" s="60"/>
    </row>
    <row r="870" spans="3:114" s="25" customFormat="1">
      <c r="C870" s="24"/>
      <c r="D870" s="24"/>
      <c r="G870" s="57"/>
      <c r="H870" s="57"/>
      <c r="I870" s="57"/>
      <c r="J870" s="57"/>
      <c r="K870" s="57"/>
      <c r="L870" s="57"/>
      <c r="M870" s="57"/>
      <c r="N870" s="57"/>
      <c r="O870" s="57"/>
      <c r="P870" s="57"/>
      <c r="Q870" s="57"/>
      <c r="R870" s="57"/>
      <c r="S870" s="57"/>
      <c r="T870" s="559"/>
      <c r="U870" s="29"/>
      <c r="V870" s="29"/>
      <c r="AJ870" s="1215"/>
      <c r="AK870" s="1142"/>
      <c r="AM870" s="42"/>
      <c r="AN870" s="42"/>
      <c r="AO870" s="42"/>
      <c r="AP870" s="42"/>
      <c r="AQ870" s="42"/>
      <c r="AR870" s="42"/>
      <c r="AS870" s="42"/>
      <c r="AT870" s="42"/>
      <c r="AU870" s="42"/>
      <c r="AV870" s="42"/>
      <c r="AW870" s="42"/>
      <c r="AX870" s="42"/>
      <c r="AY870" s="42"/>
      <c r="AZ870" s="42"/>
      <c r="BA870" s="42"/>
      <c r="BB870" s="42"/>
      <c r="BC870" s="42"/>
      <c r="BD870" s="42"/>
      <c r="BE870" s="42"/>
      <c r="BF870" s="42"/>
      <c r="BG870" s="42"/>
      <c r="BH870" s="42"/>
      <c r="BI870" s="42"/>
      <c r="BJ870" s="42"/>
      <c r="BK870" s="42"/>
      <c r="BL870" s="42"/>
      <c r="BM870" s="42"/>
      <c r="BN870" s="42"/>
      <c r="BO870" s="42"/>
      <c r="BP870" s="42"/>
      <c r="BQ870" s="42"/>
      <c r="BR870" s="42"/>
      <c r="BS870" s="42"/>
      <c r="BT870" s="42"/>
      <c r="BU870" s="42"/>
      <c r="BV870" s="42"/>
      <c r="BW870" s="42"/>
      <c r="BX870" s="42"/>
      <c r="BY870" s="42"/>
      <c r="BZ870" s="42"/>
      <c r="CA870" s="42"/>
      <c r="CB870" s="42"/>
      <c r="CC870" s="42"/>
      <c r="CD870" s="42"/>
      <c r="CE870" s="42"/>
      <c r="CF870" s="42"/>
      <c r="CG870" s="42"/>
      <c r="CH870" s="42"/>
      <c r="CS870" s="29"/>
      <c r="CT870" s="29"/>
      <c r="CU870" s="29"/>
      <c r="CV870" s="522"/>
      <c r="CW870" s="522"/>
      <c r="CX870" s="211"/>
      <c r="CY870" s="211"/>
      <c r="CZ870" s="211"/>
      <c r="DA870" s="211"/>
      <c r="DB870" s="211"/>
      <c r="DC870" s="211"/>
      <c r="DD870" s="211"/>
      <c r="DE870" s="211"/>
      <c r="DF870" s="60"/>
      <c r="DG870" s="60"/>
      <c r="DH870" s="60"/>
      <c r="DI870" s="60"/>
      <c r="DJ870" s="60"/>
    </row>
    <row r="871" spans="3:114" s="25" customFormat="1">
      <c r="C871" s="24"/>
      <c r="D871" s="24"/>
      <c r="G871" s="57"/>
      <c r="H871" s="57"/>
      <c r="I871" s="57"/>
      <c r="J871" s="57"/>
      <c r="K871" s="57"/>
      <c r="L871" s="57"/>
      <c r="M871" s="57"/>
      <c r="N871" s="57"/>
      <c r="O871" s="57"/>
      <c r="P871" s="57"/>
      <c r="Q871" s="57"/>
      <c r="R871" s="57"/>
      <c r="S871" s="57"/>
      <c r="T871" s="559"/>
      <c r="U871" s="29"/>
      <c r="V871" s="29"/>
      <c r="AJ871" s="1215"/>
      <c r="AK871" s="1142"/>
      <c r="AM871" s="42"/>
      <c r="AN871" s="42"/>
      <c r="AO871" s="42"/>
      <c r="AP871" s="42"/>
      <c r="AQ871" s="42"/>
      <c r="AR871" s="42"/>
      <c r="AS871" s="42"/>
      <c r="AT871" s="42"/>
      <c r="AU871" s="42"/>
      <c r="AV871" s="42"/>
      <c r="AW871" s="42"/>
      <c r="AX871" s="42"/>
      <c r="AY871" s="42"/>
      <c r="AZ871" s="42"/>
      <c r="BA871" s="42"/>
      <c r="BB871" s="42"/>
      <c r="BC871" s="42"/>
      <c r="BD871" s="42"/>
      <c r="BE871" s="42"/>
      <c r="BF871" s="42"/>
      <c r="BG871" s="42"/>
      <c r="BH871" s="42"/>
      <c r="BI871" s="42"/>
      <c r="BJ871" s="42"/>
      <c r="BK871" s="42"/>
      <c r="BL871" s="42"/>
      <c r="BM871" s="42"/>
      <c r="BN871" s="42"/>
      <c r="BO871" s="42"/>
      <c r="BP871" s="42"/>
      <c r="BQ871" s="42"/>
      <c r="BR871" s="42"/>
      <c r="BS871" s="42"/>
      <c r="BT871" s="42"/>
      <c r="BU871" s="42"/>
      <c r="BV871" s="42"/>
      <c r="BW871" s="42"/>
      <c r="BX871" s="42"/>
      <c r="BY871" s="42"/>
      <c r="BZ871" s="42"/>
      <c r="CA871" s="42"/>
      <c r="CB871" s="42"/>
      <c r="CC871" s="42"/>
      <c r="CD871" s="42"/>
      <c r="CE871" s="42"/>
      <c r="CF871" s="42"/>
      <c r="CG871" s="42"/>
      <c r="CH871" s="42"/>
      <c r="CS871" s="29"/>
      <c r="CT871" s="29"/>
      <c r="CU871" s="29"/>
      <c r="CV871" s="522"/>
      <c r="CW871" s="522"/>
      <c r="CX871" s="211"/>
      <c r="CY871" s="211"/>
      <c r="CZ871" s="211"/>
      <c r="DA871" s="211"/>
      <c r="DB871" s="211"/>
      <c r="DC871" s="211"/>
      <c r="DD871" s="211"/>
      <c r="DE871" s="211"/>
      <c r="DF871" s="60"/>
      <c r="DG871" s="60"/>
      <c r="DH871" s="60"/>
      <c r="DI871" s="60"/>
      <c r="DJ871" s="60"/>
    </row>
    <row r="872" spans="3:114" s="25" customFormat="1">
      <c r="C872" s="24"/>
      <c r="D872" s="24"/>
      <c r="G872" s="57"/>
      <c r="H872" s="57"/>
      <c r="I872" s="57"/>
      <c r="J872" s="57"/>
      <c r="K872" s="57"/>
      <c r="L872" s="57"/>
      <c r="M872" s="57"/>
      <c r="N872" s="57"/>
      <c r="O872" s="57"/>
      <c r="P872" s="57"/>
      <c r="Q872" s="57"/>
      <c r="R872" s="57"/>
      <c r="S872" s="57"/>
      <c r="T872" s="559"/>
      <c r="U872" s="29"/>
      <c r="V872" s="29"/>
      <c r="AJ872" s="1215"/>
      <c r="AK872" s="1142"/>
      <c r="AM872" s="42"/>
      <c r="AN872" s="42"/>
      <c r="AO872" s="42"/>
      <c r="AP872" s="42"/>
      <c r="AQ872" s="42"/>
      <c r="AR872" s="42"/>
      <c r="AS872" s="42"/>
      <c r="AT872" s="42"/>
      <c r="AU872" s="42"/>
      <c r="AV872" s="42"/>
      <c r="AW872" s="42"/>
      <c r="AX872" s="42"/>
      <c r="AY872" s="42"/>
      <c r="AZ872" s="42"/>
      <c r="BA872" s="42"/>
      <c r="BB872" s="42"/>
      <c r="BC872" s="42"/>
      <c r="BD872" s="42"/>
      <c r="BE872" s="42"/>
      <c r="BF872" s="42"/>
      <c r="BG872" s="42"/>
      <c r="BH872" s="42"/>
      <c r="BI872" s="42"/>
      <c r="BJ872" s="42"/>
      <c r="BK872" s="42"/>
      <c r="BL872" s="42"/>
      <c r="BM872" s="42"/>
      <c r="BN872" s="42"/>
      <c r="BO872" s="42"/>
      <c r="BP872" s="42"/>
      <c r="BQ872" s="42"/>
      <c r="BR872" s="42"/>
      <c r="BS872" s="42"/>
      <c r="BT872" s="42"/>
      <c r="BU872" s="42"/>
      <c r="BV872" s="42"/>
      <c r="BW872" s="42"/>
      <c r="BX872" s="42"/>
      <c r="BY872" s="42"/>
      <c r="BZ872" s="42"/>
      <c r="CA872" s="42"/>
      <c r="CB872" s="42"/>
      <c r="CC872" s="42"/>
      <c r="CD872" s="42"/>
      <c r="CE872" s="42"/>
      <c r="CF872" s="42"/>
      <c r="CG872" s="42"/>
      <c r="CH872" s="42"/>
      <c r="CS872" s="29"/>
      <c r="CT872" s="29"/>
      <c r="CU872" s="29"/>
      <c r="CV872" s="522"/>
      <c r="CW872" s="522"/>
      <c r="CX872" s="211"/>
      <c r="CY872" s="211"/>
      <c r="CZ872" s="211"/>
      <c r="DA872" s="211"/>
      <c r="DB872" s="211"/>
      <c r="DC872" s="211"/>
      <c r="DD872" s="211"/>
      <c r="DE872" s="211"/>
      <c r="DF872" s="60"/>
      <c r="DG872" s="60"/>
      <c r="DH872" s="60"/>
      <c r="DI872" s="60"/>
      <c r="DJ872" s="60"/>
    </row>
    <row r="873" spans="3:114" s="25" customFormat="1">
      <c r="C873" s="24"/>
      <c r="D873" s="24"/>
      <c r="G873" s="57"/>
      <c r="H873" s="57"/>
      <c r="I873" s="57"/>
      <c r="J873" s="57"/>
      <c r="K873" s="57"/>
      <c r="L873" s="57"/>
      <c r="M873" s="57"/>
      <c r="N873" s="57"/>
      <c r="O873" s="57"/>
      <c r="P873" s="57"/>
      <c r="Q873" s="57"/>
      <c r="R873" s="57"/>
      <c r="S873" s="57"/>
      <c r="T873" s="559"/>
      <c r="U873" s="29"/>
      <c r="V873" s="29"/>
      <c r="AJ873" s="1215"/>
      <c r="AK873" s="1142"/>
      <c r="AM873" s="42"/>
      <c r="AN873" s="42"/>
      <c r="AO873" s="42"/>
      <c r="AP873" s="42"/>
      <c r="AQ873" s="42"/>
      <c r="AR873" s="42"/>
      <c r="AS873" s="42"/>
      <c r="AT873" s="42"/>
      <c r="AU873" s="42"/>
      <c r="AV873" s="42"/>
      <c r="AW873" s="42"/>
      <c r="AX873" s="42"/>
      <c r="AY873" s="42"/>
      <c r="AZ873" s="42"/>
      <c r="BA873" s="42"/>
      <c r="BB873" s="42"/>
      <c r="BC873" s="42"/>
      <c r="BD873" s="42"/>
      <c r="BE873" s="42"/>
      <c r="BF873" s="42"/>
      <c r="BG873" s="42"/>
      <c r="BH873" s="42"/>
      <c r="BI873" s="42"/>
      <c r="BJ873" s="42"/>
      <c r="BK873" s="42"/>
      <c r="BL873" s="42"/>
      <c r="BM873" s="42"/>
      <c r="BN873" s="42"/>
      <c r="BO873" s="42"/>
      <c r="BP873" s="42"/>
      <c r="BQ873" s="42"/>
      <c r="BR873" s="42"/>
      <c r="BS873" s="42"/>
      <c r="BT873" s="42"/>
      <c r="BU873" s="42"/>
      <c r="BV873" s="42"/>
      <c r="BW873" s="42"/>
      <c r="BX873" s="42"/>
      <c r="BY873" s="42"/>
      <c r="BZ873" s="42"/>
      <c r="CA873" s="42"/>
      <c r="CB873" s="42"/>
      <c r="CC873" s="42"/>
      <c r="CD873" s="42"/>
      <c r="CE873" s="42"/>
      <c r="CF873" s="42"/>
      <c r="CG873" s="42"/>
      <c r="CH873" s="42"/>
      <c r="CS873" s="29"/>
      <c r="CT873" s="29"/>
      <c r="CU873" s="29"/>
      <c r="CV873" s="522"/>
      <c r="CW873" s="522"/>
      <c r="CX873" s="211"/>
      <c r="CY873" s="211"/>
      <c r="CZ873" s="211"/>
      <c r="DA873" s="211"/>
      <c r="DB873" s="211"/>
      <c r="DC873" s="211"/>
      <c r="DD873" s="211"/>
      <c r="DE873" s="211"/>
      <c r="DF873" s="60"/>
      <c r="DG873" s="60"/>
      <c r="DH873" s="60"/>
      <c r="DI873" s="60"/>
      <c r="DJ873" s="60"/>
    </row>
    <row r="874" spans="3:114" s="25" customFormat="1">
      <c r="C874" s="24"/>
      <c r="D874" s="24"/>
      <c r="G874" s="57"/>
      <c r="H874" s="57"/>
      <c r="I874" s="57"/>
      <c r="J874" s="57"/>
      <c r="K874" s="57"/>
      <c r="L874" s="57"/>
      <c r="M874" s="57"/>
      <c r="N874" s="57"/>
      <c r="O874" s="57"/>
      <c r="P874" s="57"/>
      <c r="Q874" s="57"/>
      <c r="R874" s="57"/>
      <c r="S874" s="57"/>
      <c r="T874" s="559"/>
      <c r="U874" s="29"/>
      <c r="V874" s="29"/>
      <c r="AJ874" s="1215"/>
      <c r="AK874" s="1142"/>
      <c r="AM874" s="42"/>
      <c r="AN874" s="42"/>
      <c r="AO874" s="42"/>
      <c r="AP874" s="42"/>
      <c r="AQ874" s="42"/>
      <c r="AR874" s="42"/>
      <c r="AS874" s="42"/>
      <c r="AT874" s="42"/>
      <c r="AU874" s="42"/>
      <c r="AV874" s="42"/>
      <c r="AW874" s="42"/>
      <c r="AX874" s="42"/>
      <c r="AY874" s="42"/>
      <c r="AZ874" s="42"/>
      <c r="BA874" s="42"/>
      <c r="BB874" s="42"/>
      <c r="BC874" s="42"/>
      <c r="BD874" s="42"/>
      <c r="BE874" s="42"/>
      <c r="BF874" s="42"/>
      <c r="BG874" s="42"/>
      <c r="BH874" s="42"/>
      <c r="BI874" s="42"/>
      <c r="BJ874" s="42"/>
      <c r="BK874" s="42"/>
      <c r="BL874" s="42"/>
      <c r="BM874" s="42"/>
      <c r="BN874" s="42"/>
      <c r="BO874" s="42"/>
      <c r="BP874" s="42"/>
      <c r="BQ874" s="42"/>
      <c r="BR874" s="42"/>
      <c r="BS874" s="42"/>
      <c r="BT874" s="42"/>
      <c r="BU874" s="42"/>
      <c r="BV874" s="42"/>
      <c r="BW874" s="42"/>
      <c r="BX874" s="42"/>
      <c r="BY874" s="42"/>
      <c r="BZ874" s="42"/>
      <c r="CA874" s="42"/>
      <c r="CB874" s="42"/>
      <c r="CC874" s="42"/>
      <c r="CD874" s="42"/>
      <c r="CE874" s="42"/>
      <c r="CF874" s="42"/>
      <c r="CG874" s="42"/>
      <c r="CH874" s="42"/>
      <c r="CS874" s="29"/>
      <c r="CT874" s="29"/>
      <c r="CU874" s="29"/>
      <c r="CV874" s="522"/>
      <c r="CW874" s="522"/>
      <c r="CX874" s="211"/>
      <c r="CY874" s="211"/>
      <c r="CZ874" s="211"/>
      <c r="DA874" s="211"/>
      <c r="DB874" s="211"/>
      <c r="DC874" s="211"/>
      <c r="DD874" s="211"/>
      <c r="DE874" s="211"/>
      <c r="DF874" s="60"/>
      <c r="DG874" s="60"/>
      <c r="DH874" s="60"/>
      <c r="DI874" s="60"/>
      <c r="DJ874" s="60"/>
    </row>
    <row r="875" spans="3:114" s="25" customFormat="1">
      <c r="C875" s="24"/>
      <c r="D875" s="24"/>
      <c r="G875" s="57"/>
      <c r="H875" s="57"/>
      <c r="I875" s="57"/>
      <c r="J875" s="57"/>
      <c r="K875" s="57"/>
      <c r="L875" s="57"/>
      <c r="M875" s="57"/>
      <c r="N875" s="57"/>
      <c r="O875" s="57"/>
      <c r="P875" s="57"/>
      <c r="Q875" s="57"/>
      <c r="R875" s="57"/>
      <c r="S875" s="57"/>
      <c r="T875" s="559"/>
      <c r="U875" s="29"/>
      <c r="V875" s="29"/>
      <c r="AJ875" s="1215"/>
      <c r="AK875" s="1142"/>
      <c r="AM875" s="42"/>
      <c r="AN875" s="42"/>
      <c r="AO875" s="42"/>
      <c r="AP875" s="42"/>
      <c r="AQ875" s="42"/>
      <c r="AR875" s="42"/>
      <c r="AS875" s="42"/>
      <c r="AT875" s="42"/>
      <c r="AU875" s="42"/>
      <c r="AV875" s="42"/>
      <c r="AW875" s="42"/>
      <c r="AX875" s="42"/>
      <c r="AY875" s="42"/>
      <c r="AZ875" s="42"/>
      <c r="BA875" s="42"/>
      <c r="BB875" s="42"/>
      <c r="BC875" s="42"/>
      <c r="BD875" s="42"/>
      <c r="BE875" s="42"/>
      <c r="BF875" s="42"/>
      <c r="BG875" s="42"/>
      <c r="BH875" s="42"/>
      <c r="BI875" s="42"/>
      <c r="BJ875" s="42"/>
      <c r="BK875" s="42"/>
      <c r="BL875" s="42"/>
      <c r="BM875" s="42"/>
      <c r="BN875" s="42"/>
      <c r="BO875" s="42"/>
      <c r="BP875" s="42"/>
      <c r="BQ875" s="42"/>
      <c r="BR875" s="42"/>
      <c r="BS875" s="42"/>
      <c r="BT875" s="42"/>
      <c r="BU875" s="42"/>
      <c r="BV875" s="42"/>
      <c r="BW875" s="42"/>
      <c r="BX875" s="42"/>
      <c r="BY875" s="42"/>
      <c r="BZ875" s="42"/>
      <c r="CA875" s="42"/>
      <c r="CB875" s="42"/>
      <c r="CC875" s="42"/>
      <c r="CD875" s="42"/>
      <c r="CE875" s="42"/>
      <c r="CF875" s="42"/>
      <c r="CG875" s="42"/>
      <c r="CH875" s="42"/>
      <c r="CS875" s="29"/>
      <c r="CT875" s="29"/>
      <c r="CU875" s="29"/>
      <c r="CV875" s="522"/>
      <c r="CW875" s="522"/>
      <c r="CX875" s="211"/>
      <c r="CY875" s="211"/>
      <c r="CZ875" s="211"/>
      <c r="DA875" s="211"/>
      <c r="DB875" s="211"/>
      <c r="DC875" s="211"/>
      <c r="DD875" s="211"/>
      <c r="DE875" s="211"/>
      <c r="DF875" s="60"/>
      <c r="DG875" s="60"/>
      <c r="DH875" s="60"/>
      <c r="DI875" s="60"/>
      <c r="DJ875" s="60"/>
    </row>
    <row r="876" spans="3:114" s="25" customFormat="1">
      <c r="C876" s="24"/>
      <c r="D876" s="24"/>
      <c r="G876" s="57"/>
      <c r="H876" s="57"/>
      <c r="I876" s="57"/>
      <c r="J876" s="57"/>
      <c r="K876" s="57"/>
      <c r="L876" s="57"/>
      <c r="M876" s="57"/>
      <c r="N876" s="57"/>
      <c r="O876" s="57"/>
      <c r="P876" s="57"/>
      <c r="Q876" s="57"/>
      <c r="R876" s="57"/>
      <c r="S876" s="57"/>
      <c r="T876" s="559"/>
      <c r="U876" s="29"/>
      <c r="V876" s="29"/>
      <c r="AJ876" s="1215"/>
      <c r="AK876" s="1142"/>
      <c r="AM876" s="42"/>
      <c r="AN876" s="42"/>
      <c r="AO876" s="42"/>
      <c r="AP876" s="42"/>
      <c r="AQ876" s="42"/>
      <c r="AR876" s="42"/>
      <c r="AS876" s="42"/>
      <c r="AT876" s="42"/>
      <c r="AU876" s="42"/>
      <c r="AV876" s="42"/>
      <c r="AW876" s="42"/>
      <c r="AX876" s="42"/>
      <c r="AY876" s="42"/>
      <c r="AZ876" s="42"/>
      <c r="BA876" s="42"/>
      <c r="BB876" s="42"/>
      <c r="BC876" s="42"/>
      <c r="BD876" s="42"/>
      <c r="BE876" s="42"/>
      <c r="BF876" s="42"/>
      <c r="BG876" s="42"/>
      <c r="BH876" s="42"/>
      <c r="BI876" s="42"/>
      <c r="BJ876" s="42"/>
      <c r="BK876" s="42"/>
      <c r="BL876" s="42"/>
      <c r="BM876" s="42"/>
      <c r="BN876" s="42"/>
      <c r="BO876" s="42"/>
      <c r="BP876" s="42"/>
      <c r="BQ876" s="42"/>
      <c r="BR876" s="42"/>
      <c r="BS876" s="42"/>
      <c r="BT876" s="42"/>
      <c r="BU876" s="42"/>
      <c r="BV876" s="42"/>
      <c r="BW876" s="42"/>
      <c r="BX876" s="42"/>
      <c r="BY876" s="42"/>
      <c r="BZ876" s="42"/>
      <c r="CA876" s="42"/>
      <c r="CB876" s="42"/>
      <c r="CC876" s="42"/>
      <c r="CD876" s="42"/>
      <c r="CE876" s="42"/>
      <c r="CF876" s="42"/>
      <c r="CG876" s="42"/>
      <c r="CH876" s="42"/>
      <c r="CS876" s="29"/>
      <c r="CT876" s="29"/>
      <c r="CU876" s="29"/>
      <c r="CV876" s="522"/>
      <c r="CW876" s="522"/>
      <c r="CX876" s="211"/>
      <c r="CY876" s="211"/>
      <c r="CZ876" s="211"/>
      <c r="DA876" s="211"/>
      <c r="DB876" s="211"/>
      <c r="DC876" s="211"/>
      <c r="DD876" s="211"/>
      <c r="DE876" s="211"/>
      <c r="DF876" s="60"/>
      <c r="DG876" s="60"/>
      <c r="DH876" s="60"/>
      <c r="DI876" s="60"/>
      <c r="DJ876" s="60"/>
    </row>
    <row r="877" spans="3:114" s="25" customFormat="1">
      <c r="C877" s="24"/>
      <c r="D877" s="24"/>
      <c r="G877" s="57"/>
      <c r="H877" s="57"/>
      <c r="I877" s="57"/>
      <c r="J877" s="57"/>
      <c r="K877" s="57"/>
      <c r="L877" s="57"/>
      <c r="M877" s="57"/>
      <c r="N877" s="57"/>
      <c r="O877" s="57"/>
      <c r="P877" s="57"/>
      <c r="Q877" s="57"/>
      <c r="R877" s="57"/>
      <c r="S877" s="57"/>
      <c r="T877" s="559"/>
      <c r="U877" s="29"/>
      <c r="V877" s="29"/>
      <c r="AJ877" s="1215"/>
      <c r="AK877" s="1142"/>
      <c r="AM877" s="42"/>
      <c r="AN877" s="42"/>
      <c r="AO877" s="42"/>
      <c r="AP877" s="42"/>
      <c r="AQ877" s="42"/>
      <c r="AR877" s="42"/>
      <c r="AS877" s="42"/>
      <c r="AT877" s="42"/>
      <c r="AU877" s="42"/>
      <c r="AV877" s="42"/>
      <c r="AW877" s="42"/>
      <c r="AX877" s="42"/>
      <c r="AY877" s="42"/>
      <c r="AZ877" s="42"/>
      <c r="BA877" s="42"/>
      <c r="BB877" s="42"/>
      <c r="BC877" s="42"/>
      <c r="BD877" s="42"/>
      <c r="BE877" s="42"/>
      <c r="BF877" s="42"/>
      <c r="BG877" s="42"/>
      <c r="BH877" s="42"/>
      <c r="BI877" s="42"/>
      <c r="BJ877" s="42"/>
      <c r="BK877" s="42"/>
      <c r="BL877" s="42"/>
      <c r="BM877" s="42"/>
      <c r="BN877" s="42"/>
      <c r="BO877" s="42"/>
      <c r="BP877" s="42"/>
      <c r="BQ877" s="42"/>
      <c r="BR877" s="42"/>
      <c r="BS877" s="42"/>
      <c r="BT877" s="42"/>
      <c r="BU877" s="42"/>
      <c r="BV877" s="42"/>
      <c r="BW877" s="42"/>
      <c r="BX877" s="42"/>
      <c r="BY877" s="42"/>
      <c r="BZ877" s="42"/>
      <c r="CA877" s="42"/>
      <c r="CB877" s="42"/>
      <c r="CC877" s="42"/>
      <c r="CD877" s="42"/>
      <c r="CE877" s="42"/>
      <c r="CF877" s="42"/>
      <c r="CG877" s="42"/>
      <c r="CH877" s="42"/>
      <c r="CS877" s="29"/>
      <c r="CT877" s="29"/>
      <c r="CU877" s="29"/>
      <c r="CV877" s="522"/>
      <c r="CW877" s="522"/>
      <c r="CX877" s="211"/>
      <c r="CY877" s="211"/>
      <c r="CZ877" s="211"/>
      <c r="DA877" s="211"/>
      <c r="DB877" s="211"/>
      <c r="DC877" s="211"/>
      <c r="DD877" s="211"/>
      <c r="DE877" s="211"/>
      <c r="DF877" s="60"/>
      <c r="DG877" s="60"/>
      <c r="DH877" s="60"/>
      <c r="DI877" s="60"/>
      <c r="DJ877" s="60"/>
    </row>
    <row r="878" spans="3:114" s="25" customFormat="1">
      <c r="C878" s="24"/>
      <c r="D878" s="24"/>
      <c r="G878" s="57"/>
      <c r="H878" s="57"/>
      <c r="I878" s="57"/>
      <c r="J878" s="57"/>
      <c r="K878" s="57"/>
      <c r="L878" s="57"/>
      <c r="M878" s="57"/>
      <c r="N878" s="57"/>
      <c r="O878" s="57"/>
      <c r="P878" s="57"/>
      <c r="Q878" s="57"/>
      <c r="R878" s="57"/>
      <c r="S878" s="57"/>
      <c r="T878" s="559"/>
      <c r="U878" s="29"/>
      <c r="V878" s="29"/>
      <c r="AJ878" s="1215"/>
      <c r="AK878" s="1142"/>
      <c r="AM878" s="42"/>
      <c r="AN878" s="42"/>
      <c r="AO878" s="42"/>
      <c r="AP878" s="42"/>
      <c r="AQ878" s="42"/>
      <c r="AR878" s="42"/>
      <c r="AS878" s="42"/>
      <c r="AT878" s="42"/>
      <c r="AU878" s="42"/>
      <c r="AV878" s="42"/>
      <c r="AW878" s="42"/>
      <c r="AX878" s="42"/>
      <c r="AY878" s="42"/>
      <c r="AZ878" s="42"/>
      <c r="BA878" s="42"/>
      <c r="BB878" s="42"/>
      <c r="BC878" s="42"/>
      <c r="BD878" s="42"/>
      <c r="BE878" s="42"/>
      <c r="BF878" s="42"/>
      <c r="BG878" s="42"/>
      <c r="BH878" s="42"/>
      <c r="BI878" s="42"/>
      <c r="BJ878" s="42"/>
      <c r="BK878" s="42"/>
      <c r="BL878" s="42"/>
      <c r="BM878" s="42"/>
      <c r="BN878" s="42"/>
      <c r="BO878" s="42"/>
      <c r="BP878" s="42"/>
      <c r="BQ878" s="42"/>
      <c r="BR878" s="42"/>
      <c r="BS878" s="42"/>
      <c r="BT878" s="42"/>
      <c r="BU878" s="42"/>
      <c r="BV878" s="42"/>
      <c r="BW878" s="42"/>
      <c r="BX878" s="42"/>
      <c r="BY878" s="42"/>
      <c r="BZ878" s="42"/>
      <c r="CA878" s="42"/>
      <c r="CB878" s="42"/>
      <c r="CC878" s="42"/>
      <c r="CD878" s="42"/>
      <c r="CE878" s="42"/>
      <c r="CF878" s="42"/>
      <c r="CG878" s="42"/>
      <c r="CH878" s="42"/>
      <c r="CS878" s="29"/>
      <c r="CT878" s="29"/>
      <c r="CU878" s="29"/>
      <c r="CV878" s="522"/>
      <c r="CW878" s="522"/>
      <c r="CX878" s="211"/>
      <c r="CY878" s="211"/>
      <c r="CZ878" s="211"/>
      <c r="DA878" s="211"/>
      <c r="DB878" s="211"/>
      <c r="DC878" s="211"/>
      <c r="DD878" s="211"/>
      <c r="DE878" s="211"/>
      <c r="DF878" s="60"/>
      <c r="DG878" s="60"/>
      <c r="DH878" s="60"/>
      <c r="DI878" s="60"/>
      <c r="DJ878" s="60"/>
    </row>
    <row r="879" spans="3:114" s="25" customFormat="1">
      <c r="C879" s="24"/>
      <c r="D879" s="24"/>
      <c r="G879" s="57"/>
      <c r="H879" s="57"/>
      <c r="I879" s="57"/>
      <c r="J879" s="57"/>
      <c r="K879" s="57"/>
      <c r="L879" s="57"/>
      <c r="M879" s="57"/>
      <c r="N879" s="57"/>
      <c r="O879" s="57"/>
      <c r="P879" s="57"/>
      <c r="Q879" s="57"/>
      <c r="R879" s="57"/>
      <c r="S879" s="57"/>
      <c r="T879" s="559"/>
      <c r="U879" s="29"/>
      <c r="V879" s="29"/>
      <c r="AJ879" s="1215"/>
      <c r="AK879" s="1142"/>
      <c r="AM879" s="42"/>
      <c r="AN879" s="42"/>
      <c r="AO879" s="42"/>
      <c r="AP879" s="42"/>
      <c r="AQ879" s="42"/>
      <c r="AR879" s="42"/>
      <c r="AS879" s="42"/>
      <c r="AT879" s="42"/>
      <c r="AU879" s="42"/>
      <c r="AV879" s="42"/>
      <c r="AW879" s="42"/>
      <c r="AX879" s="42"/>
      <c r="AY879" s="42"/>
      <c r="AZ879" s="42"/>
      <c r="BA879" s="42"/>
      <c r="BB879" s="42"/>
      <c r="BC879" s="42"/>
      <c r="BD879" s="42"/>
      <c r="BE879" s="42"/>
      <c r="BF879" s="42"/>
      <c r="BG879" s="42"/>
      <c r="BH879" s="42"/>
      <c r="BI879" s="42"/>
      <c r="BJ879" s="42"/>
      <c r="BK879" s="42"/>
      <c r="BL879" s="42"/>
      <c r="BM879" s="42"/>
      <c r="BN879" s="42"/>
      <c r="BO879" s="42"/>
      <c r="BP879" s="42"/>
      <c r="BQ879" s="42"/>
      <c r="BR879" s="42"/>
      <c r="BS879" s="42"/>
      <c r="BT879" s="42"/>
      <c r="BU879" s="42"/>
      <c r="BV879" s="42"/>
      <c r="BW879" s="42"/>
      <c r="BX879" s="42"/>
      <c r="BY879" s="42"/>
      <c r="BZ879" s="42"/>
      <c r="CA879" s="42"/>
      <c r="CB879" s="42"/>
      <c r="CC879" s="42"/>
      <c r="CD879" s="42"/>
      <c r="CE879" s="42"/>
      <c r="CF879" s="42"/>
      <c r="CG879" s="42"/>
      <c r="CH879" s="42"/>
      <c r="CS879" s="29"/>
      <c r="CT879" s="29"/>
      <c r="CU879" s="29"/>
      <c r="CV879" s="522"/>
      <c r="CW879" s="522"/>
      <c r="CX879" s="211"/>
      <c r="CY879" s="211"/>
      <c r="CZ879" s="211"/>
      <c r="DA879" s="211"/>
      <c r="DB879" s="211"/>
      <c r="DC879" s="211"/>
      <c r="DD879" s="211"/>
      <c r="DE879" s="211"/>
      <c r="DF879" s="60"/>
      <c r="DG879" s="60"/>
      <c r="DH879" s="60"/>
      <c r="DI879" s="60"/>
      <c r="DJ879" s="60"/>
    </row>
    <row r="880" spans="3:114" s="25" customFormat="1">
      <c r="C880" s="24"/>
      <c r="D880" s="24"/>
      <c r="G880" s="57"/>
      <c r="H880" s="57"/>
      <c r="I880" s="57"/>
      <c r="J880" s="57"/>
      <c r="K880" s="57"/>
      <c r="L880" s="57"/>
      <c r="M880" s="57"/>
      <c r="N880" s="57"/>
      <c r="O880" s="57"/>
      <c r="P880" s="57"/>
      <c r="Q880" s="57"/>
      <c r="R880" s="57"/>
      <c r="S880" s="57"/>
      <c r="T880" s="559"/>
      <c r="U880" s="29"/>
      <c r="V880" s="29"/>
      <c r="AJ880" s="1215"/>
      <c r="AK880" s="1142"/>
      <c r="AM880" s="42"/>
      <c r="AN880" s="42"/>
      <c r="AO880" s="42"/>
      <c r="AP880" s="42"/>
      <c r="AQ880" s="42"/>
      <c r="AR880" s="42"/>
      <c r="AS880" s="42"/>
      <c r="AT880" s="42"/>
      <c r="AU880" s="42"/>
      <c r="AV880" s="42"/>
      <c r="AW880" s="42"/>
      <c r="AX880" s="42"/>
      <c r="AY880" s="42"/>
      <c r="AZ880" s="42"/>
      <c r="BA880" s="42"/>
      <c r="BB880" s="42"/>
      <c r="BC880" s="42"/>
      <c r="BD880" s="42"/>
      <c r="BE880" s="42"/>
      <c r="BF880" s="42"/>
      <c r="BG880" s="42"/>
      <c r="BH880" s="42"/>
      <c r="BI880" s="42"/>
      <c r="BJ880" s="42"/>
      <c r="BK880" s="42"/>
      <c r="BL880" s="42"/>
      <c r="BM880" s="42"/>
      <c r="BN880" s="42"/>
      <c r="BO880" s="42"/>
      <c r="BP880" s="42"/>
      <c r="BQ880" s="42"/>
      <c r="BR880" s="42"/>
      <c r="BS880" s="42"/>
      <c r="BT880" s="42"/>
      <c r="BU880" s="42"/>
      <c r="BV880" s="42"/>
      <c r="BW880" s="42"/>
      <c r="BX880" s="42"/>
      <c r="BY880" s="42"/>
      <c r="BZ880" s="42"/>
      <c r="CA880" s="42"/>
      <c r="CB880" s="42"/>
      <c r="CC880" s="42"/>
      <c r="CD880" s="42"/>
      <c r="CE880" s="42"/>
      <c r="CF880" s="42"/>
      <c r="CG880" s="42"/>
      <c r="CH880" s="42"/>
      <c r="CS880" s="29"/>
      <c r="CT880" s="29"/>
      <c r="CU880" s="29"/>
      <c r="CV880" s="522"/>
      <c r="CW880" s="522"/>
      <c r="CX880" s="211"/>
      <c r="CY880" s="211"/>
      <c r="CZ880" s="211"/>
      <c r="DA880" s="211"/>
      <c r="DB880" s="211"/>
      <c r="DC880" s="211"/>
      <c r="DD880" s="211"/>
      <c r="DE880" s="211"/>
      <c r="DF880" s="60"/>
      <c r="DG880" s="60"/>
      <c r="DH880" s="60"/>
      <c r="DI880" s="60"/>
      <c r="DJ880" s="60"/>
    </row>
    <row r="881" spans="3:114" s="25" customFormat="1">
      <c r="C881" s="24"/>
      <c r="D881" s="24"/>
      <c r="G881" s="57"/>
      <c r="H881" s="57"/>
      <c r="I881" s="57"/>
      <c r="J881" s="57"/>
      <c r="K881" s="57"/>
      <c r="L881" s="57"/>
      <c r="M881" s="57"/>
      <c r="N881" s="57"/>
      <c r="O881" s="57"/>
      <c r="P881" s="57"/>
      <c r="Q881" s="57"/>
      <c r="R881" s="57"/>
      <c r="S881" s="57"/>
      <c r="T881" s="559"/>
      <c r="U881" s="29"/>
      <c r="V881" s="29"/>
      <c r="AJ881" s="1215"/>
      <c r="AK881" s="1142"/>
      <c r="AM881" s="42"/>
      <c r="AN881" s="42"/>
      <c r="AO881" s="42"/>
      <c r="AP881" s="42"/>
      <c r="AQ881" s="42"/>
      <c r="AR881" s="42"/>
      <c r="AS881" s="42"/>
      <c r="AT881" s="42"/>
      <c r="AU881" s="42"/>
      <c r="AV881" s="42"/>
      <c r="AW881" s="42"/>
      <c r="AX881" s="42"/>
      <c r="AY881" s="42"/>
      <c r="AZ881" s="42"/>
      <c r="BA881" s="42"/>
      <c r="BB881" s="42"/>
      <c r="BC881" s="42"/>
      <c r="BD881" s="42"/>
      <c r="BE881" s="42"/>
      <c r="BF881" s="42"/>
      <c r="BG881" s="42"/>
      <c r="BH881" s="42"/>
      <c r="BI881" s="42"/>
      <c r="BJ881" s="42"/>
      <c r="BK881" s="42"/>
      <c r="BL881" s="42"/>
      <c r="BM881" s="42"/>
      <c r="BN881" s="42"/>
      <c r="BO881" s="42"/>
      <c r="BP881" s="42"/>
      <c r="BQ881" s="42"/>
      <c r="BR881" s="42"/>
      <c r="BS881" s="42"/>
      <c r="BT881" s="42"/>
      <c r="BU881" s="42"/>
      <c r="BV881" s="42"/>
      <c r="BW881" s="42"/>
      <c r="BX881" s="42"/>
      <c r="BY881" s="42"/>
      <c r="BZ881" s="42"/>
      <c r="CA881" s="42"/>
      <c r="CB881" s="42"/>
      <c r="CC881" s="42"/>
      <c r="CD881" s="42"/>
      <c r="CE881" s="42"/>
      <c r="CF881" s="42"/>
      <c r="CG881" s="42"/>
      <c r="CH881" s="42"/>
      <c r="CS881" s="29"/>
      <c r="CT881" s="29"/>
      <c r="CU881" s="29"/>
      <c r="CV881" s="522"/>
      <c r="CW881" s="522"/>
      <c r="CX881" s="211"/>
      <c r="CY881" s="211"/>
      <c r="CZ881" s="211"/>
      <c r="DA881" s="211"/>
      <c r="DB881" s="211"/>
      <c r="DC881" s="211"/>
      <c r="DD881" s="211"/>
      <c r="DE881" s="211"/>
      <c r="DF881" s="60"/>
      <c r="DG881" s="60"/>
      <c r="DH881" s="60"/>
      <c r="DI881" s="60"/>
      <c r="DJ881" s="60"/>
    </row>
    <row r="882" spans="3:114" s="25" customFormat="1">
      <c r="C882" s="24"/>
      <c r="D882" s="24"/>
      <c r="G882" s="57"/>
      <c r="H882" s="57"/>
      <c r="I882" s="57"/>
      <c r="J882" s="57"/>
      <c r="K882" s="57"/>
      <c r="L882" s="57"/>
      <c r="M882" s="57"/>
      <c r="N882" s="57"/>
      <c r="O882" s="57"/>
      <c r="P882" s="57"/>
      <c r="Q882" s="57"/>
      <c r="R882" s="57"/>
      <c r="S882" s="57"/>
      <c r="T882" s="559"/>
      <c r="U882" s="29"/>
      <c r="V882" s="29"/>
      <c r="AJ882" s="1215"/>
      <c r="AK882" s="1142"/>
      <c r="AM882" s="42"/>
      <c r="AN882" s="42"/>
      <c r="AO882" s="42"/>
      <c r="AP882" s="42"/>
      <c r="AQ882" s="42"/>
      <c r="AR882" s="42"/>
      <c r="AS882" s="42"/>
      <c r="AT882" s="42"/>
      <c r="AU882" s="42"/>
      <c r="AV882" s="42"/>
      <c r="AW882" s="42"/>
      <c r="AX882" s="42"/>
      <c r="AY882" s="42"/>
      <c r="AZ882" s="42"/>
      <c r="BA882" s="42"/>
      <c r="BB882" s="42"/>
      <c r="BC882" s="42"/>
      <c r="BD882" s="42"/>
      <c r="BE882" s="42"/>
      <c r="BF882" s="42"/>
      <c r="BG882" s="42"/>
      <c r="BH882" s="42"/>
      <c r="BI882" s="42"/>
      <c r="BJ882" s="42"/>
      <c r="BK882" s="42"/>
      <c r="BL882" s="42"/>
      <c r="BM882" s="42"/>
      <c r="BN882" s="42"/>
      <c r="BO882" s="42"/>
      <c r="BP882" s="42"/>
      <c r="BQ882" s="42"/>
      <c r="BR882" s="42"/>
      <c r="BS882" s="42"/>
      <c r="BT882" s="42"/>
      <c r="BU882" s="42"/>
      <c r="BV882" s="42"/>
      <c r="BW882" s="42"/>
      <c r="BX882" s="42"/>
      <c r="BY882" s="42"/>
      <c r="BZ882" s="42"/>
      <c r="CA882" s="42"/>
      <c r="CB882" s="42"/>
      <c r="CC882" s="42"/>
      <c r="CD882" s="42"/>
      <c r="CE882" s="42"/>
      <c r="CF882" s="42"/>
      <c r="CG882" s="42"/>
      <c r="CH882" s="42"/>
      <c r="CS882" s="29"/>
      <c r="CT882" s="29"/>
      <c r="CU882" s="29"/>
      <c r="CV882" s="522"/>
      <c r="CW882" s="522"/>
      <c r="CX882" s="211"/>
      <c r="CY882" s="211"/>
      <c r="CZ882" s="211"/>
      <c r="DA882" s="211"/>
      <c r="DB882" s="211"/>
      <c r="DC882" s="211"/>
      <c r="DD882" s="211"/>
      <c r="DE882" s="211"/>
      <c r="DF882" s="60"/>
      <c r="DG882" s="60"/>
      <c r="DH882" s="60"/>
      <c r="DI882" s="60"/>
      <c r="DJ882" s="60"/>
    </row>
    <row r="883" spans="3:114" s="25" customFormat="1">
      <c r="C883" s="24"/>
      <c r="D883" s="24"/>
      <c r="G883" s="57"/>
      <c r="H883" s="57"/>
      <c r="I883" s="57"/>
      <c r="J883" s="57"/>
      <c r="K883" s="57"/>
      <c r="L883" s="57"/>
      <c r="M883" s="57"/>
      <c r="N883" s="57"/>
      <c r="O883" s="57"/>
      <c r="P883" s="57"/>
      <c r="Q883" s="57"/>
      <c r="R883" s="57"/>
      <c r="S883" s="57"/>
      <c r="T883" s="559"/>
      <c r="U883" s="29"/>
      <c r="V883" s="29"/>
      <c r="AJ883" s="1215"/>
      <c r="AK883" s="1142"/>
      <c r="AM883" s="42"/>
      <c r="AN883" s="42"/>
      <c r="AO883" s="42"/>
      <c r="AP883" s="42"/>
      <c r="AQ883" s="42"/>
      <c r="AR883" s="42"/>
      <c r="AS883" s="42"/>
      <c r="AT883" s="42"/>
      <c r="AU883" s="42"/>
      <c r="AV883" s="42"/>
      <c r="AW883" s="42"/>
      <c r="AX883" s="42"/>
      <c r="AY883" s="42"/>
      <c r="AZ883" s="42"/>
      <c r="BA883" s="42"/>
      <c r="BB883" s="42"/>
      <c r="BC883" s="42"/>
      <c r="BD883" s="42"/>
      <c r="BE883" s="42"/>
      <c r="BF883" s="42"/>
      <c r="BG883" s="42"/>
      <c r="BH883" s="42"/>
      <c r="BI883" s="42"/>
      <c r="BJ883" s="42"/>
      <c r="BK883" s="42"/>
      <c r="BL883" s="42"/>
      <c r="BM883" s="42"/>
      <c r="BN883" s="42"/>
      <c r="BO883" s="42"/>
      <c r="BP883" s="42"/>
      <c r="BQ883" s="42"/>
      <c r="BR883" s="42"/>
      <c r="BS883" s="42"/>
      <c r="BT883" s="42"/>
      <c r="BU883" s="42"/>
      <c r="BV883" s="42"/>
      <c r="BW883" s="42"/>
      <c r="BX883" s="42"/>
      <c r="BY883" s="42"/>
      <c r="BZ883" s="42"/>
      <c r="CA883" s="42"/>
      <c r="CB883" s="42"/>
      <c r="CC883" s="42"/>
      <c r="CD883" s="42"/>
      <c r="CE883" s="42"/>
      <c r="CF883" s="42"/>
      <c r="CG883" s="42"/>
      <c r="CH883" s="42"/>
      <c r="CS883" s="29"/>
      <c r="CT883" s="29"/>
      <c r="CU883" s="29"/>
      <c r="CV883" s="522"/>
      <c r="CW883" s="522"/>
      <c r="CX883" s="211"/>
      <c r="CY883" s="211"/>
      <c r="CZ883" s="211"/>
      <c r="DA883" s="211"/>
      <c r="DB883" s="211"/>
      <c r="DC883" s="211"/>
      <c r="DD883" s="211"/>
      <c r="DE883" s="211"/>
      <c r="DF883" s="60"/>
      <c r="DG883" s="60"/>
      <c r="DH883" s="60"/>
      <c r="DI883" s="60"/>
      <c r="DJ883" s="60"/>
    </row>
    <row r="884" spans="3:114" s="25" customFormat="1">
      <c r="C884" s="24"/>
      <c r="D884" s="24"/>
      <c r="G884" s="57"/>
      <c r="H884" s="57"/>
      <c r="I884" s="57"/>
      <c r="J884" s="57"/>
      <c r="K884" s="57"/>
      <c r="L884" s="57"/>
      <c r="M884" s="57"/>
      <c r="N884" s="57"/>
      <c r="O884" s="57"/>
      <c r="P884" s="57"/>
      <c r="Q884" s="57"/>
      <c r="R884" s="57"/>
      <c r="S884" s="57"/>
      <c r="T884" s="559"/>
      <c r="U884" s="29"/>
      <c r="V884" s="29"/>
      <c r="AJ884" s="1215"/>
      <c r="AK884" s="1142"/>
      <c r="AM884" s="42"/>
      <c r="AN884" s="42"/>
      <c r="AO884" s="42"/>
      <c r="AP884" s="42"/>
      <c r="AQ884" s="42"/>
      <c r="AR884" s="42"/>
      <c r="AS884" s="42"/>
      <c r="AT884" s="42"/>
      <c r="AU884" s="42"/>
      <c r="AV884" s="42"/>
      <c r="AW884" s="42"/>
      <c r="AX884" s="42"/>
      <c r="AY884" s="42"/>
      <c r="AZ884" s="42"/>
      <c r="BA884" s="42"/>
      <c r="BB884" s="42"/>
      <c r="BC884" s="42"/>
      <c r="BD884" s="42"/>
      <c r="BE884" s="42"/>
      <c r="BF884" s="42"/>
      <c r="BG884" s="42"/>
      <c r="BH884" s="42"/>
      <c r="BI884" s="42"/>
      <c r="BJ884" s="42"/>
      <c r="BK884" s="42"/>
      <c r="BL884" s="42"/>
      <c r="BM884" s="42"/>
      <c r="BN884" s="42"/>
      <c r="BO884" s="42"/>
      <c r="BP884" s="42"/>
      <c r="BQ884" s="42"/>
      <c r="BR884" s="42"/>
      <c r="BS884" s="42"/>
      <c r="BT884" s="42"/>
      <c r="BU884" s="42"/>
      <c r="BV884" s="42"/>
      <c r="BW884" s="42"/>
      <c r="BX884" s="42"/>
      <c r="BY884" s="42"/>
      <c r="BZ884" s="42"/>
      <c r="CA884" s="42"/>
      <c r="CB884" s="42"/>
      <c r="CC884" s="42"/>
      <c r="CD884" s="42"/>
      <c r="CE884" s="42"/>
      <c r="CF884" s="42"/>
      <c r="CG884" s="42"/>
      <c r="CH884" s="42"/>
      <c r="CS884" s="29"/>
      <c r="CT884" s="29"/>
      <c r="CU884" s="29"/>
      <c r="CV884" s="522"/>
      <c r="CW884" s="522"/>
      <c r="CX884" s="211"/>
      <c r="CY884" s="211"/>
      <c r="CZ884" s="211"/>
      <c r="DA884" s="211"/>
      <c r="DB884" s="211"/>
      <c r="DC884" s="211"/>
      <c r="DD884" s="211"/>
      <c r="DE884" s="211"/>
      <c r="DF884" s="60"/>
      <c r="DG884" s="60"/>
      <c r="DH884" s="60"/>
      <c r="DI884" s="60"/>
      <c r="DJ884" s="60"/>
    </row>
    <row r="885" spans="3:114" s="25" customFormat="1">
      <c r="C885" s="24"/>
      <c r="D885" s="24"/>
      <c r="G885" s="57"/>
      <c r="H885" s="57"/>
      <c r="I885" s="57"/>
      <c r="J885" s="57"/>
      <c r="K885" s="57"/>
      <c r="L885" s="57"/>
      <c r="M885" s="57"/>
      <c r="N885" s="57"/>
      <c r="O885" s="57"/>
      <c r="P885" s="57"/>
      <c r="Q885" s="57"/>
      <c r="R885" s="57"/>
      <c r="S885" s="57"/>
      <c r="T885" s="559"/>
      <c r="U885" s="29"/>
      <c r="V885" s="29"/>
      <c r="AJ885" s="1215"/>
      <c r="AK885" s="1142"/>
      <c r="AM885" s="42"/>
      <c r="AN885" s="42"/>
      <c r="AO885" s="42"/>
      <c r="AP885" s="42"/>
      <c r="AQ885" s="42"/>
      <c r="AR885" s="42"/>
      <c r="AS885" s="42"/>
      <c r="AT885" s="42"/>
      <c r="AU885" s="42"/>
      <c r="AV885" s="42"/>
      <c r="AW885" s="42"/>
      <c r="AX885" s="42"/>
      <c r="AY885" s="42"/>
      <c r="AZ885" s="42"/>
      <c r="BA885" s="42"/>
      <c r="BB885" s="42"/>
      <c r="BC885" s="42"/>
      <c r="BD885" s="42"/>
      <c r="BE885" s="42"/>
      <c r="BF885" s="42"/>
      <c r="BG885" s="42"/>
      <c r="BH885" s="42"/>
      <c r="BI885" s="42"/>
      <c r="BJ885" s="42"/>
      <c r="BK885" s="42"/>
      <c r="BL885" s="42"/>
      <c r="BM885" s="42"/>
      <c r="BN885" s="42"/>
      <c r="BO885" s="42"/>
      <c r="BP885" s="42"/>
      <c r="BQ885" s="42"/>
      <c r="BR885" s="42"/>
      <c r="BS885" s="42"/>
      <c r="BT885" s="42"/>
      <c r="BU885" s="42"/>
      <c r="BV885" s="42"/>
      <c r="BW885" s="42"/>
      <c r="BX885" s="42"/>
      <c r="BY885" s="42"/>
      <c r="BZ885" s="42"/>
      <c r="CA885" s="42"/>
      <c r="CB885" s="42"/>
      <c r="CC885" s="42"/>
      <c r="CD885" s="42"/>
      <c r="CE885" s="42"/>
      <c r="CF885" s="42"/>
      <c r="CG885" s="42"/>
      <c r="CH885" s="42"/>
      <c r="CS885" s="29"/>
      <c r="CT885" s="29"/>
      <c r="CU885" s="29"/>
      <c r="CV885" s="522"/>
      <c r="CW885" s="522"/>
      <c r="CX885" s="211"/>
      <c r="CY885" s="211"/>
      <c r="CZ885" s="211"/>
      <c r="DA885" s="211"/>
      <c r="DB885" s="211"/>
      <c r="DC885" s="211"/>
      <c r="DD885" s="211"/>
      <c r="DE885" s="211"/>
      <c r="DF885" s="60"/>
      <c r="DG885" s="60"/>
      <c r="DH885" s="60"/>
      <c r="DI885" s="60"/>
      <c r="DJ885" s="60"/>
    </row>
    <row r="886" spans="3:114" s="25" customFormat="1">
      <c r="C886" s="24"/>
      <c r="D886" s="24"/>
      <c r="G886" s="57"/>
      <c r="H886" s="57"/>
      <c r="I886" s="57"/>
      <c r="J886" s="57"/>
      <c r="K886" s="57"/>
      <c r="L886" s="57"/>
      <c r="M886" s="57"/>
      <c r="N886" s="57"/>
      <c r="O886" s="57"/>
      <c r="P886" s="57"/>
      <c r="Q886" s="57"/>
      <c r="R886" s="57"/>
      <c r="S886" s="57"/>
      <c r="T886" s="559"/>
      <c r="U886" s="29"/>
      <c r="V886" s="29"/>
      <c r="AJ886" s="1215"/>
      <c r="AK886" s="1142"/>
      <c r="AM886" s="42"/>
      <c r="AN886" s="42"/>
      <c r="AO886" s="42"/>
      <c r="AP886" s="42"/>
      <c r="AQ886" s="42"/>
      <c r="AR886" s="42"/>
      <c r="AS886" s="42"/>
      <c r="AT886" s="42"/>
      <c r="AU886" s="42"/>
      <c r="AV886" s="42"/>
      <c r="AW886" s="42"/>
      <c r="AX886" s="42"/>
      <c r="AY886" s="42"/>
      <c r="AZ886" s="42"/>
      <c r="BA886" s="42"/>
      <c r="BB886" s="42"/>
      <c r="BC886" s="42"/>
      <c r="BD886" s="42"/>
      <c r="BE886" s="42"/>
      <c r="BF886" s="42"/>
      <c r="BG886" s="42"/>
      <c r="BH886" s="42"/>
      <c r="BI886" s="42"/>
      <c r="BJ886" s="42"/>
      <c r="BK886" s="42"/>
      <c r="BL886" s="42"/>
      <c r="BM886" s="42"/>
      <c r="BN886" s="42"/>
      <c r="BO886" s="42"/>
      <c r="BP886" s="42"/>
      <c r="BQ886" s="42"/>
      <c r="BR886" s="42"/>
      <c r="BS886" s="42"/>
      <c r="BT886" s="42"/>
      <c r="BU886" s="42"/>
      <c r="BV886" s="42"/>
      <c r="BW886" s="42"/>
      <c r="BX886" s="42"/>
      <c r="BY886" s="42"/>
      <c r="BZ886" s="42"/>
      <c r="CA886" s="42"/>
      <c r="CB886" s="42"/>
      <c r="CC886" s="42"/>
      <c r="CD886" s="42"/>
      <c r="CE886" s="42"/>
      <c r="CF886" s="42"/>
      <c r="CG886" s="42"/>
      <c r="CH886" s="42"/>
      <c r="CS886" s="29"/>
      <c r="CT886" s="29"/>
      <c r="CU886" s="29"/>
      <c r="CV886" s="522"/>
      <c r="CW886" s="522"/>
      <c r="CX886" s="211"/>
      <c r="CY886" s="211"/>
      <c r="CZ886" s="211"/>
      <c r="DA886" s="211"/>
      <c r="DB886" s="211"/>
      <c r="DC886" s="211"/>
      <c r="DD886" s="211"/>
      <c r="DE886" s="211"/>
      <c r="DF886" s="60"/>
      <c r="DG886" s="60"/>
      <c r="DH886" s="60"/>
      <c r="DI886" s="60"/>
      <c r="DJ886" s="60"/>
    </row>
    <row r="887" spans="3:114" s="25" customFormat="1">
      <c r="C887" s="24"/>
      <c r="D887" s="24"/>
      <c r="G887" s="57"/>
      <c r="H887" s="57"/>
      <c r="I887" s="57"/>
      <c r="J887" s="57"/>
      <c r="K887" s="57"/>
      <c r="L887" s="57"/>
      <c r="M887" s="57"/>
      <c r="N887" s="57"/>
      <c r="O887" s="57"/>
      <c r="P887" s="57"/>
      <c r="Q887" s="57"/>
      <c r="R887" s="57"/>
      <c r="S887" s="57"/>
      <c r="T887" s="559"/>
      <c r="U887" s="29"/>
      <c r="V887" s="29"/>
      <c r="AJ887" s="1215"/>
      <c r="AK887" s="1142"/>
      <c r="AM887" s="42"/>
      <c r="AN887" s="42"/>
      <c r="AO887" s="42"/>
      <c r="AP887" s="42"/>
      <c r="AQ887" s="42"/>
      <c r="AR887" s="42"/>
      <c r="AS887" s="42"/>
      <c r="AT887" s="42"/>
      <c r="AU887" s="42"/>
      <c r="AV887" s="42"/>
      <c r="AW887" s="42"/>
      <c r="AX887" s="42"/>
      <c r="AY887" s="42"/>
      <c r="AZ887" s="42"/>
      <c r="BA887" s="42"/>
      <c r="BB887" s="42"/>
      <c r="BC887" s="42"/>
      <c r="BD887" s="42"/>
      <c r="BE887" s="42"/>
      <c r="BF887" s="42"/>
      <c r="BG887" s="42"/>
      <c r="BH887" s="42"/>
      <c r="BI887" s="42"/>
      <c r="BJ887" s="42"/>
      <c r="BK887" s="42"/>
      <c r="BL887" s="42"/>
      <c r="BM887" s="42"/>
      <c r="BN887" s="42"/>
      <c r="BO887" s="42"/>
      <c r="BP887" s="42"/>
      <c r="BQ887" s="42"/>
      <c r="BR887" s="42"/>
      <c r="BS887" s="42"/>
      <c r="BT887" s="42"/>
      <c r="BU887" s="42"/>
      <c r="BV887" s="42"/>
      <c r="BW887" s="42"/>
      <c r="BX887" s="42"/>
      <c r="BY887" s="42"/>
      <c r="BZ887" s="42"/>
      <c r="CA887" s="42"/>
      <c r="CB887" s="42"/>
      <c r="CC887" s="42"/>
      <c r="CD887" s="42"/>
      <c r="CE887" s="42"/>
      <c r="CF887" s="42"/>
      <c r="CG887" s="42"/>
      <c r="CH887" s="42"/>
      <c r="CS887" s="29"/>
      <c r="CT887" s="29"/>
      <c r="CU887" s="29"/>
      <c r="CV887" s="522"/>
      <c r="CW887" s="522"/>
      <c r="CX887" s="211"/>
      <c r="CY887" s="211"/>
      <c r="CZ887" s="211"/>
      <c r="DA887" s="211"/>
      <c r="DB887" s="211"/>
      <c r="DC887" s="211"/>
      <c r="DD887" s="211"/>
      <c r="DE887" s="211"/>
      <c r="DF887" s="60"/>
      <c r="DG887" s="60"/>
      <c r="DH887" s="60"/>
      <c r="DI887" s="60"/>
      <c r="DJ887" s="60"/>
    </row>
    <row r="888" spans="3:114" s="25" customFormat="1">
      <c r="C888" s="24"/>
      <c r="D888" s="24"/>
      <c r="G888" s="57"/>
      <c r="H888" s="57"/>
      <c r="I888" s="57"/>
      <c r="J888" s="57"/>
      <c r="K888" s="57"/>
      <c r="L888" s="57"/>
      <c r="M888" s="57"/>
      <c r="N888" s="57"/>
      <c r="O888" s="57"/>
      <c r="P888" s="57"/>
      <c r="Q888" s="57"/>
      <c r="R888" s="57"/>
      <c r="S888" s="57"/>
      <c r="T888" s="559"/>
      <c r="U888" s="29"/>
      <c r="V888" s="29"/>
      <c r="AJ888" s="1215"/>
      <c r="AK888" s="1142"/>
      <c r="AM888" s="42"/>
      <c r="AN888" s="42"/>
      <c r="AO888" s="42"/>
      <c r="AP888" s="42"/>
      <c r="AQ888" s="42"/>
      <c r="AR888" s="42"/>
      <c r="AS888" s="42"/>
      <c r="AT888" s="42"/>
      <c r="AU888" s="42"/>
      <c r="AV888" s="42"/>
      <c r="AW888" s="42"/>
      <c r="AX888" s="42"/>
      <c r="AY888" s="42"/>
      <c r="AZ888" s="42"/>
      <c r="BA888" s="42"/>
      <c r="BB888" s="42"/>
      <c r="BC888" s="42"/>
      <c r="BD888" s="42"/>
      <c r="BE888" s="42"/>
      <c r="BF888" s="42"/>
      <c r="BG888" s="42"/>
      <c r="BH888" s="42"/>
      <c r="BI888" s="42"/>
      <c r="BJ888" s="42"/>
      <c r="BK888" s="42"/>
      <c r="BL888" s="42"/>
      <c r="BM888" s="42"/>
      <c r="BN888" s="42"/>
      <c r="BO888" s="42"/>
      <c r="BP888" s="42"/>
      <c r="BQ888" s="42"/>
      <c r="BR888" s="42"/>
      <c r="BS888" s="42"/>
      <c r="BT888" s="42"/>
      <c r="BU888" s="42"/>
      <c r="BV888" s="42"/>
      <c r="BW888" s="42"/>
      <c r="BX888" s="42"/>
      <c r="BY888" s="42"/>
      <c r="BZ888" s="42"/>
      <c r="CA888" s="42"/>
      <c r="CB888" s="42"/>
      <c r="CC888" s="42"/>
      <c r="CD888" s="42"/>
      <c r="CE888" s="42"/>
      <c r="CF888" s="42"/>
      <c r="CG888" s="42"/>
      <c r="CH888" s="42"/>
      <c r="CS888" s="29"/>
      <c r="CT888" s="29"/>
      <c r="CU888" s="29"/>
      <c r="CV888" s="522"/>
      <c r="CW888" s="522"/>
      <c r="CX888" s="211"/>
      <c r="CY888" s="211"/>
      <c r="CZ888" s="211"/>
      <c r="DA888" s="211"/>
      <c r="DB888" s="211"/>
      <c r="DC888" s="211"/>
      <c r="DD888" s="211"/>
      <c r="DE888" s="211"/>
      <c r="DF888" s="60"/>
      <c r="DG888" s="60"/>
      <c r="DH888" s="60"/>
      <c r="DI888" s="60"/>
      <c r="DJ888" s="60"/>
    </row>
    <row r="889" spans="3:114" s="25" customFormat="1">
      <c r="C889" s="24"/>
      <c r="D889" s="24"/>
      <c r="G889" s="57"/>
      <c r="H889" s="57"/>
      <c r="I889" s="57"/>
      <c r="J889" s="57"/>
      <c r="K889" s="57"/>
      <c r="L889" s="57"/>
      <c r="M889" s="57"/>
      <c r="N889" s="57"/>
      <c r="O889" s="57"/>
      <c r="P889" s="57"/>
      <c r="Q889" s="57"/>
      <c r="R889" s="57"/>
      <c r="S889" s="57"/>
      <c r="T889" s="559"/>
      <c r="U889" s="29"/>
      <c r="V889" s="29"/>
      <c r="AJ889" s="1215"/>
      <c r="AK889" s="1142"/>
      <c r="AM889" s="42"/>
      <c r="AN889" s="42"/>
      <c r="AO889" s="42"/>
      <c r="AP889" s="42"/>
      <c r="AQ889" s="42"/>
      <c r="AR889" s="42"/>
      <c r="AS889" s="42"/>
      <c r="AT889" s="42"/>
      <c r="AU889" s="42"/>
      <c r="AV889" s="42"/>
      <c r="AW889" s="42"/>
      <c r="AX889" s="42"/>
      <c r="AY889" s="42"/>
      <c r="AZ889" s="42"/>
      <c r="BA889" s="42"/>
      <c r="BB889" s="42"/>
      <c r="BC889" s="42"/>
      <c r="BD889" s="42"/>
      <c r="BE889" s="42"/>
      <c r="BF889" s="42"/>
      <c r="BG889" s="42"/>
      <c r="BH889" s="42"/>
      <c r="BI889" s="42"/>
      <c r="BJ889" s="42"/>
      <c r="BK889" s="42"/>
      <c r="BL889" s="42"/>
      <c r="BM889" s="42"/>
      <c r="BN889" s="42"/>
      <c r="BO889" s="42"/>
      <c r="BP889" s="42"/>
      <c r="BQ889" s="42"/>
      <c r="BR889" s="42"/>
      <c r="BS889" s="42"/>
      <c r="BT889" s="42"/>
      <c r="BU889" s="42"/>
      <c r="BV889" s="42"/>
      <c r="BW889" s="42"/>
      <c r="BX889" s="42"/>
      <c r="BY889" s="42"/>
      <c r="BZ889" s="42"/>
      <c r="CA889" s="42"/>
      <c r="CB889" s="42"/>
      <c r="CC889" s="42"/>
      <c r="CD889" s="42"/>
      <c r="CE889" s="42"/>
      <c r="CF889" s="42"/>
      <c r="CG889" s="42"/>
      <c r="CH889" s="42"/>
      <c r="CS889" s="29"/>
      <c r="CT889" s="29"/>
      <c r="CU889" s="29"/>
      <c r="CV889" s="522"/>
      <c r="CW889" s="522"/>
      <c r="CX889" s="211"/>
      <c r="CY889" s="211"/>
      <c r="CZ889" s="211"/>
      <c r="DA889" s="211"/>
      <c r="DB889" s="211"/>
      <c r="DC889" s="211"/>
      <c r="DD889" s="211"/>
      <c r="DE889" s="211"/>
      <c r="DF889" s="60"/>
      <c r="DG889" s="60"/>
      <c r="DH889" s="60"/>
      <c r="DI889" s="60"/>
      <c r="DJ889" s="60"/>
    </row>
    <row r="890" spans="3:114" s="25" customFormat="1">
      <c r="C890" s="24"/>
      <c r="D890" s="24"/>
      <c r="G890" s="57"/>
      <c r="H890" s="57"/>
      <c r="I890" s="57"/>
      <c r="J890" s="57"/>
      <c r="K890" s="57"/>
      <c r="L890" s="57"/>
      <c r="M890" s="57"/>
      <c r="N890" s="57"/>
      <c r="O890" s="57"/>
      <c r="P890" s="57"/>
      <c r="Q890" s="57"/>
      <c r="R890" s="57"/>
      <c r="S890" s="57"/>
      <c r="T890" s="559"/>
      <c r="U890" s="29"/>
      <c r="V890" s="29"/>
      <c r="AJ890" s="1215"/>
      <c r="AK890" s="1142"/>
      <c r="AM890" s="42"/>
      <c r="AN890" s="42"/>
      <c r="AO890" s="42"/>
      <c r="AP890" s="42"/>
      <c r="AQ890" s="42"/>
      <c r="AR890" s="42"/>
      <c r="AS890" s="42"/>
      <c r="AT890" s="42"/>
      <c r="AU890" s="42"/>
      <c r="AV890" s="42"/>
      <c r="AW890" s="42"/>
      <c r="AX890" s="42"/>
      <c r="AY890" s="42"/>
      <c r="AZ890" s="42"/>
      <c r="BA890" s="42"/>
      <c r="BB890" s="42"/>
      <c r="BC890" s="42"/>
      <c r="BD890" s="42"/>
      <c r="BE890" s="42"/>
      <c r="BF890" s="42"/>
      <c r="BG890" s="42"/>
      <c r="BH890" s="42"/>
      <c r="BI890" s="42"/>
      <c r="BJ890" s="42"/>
      <c r="BK890" s="42"/>
      <c r="BL890" s="42"/>
      <c r="BM890" s="42"/>
      <c r="BN890" s="42"/>
      <c r="BO890" s="42"/>
      <c r="BP890" s="42"/>
      <c r="BQ890" s="42"/>
      <c r="BR890" s="42"/>
      <c r="BS890" s="42"/>
      <c r="BT890" s="42"/>
      <c r="BU890" s="42"/>
      <c r="BV890" s="42"/>
      <c r="BW890" s="42"/>
      <c r="BX890" s="42"/>
      <c r="BY890" s="42"/>
      <c r="BZ890" s="42"/>
      <c r="CA890" s="42"/>
      <c r="CB890" s="42"/>
      <c r="CC890" s="42"/>
      <c r="CD890" s="42"/>
      <c r="CE890" s="42"/>
      <c r="CF890" s="42"/>
      <c r="CG890" s="42"/>
      <c r="CH890" s="42"/>
      <c r="CS890" s="29"/>
      <c r="CT890" s="29"/>
      <c r="CU890" s="29"/>
      <c r="CV890" s="522"/>
      <c r="CW890" s="522"/>
      <c r="CX890" s="211"/>
      <c r="CY890" s="211"/>
      <c r="CZ890" s="211"/>
      <c r="DA890" s="211"/>
      <c r="DB890" s="211"/>
      <c r="DC890" s="211"/>
      <c r="DD890" s="211"/>
      <c r="DE890" s="211"/>
      <c r="DF890" s="60"/>
      <c r="DG890" s="60"/>
      <c r="DH890" s="60"/>
      <c r="DI890" s="60"/>
      <c r="DJ890" s="60"/>
    </row>
    <row r="891" spans="3:114" s="25" customFormat="1">
      <c r="C891" s="24"/>
      <c r="D891" s="24"/>
      <c r="G891" s="57"/>
      <c r="H891" s="57"/>
      <c r="I891" s="57"/>
      <c r="J891" s="57"/>
      <c r="K891" s="57"/>
      <c r="L891" s="57"/>
      <c r="M891" s="57"/>
      <c r="N891" s="57"/>
      <c r="O891" s="57"/>
      <c r="P891" s="57"/>
      <c r="Q891" s="57"/>
      <c r="R891" s="57"/>
      <c r="S891" s="57"/>
      <c r="T891" s="559"/>
      <c r="U891" s="29"/>
      <c r="V891" s="29"/>
      <c r="AJ891" s="1215"/>
      <c r="AK891" s="1142"/>
      <c r="AM891" s="42"/>
      <c r="AN891" s="42"/>
      <c r="AO891" s="42"/>
      <c r="AP891" s="42"/>
      <c r="AQ891" s="42"/>
      <c r="AR891" s="42"/>
      <c r="AS891" s="42"/>
      <c r="AT891" s="42"/>
      <c r="AU891" s="42"/>
      <c r="AV891" s="42"/>
      <c r="AW891" s="42"/>
      <c r="AX891" s="42"/>
      <c r="AY891" s="42"/>
      <c r="AZ891" s="42"/>
      <c r="BA891" s="42"/>
      <c r="BB891" s="42"/>
      <c r="BC891" s="42"/>
      <c r="BD891" s="42"/>
      <c r="BE891" s="42"/>
      <c r="BF891" s="42"/>
      <c r="BG891" s="42"/>
      <c r="BH891" s="42"/>
      <c r="BI891" s="42"/>
      <c r="BJ891" s="42"/>
      <c r="BK891" s="42"/>
      <c r="BL891" s="42"/>
      <c r="BM891" s="42"/>
      <c r="BN891" s="42"/>
      <c r="BO891" s="42"/>
      <c r="BP891" s="42"/>
      <c r="BQ891" s="42"/>
      <c r="BR891" s="42"/>
      <c r="BS891" s="42"/>
      <c r="BT891" s="42"/>
      <c r="BU891" s="42"/>
      <c r="BV891" s="42"/>
      <c r="BW891" s="42"/>
      <c r="BX891" s="42"/>
      <c r="BY891" s="42"/>
      <c r="BZ891" s="42"/>
      <c r="CA891" s="42"/>
      <c r="CB891" s="42"/>
      <c r="CC891" s="42"/>
      <c r="CD891" s="42"/>
      <c r="CE891" s="42"/>
      <c r="CF891" s="42"/>
      <c r="CG891" s="42"/>
      <c r="CH891" s="42"/>
      <c r="CS891" s="29"/>
      <c r="CT891" s="29"/>
      <c r="CU891" s="29"/>
      <c r="CV891" s="522"/>
      <c r="CW891" s="522"/>
      <c r="CX891" s="211"/>
      <c r="CY891" s="211"/>
      <c r="CZ891" s="211"/>
      <c r="DA891" s="211"/>
      <c r="DB891" s="211"/>
      <c r="DC891" s="211"/>
      <c r="DD891" s="211"/>
      <c r="DE891" s="211"/>
      <c r="DF891" s="60"/>
      <c r="DG891" s="60"/>
      <c r="DH891" s="60"/>
      <c r="DI891" s="60"/>
      <c r="DJ891" s="60"/>
    </row>
    <row r="892" spans="3:114" s="25" customFormat="1">
      <c r="C892" s="24"/>
      <c r="D892" s="24"/>
      <c r="G892" s="57"/>
      <c r="H892" s="57"/>
      <c r="I892" s="57"/>
      <c r="J892" s="57"/>
      <c r="K892" s="57"/>
      <c r="L892" s="57"/>
      <c r="M892" s="57"/>
      <c r="N892" s="57"/>
      <c r="O892" s="57"/>
      <c r="P892" s="57"/>
      <c r="Q892" s="57"/>
      <c r="R892" s="57"/>
      <c r="S892" s="57"/>
      <c r="T892" s="559"/>
      <c r="U892" s="29"/>
      <c r="V892" s="29"/>
      <c r="AJ892" s="1215"/>
      <c r="AK892" s="1142"/>
      <c r="AM892" s="42"/>
      <c r="AN892" s="42"/>
      <c r="AO892" s="42"/>
      <c r="AP892" s="42"/>
      <c r="AQ892" s="42"/>
      <c r="AR892" s="42"/>
      <c r="AS892" s="42"/>
      <c r="AT892" s="42"/>
      <c r="AU892" s="42"/>
      <c r="AV892" s="42"/>
      <c r="AW892" s="42"/>
      <c r="AX892" s="42"/>
      <c r="AY892" s="42"/>
      <c r="AZ892" s="42"/>
      <c r="BA892" s="42"/>
      <c r="BB892" s="42"/>
      <c r="BC892" s="42"/>
      <c r="BD892" s="42"/>
      <c r="BE892" s="42"/>
      <c r="BF892" s="42"/>
      <c r="BG892" s="42"/>
      <c r="BH892" s="42"/>
      <c r="BI892" s="42"/>
      <c r="BJ892" s="42"/>
      <c r="BK892" s="42"/>
      <c r="BL892" s="42"/>
      <c r="BM892" s="42"/>
      <c r="BN892" s="42"/>
      <c r="BO892" s="42"/>
      <c r="BP892" s="42"/>
      <c r="BQ892" s="42"/>
      <c r="BR892" s="42"/>
      <c r="BS892" s="42"/>
      <c r="BT892" s="42"/>
      <c r="BU892" s="42"/>
      <c r="BV892" s="42"/>
      <c r="BW892" s="42"/>
      <c r="BX892" s="42"/>
      <c r="BY892" s="42"/>
      <c r="BZ892" s="42"/>
      <c r="CA892" s="42"/>
      <c r="CB892" s="42"/>
      <c r="CC892" s="42"/>
      <c r="CD892" s="42"/>
      <c r="CE892" s="42"/>
      <c r="CF892" s="42"/>
      <c r="CG892" s="42"/>
      <c r="CH892" s="42"/>
      <c r="CS892" s="29"/>
      <c r="CT892" s="29"/>
      <c r="CU892" s="29"/>
      <c r="CV892" s="522"/>
      <c r="CW892" s="522"/>
      <c r="CX892" s="211"/>
      <c r="CY892" s="211"/>
      <c r="CZ892" s="211"/>
      <c r="DA892" s="211"/>
      <c r="DB892" s="211"/>
      <c r="DC892" s="211"/>
      <c r="DD892" s="211"/>
      <c r="DE892" s="211"/>
      <c r="DF892" s="60"/>
      <c r="DG892" s="60"/>
      <c r="DH892" s="60"/>
      <c r="DI892" s="60"/>
      <c r="DJ892" s="60"/>
    </row>
    <row r="893" spans="3:114" s="25" customFormat="1">
      <c r="C893" s="24"/>
      <c r="D893" s="24"/>
      <c r="G893" s="57"/>
      <c r="H893" s="57"/>
      <c r="I893" s="57"/>
      <c r="J893" s="57"/>
      <c r="K893" s="57"/>
      <c r="L893" s="57"/>
      <c r="M893" s="57"/>
      <c r="N893" s="57"/>
      <c r="O893" s="57"/>
      <c r="P893" s="57"/>
      <c r="Q893" s="57"/>
      <c r="R893" s="57"/>
      <c r="S893" s="57"/>
      <c r="T893" s="559"/>
      <c r="U893" s="29"/>
      <c r="V893" s="29"/>
      <c r="AJ893" s="1215"/>
      <c r="AK893" s="1142"/>
      <c r="AM893" s="42"/>
      <c r="AN893" s="42"/>
      <c r="AO893" s="42"/>
      <c r="AP893" s="42"/>
      <c r="AQ893" s="42"/>
      <c r="AR893" s="42"/>
      <c r="AS893" s="42"/>
      <c r="AT893" s="42"/>
      <c r="AU893" s="42"/>
      <c r="AV893" s="42"/>
      <c r="AW893" s="42"/>
      <c r="AX893" s="42"/>
      <c r="AY893" s="42"/>
      <c r="AZ893" s="42"/>
      <c r="BA893" s="42"/>
      <c r="BB893" s="42"/>
      <c r="BC893" s="42"/>
      <c r="BD893" s="42"/>
      <c r="BE893" s="42"/>
      <c r="BF893" s="42"/>
      <c r="BG893" s="42"/>
      <c r="BH893" s="42"/>
      <c r="BI893" s="42"/>
      <c r="BJ893" s="42"/>
      <c r="BK893" s="42"/>
      <c r="BL893" s="42"/>
      <c r="BM893" s="42"/>
      <c r="BN893" s="42"/>
      <c r="BO893" s="42"/>
      <c r="BP893" s="42"/>
      <c r="BQ893" s="42"/>
      <c r="BR893" s="42"/>
      <c r="BS893" s="42"/>
      <c r="BT893" s="42"/>
      <c r="BU893" s="42"/>
      <c r="BV893" s="42"/>
      <c r="BW893" s="42"/>
      <c r="BX893" s="42"/>
      <c r="BY893" s="42"/>
      <c r="BZ893" s="42"/>
      <c r="CA893" s="42"/>
      <c r="CB893" s="42"/>
      <c r="CC893" s="42"/>
      <c r="CD893" s="42"/>
      <c r="CE893" s="42"/>
      <c r="CF893" s="42"/>
      <c r="CG893" s="42"/>
      <c r="CH893" s="42"/>
      <c r="CS893" s="29"/>
      <c r="CT893" s="29"/>
      <c r="CU893" s="29"/>
      <c r="CV893" s="522"/>
      <c r="CW893" s="522"/>
      <c r="CX893" s="211"/>
      <c r="CY893" s="211"/>
      <c r="CZ893" s="211"/>
      <c r="DA893" s="211"/>
      <c r="DB893" s="211"/>
      <c r="DC893" s="211"/>
      <c r="DD893" s="211"/>
      <c r="DE893" s="211"/>
      <c r="DF893" s="60"/>
      <c r="DG893" s="60"/>
      <c r="DH893" s="60"/>
      <c r="DI893" s="60"/>
      <c r="DJ893" s="60"/>
    </row>
    <row r="894" spans="3:114" s="25" customFormat="1">
      <c r="C894" s="24"/>
      <c r="D894" s="24"/>
      <c r="G894" s="57"/>
      <c r="H894" s="57"/>
      <c r="I894" s="57"/>
      <c r="J894" s="57"/>
      <c r="K894" s="57"/>
      <c r="L894" s="57"/>
      <c r="M894" s="57"/>
      <c r="N894" s="57"/>
      <c r="O894" s="57"/>
      <c r="P894" s="57"/>
      <c r="Q894" s="57"/>
      <c r="R894" s="57"/>
      <c r="S894" s="57"/>
      <c r="T894" s="559"/>
      <c r="U894" s="29"/>
      <c r="V894" s="29"/>
      <c r="AJ894" s="1215"/>
      <c r="AK894" s="1142"/>
      <c r="AM894" s="42"/>
      <c r="AN894" s="42"/>
      <c r="AO894" s="42"/>
      <c r="AP894" s="42"/>
      <c r="AQ894" s="42"/>
      <c r="AR894" s="42"/>
      <c r="AS894" s="42"/>
      <c r="AT894" s="42"/>
      <c r="AU894" s="42"/>
      <c r="AV894" s="42"/>
      <c r="AW894" s="42"/>
      <c r="AX894" s="42"/>
      <c r="AY894" s="42"/>
      <c r="AZ894" s="42"/>
      <c r="BA894" s="42"/>
      <c r="BB894" s="42"/>
      <c r="BC894" s="42"/>
      <c r="BD894" s="42"/>
      <c r="BE894" s="42"/>
      <c r="BF894" s="42"/>
      <c r="BG894" s="42"/>
      <c r="BH894" s="42"/>
      <c r="BI894" s="42"/>
      <c r="BJ894" s="42"/>
      <c r="BK894" s="42"/>
      <c r="BL894" s="42"/>
      <c r="BM894" s="42"/>
      <c r="BN894" s="42"/>
      <c r="BO894" s="42"/>
      <c r="BP894" s="42"/>
      <c r="BQ894" s="42"/>
      <c r="BR894" s="42"/>
      <c r="BS894" s="42"/>
      <c r="BT894" s="42"/>
      <c r="BU894" s="42"/>
      <c r="BV894" s="42"/>
      <c r="BW894" s="42"/>
      <c r="BX894" s="42"/>
      <c r="BY894" s="42"/>
      <c r="BZ894" s="42"/>
      <c r="CA894" s="42"/>
      <c r="CB894" s="42"/>
      <c r="CC894" s="42"/>
      <c r="CD894" s="42"/>
      <c r="CE894" s="42"/>
      <c r="CF894" s="42"/>
      <c r="CG894" s="42"/>
      <c r="CH894" s="42"/>
      <c r="CS894" s="29"/>
      <c r="CT894" s="29"/>
      <c r="CU894" s="29"/>
      <c r="CV894" s="522"/>
      <c r="CW894" s="522"/>
      <c r="CX894" s="211"/>
      <c r="CY894" s="211"/>
      <c r="CZ894" s="211"/>
      <c r="DA894" s="211"/>
      <c r="DB894" s="211"/>
      <c r="DC894" s="211"/>
      <c r="DD894" s="211"/>
      <c r="DE894" s="211"/>
      <c r="DF894" s="60"/>
      <c r="DG894" s="60"/>
      <c r="DH894" s="60"/>
      <c r="DI894" s="60"/>
      <c r="DJ894" s="60"/>
    </row>
    <row r="895" spans="3:114" s="25" customFormat="1">
      <c r="C895" s="24"/>
      <c r="D895" s="24"/>
      <c r="G895" s="57"/>
      <c r="H895" s="57"/>
      <c r="I895" s="57"/>
      <c r="J895" s="57"/>
      <c r="K895" s="57"/>
      <c r="L895" s="57"/>
      <c r="M895" s="57"/>
      <c r="N895" s="57"/>
      <c r="O895" s="57"/>
      <c r="P895" s="57"/>
      <c r="Q895" s="57"/>
      <c r="R895" s="57"/>
      <c r="S895" s="57"/>
      <c r="T895" s="559"/>
      <c r="U895" s="29"/>
      <c r="V895" s="29"/>
      <c r="AJ895" s="1215"/>
      <c r="AK895" s="1142"/>
      <c r="AM895" s="42"/>
      <c r="AN895" s="42"/>
      <c r="AO895" s="42"/>
      <c r="AP895" s="42"/>
      <c r="AQ895" s="42"/>
      <c r="AR895" s="42"/>
      <c r="AS895" s="42"/>
      <c r="AT895" s="42"/>
      <c r="AU895" s="42"/>
      <c r="AV895" s="42"/>
      <c r="AW895" s="42"/>
      <c r="AX895" s="42"/>
      <c r="AY895" s="42"/>
      <c r="AZ895" s="42"/>
      <c r="BA895" s="42"/>
      <c r="BB895" s="42"/>
      <c r="BC895" s="42"/>
      <c r="BD895" s="42"/>
      <c r="BE895" s="42"/>
      <c r="BF895" s="42"/>
      <c r="BG895" s="42"/>
      <c r="BH895" s="42"/>
      <c r="BI895" s="42"/>
      <c r="BJ895" s="42"/>
      <c r="BK895" s="42"/>
      <c r="BL895" s="42"/>
      <c r="BM895" s="42"/>
      <c r="BN895" s="42"/>
      <c r="BO895" s="42"/>
      <c r="BP895" s="42"/>
      <c r="BQ895" s="42"/>
      <c r="BR895" s="42"/>
      <c r="BS895" s="42"/>
      <c r="BT895" s="42"/>
      <c r="BU895" s="42"/>
      <c r="BV895" s="42"/>
      <c r="BW895" s="42"/>
      <c r="BX895" s="42"/>
      <c r="BY895" s="42"/>
      <c r="BZ895" s="42"/>
      <c r="CA895" s="42"/>
      <c r="CB895" s="42"/>
      <c r="CC895" s="42"/>
      <c r="CD895" s="42"/>
      <c r="CE895" s="42"/>
      <c r="CF895" s="42"/>
      <c r="CG895" s="42"/>
      <c r="CH895" s="42"/>
      <c r="CS895" s="29"/>
      <c r="CT895" s="29"/>
      <c r="CU895" s="29"/>
      <c r="CV895" s="522"/>
      <c r="CW895" s="522"/>
      <c r="CX895" s="211"/>
      <c r="CY895" s="211"/>
      <c r="CZ895" s="211"/>
      <c r="DA895" s="211"/>
      <c r="DB895" s="211"/>
      <c r="DC895" s="211"/>
      <c r="DD895" s="211"/>
      <c r="DE895" s="211"/>
      <c r="DF895" s="60"/>
      <c r="DG895" s="60"/>
      <c r="DH895" s="60"/>
      <c r="DI895" s="60"/>
      <c r="DJ895" s="60"/>
    </row>
    <row r="896" spans="3:114" s="25" customFormat="1">
      <c r="C896" s="24"/>
      <c r="D896" s="24"/>
      <c r="G896" s="57"/>
      <c r="H896" s="57"/>
      <c r="I896" s="57"/>
      <c r="J896" s="57"/>
      <c r="K896" s="57"/>
      <c r="L896" s="57"/>
      <c r="M896" s="57"/>
      <c r="N896" s="57"/>
      <c r="O896" s="57"/>
      <c r="P896" s="57"/>
      <c r="Q896" s="57"/>
      <c r="R896" s="57"/>
      <c r="S896" s="57"/>
      <c r="T896" s="559"/>
      <c r="U896" s="29"/>
      <c r="V896" s="29"/>
      <c r="AJ896" s="1215"/>
      <c r="AK896" s="1142"/>
      <c r="AM896" s="42"/>
      <c r="AN896" s="42"/>
      <c r="AO896" s="42"/>
      <c r="AP896" s="42"/>
      <c r="AQ896" s="42"/>
      <c r="AR896" s="42"/>
      <c r="AS896" s="42"/>
      <c r="AT896" s="42"/>
      <c r="AU896" s="42"/>
      <c r="AV896" s="42"/>
      <c r="AW896" s="42"/>
      <c r="AX896" s="42"/>
      <c r="AY896" s="42"/>
      <c r="AZ896" s="42"/>
      <c r="BA896" s="42"/>
      <c r="BB896" s="42"/>
      <c r="BC896" s="42"/>
      <c r="BD896" s="42"/>
      <c r="BE896" s="42"/>
      <c r="BF896" s="42"/>
      <c r="BG896" s="42"/>
      <c r="BH896" s="42"/>
      <c r="BI896" s="42"/>
      <c r="BJ896" s="42"/>
      <c r="BK896" s="42"/>
      <c r="BL896" s="42"/>
      <c r="BM896" s="42"/>
      <c r="BN896" s="42"/>
      <c r="BO896" s="42"/>
      <c r="BP896" s="42"/>
      <c r="BQ896" s="42"/>
      <c r="BR896" s="42"/>
      <c r="BS896" s="42"/>
      <c r="BT896" s="42"/>
      <c r="BU896" s="42"/>
      <c r="BV896" s="42"/>
      <c r="BW896" s="42"/>
      <c r="BX896" s="42"/>
      <c r="BY896" s="42"/>
      <c r="BZ896" s="42"/>
      <c r="CA896" s="42"/>
      <c r="CB896" s="42"/>
      <c r="CC896" s="42"/>
      <c r="CD896" s="42"/>
      <c r="CE896" s="42"/>
      <c r="CF896" s="42"/>
      <c r="CG896" s="42"/>
      <c r="CH896" s="42"/>
      <c r="CS896" s="29"/>
      <c r="CT896" s="29"/>
      <c r="CU896" s="29"/>
      <c r="CV896" s="522"/>
      <c r="CW896" s="522"/>
      <c r="CX896" s="211"/>
      <c r="CY896" s="211"/>
      <c r="CZ896" s="211"/>
      <c r="DA896" s="211"/>
      <c r="DB896" s="211"/>
      <c r="DC896" s="211"/>
      <c r="DD896" s="211"/>
      <c r="DE896" s="211"/>
      <c r="DF896" s="60"/>
      <c r="DG896" s="60"/>
      <c r="DH896" s="60"/>
      <c r="DI896" s="60"/>
      <c r="DJ896" s="60"/>
    </row>
    <row r="897" spans="3:114" s="25" customFormat="1">
      <c r="C897" s="24"/>
      <c r="D897" s="24"/>
      <c r="G897" s="57"/>
      <c r="H897" s="57"/>
      <c r="I897" s="57"/>
      <c r="J897" s="57"/>
      <c r="K897" s="57"/>
      <c r="L897" s="57"/>
      <c r="M897" s="57"/>
      <c r="N897" s="57"/>
      <c r="O897" s="57"/>
      <c r="P897" s="57"/>
      <c r="Q897" s="57"/>
      <c r="R897" s="57"/>
      <c r="S897" s="57"/>
      <c r="T897" s="559"/>
      <c r="U897" s="29"/>
      <c r="V897" s="29"/>
      <c r="AJ897" s="1215"/>
      <c r="AK897" s="1142"/>
      <c r="AM897" s="42"/>
      <c r="AN897" s="42"/>
      <c r="AO897" s="42"/>
      <c r="AP897" s="42"/>
      <c r="AQ897" s="42"/>
      <c r="AR897" s="42"/>
      <c r="AS897" s="42"/>
      <c r="AT897" s="42"/>
      <c r="AU897" s="42"/>
      <c r="AV897" s="42"/>
      <c r="AW897" s="42"/>
      <c r="AX897" s="42"/>
      <c r="AY897" s="42"/>
      <c r="AZ897" s="42"/>
      <c r="BA897" s="42"/>
      <c r="BB897" s="42"/>
      <c r="BC897" s="42"/>
      <c r="BD897" s="42"/>
      <c r="BE897" s="42"/>
      <c r="BF897" s="42"/>
      <c r="BG897" s="42"/>
      <c r="BH897" s="42"/>
      <c r="BI897" s="42"/>
      <c r="BJ897" s="42"/>
      <c r="BK897" s="42"/>
      <c r="BL897" s="42"/>
      <c r="BM897" s="42"/>
      <c r="BN897" s="42"/>
      <c r="BO897" s="42"/>
      <c r="BP897" s="42"/>
      <c r="BQ897" s="42"/>
      <c r="BR897" s="42"/>
      <c r="BS897" s="42"/>
      <c r="BT897" s="42"/>
      <c r="BU897" s="42"/>
      <c r="BV897" s="42"/>
      <c r="BW897" s="42"/>
      <c r="BX897" s="42"/>
      <c r="BY897" s="42"/>
      <c r="BZ897" s="42"/>
      <c r="CA897" s="42"/>
      <c r="CB897" s="42"/>
      <c r="CC897" s="42"/>
      <c r="CD897" s="42"/>
      <c r="CE897" s="42"/>
      <c r="CF897" s="42"/>
      <c r="CG897" s="42"/>
      <c r="CH897" s="42"/>
      <c r="CS897" s="29"/>
      <c r="CT897" s="29"/>
      <c r="CU897" s="29"/>
      <c r="CV897" s="522"/>
      <c r="CW897" s="522"/>
      <c r="CX897" s="211"/>
      <c r="CY897" s="211"/>
      <c r="CZ897" s="211"/>
      <c r="DA897" s="211"/>
      <c r="DB897" s="211"/>
      <c r="DC897" s="211"/>
      <c r="DD897" s="211"/>
      <c r="DE897" s="211"/>
      <c r="DF897" s="60"/>
      <c r="DG897" s="60"/>
      <c r="DH897" s="60"/>
      <c r="DI897" s="60"/>
      <c r="DJ897" s="60"/>
    </row>
    <row r="898" spans="3:114" s="25" customFormat="1">
      <c r="C898" s="24"/>
      <c r="D898" s="24"/>
      <c r="G898" s="57"/>
      <c r="H898" s="57"/>
      <c r="I898" s="57"/>
      <c r="J898" s="57"/>
      <c r="K898" s="57"/>
      <c r="L898" s="57"/>
      <c r="M898" s="57"/>
      <c r="N898" s="57"/>
      <c r="O898" s="57"/>
      <c r="P898" s="57"/>
      <c r="Q898" s="57"/>
      <c r="R898" s="57"/>
      <c r="S898" s="57"/>
      <c r="T898" s="559"/>
      <c r="U898" s="29"/>
      <c r="V898" s="29"/>
      <c r="AJ898" s="1215"/>
      <c r="AK898" s="1142"/>
      <c r="AM898" s="42"/>
      <c r="AN898" s="42"/>
      <c r="AO898" s="42"/>
      <c r="AP898" s="42"/>
      <c r="AQ898" s="42"/>
      <c r="AR898" s="42"/>
      <c r="AS898" s="42"/>
      <c r="AT898" s="42"/>
      <c r="AU898" s="42"/>
      <c r="AV898" s="42"/>
      <c r="AW898" s="42"/>
      <c r="AX898" s="42"/>
      <c r="AY898" s="42"/>
      <c r="AZ898" s="42"/>
      <c r="BA898" s="42"/>
      <c r="BB898" s="42"/>
      <c r="BC898" s="42"/>
      <c r="BD898" s="42"/>
      <c r="BE898" s="42"/>
      <c r="BF898" s="42"/>
      <c r="BG898" s="42"/>
      <c r="BH898" s="42"/>
      <c r="BI898" s="42"/>
      <c r="BJ898" s="42"/>
      <c r="BK898" s="42"/>
      <c r="BL898" s="42"/>
      <c r="BM898" s="42"/>
      <c r="BN898" s="42"/>
      <c r="BO898" s="42"/>
      <c r="BP898" s="42"/>
      <c r="BQ898" s="42"/>
      <c r="BR898" s="42"/>
      <c r="BS898" s="42"/>
      <c r="BT898" s="42"/>
      <c r="BU898" s="42"/>
      <c r="BV898" s="42"/>
      <c r="BW898" s="42"/>
      <c r="BX898" s="42"/>
      <c r="BY898" s="42"/>
      <c r="BZ898" s="42"/>
      <c r="CA898" s="42"/>
      <c r="CB898" s="42"/>
      <c r="CC898" s="42"/>
      <c r="CD898" s="42"/>
      <c r="CE898" s="42"/>
      <c r="CF898" s="42"/>
      <c r="CG898" s="42"/>
      <c r="CH898" s="42"/>
      <c r="CS898" s="29"/>
      <c r="CT898" s="29"/>
      <c r="CU898" s="29"/>
      <c r="CV898" s="522"/>
      <c r="CW898" s="522"/>
      <c r="CX898" s="211"/>
      <c r="CY898" s="211"/>
      <c r="CZ898" s="211"/>
      <c r="DA898" s="211"/>
      <c r="DB898" s="211"/>
      <c r="DC898" s="211"/>
      <c r="DD898" s="211"/>
      <c r="DE898" s="211"/>
      <c r="DF898" s="60"/>
      <c r="DG898" s="60"/>
      <c r="DH898" s="60"/>
      <c r="DI898" s="60"/>
      <c r="DJ898" s="60"/>
    </row>
    <row r="899" spans="3:114" s="25" customFormat="1">
      <c r="C899" s="24"/>
      <c r="D899" s="24"/>
      <c r="G899" s="57"/>
      <c r="H899" s="57"/>
      <c r="I899" s="57"/>
      <c r="J899" s="57"/>
      <c r="K899" s="57"/>
      <c r="L899" s="57"/>
      <c r="M899" s="57"/>
      <c r="N899" s="57"/>
      <c r="O899" s="57"/>
      <c r="P899" s="57"/>
      <c r="Q899" s="57"/>
      <c r="R899" s="57"/>
      <c r="S899" s="57"/>
      <c r="T899" s="559"/>
      <c r="U899" s="29"/>
      <c r="V899" s="29"/>
      <c r="AJ899" s="1215"/>
      <c r="AK899" s="1142"/>
      <c r="AM899" s="42"/>
      <c r="AN899" s="42"/>
      <c r="AO899" s="42"/>
      <c r="AP899" s="42"/>
      <c r="AQ899" s="42"/>
      <c r="AR899" s="42"/>
      <c r="AS899" s="42"/>
      <c r="AT899" s="42"/>
      <c r="AU899" s="42"/>
      <c r="AV899" s="42"/>
      <c r="AW899" s="42"/>
      <c r="AX899" s="42"/>
      <c r="AY899" s="42"/>
      <c r="AZ899" s="42"/>
      <c r="BA899" s="42"/>
      <c r="BB899" s="42"/>
      <c r="BC899" s="42"/>
      <c r="BD899" s="42"/>
      <c r="BE899" s="42"/>
      <c r="BF899" s="42"/>
      <c r="BG899" s="42"/>
      <c r="BH899" s="42"/>
      <c r="BI899" s="42"/>
      <c r="BJ899" s="42"/>
      <c r="BK899" s="42"/>
      <c r="BL899" s="42"/>
      <c r="BM899" s="42"/>
      <c r="BN899" s="42"/>
      <c r="BO899" s="42"/>
      <c r="BP899" s="42"/>
      <c r="BQ899" s="42"/>
      <c r="BR899" s="42"/>
      <c r="BS899" s="42"/>
      <c r="BT899" s="42"/>
      <c r="BU899" s="42"/>
      <c r="BV899" s="42"/>
      <c r="BW899" s="42"/>
      <c r="BX899" s="42"/>
      <c r="BY899" s="42"/>
      <c r="BZ899" s="42"/>
      <c r="CA899" s="42"/>
      <c r="CB899" s="42"/>
      <c r="CC899" s="42"/>
      <c r="CD899" s="42"/>
      <c r="CE899" s="42"/>
      <c r="CF899" s="42"/>
      <c r="CG899" s="42"/>
      <c r="CH899" s="42"/>
      <c r="CS899" s="29"/>
      <c r="CT899" s="29"/>
      <c r="CU899" s="29"/>
      <c r="CV899" s="522"/>
      <c r="CW899" s="522"/>
      <c r="CX899" s="211"/>
      <c r="CY899" s="211"/>
      <c r="CZ899" s="211"/>
      <c r="DA899" s="211"/>
      <c r="DB899" s="211"/>
      <c r="DC899" s="211"/>
      <c r="DD899" s="211"/>
      <c r="DE899" s="211"/>
      <c r="DF899" s="60"/>
      <c r="DG899" s="60"/>
      <c r="DH899" s="60"/>
      <c r="DI899" s="60"/>
      <c r="DJ899" s="60"/>
    </row>
    <row r="900" spans="3:114" s="25" customFormat="1">
      <c r="C900" s="24"/>
      <c r="D900" s="24"/>
      <c r="G900" s="57"/>
      <c r="H900" s="57"/>
      <c r="I900" s="57"/>
      <c r="J900" s="57"/>
      <c r="K900" s="57"/>
      <c r="L900" s="57"/>
      <c r="M900" s="57"/>
      <c r="N900" s="57"/>
      <c r="O900" s="57"/>
      <c r="P900" s="57"/>
      <c r="Q900" s="57"/>
      <c r="R900" s="57"/>
      <c r="S900" s="57"/>
      <c r="T900" s="559"/>
      <c r="U900" s="29"/>
      <c r="V900" s="29"/>
      <c r="AJ900" s="1215"/>
      <c r="AK900" s="1142"/>
      <c r="AM900" s="42"/>
      <c r="AN900" s="42"/>
      <c r="AO900" s="42"/>
      <c r="AP900" s="42"/>
      <c r="AQ900" s="42"/>
      <c r="AR900" s="42"/>
      <c r="AS900" s="42"/>
      <c r="AT900" s="42"/>
      <c r="AU900" s="42"/>
      <c r="AV900" s="42"/>
      <c r="AW900" s="42"/>
      <c r="AX900" s="42"/>
      <c r="AY900" s="42"/>
      <c r="AZ900" s="42"/>
      <c r="BA900" s="42"/>
      <c r="BB900" s="42"/>
      <c r="BC900" s="42"/>
      <c r="BD900" s="42"/>
      <c r="BE900" s="42"/>
      <c r="BF900" s="42"/>
      <c r="BG900" s="42"/>
      <c r="BH900" s="42"/>
      <c r="BI900" s="42"/>
      <c r="BJ900" s="42"/>
      <c r="BK900" s="42"/>
      <c r="BL900" s="42"/>
      <c r="BM900" s="42"/>
      <c r="BN900" s="42"/>
      <c r="BO900" s="42"/>
      <c r="BP900" s="42"/>
      <c r="BQ900" s="42"/>
      <c r="BR900" s="42"/>
      <c r="BS900" s="42"/>
      <c r="BT900" s="42"/>
      <c r="BU900" s="42"/>
      <c r="BV900" s="42"/>
      <c r="BW900" s="42"/>
      <c r="BX900" s="42"/>
      <c r="BY900" s="42"/>
      <c r="BZ900" s="42"/>
      <c r="CA900" s="42"/>
      <c r="CB900" s="42"/>
      <c r="CC900" s="42"/>
      <c r="CD900" s="42"/>
      <c r="CE900" s="42"/>
      <c r="CF900" s="42"/>
      <c r="CG900" s="42"/>
      <c r="CH900" s="42"/>
      <c r="CS900" s="29"/>
      <c r="CT900" s="29"/>
      <c r="CU900" s="29"/>
      <c r="CV900" s="522"/>
      <c r="CW900" s="522"/>
      <c r="CX900" s="211"/>
      <c r="CY900" s="211"/>
      <c r="CZ900" s="211"/>
      <c r="DA900" s="211"/>
      <c r="DB900" s="211"/>
      <c r="DC900" s="211"/>
      <c r="DD900" s="211"/>
      <c r="DE900" s="211"/>
      <c r="DF900" s="60"/>
      <c r="DG900" s="60"/>
      <c r="DH900" s="60"/>
      <c r="DI900" s="60"/>
      <c r="DJ900" s="60"/>
    </row>
    <row r="901" spans="3:114" s="25" customFormat="1">
      <c r="C901" s="24"/>
      <c r="D901" s="24"/>
      <c r="G901" s="57"/>
      <c r="H901" s="57"/>
      <c r="I901" s="57"/>
      <c r="J901" s="57"/>
      <c r="K901" s="57"/>
      <c r="L901" s="57"/>
      <c r="M901" s="57"/>
      <c r="N901" s="57"/>
      <c r="O901" s="57"/>
      <c r="P901" s="57"/>
      <c r="Q901" s="57"/>
      <c r="R901" s="57"/>
      <c r="S901" s="57"/>
      <c r="T901" s="559"/>
      <c r="U901" s="29"/>
      <c r="V901" s="29"/>
      <c r="AJ901" s="1215"/>
      <c r="AK901" s="1142"/>
      <c r="AM901" s="42"/>
      <c r="AN901" s="42"/>
      <c r="AO901" s="42"/>
      <c r="AP901" s="42"/>
      <c r="AQ901" s="42"/>
      <c r="AR901" s="42"/>
      <c r="AS901" s="42"/>
      <c r="AT901" s="42"/>
      <c r="AU901" s="42"/>
      <c r="AV901" s="42"/>
      <c r="AW901" s="42"/>
      <c r="AX901" s="42"/>
      <c r="AY901" s="42"/>
      <c r="AZ901" s="42"/>
      <c r="BA901" s="42"/>
      <c r="BB901" s="42"/>
      <c r="BC901" s="42"/>
      <c r="BD901" s="42"/>
      <c r="BE901" s="42"/>
      <c r="BF901" s="42"/>
      <c r="BG901" s="42"/>
      <c r="BH901" s="42"/>
      <c r="BI901" s="42"/>
      <c r="BJ901" s="42"/>
      <c r="BK901" s="42"/>
      <c r="BL901" s="42"/>
      <c r="BM901" s="42"/>
      <c r="BN901" s="42"/>
      <c r="BO901" s="42"/>
      <c r="BP901" s="42"/>
      <c r="BQ901" s="42"/>
      <c r="BR901" s="42"/>
      <c r="BS901" s="42"/>
      <c r="BT901" s="42"/>
      <c r="BU901" s="42"/>
      <c r="BV901" s="42"/>
      <c r="BW901" s="42"/>
      <c r="BX901" s="42"/>
      <c r="BY901" s="42"/>
      <c r="BZ901" s="42"/>
      <c r="CA901" s="42"/>
      <c r="CB901" s="42"/>
      <c r="CC901" s="42"/>
      <c r="CD901" s="42"/>
      <c r="CE901" s="42"/>
      <c r="CF901" s="42"/>
      <c r="CG901" s="42"/>
      <c r="CH901" s="42"/>
      <c r="CS901" s="29"/>
      <c r="CT901" s="29"/>
      <c r="CU901" s="29"/>
      <c r="CV901" s="522"/>
      <c r="CW901" s="522"/>
      <c r="CX901" s="211"/>
      <c r="CY901" s="211"/>
      <c r="CZ901" s="211"/>
      <c r="DA901" s="211"/>
      <c r="DB901" s="211"/>
      <c r="DC901" s="211"/>
      <c r="DD901" s="211"/>
      <c r="DE901" s="211"/>
      <c r="DF901" s="60"/>
      <c r="DG901" s="60"/>
      <c r="DH901" s="60"/>
      <c r="DI901" s="60"/>
      <c r="DJ901" s="60"/>
    </row>
    <row r="902" spans="3:114" s="25" customFormat="1">
      <c r="C902" s="24"/>
      <c r="D902" s="24"/>
      <c r="G902" s="57"/>
      <c r="H902" s="57"/>
      <c r="I902" s="57"/>
      <c r="J902" s="57"/>
      <c r="K902" s="57"/>
      <c r="L902" s="57"/>
      <c r="M902" s="57"/>
      <c r="N902" s="57"/>
      <c r="O902" s="57"/>
      <c r="P902" s="57"/>
      <c r="Q902" s="57"/>
      <c r="R902" s="57"/>
      <c r="S902" s="57"/>
      <c r="T902" s="559"/>
      <c r="U902" s="29"/>
      <c r="V902" s="29"/>
      <c r="AJ902" s="1215"/>
      <c r="AK902" s="1142"/>
      <c r="AM902" s="42"/>
      <c r="AN902" s="42"/>
      <c r="AO902" s="42"/>
      <c r="AP902" s="42"/>
      <c r="AQ902" s="42"/>
      <c r="AR902" s="42"/>
      <c r="AS902" s="42"/>
      <c r="AT902" s="42"/>
      <c r="AU902" s="42"/>
      <c r="AV902" s="42"/>
      <c r="AW902" s="42"/>
      <c r="AX902" s="42"/>
      <c r="AY902" s="42"/>
      <c r="AZ902" s="42"/>
      <c r="BA902" s="42"/>
      <c r="BB902" s="42"/>
      <c r="BC902" s="42"/>
      <c r="BD902" s="42"/>
      <c r="BE902" s="42"/>
      <c r="BF902" s="42"/>
      <c r="BG902" s="42"/>
      <c r="BH902" s="42"/>
      <c r="BI902" s="42"/>
      <c r="BJ902" s="42"/>
      <c r="BK902" s="42"/>
      <c r="BL902" s="42"/>
      <c r="BM902" s="42"/>
      <c r="BN902" s="42"/>
      <c r="BO902" s="42"/>
      <c r="BP902" s="42"/>
      <c r="BQ902" s="42"/>
      <c r="BR902" s="42"/>
      <c r="BS902" s="42"/>
      <c r="BT902" s="42"/>
      <c r="BU902" s="42"/>
      <c r="BV902" s="42"/>
      <c r="BW902" s="42"/>
      <c r="BX902" s="42"/>
      <c r="BY902" s="42"/>
      <c r="BZ902" s="42"/>
      <c r="CA902" s="42"/>
      <c r="CB902" s="42"/>
      <c r="CC902" s="42"/>
      <c r="CD902" s="42"/>
      <c r="CE902" s="42"/>
      <c r="CF902" s="42"/>
      <c r="CG902" s="42"/>
      <c r="CH902" s="42"/>
      <c r="CS902" s="29"/>
      <c r="CT902" s="29"/>
      <c r="CU902" s="29"/>
      <c r="CV902" s="522"/>
      <c r="CW902" s="522"/>
      <c r="CX902" s="211"/>
      <c r="CY902" s="211"/>
      <c r="CZ902" s="211"/>
      <c r="DA902" s="211"/>
      <c r="DB902" s="211"/>
      <c r="DC902" s="211"/>
      <c r="DD902" s="211"/>
      <c r="DE902" s="211"/>
      <c r="DF902" s="60"/>
      <c r="DG902" s="60"/>
      <c r="DH902" s="60"/>
      <c r="DI902" s="60"/>
      <c r="DJ902" s="60"/>
    </row>
    <row r="903" spans="3:114" s="25" customFormat="1">
      <c r="C903" s="24"/>
      <c r="D903" s="24"/>
      <c r="G903" s="57"/>
      <c r="H903" s="57"/>
      <c r="I903" s="57"/>
      <c r="J903" s="57"/>
      <c r="K903" s="57"/>
      <c r="L903" s="57"/>
      <c r="M903" s="57"/>
      <c r="N903" s="57"/>
      <c r="O903" s="57"/>
      <c r="P903" s="57"/>
      <c r="Q903" s="57"/>
      <c r="R903" s="57"/>
      <c r="S903" s="57"/>
      <c r="T903" s="559"/>
      <c r="U903" s="29"/>
      <c r="V903" s="29"/>
      <c r="AJ903" s="1215"/>
      <c r="AK903" s="1142"/>
      <c r="AM903" s="42"/>
      <c r="AN903" s="42"/>
      <c r="AO903" s="42"/>
      <c r="AP903" s="42"/>
      <c r="AQ903" s="42"/>
      <c r="AR903" s="42"/>
      <c r="AS903" s="42"/>
      <c r="AT903" s="42"/>
      <c r="AU903" s="42"/>
      <c r="AV903" s="42"/>
      <c r="AW903" s="42"/>
      <c r="AX903" s="42"/>
      <c r="AY903" s="42"/>
      <c r="AZ903" s="42"/>
      <c r="BA903" s="42"/>
      <c r="BB903" s="42"/>
      <c r="BC903" s="42"/>
      <c r="BD903" s="42"/>
      <c r="BE903" s="42"/>
      <c r="BF903" s="42"/>
      <c r="BG903" s="42"/>
      <c r="BH903" s="42"/>
      <c r="BI903" s="42"/>
      <c r="BJ903" s="42"/>
      <c r="BK903" s="42"/>
      <c r="BL903" s="42"/>
      <c r="BM903" s="42"/>
      <c r="BN903" s="42"/>
      <c r="BO903" s="42"/>
      <c r="BP903" s="42"/>
      <c r="BQ903" s="42"/>
      <c r="BR903" s="42"/>
      <c r="BS903" s="42"/>
      <c r="BT903" s="42"/>
      <c r="BU903" s="42"/>
      <c r="BV903" s="42"/>
      <c r="BW903" s="42"/>
      <c r="BX903" s="42"/>
      <c r="BY903" s="42"/>
      <c r="BZ903" s="42"/>
      <c r="CA903" s="42"/>
      <c r="CB903" s="42"/>
      <c r="CC903" s="42"/>
      <c r="CD903" s="42"/>
      <c r="CE903" s="42"/>
      <c r="CF903" s="42"/>
      <c r="CG903" s="42"/>
      <c r="CH903" s="42"/>
      <c r="CS903" s="29"/>
      <c r="CT903" s="29"/>
      <c r="CU903" s="29"/>
      <c r="CV903" s="522"/>
      <c r="CW903" s="522"/>
      <c r="CX903" s="211"/>
      <c r="CY903" s="211"/>
      <c r="CZ903" s="211"/>
      <c r="DA903" s="211"/>
      <c r="DB903" s="211"/>
      <c r="DC903" s="211"/>
      <c r="DD903" s="211"/>
      <c r="DE903" s="211"/>
      <c r="DF903" s="60"/>
      <c r="DG903" s="60"/>
      <c r="DH903" s="60"/>
      <c r="DI903" s="60"/>
      <c r="DJ903" s="60"/>
    </row>
    <row r="904" spans="3:114" s="25" customFormat="1">
      <c r="C904" s="24"/>
      <c r="D904" s="24"/>
      <c r="G904" s="57"/>
      <c r="H904" s="57"/>
      <c r="I904" s="57"/>
      <c r="J904" s="57"/>
      <c r="K904" s="57"/>
      <c r="L904" s="57"/>
      <c r="M904" s="57"/>
      <c r="N904" s="57"/>
      <c r="O904" s="57"/>
      <c r="P904" s="57"/>
      <c r="Q904" s="57"/>
      <c r="R904" s="57"/>
      <c r="S904" s="57"/>
      <c r="T904" s="559"/>
      <c r="U904" s="29"/>
      <c r="V904" s="29"/>
      <c r="AJ904" s="1215"/>
      <c r="AK904" s="1142"/>
      <c r="AM904" s="42"/>
      <c r="AN904" s="42"/>
      <c r="AO904" s="42"/>
      <c r="AP904" s="42"/>
      <c r="AQ904" s="42"/>
      <c r="AR904" s="42"/>
      <c r="AS904" s="42"/>
      <c r="AT904" s="42"/>
      <c r="AU904" s="42"/>
      <c r="AV904" s="42"/>
      <c r="AW904" s="42"/>
      <c r="AX904" s="42"/>
      <c r="AY904" s="42"/>
      <c r="AZ904" s="42"/>
      <c r="BA904" s="42"/>
      <c r="BB904" s="42"/>
      <c r="BC904" s="42"/>
      <c r="BD904" s="42"/>
      <c r="BE904" s="42"/>
      <c r="BF904" s="42"/>
      <c r="BG904" s="42"/>
      <c r="BH904" s="42"/>
      <c r="BI904" s="42"/>
      <c r="BJ904" s="42"/>
      <c r="BK904" s="42"/>
      <c r="BL904" s="42"/>
      <c r="BM904" s="42"/>
      <c r="BN904" s="42"/>
      <c r="BO904" s="42"/>
      <c r="BP904" s="42"/>
      <c r="BQ904" s="42"/>
      <c r="BR904" s="42"/>
      <c r="BS904" s="42"/>
      <c r="BT904" s="42"/>
      <c r="BU904" s="42"/>
      <c r="BV904" s="42"/>
      <c r="BW904" s="42"/>
      <c r="BX904" s="42"/>
      <c r="BY904" s="42"/>
      <c r="BZ904" s="42"/>
      <c r="CA904" s="42"/>
      <c r="CB904" s="42"/>
      <c r="CC904" s="42"/>
      <c r="CD904" s="42"/>
      <c r="CE904" s="42"/>
      <c r="CF904" s="42"/>
      <c r="CG904" s="42"/>
      <c r="CH904" s="42"/>
      <c r="CS904" s="29"/>
      <c r="CT904" s="29"/>
      <c r="CU904" s="29"/>
      <c r="CV904" s="522"/>
      <c r="CW904" s="522"/>
      <c r="CX904" s="211"/>
      <c r="CY904" s="211"/>
      <c r="CZ904" s="211"/>
      <c r="DA904" s="211"/>
      <c r="DB904" s="211"/>
      <c r="DC904" s="211"/>
      <c r="DD904" s="211"/>
      <c r="DE904" s="211"/>
      <c r="DF904" s="60"/>
      <c r="DG904" s="60"/>
      <c r="DH904" s="60"/>
      <c r="DI904" s="60"/>
      <c r="DJ904" s="60"/>
    </row>
    <row r="905" spans="3:114" s="25" customFormat="1">
      <c r="C905" s="24"/>
      <c r="D905" s="24"/>
      <c r="G905" s="57"/>
      <c r="H905" s="57"/>
      <c r="I905" s="57"/>
      <c r="J905" s="57"/>
      <c r="K905" s="57"/>
      <c r="L905" s="57"/>
      <c r="M905" s="57"/>
      <c r="N905" s="57"/>
      <c r="O905" s="57"/>
      <c r="P905" s="57"/>
      <c r="Q905" s="57"/>
      <c r="R905" s="57"/>
      <c r="S905" s="57"/>
      <c r="T905" s="559"/>
      <c r="U905" s="29"/>
      <c r="V905" s="29"/>
      <c r="AJ905" s="1215"/>
      <c r="AK905" s="1142"/>
      <c r="AM905" s="42"/>
      <c r="AN905" s="42"/>
      <c r="AO905" s="42"/>
      <c r="AP905" s="42"/>
      <c r="AQ905" s="42"/>
      <c r="AR905" s="42"/>
      <c r="AS905" s="42"/>
      <c r="AT905" s="42"/>
      <c r="AU905" s="42"/>
      <c r="AV905" s="42"/>
      <c r="AW905" s="42"/>
      <c r="AX905" s="42"/>
      <c r="AY905" s="42"/>
      <c r="AZ905" s="42"/>
      <c r="BA905" s="42"/>
      <c r="BB905" s="42"/>
      <c r="BC905" s="42"/>
      <c r="BD905" s="42"/>
      <c r="BE905" s="42"/>
      <c r="BF905" s="42"/>
      <c r="BG905" s="42"/>
      <c r="BH905" s="42"/>
      <c r="BI905" s="42"/>
      <c r="BJ905" s="42"/>
      <c r="BK905" s="42"/>
      <c r="BL905" s="42"/>
      <c r="BM905" s="42"/>
      <c r="BN905" s="42"/>
      <c r="BO905" s="42"/>
      <c r="BP905" s="42"/>
      <c r="BQ905" s="42"/>
      <c r="BR905" s="42"/>
      <c r="BS905" s="42"/>
      <c r="BT905" s="42"/>
      <c r="BU905" s="42"/>
      <c r="BV905" s="42"/>
      <c r="BW905" s="42"/>
      <c r="BX905" s="42"/>
      <c r="BY905" s="42"/>
      <c r="BZ905" s="42"/>
      <c r="CA905" s="42"/>
      <c r="CB905" s="42"/>
      <c r="CC905" s="42"/>
      <c r="CD905" s="42"/>
      <c r="CE905" s="42"/>
      <c r="CF905" s="42"/>
      <c r="CG905" s="42"/>
      <c r="CH905" s="42"/>
      <c r="CS905" s="29"/>
      <c r="CT905" s="29"/>
      <c r="CU905" s="29"/>
      <c r="CV905" s="522"/>
      <c r="CW905" s="522"/>
      <c r="CX905" s="211"/>
      <c r="CY905" s="211"/>
      <c r="CZ905" s="211"/>
      <c r="DA905" s="211"/>
      <c r="DB905" s="211"/>
      <c r="DC905" s="211"/>
      <c r="DD905" s="211"/>
      <c r="DE905" s="211"/>
      <c r="DF905" s="60"/>
      <c r="DG905" s="60"/>
      <c r="DH905" s="60"/>
      <c r="DI905" s="60"/>
      <c r="DJ905" s="60"/>
    </row>
    <row r="906" spans="3:114" s="25" customFormat="1">
      <c r="C906" s="24"/>
      <c r="D906" s="24"/>
      <c r="G906" s="57"/>
      <c r="H906" s="57"/>
      <c r="I906" s="57"/>
      <c r="J906" s="57"/>
      <c r="K906" s="57"/>
      <c r="L906" s="57"/>
      <c r="M906" s="57"/>
      <c r="N906" s="57"/>
      <c r="O906" s="57"/>
      <c r="P906" s="57"/>
      <c r="Q906" s="57"/>
      <c r="R906" s="57"/>
      <c r="S906" s="57"/>
      <c r="T906" s="559"/>
      <c r="U906" s="29"/>
      <c r="V906" s="29"/>
      <c r="AJ906" s="1215"/>
      <c r="AK906" s="1142"/>
      <c r="AM906" s="42"/>
      <c r="AN906" s="42"/>
      <c r="AO906" s="42"/>
      <c r="AP906" s="42"/>
      <c r="AQ906" s="42"/>
      <c r="AR906" s="42"/>
      <c r="AS906" s="42"/>
      <c r="AT906" s="42"/>
      <c r="AU906" s="42"/>
      <c r="AV906" s="42"/>
      <c r="AW906" s="42"/>
      <c r="AX906" s="42"/>
      <c r="AY906" s="42"/>
      <c r="AZ906" s="42"/>
      <c r="BA906" s="42"/>
      <c r="BB906" s="42"/>
      <c r="BC906" s="42"/>
      <c r="BD906" s="42"/>
      <c r="BE906" s="42"/>
      <c r="BF906" s="42"/>
      <c r="BG906" s="42"/>
      <c r="BH906" s="42"/>
      <c r="BI906" s="42"/>
      <c r="BJ906" s="42"/>
      <c r="BK906" s="42"/>
      <c r="BL906" s="42"/>
      <c r="BM906" s="42"/>
      <c r="BN906" s="42"/>
      <c r="BO906" s="42"/>
      <c r="BP906" s="42"/>
      <c r="BQ906" s="42"/>
      <c r="BR906" s="42"/>
      <c r="BS906" s="42"/>
      <c r="BT906" s="42"/>
      <c r="BU906" s="42"/>
      <c r="BV906" s="42"/>
      <c r="BW906" s="42"/>
      <c r="BX906" s="42"/>
      <c r="BY906" s="42"/>
      <c r="BZ906" s="42"/>
      <c r="CA906" s="42"/>
      <c r="CB906" s="42"/>
      <c r="CC906" s="42"/>
      <c r="CD906" s="42"/>
      <c r="CE906" s="42"/>
      <c r="CF906" s="42"/>
      <c r="CG906" s="42"/>
      <c r="CH906" s="42"/>
      <c r="CS906" s="29"/>
      <c r="CT906" s="29"/>
      <c r="CU906" s="29"/>
      <c r="CV906" s="522"/>
      <c r="CW906" s="522"/>
      <c r="CX906" s="211"/>
      <c r="CY906" s="211"/>
      <c r="CZ906" s="211"/>
      <c r="DA906" s="211"/>
      <c r="DB906" s="211"/>
      <c r="DC906" s="211"/>
      <c r="DD906" s="211"/>
      <c r="DE906" s="211"/>
      <c r="DF906" s="60"/>
      <c r="DG906" s="60"/>
      <c r="DH906" s="60"/>
      <c r="DI906" s="60"/>
      <c r="DJ906" s="60"/>
    </row>
    <row r="907" spans="3:114" s="25" customFormat="1">
      <c r="C907" s="24"/>
      <c r="D907" s="24"/>
      <c r="G907" s="57"/>
      <c r="H907" s="57"/>
      <c r="I907" s="57"/>
      <c r="J907" s="57"/>
      <c r="K907" s="57"/>
      <c r="L907" s="57"/>
      <c r="M907" s="57"/>
      <c r="N907" s="57"/>
      <c r="O907" s="57"/>
      <c r="P907" s="57"/>
      <c r="Q907" s="57"/>
      <c r="R907" s="57"/>
      <c r="S907" s="57"/>
      <c r="T907" s="559"/>
      <c r="U907" s="29"/>
      <c r="V907" s="29"/>
      <c r="AJ907" s="1215"/>
      <c r="AK907" s="1142"/>
      <c r="AM907" s="42"/>
      <c r="AN907" s="42"/>
      <c r="AO907" s="42"/>
      <c r="AP907" s="42"/>
      <c r="AQ907" s="42"/>
      <c r="AR907" s="42"/>
      <c r="AS907" s="42"/>
      <c r="AT907" s="42"/>
      <c r="AU907" s="42"/>
      <c r="AV907" s="42"/>
      <c r="AW907" s="42"/>
      <c r="AX907" s="42"/>
      <c r="AY907" s="42"/>
      <c r="AZ907" s="42"/>
      <c r="BA907" s="42"/>
      <c r="BB907" s="42"/>
      <c r="BC907" s="42"/>
      <c r="BD907" s="42"/>
      <c r="BE907" s="42"/>
      <c r="BF907" s="42"/>
      <c r="BG907" s="42"/>
      <c r="BH907" s="42"/>
      <c r="BI907" s="42"/>
      <c r="BJ907" s="42"/>
      <c r="BK907" s="42"/>
      <c r="BL907" s="42"/>
      <c r="BM907" s="42"/>
      <c r="BN907" s="42"/>
      <c r="BO907" s="42"/>
      <c r="BP907" s="42"/>
      <c r="BQ907" s="42"/>
      <c r="BR907" s="42"/>
      <c r="BS907" s="42"/>
      <c r="BT907" s="42"/>
      <c r="BU907" s="42"/>
      <c r="BV907" s="42"/>
      <c r="BW907" s="42"/>
      <c r="BX907" s="42"/>
      <c r="BY907" s="42"/>
      <c r="BZ907" s="42"/>
      <c r="CA907" s="42"/>
      <c r="CB907" s="42"/>
      <c r="CC907" s="42"/>
      <c r="CD907" s="42"/>
      <c r="CE907" s="42"/>
      <c r="CF907" s="42"/>
      <c r="CG907" s="42"/>
      <c r="CH907" s="42"/>
      <c r="CS907" s="29"/>
      <c r="CT907" s="29"/>
      <c r="CU907" s="29"/>
      <c r="CV907" s="522"/>
      <c r="CW907" s="522"/>
      <c r="CX907" s="211"/>
      <c r="CY907" s="211"/>
      <c r="CZ907" s="211"/>
      <c r="DA907" s="211"/>
      <c r="DB907" s="211"/>
      <c r="DC907" s="211"/>
      <c r="DD907" s="211"/>
      <c r="DE907" s="211"/>
      <c r="DF907" s="60"/>
      <c r="DG907" s="60"/>
      <c r="DH907" s="60"/>
      <c r="DI907" s="60"/>
      <c r="DJ907" s="60"/>
    </row>
    <row r="908" spans="3:114" s="25" customFormat="1">
      <c r="C908" s="24"/>
      <c r="D908" s="24"/>
      <c r="G908" s="57"/>
      <c r="H908" s="57"/>
      <c r="I908" s="57"/>
      <c r="J908" s="57"/>
      <c r="K908" s="57"/>
      <c r="L908" s="57"/>
      <c r="M908" s="57"/>
      <c r="N908" s="57"/>
      <c r="O908" s="57"/>
      <c r="P908" s="57"/>
      <c r="Q908" s="57"/>
      <c r="R908" s="57"/>
      <c r="S908" s="57"/>
      <c r="T908" s="559"/>
      <c r="U908" s="29"/>
      <c r="V908" s="29"/>
      <c r="AJ908" s="1215"/>
      <c r="AK908" s="1142"/>
      <c r="AM908" s="42"/>
      <c r="AN908" s="42"/>
      <c r="AO908" s="42"/>
      <c r="AP908" s="42"/>
      <c r="AQ908" s="42"/>
      <c r="AR908" s="42"/>
      <c r="AS908" s="42"/>
      <c r="AT908" s="42"/>
      <c r="AU908" s="42"/>
      <c r="AV908" s="42"/>
      <c r="AW908" s="42"/>
      <c r="AX908" s="42"/>
      <c r="AY908" s="42"/>
      <c r="AZ908" s="42"/>
      <c r="BA908" s="42"/>
      <c r="BB908" s="42"/>
      <c r="BC908" s="42"/>
      <c r="BD908" s="42"/>
      <c r="BE908" s="42"/>
      <c r="BF908" s="42"/>
      <c r="BG908" s="42"/>
      <c r="BH908" s="42"/>
      <c r="BI908" s="42"/>
      <c r="BJ908" s="42"/>
      <c r="BK908" s="42"/>
      <c r="BL908" s="42"/>
      <c r="BM908" s="42"/>
      <c r="BN908" s="42"/>
      <c r="BO908" s="42"/>
      <c r="BP908" s="42"/>
      <c r="BQ908" s="42"/>
      <c r="BR908" s="42"/>
      <c r="BS908" s="42"/>
      <c r="BT908" s="42"/>
      <c r="BU908" s="42"/>
      <c r="BV908" s="42"/>
      <c r="BW908" s="42"/>
      <c r="BX908" s="42"/>
      <c r="BY908" s="42"/>
      <c r="BZ908" s="42"/>
      <c r="CA908" s="42"/>
      <c r="CB908" s="42"/>
      <c r="CC908" s="42"/>
      <c r="CD908" s="42"/>
      <c r="CE908" s="42"/>
      <c r="CF908" s="42"/>
      <c r="CG908" s="42"/>
      <c r="CH908" s="42"/>
      <c r="CS908" s="29"/>
      <c r="CT908" s="29"/>
      <c r="CU908" s="29"/>
      <c r="CV908" s="522"/>
      <c r="CW908" s="522"/>
      <c r="CX908" s="211"/>
      <c r="CY908" s="211"/>
      <c r="CZ908" s="211"/>
      <c r="DA908" s="211"/>
      <c r="DB908" s="211"/>
      <c r="DC908" s="211"/>
      <c r="DD908" s="211"/>
      <c r="DE908" s="211"/>
      <c r="DF908" s="60"/>
      <c r="DG908" s="60"/>
      <c r="DH908" s="60"/>
      <c r="DI908" s="60"/>
      <c r="DJ908" s="60"/>
    </row>
    <row r="909" spans="3:114" s="25" customFormat="1">
      <c r="C909" s="24"/>
      <c r="D909" s="24"/>
      <c r="G909" s="57"/>
      <c r="H909" s="57"/>
      <c r="I909" s="57"/>
      <c r="J909" s="57"/>
      <c r="K909" s="57"/>
      <c r="L909" s="57"/>
      <c r="M909" s="57"/>
      <c r="N909" s="57"/>
      <c r="O909" s="57"/>
      <c r="P909" s="57"/>
      <c r="Q909" s="57"/>
      <c r="R909" s="57"/>
      <c r="S909" s="57"/>
      <c r="T909" s="559"/>
      <c r="U909" s="29"/>
      <c r="V909" s="29"/>
      <c r="AJ909" s="1215"/>
      <c r="AK909" s="1142"/>
      <c r="AM909" s="42"/>
      <c r="AN909" s="42"/>
      <c r="AO909" s="42"/>
      <c r="AP909" s="42"/>
      <c r="AQ909" s="42"/>
      <c r="AR909" s="42"/>
      <c r="AS909" s="42"/>
      <c r="AT909" s="42"/>
      <c r="AU909" s="42"/>
      <c r="AV909" s="42"/>
      <c r="AW909" s="42"/>
      <c r="AX909" s="42"/>
      <c r="AY909" s="42"/>
      <c r="AZ909" s="42"/>
      <c r="BA909" s="42"/>
      <c r="BB909" s="42"/>
      <c r="BC909" s="42"/>
      <c r="BD909" s="42"/>
      <c r="BE909" s="42"/>
      <c r="BF909" s="42"/>
      <c r="BG909" s="42"/>
      <c r="BH909" s="42"/>
      <c r="BI909" s="42"/>
      <c r="BJ909" s="42"/>
      <c r="BK909" s="42"/>
      <c r="BL909" s="42"/>
      <c r="BM909" s="42"/>
      <c r="BN909" s="42"/>
      <c r="BO909" s="42"/>
      <c r="BP909" s="42"/>
      <c r="BQ909" s="42"/>
      <c r="BR909" s="42"/>
      <c r="BS909" s="42"/>
      <c r="BT909" s="42"/>
      <c r="BU909" s="42"/>
      <c r="BV909" s="42"/>
      <c r="BW909" s="42"/>
      <c r="BX909" s="42"/>
      <c r="BY909" s="42"/>
      <c r="BZ909" s="42"/>
      <c r="CA909" s="42"/>
      <c r="CB909" s="42"/>
      <c r="CC909" s="42"/>
      <c r="CD909" s="42"/>
      <c r="CE909" s="42"/>
      <c r="CF909" s="42"/>
      <c r="CG909" s="42"/>
      <c r="CH909" s="42"/>
      <c r="CS909" s="29"/>
      <c r="CT909" s="29"/>
      <c r="CU909" s="29"/>
      <c r="CV909" s="522"/>
      <c r="CW909" s="522"/>
      <c r="CX909" s="211"/>
      <c r="CY909" s="211"/>
      <c r="CZ909" s="211"/>
      <c r="DA909" s="211"/>
      <c r="DB909" s="211"/>
      <c r="DC909" s="211"/>
      <c r="DD909" s="211"/>
      <c r="DE909" s="211"/>
      <c r="DF909" s="60"/>
      <c r="DG909" s="60"/>
      <c r="DH909" s="60"/>
      <c r="DI909" s="60"/>
      <c r="DJ909" s="60"/>
    </row>
    <row r="910" spans="3:114" s="25" customFormat="1">
      <c r="C910" s="24"/>
      <c r="D910" s="24"/>
      <c r="G910" s="57"/>
      <c r="H910" s="57"/>
      <c r="I910" s="57"/>
      <c r="J910" s="57"/>
      <c r="K910" s="57"/>
      <c r="L910" s="57"/>
      <c r="M910" s="57"/>
      <c r="N910" s="57"/>
      <c r="O910" s="57"/>
      <c r="P910" s="57"/>
      <c r="Q910" s="57"/>
      <c r="R910" s="57"/>
      <c r="S910" s="57"/>
      <c r="T910" s="559"/>
      <c r="U910" s="29"/>
      <c r="V910" s="29"/>
      <c r="AJ910" s="1215"/>
      <c r="AK910" s="1142"/>
      <c r="AM910" s="42"/>
      <c r="AN910" s="42"/>
      <c r="AO910" s="42"/>
      <c r="AP910" s="42"/>
      <c r="AQ910" s="42"/>
      <c r="AR910" s="42"/>
      <c r="AS910" s="42"/>
      <c r="AT910" s="42"/>
      <c r="AU910" s="42"/>
      <c r="AV910" s="42"/>
      <c r="AW910" s="42"/>
      <c r="AX910" s="42"/>
      <c r="AY910" s="42"/>
      <c r="AZ910" s="42"/>
      <c r="BA910" s="42"/>
      <c r="BB910" s="42"/>
      <c r="BC910" s="42"/>
      <c r="BD910" s="42"/>
      <c r="BE910" s="42"/>
      <c r="BF910" s="42"/>
      <c r="BG910" s="42"/>
      <c r="BH910" s="42"/>
      <c r="BI910" s="42"/>
      <c r="BJ910" s="42"/>
      <c r="BK910" s="42"/>
      <c r="BL910" s="42"/>
      <c r="BM910" s="42"/>
      <c r="BN910" s="42"/>
      <c r="BO910" s="42"/>
      <c r="BP910" s="42"/>
      <c r="BQ910" s="42"/>
      <c r="BR910" s="42"/>
      <c r="BS910" s="42"/>
      <c r="BT910" s="42"/>
      <c r="BU910" s="42"/>
      <c r="BV910" s="42"/>
      <c r="BW910" s="42"/>
      <c r="BX910" s="42"/>
      <c r="BY910" s="42"/>
      <c r="BZ910" s="42"/>
      <c r="CA910" s="42"/>
      <c r="CB910" s="42"/>
      <c r="CC910" s="42"/>
      <c r="CD910" s="42"/>
      <c r="CE910" s="42"/>
      <c r="CF910" s="42"/>
      <c r="CG910" s="42"/>
      <c r="CH910" s="42"/>
      <c r="CS910" s="29"/>
      <c r="CT910" s="29"/>
      <c r="CU910" s="29"/>
      <c r="CV910" s="522"/>
      <c r="CW910" s="522"/>
      <c r="CX910" s="211"/>
      <c r="CY910" s="211"/>
      <c r="CZ910" s="211"/>
      <c r="DA910" s="211"/>
      <c r="DB910" s="211"/>
      <c r="DC910" s="211"/>
      <c r="DD910" s="211"/>
      <c r="DE910" s="211"/>
      <c r="DF910" s="60"/>
      <c r="DG910" s="60"/>
      <c r="DH910" s="60"/>
      <c r="DI910" s="60"/>
      <c r="DJ910" s="60"/>
    </row>
    <row r="911" spans="3:114" s="25" customFormat="1">
      <c r="C911" s="24"/>
      <c r="D911" s="24"/>
      <c r="G911" s="57"/>
      <c r="H911" s="57"/>
      <c r="I911" s="57"/>
      <c r="J911" s="57"/>
      <c r="K911" s="57"/>
      <c r="L911" s="57"/>
      <c r="M911" s="57"/>
      <c r="N911" s="57"/>
      <c r="O911" s="57"/>
      <c r="P911" s="57"/>
      <c r="Q911" s="57"/>
      <c r="R911" s="57"/>
      <c r="S911" s="57"/>
      <c r="T911" s="559"/>
      <c r="U911" s="29"/>
      <c r="V911" s="29"/>
      <c r="AJ911" s="1215"/>
      <c r="AK911" s="1142"/>
      <c r="AM911" s="42"/>
      <c r="AN911" s="42"/>
      <c r="AO911" s="42"/>
      <c r="AP911" s="42"/>
      <c r="AQ911" s="42"/>
      <c r="AR911" s="42"/>
      <c r="AS911" s="42"/>
      <c r="AT911" s="42"/>
      <c r="AU911" s="42"/>
      <c r="AV911" s="42"/>
      <c r="AW911" s="42"/>
      <c r="AX911" s="42"/>
      <c r="AY911" s="42"/>
      <c r="AZ911" s="42"/>
      <c r="BA911" s="42"/>
      <c r="BB911" s="42"/>
      <c r="BC911" s="42"/>
      <c r="BD911" s="42"/>
      <c r="BE911" s="42"/>
      <c r="BF911" s="42"/>
      <c r="BG911" s="42"/>
      <c r="BH911" s="42"/>
      <c r="BI911" s="42"/>
      <c r="BJ911" s="42"/>
      <c r="BK911" s="42"/>
      <c r="BL911" s="42"/>
      <c r="BM911" s="42"/>
      <c r="BN911" s="42"/>
      <c r="BO911" s="42"/>
      <c r="BP911" s="42"/>
      <c r="BQ911" s="42"/>
      <c r="BR911" s="42"/>
      <c r="BS911" s="42"/>
      <c r="BT911" s="42"/>
      <c r="BU911" s="42"/>
      <c r="BV911" s="42"/>
      <c r="BW911" s="42"/>
      <c r="BX911" s="42"/>
      <c r="BY911" s="42"/>
      <c r="BZ911" s="42"/>
      <c r="CA911" s="42"/>
      <c r="CB911" s="42"/>
      <c r="CC911" s="42"/>
      <c r="CD911" s="42"/>
      <c r="CE911" s="42"/>
      <c r="CF911" s="42"/>
      <c r="CG911" s="42"/>
      <c r="CH911" s="42"/>
      <c r="CS911" s="29"/>
      <c r="CT911" s="29"/>
      <c r="CU911" s="29"/>
      <c r="CV911" s="522"/>
      <c r="CW911" s="522"/>
      <c r="CX911" s="211"/>
      <c r="CY911" s="211"/>
      <c r="CZ911" s="211"/>
      <c r="DA911" s="211"/>
      <c r="DB911" s="211"/>
      <c r="DC911" s="211"/>
      <c r="DD911" s="211"/>
      <c r="DE911" s="211"/>
      <c r="DF911" s="60"/>
      <c r="DG911" s="60"/>
      <c r="DH911" s="60"/>
      <c r="DI911" s="60"/>
      <c r="DJ911" s="60"/>
    </row>
    <row r="912" spans="3:114" s="25" customFormat="1">
      <c r="C912" s="24"/>
      <c r="D912" s="24"/>
      <c r="G912" s="57"/>
      <c r="H912" s="57"/>
      <c r="I912" s="57"/>
      <c r="J912" s="57"/>
      <c r="K912" s="57"/>
      <c r="L912" s="57"/>
      <c r="M912" s="57"/>
      <c r="N912" s="57"/>
      <c r="O912" s="57"/>
      <c r="P912" s="57"/>
      <c r="Q912" s="57"/>
      <c r="R912" s="57"/>
      <c r="S912" s="57"/>
      <c r="T912" s="559"/>
      <c r="U912" s="29"/>
      <c r="V912" s="29"/>
      <c r="AJ912" s="1215"/>
      <c r="AK912" s="1142"/>
      <c r="AM912" s="42"/>
      <c r="AN912" s="42"/>
      <c r="AO912" s="42"/>
      <c r="AP912" s="42"/>
      <c r="AQ912" s="42"/>
      <c r="AR912" s="42"/>
      <c r="AS912" s="42"/>
      <c r="AT912" s="42"/>
      <c r="AU912" s="42"/>
      <c r="AV912" s="42"/>
      <c r="AW912" s="42"/>
      <c r="AX912" s="42"/>
      <c r="AY912" s="42"/>
      <c r="AZ912" s="42"/>
      <c r="BA912" s="42"/>
      <c r="BB912" s="42"/>
      <c r="BC912" s="42"/>
      <c r="BD912" s="42"/>
      <c r="BE912" s="42"/>
      <c r="BF912" s="42"/>
      <c r="BG912" s="42"/>
      <c r="BH912" s="42"/>
      <c r="BI912" s="42"/>
      <c r="BJ912" s="42"/>
      <c r="BK912" s="42"/>
      <c r="BL912" s="42"/>
      <c r="BM912" s="42"/>
      <c r="BN912" s="42"/>
      <c r="BO912" s="42"/>
      <c r="BP912" s="42"/>
      <c r="BQ912" s="42"/>
      <c r="BR912" s="42"/>
      <c r="BS912" s="42"/>
      <c r="BT912" s="42"/>
      <c r="BU912" s="42"/>
      <c r="BV912" s="42"/>
      <c r="BW912" s="42"/>
      <c r="BX912" s="42"/>
      <c r="BY912" s="42"/>
      <c r="BZ912" s="42"/>
      <c r="CA912" s="42"/>
      <c r="CB912" s="42"/>
      <c r="CC912" s="42"/>
      <c r="CD912" s="42"/>
      <c r="CE912" s="42"/>
      <c r="CF912" s="42"/>
      <c r="CG912" s="42"/>
      <c r="CH912" s="42"/>
      <c r="CS912" s="29"/>
      <c r="CT912" s="29"/>
      <c r="CU912" s="29"/>
      <c r="CV912" s="522"/>
      <c r="CW912" s="522"/>
      <c r="CX912" s="211"/>
      <c r="CY912" s="211"/>
      <c r="CZ912" s="211"/>
      <c r="DA912" s="211"/>
      <c r="DB912" s="211"/>
      <c r="DC912" s="211"/>
      <c r="DD912" s="211"/>
      <c r="DE912" s="211"/>
      <c r="DF912" s="60"/>
      <c r="DG912" s="60"/>
      <c r="DH912" s="60"/>
      <c r="DI912" s="60"/>
      <c r="DJ912" s="60"/>
    </row>
    <row r="913" spans="3:114" s="25" customFormat="1">
      <c r="C913" s="24"/>
      <c r="D913" s="24"/>
      <c r="G913" s="57"/>
      <c r="H913" s="57"/>
      <c r="I913" s="57"/>
      <c r="J913" s="57"/>
      <c r="K913" s="57"/>
      <c r="L913" s="57"/>
      <c r="M913" s="57"/>
      <c r="N913" s="57"/>
      <c r="O913" s="57"/>
      <c r="P913" s="57"/>
      <c r="Q913" s="57"/>
      <c r="R913" s="57"/>
      <c r="S913" s="57"/>
      <c r="T913" s="559"/>
      <c r="U913" s="29"/>
      <c r="V913" s="29"/>
      <c r="AJ913" s="1215"/>
      <c r="AK913" s="1142"/>
      <c r="AM913" s="42"/>
      <c r="AN913" s="42"/>
      <c r="AO913" s="42"/>
      <c r="AP913" s="42"/>
      <c r="AQ913" s="42"/>
      <c r="AR913" s="42"/>
      <c r="AS913" s="42"/>
      <c r="AT913" s="42"/>
      <c r="AU913" s="42"/>
      <c r="AV913" s="42"/>
      <c r="AW913" s="42"/>
      <c r="AX913" s="42"/>
      <c r="AY913" s="42"/>
      <c r="AZ913" s="42"/>
      <c r="BA913" s="42"/>
      <c r="BB913" s="42"/>
      <c r="BC913" s="42"/>
      <c r="BD913" s="42"/>
      <c r="BE913" s="42"/>
      <c r="BF913" s="42"/>
      <c r="BG913" s="42"/>
      <c r="BH913" s="42"/>
      <c r="BI913" s="42"/>
      <c r="BJ913" s="42"/>
      <c r="BK913" s="42"/>
      <c r="BL913" s="42"/>
      <c r="BM913" s="42"/>
      <c r="BN913" s="42"/>
      <c r="BO913" s="42"/>
      <c r="BP913" s="42"/>
      <c r="BQ913" s="42"/>
      <c r="BR913" s="42"/>
      <c r="BS913" s="42"/>
      <c r="BT913" s="42"/>
      <c r="BU913" s="42"/>
      <c r="BV913" s="42"/>
      <c r="BW913" s="42"/>
      <c r="BX913" s="42"/>
      <c r="BY913" s="42"/>
      <c r="BZ913" s="42"/>
      <c r="CA913" s="42"/>
      <c r="CB913" s="42"/>
      <c r="CC913" s="42"/>
      <c r="CD913" s="42"/>
      <c r="CE913" s="42"/>
      <c r="CF913" s="42"/>
      <c r="CG913" s="42"/>
      <c r="CH913" s="42"/>
      <c r="CS913" s="29"/>
      <c r="CT913" s="29"/>
      <c r="CU913" s="29"/>
      <c r="CV913" s="522"/>
      <c r="CW913" s="522"/>
      <c r="CX913" s="211"/>
      <c r="CY913" s="211"/>
      <c r="CZ913" s="211"/>
      <c r="DA913" s="211"/>
      <c r="DB913" s="211"/>
      <c r="DC913" s="211"/>
      <c r="DD913" s="211"/>
      <c r="DE913" s="211"/>
      <c r="DF913" s="60"/>
      <c r="DG913" s="60"/>
      <c r="DH913" s="60"/>
      <c r="DI913" s="60"/>
      <c r="DJ913" s="60"/>
    </row>
    <row r="914" spans="3:114" s="25" customFormat="1">
      <c r="C914" s="24"/>
      <c r="D914" s="24"/>
      <c r="G914" s="57"/>
      <c r="H914" s="57"/>
      <c r="I914" s="57"/>
      <c r="J914" s="57"/>
      <c r="K914" s="57"/>
      <c r="L914" s="57"/>
      <c r="M914" s="57"/>
      <c r="N914" s="57"/>
      <c r="O914" s="57"/>
      <c r="P914" s="57"/>
      <c r="Q914" s="57"/>
      <c r="R914" s="57"/>
      <c r="S914" s="57"/>
      <c r="T914" s="559"/>
      <c r="U914" s="29"/>
      <c r="V914" s="29"/>
      <c r="AJ914" s="1215"/>
      <c r="AK914" s="1142"/>
      <c r="AM914" s="42"/>
      <c r="AN914" s="42"/>
      <c r="AO914" s="42"/>
      <c r="AP914" s="42"/>
      <c r="AQ914" s="42"/>
      <c r="AR914" s="42"/>
      <c r="AS914" s="42"/>
      <c r="AT914" s="42"/>
      <c r="AU914" s="42"/>
      <c r="AV914" s="42"/>
      <c r="AW914" s="42"/>
      <c r="AX914" s="42"/>
      <c r="AY914" s="42"/>
      <c r="AZ914" s="42"/>
      <c r="BA914" s="42"/>
      <c r="BB914" s="42"/>
      <c r="BC914" s="42"/>
      <c r="BD914" s="42"/>
      <c r="BE914" s="42"/>
      <c r="BF914" s="42"/>
      <c r="BG914" s="42"/>
      <c r="BH914" s="42"/>
      <c r="BI914" s="42"/>
      <c r="BJ914" s="42"/>
      <c r="BK914" s="42"/>
      <c r="BL914" s="42"/>
      <c r="BM914" s="42"/>
      <c r="BN914" s="42"/>
      <c r="BO914" s="42"/>
      <c r="BP914" s="42"/>
      <c r="BQ914" s="42"/>
      <c r="BR914" s="42"/>
      <c r="BS914" s="42"/>
      <c r="BT914" s="42"/>
      <c r="BU914" s="42"/>
      <c r="BV914" s="42"/>
      <c r="BW914" s="42"/>
      <c r="BX914" s="42"/>
      <c r="BY914" s="42"/>
      <c r="BZ914" s="42"/>
      <c r="CA914" s="42"/>
      <c r="CB914" s="42"/>
      <c r="CC914" s="42"/>
      <c r="CD914" s="42"/>
      <c r="CE914" s="42"/>
      <c r="CF914" s="42"/>
      <c r="CG914" s="42"/>
      <c r="CH914" s="42"/>
      <c r="CS914" s="29"/>
      <c r="CT914" s="29"/>
      <c r="CU914" s="29"/>
      <c r="CV914" s="522"/>
      <c r="CW914" s="522"/>
      <c r="CX914" s="211"/>
      <c r="CY914" s="211"/>
      <c r="CZ914" s="211"/>
      <c r="DA914" s="211"/>
      <c r="DB914" s="211"/>
      <c r="DC914" s="211"/>
      <c r="DD914" s="211"/>
      <c r="DE914" s="211"/>
      <c r="DF914" s="60"/>
      <c r="DG914" s="60"/>
      <c r="DH914" s="60"/>
      <c r="DI914" s="60"/>
      <c r="DJ914" s="60"/>
    </row>
    <row r="915" spans="3:114" s="25" customFormat="1">
      <c r="C915" s="24"/>
      <c r="D915" s="24"/>
      <c r="G915" s="57"/>
      <c r="H915" s="57"/>
      <c r="I915" s="57"/>
      <c r="J915" s="57"/>
      <c r="K915" s="57"/>
      <c r="L915" s="57"/>
      <c r="M915" s="57"/>
      <c r="N915" s="57"/>
      <c r="O915" s="57"/>
      <c r="P915" s="57"/>
      <c r="Q915" s="57"/>
      <c r="R915" s="57"/>
      <c r="S915" s="57"/>
      <c r="T915" s="559"/>
      <c r="U915" s="29"/>
      <c r="V915" s="29"/>
      <c r="AJ915" s="1215"/>
      <c r="AK915" s="1142"/>
      <c r="AM915" s="42"/>
      <c r="AN915" s="42"/>
      <c r="AO915" s="42"/>
      <c r="AP915" s="42"/>
      <c r="AQ915" s="42"/>
      <c r="AR915" s="42"/>
      <c r="AS915" s="42"/>
      <c r="AT915" s="42"/>
      <c r="AU915" s="42"/>
      <c r="AV915" s="42"/>
      <c r="AW915" s="42"/>
      <c r="AX915" s="42"/>
      <c r="AY915" s="42"/>
      <c r="AZ915" s="42"/>
      <c r="BA915" s="42"/>
      <c r="BB915" s="42"/>
      <c r="BC915" s="42"/>
      <c r="BD915" s="42"/>
      <c r="BE915" s="42"/>
      <c r="BF915" s="42"/>
      <c r="BG915" s="42"/>
      <c r="BH915" s="42"/>
      <c r="BI915" s="42"/>
      <c r="BJ915" s="42"/>
      <c r="BK915" s="42"/>
      <c r="BL915" s="42"/>
      <c r="BM915" s="42"/>
      <c r="BN915" s="42"/>
      <c r="BO915" s="42"/>
      <c r="BP915" s="42"/>
      <c r="BQ915" s="42"/>
      <c r="BR915" s="42"/>
      <c r="BS915" s="42"/>
      <c r="BT915" s="42"/>
      <c r="BU915" s="42"/>
      <c r="BV915" s="42"/>
      <c r="BW915" s="42"/>
      <c r="BX915" s="42"/>
      <c r="BY915" s="42"/>
      <c r="BZ915" s="42"/>
      <c r="CA915" s="42"/>
      <c r="CB915" s="42"/>
      <c r="CC915" s="42"/>
      <c r="CD915" s="42"/>
      <c r="CE915" s="42"/>
      <c r="CF915" s="42"/>
      <c r="CG915" s="42"/>
      <c r="CH915" s="42"/>
      <c r="CS915" s="29"/>
      <c r="CT915" s="29"/>
      <c r="CU915" s="29"/>
      <c r="CV915" s="522"/>
      <c r="CW915" s="522"/>
      <c r="CX915" s="211"/>
      <c r="CY915" s="211"/>
      <c r="CZ915" s="211"/>
      <c r="DA915" s="211"/>
      <c r="DB915" s="211"/>
      <c r="DC915" s="211"/>
      <c r="DD915" s="211"/>
      <c r="DE915" s="211"/>
      <c r="DF915" s="60"/>
      <c r="DG915" s="60"/>
      <c r="DH915" s="60"/>
      <c r="DI915" s="60"/>
      <c r="DJ915" s="60"/>
    </row>
    <row r="916" spans="3:114" s="25" customFormat="1">
      <c r="C916" s="24"/>
      <c r="D916" s="24"/>
      <c r="G916" s="57"/>
      <c r="H916" s="57"/>
      <c r="I916" s="57"/>
      <c r="J916" s="57"/>
      <c r="K916" s="57"/>
      <c r="L916" s="57"/>
      <c r="M916" s="57"/>
      <c r="N916" s="57"/>
      <c r="O916" s="57"/>
      <c r="P916" s="57"/>
      <c r="Q916" s="57"/>
      <c r="R916" s="57"/>
      <c r="S916" s="57"/>
      <c r="T916" s="559"/>
      <c r="U916" s="29"/>
      <c r="V916" s="29"/>
      <c r="AJ916" s="1215"/>
      <c r="AK916" s="1142"/>
      <c r="AM916" s="42"/>
      <c r="AN916" s="42"/>
      <c r="AO916" s="42"/>
      <c r="AP916" s="42"/>
      <c r="AQ916" s="42"/>
      <c r="AR916" s="42"/>
      <c r="AS916" s="42"/>
      <c r="AT916" s="42"/>
      <c r="AU916" s="42"/>
      <c r="AV916" s="42"/>
      <c r="AW916" s="42"/>
      <c r="AX916" s="42"/>
      <c r="AY916" s="42"/>
      <c r="AZ916" s="42"/>
      <c r="BA916" s="42"/>
      <c r="BB916" s="42"/>
      <c r="BC916" s="42"/>
      <c r="BD916" s="42"/>
      <c r="BE916" s="42"/>
      <c r="BF916" s="42"/>
      <c r="BG916" s="42"/>
      <c r="BH916" s="42"/>
      <c r="BI916" s="42"/>
      <c r="BJ916" s="42"/>
      <c r="BK916" s="42"/>
      <c r="BL916" s="42"/>
      <c r="BM916" s="42"/>
      <c r="BN916" s="42"/>
      <c r="BO916" s="42"/>
      <c r="BP916" s="42"/>
      <c r="BQ916" s="42"/>
      <c r="BR916" s="42"/>
      <c r="BS916" s="42"/>
      <c r="BT916" s="42"/>
      <c r="BU916" s="42"/>
      <c r="BV916" s="42"/>
      <c r="BW916" s="42"/>
      <c r="BX916" s="42"/>
      <c r="BY916" s="42"/>
      <c r="BZ916" s="42"/>
      <c r="CA916" s="42"/>
      <c r="CB916" s="42"/>
      <c r="CC916" s="42"/>
      <c r="CD916" s="42"/>
      <c r="CE916" s="42"/>
      <c r="CF916" s="42"/>
      <c r="CG916" s="42"/>
      <c r="CH916" s="42"/>
      <c r="CS916" s="29"/>
      <c r="CT916" s="29"/>
      <c r="CU916" s="29"/>
      <c r="CV916" s="522"/>
      <c r="CW916" s="522"/>
      <c r="CX916" s="211"/>
      <c r="CY916" s="211"/>
      <c r="CZ916" s="211"/>
      <c r="DA916" s="211"/>
      <c r="DB916" s="211"/>
      <c r="DC916" s="211"/>
      <c r="DD916" s="211"/>
      <c r="DE916" s="211"/>
      <c r="DF916" s="60"/>
      <c r="DG916" s="60"/>
      <c r="DH916" s="60"/>
      <c r="DI916" s="60"/>
      <c r="DJ916" s="60"/>
    </row>
    <row r="917" spans="3:114" s="25" customFormat="1">
      <c r="C917" s="24"/>
      <c r="D917" s="24"/>
      <c r="G917" s="57"/>
      <c r="H917" s="57"/>
      <c r="I917" s="57"/>
      <c r="J917" s="57"/>
      <c r="K917" s="57"/>
      <c r="L917" s="57"/>
      <c r="M917" s="57"/>
      <c r="N917" s="57"/>
      <c r="O917" s="57"/>
      <c r="P917" s="57"/>
      <c r="Q917" s="57"/>
      <c r="R917" s="57"/>
      <c r="S917" s="57"/>
      <c r="T917" s="559"/>
      <c r="U917" s="29"/>
      <c r="V917" s="29"/>
      <c r="AJ917" s="1215"/>
      <c r="AK917" s="1142"/>
      <c r="AM917" s="42"/>
      <c r="AN917" s="42"/>
      <c r="AO917" s="42"/>
      <c r="AP917" s="42"/>
      <c r="AQ917" s="42"/>
      <c r="AR917" s="42"/>
      <c r="AS917" s="42"/>
      <c r="AT917" s="42"/>
      <c r="AU917" s="42"/>
      <c r="AV917" s="42"/>
      <c r="AW917" s="42"/>
      <c r="AX917" s="42"/>
      <c r="AY917" s="42"/>
      <c r="AZ917" s="42"/>
      <c r="BA917" s="42"/>
      <c r="BB917" s="42"/>
      <c r="BC917" s="42"/>
      <c r="BD917" s="42"/>
      <c r="BE917" s="42"/>
      <c r="BF917" s="42"/>
      <c r="BG917" s="42"/>
      <c r="BH917" s="42"/>
      <c r="BI917" s="42"/>
      <c r="BJ917" s="42"/>
      <c r="BK917" s="42"/>
      <c r="BL917" s="42"/>
      <c r="BM917" s="42"/>
      <c r="BN917" s="42"/>
      <c r="BO917" s="42"/>
      <c r="BP917" s="42"/>
      <c r="BQ917" s="42"/>
      <c r="BR917" s="42"/>
      <c r="BS917" s="42"/>
      <c r="BT917" s="42"/>
      <c r="BU917" s="42"/>
      <c r="BV917" s="42"/>
      <c r="BW917" s="42"/>
      <c r="BX917" s="42"/>
      <c r="BY917" s="42"/>
      <c r="BZ917" s="42"/>
      <c r="CA917" s="42"/>
      <c r="CB917" s="42"/>
      <c r="CC917" s="42"/>
      <c r="CD917" s="42"/>
      <c r="CE917" s="42"/>
      <c r="CF917" s="42"/>
      <c r="CG917" s="42"/>
      <c r="CH917" s="42"/>
      <c r="CS917" s="29"/>
      <c r="CT917" s="29"/>
      <c r="CU917" s="29"/>
      <c r="CV917" s="522"/>
      <c r="CW917" s="522"/>
      <c r="CX917" s="211"/>
      <c r="CY917" s="211"/>
      <c r="CZ917" s="211"/>
      <c r="DA917" s="211"/>
      <c r="DB917" s="211"/>
      <c r="DC917" s="211"/>
      <c r="DD917" s="211"/>
      <c r="DE917" s="211"/>
      <c r="DF917" s="60"/>
      <c r="DG917" s="60"/>
      <c r="DH917" s="60"/>
      <c r="DI917" s="60"/>
      <c r="DJ917" s="60"/>
    </row>
    <row r="918" spans="3:114" s="25" customFormat="1">
      <c r="C918" s="24"/>
      <c r="D918" s="24"/>
      <c r="G918" s="57"/>
      <c r="H918" s="57"/>
      <c r="I918" s="57"/>
      <c r="J918" s="57"/>
      <c r="K918" s="57"/>
      <c r="L918" s="57"/>
      <c r="M918" s="57"/>
      <c r="N918" s="57"/>
      <c r="O918" s="57"/>
      <c r="P918" s="57"/>
      <c r="Q918" s="57"/>
      <c r="R918" s="57"/>
      <c r="S918" s="57"/>
      <c r="T918" s="559"/>
      <c r="U918" s="29"/>
      <c r="V918" s="29"/>
      <c r="AJ918" s="1215"/>
      <c r="AK918" s="1142"/>
      <c r="AM918" s="42"/>
      <c r="AN918" s="42"/>
      <c r="AO918" s="42"/>
      <c r="AP918" s="42"/>
      <c r="AQ918" s="42"/>
      <c r="AR918" s="42"/>
      <c r="AS918" s="42"/>
      <c r="AT918" s="42"/>
      <c r="AU918" s="42"/>
      <c r="AV918" s="42"/>
      <c r="AW918" s="42"/>
      <c r="AX918" s="42"/>
      <c r="AY918" s="42"/>
      <c r="AZ918" s="42"/>
      <c r="BA918" s="42"/>
      <c r="BB918" s="42"/>
      <c r="BC918" s="42"/>
      <c r="BD918" s="42"/>
      <c r="BE918" s="42"/>
      <c r="BF918" s="42"/>
      <c r="BG918" s="42"/>
      <c r="BH918" s="42"/>
      <c r="BI918" s="42"/>
      <c r="BJ918" s="42"/>
      <c r="BK918" s="42"/>
      <c r="BL918" s="42"/>
      <c r="BM918" s="42"/>
      <c r="BN918" s="42"/>
      <c r="BO918" s="42"/>
      <c r="BP918" s="42"/>
      <c r="BQ918" s="42"/>
      <c r="BR918" s="42"/>
      <c r="BS918" s="42"/>
      <c r="BT918" s="42"/>
      <c r="BU918" s="42"/>
      <c r="BV918" s="42"/>
      <c r="BW918" s="42"/>
      <c r="BX918" s="42"/>
      <c r="BY918" s="42"/>
      <c r="BZ918" s="42"/>
      <c r="CA918" s="42"/>
      <c r="CB918" s="42"/>
      <c r="CC918" s="42"/>
      <c r="CD918" s="42"/>
      <c r="CE918" s="42"/>
      <c r="CF918" s="42"/>
      <c r="CG918" s="42"/>
      <c r="CH918" s="42"/>
      <c r="CS918" s="29"/>
      <c r="CT918" s="29"/>
      <c r="CU918" s="29"/>
      <c r="CV918" s="522"/>
      <c r="CW918" s="522"/>
      <c r="CX918" s="211"/>
      <c r="CY918" s="211"/>
      <c r="CZ918" s="211"/>
      <c r="DA918" s="211"/>
      <c r="DB918" s="211"/>
      <c r="DC918" s="211"/>
      <c r="DD918" s="211"/>
      <c r="DE918" s="211"/>
      <c r="DF918" s="60"/>
      <c r="DG918" s="60"/>
      <c r="DH918" s="60"/>
      <c r="DI918" s="60"/>
      <c r="DJ918" s="60"/>
    </row>
    <row r="919" spans="3:114" s="25" customFormat="1">
      <c r="C919" s="24"/>
      <c r="D919" s="24"/>
      <c r="G919" s="57"/>
      <c r="H919" s="57"/>
      <c r="I919" s="57"/>
      <c r="J919" s="57"/>
      <c r="K919" s="57"/>
      <c r="L919" s="57"/>
      <c r="M919" s="57"/>
      <c r="N919" s="57"/>
      <c r="O919" s="57"/>
      <c r="P919" s="57"/>
      <c r="Q919" s="57"/>
      <c r="R919" s="57"/>
      <c r="S919" s="57"/>
      <c r="T919" s="559"/>
      <c r="U919" s="29"/>
      <c r="V919" s="29"/>
      <c r="AJ919" s="1215"/>
      <c r="AK919" s="1142"/>
      <c r="AM919" s="42"/>
      <c r="AN919" s="42"/>
      <c r="AO919" s="42"/>
      <c r="AP919" s="42"/>
      <c r="AQ919" s="42"/>
      <c r="AR919" s="42"/>
      <c r="AS919" s="42"/>
      <c r="AT919" s="42"/>
      <c r="AU919" s="42"/>
      <c r="AV919" s="42"/>
      <c r="AW919" s="42"/>
      <c r="AX919" s="42"/>
      <c r="AY919" s="42"/>
      <c r="AZ919" s="42"/>
      <c r="BA919" s="42"/>
      <c r="BB919" s="42"/>
      <c r="BC919" s="42"/>
      <c r="BD919" s="42"/>
      <c r="BE919" s="42"/>
      <c r="BF919" s="42"/>
      <c r="BG919" s="42"/>
      <c r="BH919" s="42"/>
      <c r="BI919" s="42"/>
      <c r="BJ919" s="42"/>
      <c r="BK919" s="42"/>
      <c r="BL919" s="42"/>
      <c r="BM919" s="42"/>
      <c r="BN919" s="42"/>
      <c r="BO919" s="42"/>
      <c r="BP919" s="42"/>
      <c r="BQ919" s="42"/>
      <c r="BR919" s="42"/>
      <c r="BS919" s="42"/>
      <c r="BT919" s="42"/>
      <c r="BU919" s="42"/>
      <c r="BV919" s="42"/>
      <c r="BW919" s="42"/>
      <c r="BX919" s="42"/>
      <c r="BY919" s="42"/>
      <c r="BZ919" s="42"/>
      <c r="CA919" s="42"/>
      <c r="CB919" s="42"/>
      <c r="CC919" s="42"/>
      <c r="CD919" s="42"/>
      <c r="CE919" s="42"/>
      <c r="CF919" s="42"/>
      <c r="CG919" s="42"/>
      <c r="CH919" s="42"/>
      <c r="CS919" s="29"/>
      <c r="CT919" s="29"/>
      <c r="CU919" s="29"/>
      <c r="CV919" s="522"/>
      <c r="CW919" s="522"/>
      <c r="CX919" s="211"/>
      <c r="CY919" s="211"/>
      <c r="CZ919" s="211"/>
      <c r="DA919" s="211"/>
      <c r="DB919" s="211"/>
      <c r="DC919" s="211"/>
      <c r="DD919" s="211"/>
      <c r="DE919" s="211"/>
      <c r="DF919" s="60"/>
      <c r="DG919" s="60"/>
      <c r="DH919" s="60"/>
      <c r="DI919" s="60"/>
      <c r="DJ919" s="60"/>
    </row>
    <row r="920" spans="3:114" s="25" customFormat="1">
      <c r="C920" s="24"/>
      <c r="D920" s="24"/>
      <c r="G920" s="57"/>
      <c r="H920" s="57"/>
      <c r="I920" s="57"/>
      <c r="J920" s="57"/>
      <c r="K920" s="57"/>
      <c r="L920" s="57"/>
      <c r="M920" s="57"/>
      <c r="N920" s="57"/>
      <c r="O920" s="57"/>
      <c r="P920" s="57"/>
      <c r="Q920" s="57"/>
      <c r="R920" s="57"/>
      <c r="S920" s="57"/>
      <c r="T920" s="559"/>
      <c r="U920" s="29"/>
      <c r="V920" s="29"/>
      <c r="AJ920" s="1215"/>
      <c r="AK920" s="1142"/>
      <c r="AM920" s="42"/>
      <c r="AN920" s="42"/>
      <c r="AO920" s="42"/>
      <c r="AP920" s="42"/>
      <c r="AQ920" s="42"/>
      <c r="AR920" s="42"/>
      <c r="AS920" s="42"/>
      <c r="AT920" s="42"/>
      <c r="AU920" s="42"/>
      <c r="AV920" s="42"/>
      <c r="AW920" s="42"/>
      <c r="AX920" s="42"/>
      <c r="AY920" s="42"/>
      <c r="AZ920" s="42"/>
      <c r="BA920" s="42"/>
      <c r="BB920" s="42"/>
      <c r="BC920" s="42"/>
      <c r="BD920" s="42"/>
      <c r="BE920" s="42"/>
      <c r="BF920" s="42"/>
      <c r="BG920" s="42"/>
      <c r="BH920" s="42"/>
      <c r="BI920" s="42"/>
      <c r="BJ920" s="42"/>
      <c r="BK920" s="42"/>
      <c r="BL920" s="42"/>
      <c r="BM920" s="42"/>
      <c r="BN920" s="42"/>
      <c r="BO920" s="42"/>
      <c r="BP920" s="42"/>
      <c r="BQ920" s="42"/>
      <c r="BR920" s="42"/>
      <c r="BS920" s="42"/>
      <c r="BT920" s="42"/>
      <c r="BU920" s="42"/>
      <c r="BV920" s="42"/>
      <c r="BW920" s="42"/>
      <c r="BX920" s="42"/>
      <c r="BY920" s="42"/>
      <c r="BZ920" s="42"/>
      <c r="CA920" s="42"/>
      <c r="CB920" s="42"/>
      <c r="CC920" s="42"/>
      <c r="CD920" s="42"/>
      <c r="CE920" s="42"/>
      <c r="CF920" s="42"/>
      <c r="CG920" s="42"/>
      <c r="CH920" s="42"/>
      <c r="CS920" s="29"/>
      <c r="CT920" s="29"/>
      <c r="CU920" s="29"/>
      <c r="CV920" s="522"/>
      <c r="CW920" s="522"/>
      <c r="CX920" s="211"/>
      <c r="CY920" s="211"/>
      <c r="CZ920" s="211"/>
      <c r="DA920" s="211"/>
      <c r="DB920" s="211"/>
      <c r="DC920" s="211"/>
      <c r="DD920" s="211"/>
      <c r="DE920" s="211"/>
      <c r="DF920" s="60"/>
      <c r="DG920" s="60"/>
      <c r="DH920" s="60"/>
      <c r="DI920" s="60"/>
      <c r="DJ920" s="60"/>
    </row>
    <row r="921" spans="3:114" s="25" customFormat="1">
      <c r="C921" s="24"/>
      <c r="D921" s="24"/>
      <c r="G921" s="57"/>
      <c r="H921" s="57"/>
      <c r="I921" s="57"/>
      <c r="J921" s="57"/>
      <c r="K921" s="57"/>
      <c r="L921" s="57"/>
      <c r="M921" s="57"/>
      <c r="N921" s="57"/>
      <c r="O921" s="57"/>
      <c r="P921" s="57"/>
      <c r="Q921" s="57"/>
      <c r="R921" s="57"/>
      <c r="S921" s="57"/>
      <c r="T921" s="559"/>
      <c r="U921" s="29"/>
      <c r="V921" s="29"/>
      <c r="AJ921" s="1215"/>
      <c r="AK921" s="1142"/>
      <c r="AM921" s="42"/>
      <c r="AN921" s="42"/>
      <c r="AO921" s="42"/>
      <c r="AP921" s="42"/>
      <c r="AQ921" s="42"/>
      <c r="AR921" s="42"/>
      <c r="AS921" s="42"/>
      <c r="AT921" s="42"/>
      <c r="AU921" s="42"/>
      <c r="AV921" s="42"/>
      <c r="AW921" s="42"/>
      <c r="AX921" s="42"/>
      <c r="AY921" s="42"/>
      <c r="AZ921" s="42"/>
      <c r="BA921" s="42"/>
      <c r="BB921" s="42"/>
      <c r="BC921" s="42"/>
      <c r="BD921" s="42"/>
      <c r="BE921" s="42"/>
      <c r="BF921" s="42"/>
      <c r="BG921" s="42"/>
      <c r="BH921" s="42"/>
      <c r="BI921" s="42"/>
      <c r="BJ921" s="42"/>
      <c r="BK921" s="42"/>
      <c r="BL921" s="42"/>
      <c r="BM921" s="42"/>
      <c r="BN921" s="42"/>
      <c r="BO921" s="42"/>
      <c r="BP921" s="42"/>
      <c r="BQ921" s="42"/>
      <c r="BR921" s="42"/>
      <c r="BS921" s="42"/>
      <c r="BT921" s="42"/>
      <c r="BU921" s="42"/>
      <c r="BV921" s="42"/>
      <c r="BW921" s="42"/>
      <c r="BX921" s="42"/>
      <c r="BY921" s="42"/>
      <c r="BZ921" s="42"/>
      <c r="CA921" s="42"/>
      <c r="CB921" s="42"/>
      <c r="CC921" s="42"/>
      <c r="CD921" s="42"/>
      <c r="CE921" s="42"/>
      <c r="CF921" s="42"/>
      <c r="CG921" s="42"/>
      <c r="CH921" s="42"/>
      <c r="CS921" s="29"/>
      <c r="CT921" s="29"/>
      <c r="CU921" s="29"/>
      <c r="CV921" s="522"/>
      <c r="CW921" s="522"/>
      <c r="CX921" s="211"/>
      <c r="CY921" s="211"/>
      <c r="CZ921" s="211"/>
      <c r="DA921" s="211"/>
      <c r="DB921" s="211"/>
      <c r="DC921" s="211"/>
      <c r="DD921" s="211"/>
      <c r="DE921" s="211"/>
      <c r="DF921" s="60"/>
      <c r="DG921" s="60"/>
      <c r="DH921" s="60"/>
      <c r="DI921" s="60"/>
      <c r="DJ921" s="60"/>
    </row>
    <row r="922" spans="3:114" s="25" customFormat="1">
      <c r="C922" s="24"/>
      <c r="D922" s="24"/>
      <c r="G922" s="57"/>
      <c r="H922" s="57"/>
      <c r="I922" s="57"/>
      <c r="J922" s="57"/>
      <c r="K922" s="57"/>
      <c r="L922" s="57"/>
      <c r="M922" s="57"/>
      <c r="N922" s="57"/>
      <c r="O922" s="57"/>
      <c r="P922" s="57"/>
      <c r="Q922" s="57"/>
      <c r="R922" s="57"/>
      <c r="S922" s="57"/>
      <c r="T922" s="559"/>
      <c r="U922" s="29"/>
      <c r="V922" s="29"/>
      <c r="AJ922" s="1215"/>
      <c r="AK922" s="1142"/>
      <c r="AM922" s="42"/>
      <c r="AN922" s="42"/>
      <c r="AO922" s="42"/>
      <c r="AP922" s="42"/>
      <c r="AQ922" s="42"/>
      <c r="AR922" s="42"/>
      <c r="AS922" s="42"/>
      <c r="AT922" s="42"/>
      <c r="AU922" s="42"/>
      <c r="AV922" s="42"/>
      <c r="AW922" s="42"/>
      <c r="AX922" s="42"/>
      <c r="AY922" s="42"/>
      <c r="AZ922" s="42"/>
      <c r="BA922" s="42"/>
      <c r="BB922" s="42"/>
      <c r="BC922" s="42"/>
      <c r="BD922" s="42"/>
      <c r="BE922" s="42"/>
      <c r="BF922" s="42"/>
      <c r="BG922" s="42"/>
      <c r="BH922" s="42"/>
      <c r="BI922" s="42"/>
      <c r="BJ922" s="42"/>
      <c r="BK922" s="42"/>
      <c r="BL922" s="42"/>
      <c r="BM922" s="42"/>
      <c r="BN922" s="42"/>
      <c r="BO922" s="42"/>
      <c r="BP922" s="42"/>
      <c r="BQ922" s="42"/>
      <c r="BR922" s="42"/>
      <c r="BS922" s="42"/>
      <c r="BT922" s="42"/>
      <c r="BU922" s="42"/>
      <c r="BV922" s="42"/>
      <c r="BW922" s="42"/>
      <c r="BX922" s="42"/>
      <c r="BY922" s="42"/>
      <c r="BZ922" s="42"/>
      <c r="CA922" s="42"/>
      <c r="CB922" s="42"/>
      <c r="CC922" s="42"/>
      <c r="CD922" s="42"/>
      <c r="CE922" s="42"/>
      <c r="CF922" s="42"/>
      <c r="CG922" s="42"/>
      <c r="CH922" s="42"/>
      <c r="CS922" s="29"/>
      <c r="CT922" s="29"/>
      <c r="CU922" s="29"/>
      <c r="CV922" s="522"/>
      <c r="CW922" s="522"/>
      <c r="CX922" s="211"/>
      <c r="CY922" s="211"/>
      <c r="CZ922" s="211"/>
      <c r="DA922" s="211"/>
      <c r="DB922" s="211"/>
      <c r="DC922" s="211"/>
      <c r="DD922" s="211"/>
      <c r="DE922" s="211"/>
      <c r="DF922" s="60"/>
      <c r="DG922" s="60"/>
      <c r="DH922" s="60"/>
      <c r="DI922" s="60"/>
      <c r="DJ922" s="60"/>
    </row>
    <row r="923" spans="3:114" s="25" customFormat="1">
      <c r="C923" s="24"/>
      <c r="D923" s="24"/>
      <c r="G923" s="57"/>
      <c r="H923" s="57"/>
      <c r="I923" s="57"/>
      <c r="J923" s="57"/>
      <c r="K923" s="57"/>
      <c r="L923" s="57"/>
      <c r="M923" s="57"/>
      <c r="N923" s="57"/>
      <c r="O923" s="57"/>
      <c r="P923" s="57"/>
      <c r="Q923" s="57"/>
      <c r="R923" s="57"/>
      <c r="S923" s="57"/>
      <c r="T923" s="559"/>
      <c r="U923" s="29"/>
      <c r="V923" s="29"/>
      <c r="AJ923" s="1215"/>
      <c r="AK923" s="1142"/>
      <c r="AM923" s="42"/>
      <c r="AN923" s="42"/>
      <c r="AO923" s="42"/>
      <c r="AP923" s="42"/>
      <c r="AQ923" s="42"/>
      <c r="AR923" s="42"/>
      <c r="AS923" s="42"/>
      <c r="AT923" s="42"/>
      <c r="AU923" s="42"/>
      <c r="AV923" s="42"/>
      <c r="AW923" s="42"/>
      <c r="AX923" s="42"/>
      <c r="AY923" s="42"/>
      <c r="AZ923" s="42"/>
      <c r="BA923" s="42"/>
      <c r="BB923" s="42"/>
      <c r="BC923" s="42"/>
      <c r="BD923" s="42"/>
      <c r="BE923" s="42"/>
      <c r="BF923" s="42"/>
      <c r="BG923" s="42"/>
      <c r="BH923" s="42"/>
      <c r="BI923" s="42"/>
      <c r="BJ923" s="42"/>
      <c r="BK923" s="42"/>
      <c r="BL923" s="42"/>
      <c r="BM923" s="42"/>
      <c r="BN923" s="42"/>
      <c r="BO923" s="42"/>
      <c r="BP923" s="42"/>
      <c r="BQ923" s="42"/>
      <c r="BR923" s="42"/>
      <c r="BS923" s="42"/>
      <c r="BT923" s="42"/>
      <c r="BU923" s="42"/>
      <c r="BV923" s="42"/>
      <c r="BW923" s="42"/>
      <c r="BX923" s="42"/>
      <c r="BY923" s="42"/>
      <c r="BZ923" s="42"/>
      <c r="CA923" s="42"/>
      <c r="CB923" s="42"/>
      <c r="CC923" s="42"/>
      <c r="CD923" s="42"/>
      <c r="CE923" s="42"/>
      <c r="CF923" s="42"/>
      <c r="CG923" s="42"/>
      <c r="CH923" s="42"/>
      <c r="CS923" s="29"/>
      <c r="CT923" s="29"/>
      <c r="CU923" s="29"/>
      <c r="CV923" s="522"/>
      <c r="CW923" s="522"/>
      <c r="CX923" s="211"/>
      <c r="CY923" s="211"/>
      <c r="CZ923" s="211"/>
      <c r="DA923" s="211"/>
      <c r="DB923" s="211"/>
      <c r="DC923" s="211"/>
      <c r="DD923" s="211"/>
      <c r="DE923" s="211"/>
      <c r="DF923" s="60"/>
      <c r="DG923" s="60"/>
      <c r="DH923" s="60"/>
      <c r="DI923" s="60"/>
      <c r="DJ923" s="60"/>
    </row>
    <row r="924" spans="3:114" s="25" customFormat="1">
      <c r="C924" s="24"/>
      <c r="D924" s="24"/>
      <c r="G924" s="57"/>
      <c r="H924" s="57"/>
      <c r="I924" s="57"/>
      <c r="J924" s="57"/>
      <c r="K924" s="57"/>
      <c r="L924" s="57"/>
      <c r="M924" s="57"/>
      <c r="N924" s="57"/>
      <c r="O924" s="57"/>
      <c r="P924" s="57"/>
      <c r="Q924" s="57"/>
      <c r="R924" s="57"/>
      <c r="S924" s="57"/>
      <c r="T924" s="559"/>
      <c r="U924" s="29"/>
      <c r="V924" s="29"/>
      <c r="AJ924" s="1215"/>
      <c r="AK924" s="1142"/>
      <c r="AM924" s="42"/>
      <c r="AN924" s="42"/>
      <c r="AO924" s="42"/>
      <c r="AP924" s="42"/>
      <c r="AQ924" s="42"/>
      <c r="AR924" s="42"/>
      <c r="AS924" s="42"/>
      <c r="AT924" s="42"/>
      <c r="AU924" s="42"/>
      <c r="AV924" s="42"/>
      <c r="AW924" s="42"/>
      <c r="AX924" s="42"/>
      <c r="AY924" s="42"/>
      <c r="AZ924" s="42"/>
      <c r="BA924" s="42"/>
      <c r="BB924" s="42"/>
      <c r="BC924" s="42"/>
      <c r="BD924" s="42"/>
      <c r="BE924" s="42"/>
      <c r="BF924" s="42"/>
      <c r="BG924" s="42"/>
      <c r="BH924" s="42"/>
      <c r="BI924" s="42"/>
      <c r="BJ924" s="42"/>
      <c r="BK924" s="42"/>
      <c r="BL924" s="42"/>
      <c r="BM924" s="42"/>
      <c r="BN924" s="42"/>
      <c r="BO924" s="42"/>
      <c r="BP924" s="42"/>
      <c r="BQ924" s="42"/>
      <c r="BR924" s="42"/>
      <c r="BS924" s="42"/>
      <c r="BT924" s="42"/>
      <c r="BU924" s="42"/>
      <c r="BV924" s="42"/>
      <c r="BW924" s="42"/>
      <c r="BX924" s="42"/>
      <c r="BY924" s="42"/>
      <c r="BZ924" s="42"/>
      <c r="CA924" s="42"/>
      <c r="CB924" s="42"/>
      <c r="CC924" s="42"/>
      <c r="CD924" s="42"/>
      <c r="CE924" s="42"/>
      <c r="CF924" s="42"/>
      <c r="CG924" s="42"/>
      <c r="CH924" s="42"/>
      <c r="CS924" s="29"/>
      <c r="CT924" s="29"/>
      <c r="CU924" s="29"/>
      <c r="CV924" s="522"/>
      <c r="CW924" s="522"/>
      <c r="CX924" s="211"/>
      <c r="CY924" s="211"/>
      <c r="CZ924" s="211"/>
      <c r="DA924" s="211"/>
      <c r="DB924" s="211"/>
      <c r="DC924" s="211"/>
      <c r="DD924" s="211"/>
      <c r="DE924" s="211"/>
      <c r="DF924" s="60"/>
      <c r="DG924" s="60"/>
      <c r="DH924" s="60"/>
      <c r="DI924" s="60"/>
      <c r="DJ924" s="60"/>
    </row>
    <row r="925" spans="3:114" s="25" customFormat="1">
      <c r="C925" s="24"/>
      <c r="D925" s="24"/>
      <c r="G925" s="57"/>
      <c r="H925" s="57"/>
      <c r="I925" s="57"/>
      <c r="J925" s="57"/>
      <c r="K925" s="57"/>
      <c r="L925" s="57"/>
      <c r="M925" s="57"/>
      <c r="N925" s="57"/>
      <c r="O925" s="57"/>
      <c r="P925" s="57"/>
      <c r="Q925" s="57"/>
      <c r="R925" s="57"/>
      <c r="S925" s="57"/>
      <c r="T925" s="559"/>
      <c r="U925" s="29"/>
      <c r="V925" s="29"/>
      <c r="AJ925" s="1215"/>
      <c r="AK925" s="1142"/>
      <c r="AM925" s="42"/>
      <c r="AN925" s="42"/>
      <c r="AO925" s="42"/>
      <c r="AP925" s="42"/>
      <c r="AQ925" s="42"/>
      <c r="AR925" s="42"/>
      <c r="AS925" s="42"/>
      <c r="AT925" s="42"/>
      <c r="AU925" s="42"/>
      <c r="AV925" s="42"/>
      <c r="AW925" s="42"/>
      <c r="AX925" s="42"/>
      <c r="AY925" s="42"/>
      <c r="AZ925" s="42"/>
      <c r="BA925" s="42"/>
      <c r="BB925" s="42"/>
      <c r="BC925" s="42"/>
      <c r="BD925" s="42"/>
      <c r="BE925" s="42"/>
      <c r="BF925" s="42"/>
      <c r="BG925" s="42"/>
      <c r="BH925" s="42"/>
      <c r="BI925" s="42"/>
      <c r="BJ925" s="42"/>
      <c r="BK925" s="42"/>
      <c r="BL925" s="42"/>
      <c r="BM925" s="42"/>
      <c r="BN925" s="42"/>
      <c r="BO925" s="42"/>
      <c r="BP925" s="42"/>
      <c r="BQ925" s="42"/>
      <c r="BR925" s="42"/>
      <c r="BS925" s="42"/>
      <c r="BT925" s="42"/>
      <c r="BU925" s="42"/>
      <c r="BV925" s="42"/>
      <c r="BW925" s="42"/>
      <c r="BX925" s="42"/>
      <c r="BY925" s="42"/>
      <c r="BZ925" s="42"/>
      <c r="CA925" s="42"/>
      <c r="CB925" s="42"/>
      <c r="CC925" s="42"/>
      <c r="CD925" s="42"/>
      <c r="CE925" s="42"/>
      <c r="CF925" s="42"/>
      <c r="CG925" s="42"/>
      <c r="CH925" s="42"/>
      <c r="CS925" s="29"/>
      <c r="CT925" s="29"/>
      <c r="CU925" s="29"/>
      <c r="CV925" s="522"/>
      <c r="CW925" s="522"/>
      <c r="CX925" s="211"/>
      <c r="CY925" s="211"/>
      <c r="CZ925" s="211"/>
      <c r="DA925" s="211"/>
      <c r="DB925" s="211"/>
      <c r="DC925" s="211"/>
      <c r="DD925" s="211"/>
      <c r="DE925" s="211"/>
      <c r="DF925" s="60"/>
      <c r="DG925" s="60"/>
      <c r="DH925" s="60"/>
      <c r="DI925" s="60"/>
      <c r="DJ925" s="60"/>
    </row>
    <row r="926" spans="3:114" s="25" customFormat="1">
      <c r="C926" s="24"/>
      <c r="D926" s="24"/>
      <c r="G926" s="57"/>
      <c r="H926" s="57"/>
      <c r="I926" s="57"/>
      <c r="J926" s="57"/>
      <c r="K926" s="57"/>
      <c r="L926" s="57"/>
      <c r="M926" s="57"/>
      <c r="N926" s="57"/>
      <c r="O926" s="57"/>
      <c r="P926" s="57"/>
      <c r="Q926" s="57"/>
      <c r="R926" s="57"/>
      <c r="S926" s="57"/>
      <c r="T926" s="559"/>
      <c r="U926" s="29"/>
      <c r="V926" s="29"/>
      <c r="AJ926" s="1215"/>
      <c r="AK926" s="1142"/>
      <c r="AM926" s="42"/>
      <c r="AN926" s="42"/>
      <c r="AO926" s="42"/>
      <c r="AP926" s="42"/>
      <c r="AQ926" s="42"/>
      <c r="AR926" s="42"/>
      <c r="AS926" s="42"/>
      <c r="AT926" s="42"/>
      <c r="AU926" s="42"/>
      <c r="AV926" s="42"/>
      <c r="AW926" s="42"/>
      <c r="AX926" s="42"/>
      <c r="AY926" s="42"/>
      <c r="AZ926" s="42"/>
      <c r="BA926" s="42"/>
      <c r="BB926" s="42"/>
      <c r="BC926" s="42"/>
      <c r="BD926" s="42"/>
      <c r="BE926" s="42"/>
      <c r="BF926" s="42"/>
      <c r="BG926" s="42"/>
      <c r="BH926" s="42"/>
      <c r="BI926" s="42"/>
      <c r="BJ926" s="42"/>
      <c r="BK926" s="42"/>
      <c r="BL926" s="42"/>
      <c r="BM926" s="42"/>
      <c r="BN926" s="42"/>
      <c r="BO926" s="42"/>
      <c r="BP926" s="42"/>
      <c r="BQ926" s="42"/>
      <c r="BR926" s="42"/>
      <c r="BS926" s="42"/>
      <c r="BT926" s="42"/>
      <c r="BU926" s="42"/>
      <c r="BV926" s="42"/>
      <c r="BW926" s="42"/>
      <c r="BX926" s="42"/>
      <c r="BY926" s="42"/>
      <c r="BZ926" s="42"/>
      <c r="CA926" s="42"/>
      <c r="CB926" s="42"/>
      <c r="CC926" s="42"/>
      <c r="CD926" s="42"/>
      <c r="CE926" s="42"/>
      <c r="CF926" s="42"/>
      <c r="CG926" s="42"/>
      <c r="CH926" s="42"/>
      <c r="CS926" s="29"/>
      <c r="CT926" s="29"/>
      <c r="CU926" s="29"/>
      <c r="CV926" s="522"/>
      <c r="CW926" s="522"/>
      <c r="CX926" s="211"/>
      <c r="CY926" s="211"/>
      <c r="CZ926" s="211"/>
      <c r="DA926" s="211"/>
      <c r="DB926" s="211"/>
      <c r="DC926" s="211"/>
      <c r="DD926" s="211"/>
      <c r="DE926" s="211"/>
      <c r="DF926" s="60"/>
      <c r="DG926" s="60"/>
      <c r="DH926" s="60"/>
      <c r="DI926" s="60"/>
      <c r="DJ926" s="60"/>
    </row>
    <row r="927" spans="3:114" s="25" customFormat="1">
      <c r="C927" s="24"/>
      <c r="D927" s="24"/>
      <c r="G927" s="57"/>
      <c r="H927" s="57"/>
      <c r="I927" s="57"/>
      <c r="J927" s="57"/>
      <c r="K927" s="57"/>
      <c r="L927" s="57"/>
      <c r="M927" s="57"/>
      <c r="N927" s="57"/>
      <c r="O927" s="57"/>
      <c r="P927" s="57"/>
      <c r="Q927" s="57"/>
      <c r="R927" s="57"/>
      <c r="S927" s="57"/>
      <c r="T927" s="559"/>
      <c r="U927" s="29"/>
      <c r="V927" s="29"/>
      <c r="AJ927" s="1215"/>
      <c r="AK927" s="1142"/>
      <c r="AM927" s="42"/>
      <c r="AN927" s="42"/>
      <c r="AO927" s="42"/>
      <c r="AP927" s="42"/>
      <c r="AQ927" s="42"/>
      <c r="AR927" s="42"/>
      <c r="AS927" s="42"/>
      <c r="AT927" s="42"/>
      <c r="AU927" s="42"/>
      <c r="AV927" s="42"/>
      <c r="AW927" s="42"/>
      <c r="AX927" s="42"/>
      <c r="AY927" s="42"/>
      <c r="AZ927" s="42"/>
      <c r="BA927" s="42"/>
      <c r="BB927" s="42"/>
      <c r="BC927" s="42"/>
      <c r="BD927" s="42"/>
      <c r="BE927" s="42"/>
      <c r="BF927" s="42"/>
      <c r="BG927" s="42"/>
      <c r="BH927" s="42"/>
      <c r="BI927" s="42"/>
      <c r="BJ927" s="42"/>
      <c r="BK927" s="42"/>
      <c r="BL927" s="42"/>
      <c r="BM927" s="42"/>
      <c r="BN927" s="42"/>
      <c r="BO927" s="42"/>
      <c r="BP927" s="42"/>
      <c r="BQ927" s="42"/>
      <c r="BR927" s="42"/>
      <c r="BS927" s="42"/>
      <c r="BT927" s="42"/>
      <c r="BU927" s="42"/>
      <c r="BV927" s="42"/>
      <c r="BW927" s="42"/>
      <c r="BX927" s="42"/>
      <c r="BY927" s="42"/>
      <c r="BZ927" s="42"/>
      <c r="CA927" s="42"/>
      <c r="CB927" s="42"/>
      <c r="CC927" s="42"/>
      <c r="CD927" s="42"/>
      <c r="CE927" s="42"/>
      <c r="CF927" s="42"/>
      <c r="CG927" s="42"/>
      <c r="CH927" s="42"/>
      <c r="CS927" s="29"/>
      <c r="CT927" s="29"/>
      <c r="CU927" s="29"/>
      <c r="CV927" s="522"/>
      <c r="CW927" s="522"/>
      <c r="CX927" s="211"/>
      <c r="CY927" s="211"/>
      <c r="CZ927" s="211"/>
      <c r="DA927" s="211"/>
      <c r="DB927" s="211"/>
      <c r="DC927" s="211"/>
      <c r="DD927" s="211"/>
      <c r="DE927" s="211"/>
      <c r="DF927" s="60"/>
      <c r="DG927" s="60"/>
      <c r="DH927" s="60"/>
      <c r="DI927" s="60"/>
      <c r="DJ927" s="60"/>
    </row>
    <row r="928" spans="3:114" s="25" customFormat="1">
      <c r="C928" s="24"/>
      <c r="D928" s="24"/>
      <c r="G928" s="57"/>
      <c r="H928" s="57"/>
      <c r="I928" s="57"/>
      <c r="J928" s="57"/>
      <c r="K928" s="57"/>
      <c r="L928" s="57"/>
      <c r="M928" s="57"/>
      <c r="N928" s="57"/>
      <c r="O928" s="57"/>
      <c r="P928" s="57"/>
      <c r="Q928" s="57"/>
      <c r="R928" s="57"/>
      <c r="S928" s="57"/>
      <c r="T928" s="559"/>
      <c r="U928" s="29"/>
      <c r="V928" s="29"/>
      <c r="AJ928" s="1215"/>
      <c r="AK928" s="1142"/>
      <c r="AM928" s="42"/>
      <c r="AN928" s="42"/>
      <c r="AO928" s="42"/>
      <c r="AP928" s="42"/>
      <c r="AQ928" s="42"/>
      <c r="AR928" s="42"/>
      <c r="AS928" s="42"/>
      <c r="AT928" s="42"/>
      <c r="AU928" s="42"/>
      <c r="AV928" s="42"/>
      <c r="AW928" s="42"/>
      <c r="AX928" s="42"/>
      <c r="AY928" s="42"/>
      <c r="AZ928" s="42"/>
      <c r="BA928" s="42"/>
      <c r="BB928" s="42"/>
      <c r="BC928" s="42"/>
      <c r="BD928" s="42"/>
      <c r="BE928" s="42"/>
      <c r="BF928" s="42"/>
      <c r="BG928" s="42"/>
      <c r="BH928" s="42"/>
      <c r="BI928" s="42"/>
      <c r="BJ928" s="42"/>
      <c r="BK928" s="42"/>
      <c r="BL928" s="42"/>
      <c r="BM928" s="42"/>
      <c r="BN928" s="42"/>
      <c r="BO928" s="42"/>
      <c r="BP928" s="42"/>
      <c r="BQ928" s="42"/>
      <c r="BR928" s="42"/>
      <c r="BS928" s="42"/>
      <c r="BT928" s="42"/>
      <c r="BU928" s="42"/>
      <c r="BV928" s="42"/>
      <c r="BW928" s="42"/>
      <c r="BX928" s="42"/>
      <c r="BY928" s="42"/>
      <c r="BZ928" s="42"/>
      <c r="CA928" s="42"/>
      <c r="CB928" s="42"/>
      <c r="CC928" s="42"/>
      <c r="CD928" s="42"/>
      <c r="CE928" s="42"/>
      <c r="CF928" s="42"/>
      <c r="CG928" s="42"/>
      <c r="CH928" s="42"/>
      <c r="CS928" s="29"/>
      <c r="CT928" s="29"/>
      <c r="CU928" s="29"/>
      <c r="CV928" s="522"/>
      <c r="CW928" s="522"/>
      <c r="CX928" s="211"/>
      <c r="CY928" s="211"/>
      <c r="CZ928" s="211"/>
      <c r="DA928" s="211"/>
      <c r="DB928" s="211"/>
      <c r="DC928" s="211"/>
      <c r="DD928" s="211"/>
      <c r="DE928" s="211"/>
      <c r="DF928" s="60"/>
      <c r="DG928" s="60"/>
      <c r="DH928" s="60"/>
      <c r="DI928" s="60"/>
      <c r="DJ928" s="60"/>
    </row>
    <row r="929" spans="3:114" s="25" customFormat="1">
      <c r="C929" s="24"/>
      <c r="D929" s="24"/>
      <c r="G929" s="57"/>
      <c r="H929" s="57"/>
      <c r="I929" s="57"/>
      <c r="J929" s="57"/>
      <c r="K929" s="57"/>
      <c r="L929" s="57"/>
      <c r="M929" s="57"/>
      <c r="N929" s="57"/>
      <c r="O929" s="57"/>
      <c r="P929" s="57"/>
      <c r="Q929" s="57"/>
      <c r="R929" s="57"/>
      <c r="S929" s="57"/>
      <c r="T929" s="559"/>
      <c r="U929" s="29"/>
      <c r="V929" s="29"/>
      <c r="AJ929" s="1215"/>
      <c r="AK929" s="1142"/>
      <c r="AM929" s="42"/>
      <c r="AN929" s="42"/>
      <c r="AO929" s="42"/>
      <c r="AP929" s="42"/>
      <c r="AQ929" s="42"/>
      <c r="AR929" s="42"/>
      <c r="AS929" s="42"/>
      <c r="AT929" s="42"/>
      <c r="AU929" s="42"/>
      <c r="AV929" s="42"/>
      <c r="AW929" s="42"/>
      <c r="AX929" s="42"/>
      <c r="AY929" s="42"/>
      <c r="AZ929" s="42"/>
      <c r="BA929" s="42"/>
      <c r="BB929" s="42"/>
      <c r="BC929" s="42"/>
      <c r="BD929" s="42"/>
      <c r="BE929" s="42"/>
      <c r="BF929" s="42"/>
      <c r="BG929" s="42"/>
      <c r="BH929" s="42"/>
      <c r="BI929" s="42"/>
      <c r="BJ929" s="42"/>
      <c r="BK929" s="42"/>
      <c r="BL929" s="42"/>
      <c r="BM929" s="42"/>
      <c r="BN929" s="42"/>
      <c r="BO929" s="42"/>
      <c r="BP929" s="42"/>
      <c r="BQ929" s="42"/>
      <c r="BR929" s="42"/>
      <c r="BS929" s="42"/>
      <c r="BT929" s="42"/>
      <c r="BU929" s="42"/>
      <c r="BV929" s="42"/>
      <c r="BW929" s="42"/>
      <c r="BX929" s="42"/>
      <c r="BY929" s="42"/>
      <c r="BZ929" s="42"/>
      <c r="CA929" s="42"/>
      <c r="CB929" s="42"/>
      <c r="CC929" s="42"/>
      <c r="CD929" s="42"/>
      <c r="CE929" s="42"/>
      <c r="CF929" s="42"/>
      <c r="CG929" s="42"/>
      <c r="CH929" s="42"/>
      <c r="CS929" s="29"/>
      <c r="CT929" s="29"/>
      <c r="CU929" s="29"/>
      <c r="CV929" s="522"/>
      <c r="CW929" s="522"/>
      <c r="CX929" s="211"/>
      <c r="CY929" s="211"/>
      <c r="CZ929" s="211"/>
      <c r="DA929" s="211"/>
      <c r="DB929" s="211"/>
      <c r="DC929" s="211"/>
      <c r="DD929" s="211"/>
      <c r="DE929" s="211"/>
      <c r="DF929" s="60"/>
      <c r="DG929" s="60"/>
      <c r="DH929" s="60"/>
      <c r="DI929" s="60"/>
      <c r="DJ929" s="60"/>
    </row>
    <row r="930" spans="3:114" s="25" customFormat="1">
      <c r="C930" s="24"/>
      <c r="D930" s="24"/>
      <c r="G930" s="57"/>
      <c r="H930" s="57"/>
      <c r="I930" s="57"/>
      <c r="J930" s="57"/>
      <c r="K930" s="57"/>
      <c r="L930" s="57"/>
      <c r="M930" s="57"/>
      <c r="N930" s="57"/>
      <c r="O930" s="57"/>
      <c r="P930" s="57"/>
      <c r="Q930" s="57"/>
      <c r="R930" s="57"/>
      <c r="S930" s="57"/>
      <c r="T930" s="559"/>
      <c r="U930" s="29"/>
      <c r="V930" s="29"/>
      <c r="AJ930" s="1215"/>
      <c r="AK930" s="1142"/>
      <c r="AM930" s="42"/>
      <c r="AN930" s="42"/>
      <c r="AO930" s="42"/>
      <c r="AP930" s="42"/>
      <c r="AQ930" s="42"/>
      <c r="AR930" s="42"/>
      <c r="AS930" s="42"/>
      <c r="AT930" s="42"/>
      <c r="AU930" s="42"/>
      <c r="AV930" s="42"/>
      <c r="AW930" s="42"/>
      <c r="AX930" s="42"/>
      <c r="AY930" s="42"/>
      <c r="AZ930" s="42"/>
      <c r="BA930" s="42"/>
      <c r="BB930" s="42"/>
      <c r="BC930" s="42"/>
      <c r="BD930" s="42"/>
      <c r="BE930" s="42"/>
      <c r="BF930" s="42"/>
      <c r="BG930" s="42"/>
      <c r="BH930" s="42"/>
      <c r="BI930" s="42"/>
      <c r="BJ930" s="42"/>
      <c r="BK930" s="42"/>
      <c r="BL930" s="42"/>
      <c r="BM930" s="42"/>
      <c r="BN930" s="42"/>
      <c r="BO930" s="42"/>
      <c r="BP930" s="42"/>
      <c r="BQ930" s="42"/>
      <c r="BR930" s="42"/>
      <c r="BS930" s="42"/>
      <c r="BT930" s="42"/>
      <c r="BU930" s="42"/>
      <c r="BV930" s="42"/>
      <c r="BW930" s="42"/>
      <c r="BX930" s="42"/>
      <c r="BY930" s="42"/>
      <c r="BZ930" s="42"/>
      <c r="CA930" s="42"/>
      <c r="CB930" s="42"/>
      <c r="CC930" s="42"/>
      <c r="CD930" s="42"/>
      <c r="CE930" s="42"/>
      <c r="CF930" s="42"/>
      <c r="CG930" s="42"/>
      <c r="CH930" s="42"/>
      <c r="CS930" s="29"/>
      <c r="CT930" s="29"/>
      <c r="CU930" s="29"/>
      <c r="CV930" s="522"/>
      <c r="CW930" s="522"/>
      <c r="CX930" s="211"/>
      <c r="CY930" s="211"/>
      <c r="CZ930" s="211"/>
      <c r="DA930" s="211"/>
      <c r="DB930" s="211"/>
      <c r="DC930" s="211"/>
      <c r="DD930" s="211"/>
      <c r="DE930" s="211"/>
      <c r="DF930" s="60"/>
      <c r="DG930" s="60"/>
      <c r="DH930" s="60"/>
      <c r="DI930" s="60"/>
      <c r="DJ930" s="60"/>
    </row>
    <row r="931" spans="3:114" s="25" customFormat="1">
      <c r="C931" s="24"/>
      <c r="D931" s="24"/>
      <c r="G931" s="57"/>
      <c r="H931" s="57"/>
      <c r="I931" s="57"/>
      <c r="J931" s="57"/>
      <c r="K931" s="57"/>
      <c r="L931" s="57"/>
      <c r="M931" s="57"/>
      <c r="N931" s="57"/>
      <c r="O931" s="57"/>
      <c r="P931" s="57"/>
      <c r="Q931" s="57"/>
      <c r="R931" s="57"/>
      <c r="S931" s="57"/>
      <c r="T931" s="559"/>
      <c r="U931" s="29"/>
      <c r="V931" s="29"/>
      <c r="AJ931" s="1215"/>
      <c r="AK931" s="1142"/>
      <c r="AM931" s="42"/>
      <c r="AN931" s="42"/>
      <c r="AO931" s="42"/>
      <c r="AP931" s="42"/>
      <c r="AQ931" s="42"/>
      <c r="AR931" s="42"/>
      <c r="AS931" s="42"/>
      <c r="AT931" s="42"/>
      <c r="AU931" s="42"/>
      <c r="AV931" s="42"/>
      <c r="AW931" s="42"/>
      <c r="AX931" s="42"/>
      <c r="AY931" s="42"/>
      <c r="AZ931" s="42"/>
      <c r="BA931" s="42"/>
      <c r="BB931" s="42"/>
      <c r="BC931" s="42"/>
      <c r="BD931" s="42"/>
      <c r="BE931" s="42"/>
      <c r="BF931" s="42"/>
      <c r="BG931" s="42"/>
      <c r="BH931" s="42"/>
      <c r="BI931" s="42"/>
      <c r="BJ931" s="42"/>
      <c r="BK931" s="42"/>
      <c r="BL931" s="42"/>
      <c r="BM931" s="42"/>
      <c r="BN931" s="42"/>
      <c r="BO931" s="42"/>
      <c r="BP931" s="42"/>
      <c r="BQ931" s="42"/>
      <c r="BR931" s="42"/>
      <c r="BS931" s="42"/>
      <c r="BT931" s="42"/>
      <c r="BU931" s="42"/>
      <c r="BV931" s="42"/>
      <c r="BW931" s="42"/>
      <c r="BX931" s="42"/>
      <c r="BY931" s="42"/>
      <c r="BZ931" s="42"/>
      <c r="CA931" s="42"/>
      <c r="CB931" s="42"/>
      <c r="CC931" s="42"/>
      <c r="CD931" s="42"/>
      <c r="CE931" s="42"/>
      <c r="CF931" s="42"/>
      <c r="CG931" s="42"/>
      <c r="CH931" s="42"/>
      <c r="CS931" s="29"/>
      <c r="CT931" s="29"/>
      <c r="CU931" s="29"/>
      <c r="CV931" s="522"/>
      <c r="CW931" s="522"/>
      <c r="CX931" s="211"/>
      <c r="CY931" s="211"/>
      <c r="CZ931" s="211"/>
      <c r="DA931" s="211"/>
      <c r="DB931" s="211"/>
      <c r="DC931" s="211"/>
      <c r="DD931" s="211"/>
      <c r="DE931" s="211"/>
      <c r="DF931" s="60"/>
      <c r="DG931" s="60"/>
      <c r="DH931" s="60"/>
      <c r="DI931" s="60"/>
      <c r="DJ931" s="60"/>
    </row>
    <row r="932" spans="3:114" s="25" customFormat="1">
      <c r="C932" s="24"/>
      <c r="D932" s="24"/>
      <c r="G932" s="57"/>
      <c r="H932" s="57"/>
      <c r="I932" s="57"/>
      <c r="J932" s="57"/>
      <c r="K932" s="57"/>
      <c r="L932" s="57"/>
      <c r="M932" s="57"/>
      <c r="N932" s="57"/>
      <c r="O932" s="57"/>
      <c r="P932" s="57"/>
      <c r="Q932" s="57"/>
      <c r="R932" s="57"/>
      <c r="S932" s="57"/>
      <c r="T932" s="559"/>
      <c r="U932" s="29"/>
      <c r="V932" s="29"/>
      <c r="AJ932" s="1215"/>
      <c r="AK932" s="1142"/>
      <c r="AM932" s="42"/>
      <c r="AN932" s="42"/>
      <c r="AO932" s="42"/>
      <c r="AP932" s="42"/>
      <c r="AQ932" s="42"/>
      <c r="AR932" s="42"/>
      <c r="AS932" s="42"/>
      <c r="AT932" s="42"/>
      <c r="AU932" s="42"/>
      <c r="AV932" s="42"/>
      <c r="AW932" s="42"/>
      <c r="AX932" s="42"/>
      <c r="AY932" s="42"/>
      <c r="AZ932" s="42"/>
      <c r="BA932" s="42"/>
      <c r="BB932" s="42"/>
      <c r="BC932" s="42"/>
      <c r="BD932" s="42"/>
      <c r="BE932" s="42"/>
      <c r="BF932" s="42"/>
      <c r="BG932" s="42"/>
      <c r="BH932" s="42"/>
      <c r="BI932" s="42"/>
      <c r="BJ932" s="42"/>
      <c r="BK932" s="42"/>
      <c r="BL932" s="42"/>
      <c r="BM932" s="42"/>
      <c r="BN932" s="42"/>
      <c r="BO932" s="42"/>
      <c r="BP932" s="42"/>
      <c r="BQ932" s="42"/>
      <c r="BR932" s="42"/>
      <c r="BS932" s="42"/>
      <c r="BT932" s="42"/>
      <c r="BU932" s="42"/>
      <c r="BV932" s="42"/>
      <c r="BW932" s="42"/>
      <c r="BX932" s="42"/>
      <c r="BY932" s="42"/>
      <c r="BZ932" s="42"/>
      <c r="CA932" s="42"/>
      <c r="CB932" s="42"/>
      <c r="CC932" s="42"/>
      <c r="CD932" s="42"/>
      <c r="CE932" s="42"/>
      <c r="CF932" s="42"/>
      <c r="CG932" s="42"/>
      <c r="CH932" s="42"/>
      <c r="CS932" s="29"/>
      <c r="CT932" s="29"/>
      <c r="CU932" s="29"/>
      <c r="CV932" s="522"/>
      <c r="CW932" s="522"/>
      <c r="CX932" s="211"/>
      <c r="CY932" s="211"/>
      <c r="CZ932" s="211"/>
      <c r="DA932" s="211"/>
      <c r="DB932" s="211"/>
      <c r="DC932" s="211"/>
      <c r="DD932" s="211"/>
      <c r="DE932" s="211"/>
      <c r="DF932" s="60"/>
      <c r="DG932" s="60"/>
      <c r="DH932" s="60"/>
      <c r="DI932" s="60"/>
      <c r="DJ932" s="60"/>
    </row>
    <row r="933" spans="3:114" s="25" customFormat="1">
      <c r="C933" s="24"/>
      <c r="D933" s="24"/>
      <c r="G933" s="57"/>
      <c r="H933" s="57"/>
      <c r="I933" s="57"/>
      <c r="J933" s="57"/>
      <c r="K933" s="57"/>
      <c r="L933" s="57"/>
      <c r="M933" s="57"/>
      <c r="N933" s="57"/>
      <c r="O933" s="57"/>
      <c r="P933" s="57"/>
      <c r="Q933" s="57"/>
      <c r="R933" s="57"/>
      <c r="S933" s="57"/>
      <c r="T933" s="559"/>
      <c r="U933" s="29"/>
      <c r="V933" s="29"/>
      <c r="AJ933" s="1215"/>
      <c r="AK933" s="1142"/>
      <c r="AM933" s="42"/>
      <c r="AN933" s="42"/>
      <c r="AO933" s="42"/>
      <c r="AP933" s="42"/>
      <c r="AQ933" s="42"/>
      <c r="AR933" s="42"/>
      <c r="AS933" s="42"/>
      <c r="AT933" s="42"/>
      <c r="AU933" s="42"/>
      <c r="AV933" s="42"/>
      <c r="AW933" s="42"/>
      <c r="AX933" s="42"/>
      <c r="AY933" s="42"/>
      <c r="AZ933" s="42"/>
      <c r="BA933" s="42"/>
      <c r="BB933" s="42"/>
      <c r="BC933" s="42"/>
      <c r="BD933" s="42"/>
      <c r="BE933" s="42"/>
      <c r="BF933" s="42"/>
      <c r="BG933" s="42"/>
      <c r="BH933" s="42"/>
      <c r="BI933" s="42"/>
      <c r="BJ933" s="42"/>
      <c r="BK933" s="42"/>
      <c r="BL933" s="42"/>
      <c r="BM933" s="42"/>
      <c r="BN933" s="42"/>
      <c r="BO933" s="42"/>
      <c r="BP933" s="42"/>
      <c r="BQ933" s="42"/>
      <c r="BR933" s="42"/>
      <c r="BS933" s="42"/>
      <c r="BT933" s="42"/>
      <c r="BU933" s="42"/>
      <c r="BV933" s="42"/>
      <c r="BW933" s="42"/>
      <c r="BX933" s="42"/>
      <c r="BY933" s="42"/>
      <c r="BZ933" s="42"/>
      <c r="CA933" s="42"/>
      <c r="CB933" s="42"/>
      <c r="CC933" s="42"/>
      <c r="CD933" s="42"/>
      <c r="CE933" s="42"/>
      <c r="CF933" s="42"/>
      <c r="CG933" s="42"/>
      <c r="CH933" s="42"/>
      <c r="CS933" s="29"/>
      <c r="CT933" s="29"/>
      <c r="CU933" s="29"/>
      <c r="CV933" s="522"/>
      <c r="CW933" s="522"/>
      <c r="CX933" s="211"/>
      <c r="CY933" s="211"/>
      <c r="CZ933" s="211"/>
      <c r="DA933" s="211"/>
      <c r="DB933" s="211"/>
      <c r="DC933" s="211"/>
      <c r="DD933" s="211"/>
      <c r="DE933" s="211"/>
      <c r="DF933" s="60"/>
      <c r="DG933" s="60"/>
      <c r="DH933" s="60"/>
      <c r="DI933" s="60"/>
      <c r="DJ933" s="60"/>
    </row>
    <row r="934" spans="3:114" s="25" customFormat="1">
      <c r="C934" s="24"/>
      <c r="D934" s="24"/>
      <c r="G934" s="57"/>
      <c r="H934" s="57"/>
      <c r="I934" s="57"/>
      <c r="J934" s="57"/>
      <c r="K934" s="57"/>
      <c r="L934" s="57"/>
      <c r="M934" s="57"/>
      <c r="N934" s="57"/>
      <c r="O934" s="57"/>
      <c r="P934" s="57"/>
      <c r="Q934" s="57"/>
      <c r="R934" s="57"/>
      <c r="S934" s="57"/>
      <c r="T934" s="559"/>
      <c r="U934" s="29"/>
      <c r="V934" s="29"/>
      <c r="AJ934" s="1215"/>
      <c r="AK934" s="1142"/>
      <c r="AM934" s="42"/>
      <c r="AN934" s="42"/>
      <c r="AO934" s="42"/>
      <c r="AP934" s="42"/>
      <c r="AQ934" s="42"/>
      <c r="AR934" s="42"/>
      <c r="AS934" s="42"/>
      <c r="AT934" s="42"/>
      <c r="AU934" s="42"/>
      <c r="AV934" s="42"/>
      <c r="AW934" s="42"/>
      <c r="AX934" s="42"/>
      <c r="AY934" s="42"/>
      <c r="AZ934" s="42"/>
      <c r="BA934" s="42"/>
      <c r="BB934" s="42"/>
      <c r="BC934" s="42"/>
      <c r="BD934" s="42"/>
      <c r="BE934" s="42"/>
      <c r="BF934" s="42"/>
      <c r="BG934" s="42"/>
      <c r="BH934" s="42"/>
      <c r="BI934" s="42"/>
      <c r="BJ934" s="42"/>
      <c r="BK934" s="42"/>
      <c r="BL934" s="42"/>
      <c r="BM934" s="42"/>
      <c r="BN934" s="42"/>
      <c r="BO934" s="42"/>
      <c r="BP934" s="42"/>
      <c r="BQ934" s="42"/>
      <c r="BR934" s="42"/>
      <c r="BS934" s="42"/>
      <c r="BT934" s="42"/>
      <c r="BU934" s="42"/>
      <c r="BV934" s="42"/>
      <c r="BW934" s="42"/>
      <c r="BX934" s="42"/>
      <c r="BY934" s="42"/>
      <c r="BZ934" s="42"/>
      <c r="CA934" s="42"/>
      <c r="CB934" s="42"/>
      <c r="CC934" s="42"/>
      <c r="CD934" s="42"/>
      <c r="CE934" s="42"/>
      <c r="CF934" s="42"/>
      <c r="CG934" s="42"/>
      <c r="CH934" s="42"/>
      <c r="CS934" s="29"/>
      <c r="CT934" s="29"/>
      <c r="CU934" s="29"/>
      <c r="CV934" s="522"/>
      <c r="CW934" s="522"/>
      <c r="CX934" s="211"/>
      <c r="CY934" s="211"/>
      <c r="CZ934" s="211"/>
      <c r="DA934" s="211"/>
      <c r="DB934" s="211"/>
      <c r="DC934" s="211"/>
      <c r="DD934" s="211"/>
      <c r="DE934" s="211"/>
      <c r="DF934" s="60"/>
      <c r="DG934" s="60"/>
      <c r="DH934" s="60"/>
      <c r="DI934" s="60"/>
      <c r="DJ934" s="60"/>
    </row>
    <row r="935" spans="3:114" s="25" customFormat="1">
      <c r="C935" s="24"/>
      <c r="D935" s="24"/>
      <c r="G935" s="57"/>
      <c r="H935" s="57"/>
      <c r="I935" s="57"/>
      <c r="J935" s="57"/>
      <c r="K935" s="57"/>
      <c r="L935" s="57"/>
      <c r="M935" s="57"/>
      <c r="N935" s="57"/>
      <c r="O935" s="57"/>
      <c r="P935" s="57"/>
      <c r="Q935" s="57"/>
      <c r="R935" s="57"/>
      <c r="S935" s="57"/>
      <c r="T935" s="559"/>
      <c r="U935" s="29"/>
      <c r="V935" s="29"/>
      <c r="AJ935" s="1215"/>
      <c r="AK935" s="1142"/>
      <c r="AM935" s="42"/>
      <c r="AN935" s="42"/>
      <c r="AO935" s="42"/>
      <c r="AP935" s="42"/>
      <c r="AQ935" s="42"/>
      <c r="AR935" s="42"/>
      <c r="AS935" s="42"/>
      <c r="AT935" s="42"/>
      <c r="AU935" s="42"/>
      <c r="AV935" s="42"/>
      <c r="AW935" s="42"/>
      <c r="AX935" s="42"/>
      <c r="AY935" s="42"/>
      <c r="AZ935" s="42"/>
      <c r="BA935" s="42"/>
      <c r="BB935" s="42"/>
      <c r="BC935" s="42"/>
      <c r="BD935" s="42"/>
      <c r="BE935" s="42"/>
      <c r="BF935" s="42"/>
      <c r="BG935" s="42"/>
      <c r="BH935" s="42"/>
      <c r="BI935" s="42"/>
      <c r="BJ935" s="42"/>
      <c r="BK935" s="42"/>
      <c r="BL935" s="42"/>
      <c r="BM935" s="42"/>
      <c r="BN935" s="42"/>
      <c r="BO935" s="42"/>
      <c r="BP935" s="42"/>
      <c r="BQ935" s="42"/>
      <c r="BR935" s="42"/>
      <c r="BS935" s="42"/>
      <c r="BT935" s="42"/>
      <c r="BU935" s="42"/>
      <c r="BV935" s="42"/>
      <c r="BW935" s="42"/>
      <c r="BX935" s="42"/>
      <c r="BY935" s="42"/>
      <c r="BZ935" s="42"/>
      <c r="CA935" s="42"/>
      <c r="CB935" s="42"/>
      <c r="CC935" s="42"/>
      <c r="CD935" s="42"/>
      <c r="CE935" s="42"/>
      <c r="CF935" s="42"/>
      <c r="CG935" s="42"/>
      <c r="CH935" s="42"/>
      <c r="CS935" s="29"/>
      <c r="CT935" s="29"/>
      <c r="CU935" s="29"/>
      <c r="CV935" s="522"/>
      <c r="CW935" s="522"/>
      <c r="CX935" s="211"/>
      <c r="CY935" s="211"/>
      <c r="CZ935" s="211"/>
      <c r="DA935" s="211"/>
      <c r="DB935" s="211"/>
      <c r="DC935" s="211"/>
      <c r="DD935" s="211"/>
      <c r="DE935" s="211"/>
      <c r="DF935" s="60"/>
      <c r="DG935" s="60"/>
      <c r="DH935" s="60"/>
      <c r="DI935" s="60"/>
      <c r="DJ935" s="60"/>
    </row>
    <row r="936" spans="3:114" s="25" customFormat="1">
      <c r="C936" s="24"/>
      <c r="D936" s="24"/>
      <c r="G936" s="57"/>
      <c r="H936" s="57"/>
      <c r="I936" s="57"/>
      <c r="J936" s="57"/>
      <c r="K936" s="57"/>
      <c r="L936" s="57"/>
      <c r="M936" s="57"/>
      <c r="N936" s="57"/>
      <c r="O936" s="57"/>
      <c r="P936" s="57"/>
      <c r="Q936" s="57"/>
      <c r="R936" s="57"/>
      <c r="S936" s="57"/>
      <c r="T936" s="559"/>
      <c r="U936" s="29"/>
      <c r="V936" s="29"/>
      <c r="AJ936" s="1215"/>
      <c r="AK936" s="1142"/>
      <c r="AM936" s="42"/>
      <c r="AN936" s="42"/>
      <c r="AO936" s="42"/>
      <c r="AP936" s="42"/>
      <c r="AQ936" s="42"/>
      <c r="AR936" s="42"/>
      <c r="AS936" s="42"/>
      <c r="AT936" s="42"/>
      <c r="AU936" s="42"/>
      <c r="AV936" s="42"/>
      <c r="AW936" s="42"/>
      <c r="AX936" s="42"/>
      <c r="AY936" s="42"/>
      <c r="AZ936" s="42"/>
      <c r="BA936" s="42"/>
      <c r="BB936" s="42"/>
      <c r="BC936" s="42"/>
      <c r="BD936" s="42"/>
      <c r="BE936" s="42"/>
      <c r="BF936" s="42"/>
      <c r="BG936" s="42"/>
      <c r="BH936" s="42"/>
      <c r="BI936" s="42"/>
      <c r="BJ936" s="42"/>
      <c r="BK936" s="42"/>
      <c r="BL936" s="42"/>
      <c r="BM936" s="42"/>
      <c r="BN936" s="42"/>
      <c r="BO936" s="42"/>
      <c r="BP936" s="42"/>
      <c r="BQ936" s="42"/>
      <c r="BR936" s="42"/>
      <c r="BS936" s="42"/>
      <c r="BT936" s="42"/>
      <c r="BU936" s="42"/>
      <c r="BV936" s="42"/>
      <c r="BW936" s="42"/>
      <c r="BX936" s="42"/>
      <c r="BY936" s="42"/>
      <c r="BZ936" s="42"/>
      <c r="CA936" s="42"/>
      <c r="CB936" s="42"/>
      <c r="CC936" s="42"/>
      <c r="CD936" s="42"/>
      <c r="CE936" s="42"/>
      <c r="CF936" s="42"/>
      <c r="CG936" s="42"/>
      <c r="CH936" s="42"/>
      <c r="CS936" s="29"/>
      <c r="CT936" s="29"/>
      <c r="CU936" s="29"/>
      <c r="CV936" s="522"/>
      <c r="CW936" s="522"/>
      <c r="CX936" s="211"/>
      <c r="CY936" s="211"/>
      <c r="CZ936" s="211"/>
      <c r="DA936" s="211"/>
      <c r="DB936" s="211"/>
      <c r="DC936" s="211"/>
      <c r="DD936" s="211"/>
      <c r="DE936" s="211"/>
      <c r="DF936" s="60"/>
      <c r="DG936" s="60"/>
      <c r="DH936" s="60"/>
      <c r="DI936" s="60"/>
      <c r="DJ936" s="60"/>
    </row>
    <row r="937" spans="3:114" s="25" customFormat="1">
      <c r="C937" s="24"/>
      <c r="D937" s="24"/>
      <c r="G937" s="57"/>
      <c r="H937" s="57"/>
      <c r="I937" s="57"/>
      <c r="J937" s="57"/>
      <c r="K937" s="57"/>
      <c r="L937" s="57"/>
      <c r="M937" s="57"/>
      <c r="N937" s="57"/>
      <c r="O937" s="57"/>
      <c r="P937" s="57"/>
      <c r="Q937" s="57"/>
      <c r="R937" s="57"/>
      <c r="S937" s="57"/>
      <c r="T937" s="559"/>
      <c r="U937" s="29"/>
      <c r="V937" s="29"/>
      <c r="AJ937" s="1215"/>
      <c r="AK937" s="1142"/>
      <c r="AM937" s="42"/>
      <c r="AN937" s="42"/>
      <c r="AO937" s="42"/>
      <c r="AP937" s="42"/>
      <c r="AQ937" s="42"/>
      <c r="AR937" s="42"/>
      <c r="AS937" s="42"/>
      <c r="AT937" s="42"/>
      <c r="AU937" s="42"/>
      <c r="AV937" s="42"/>
      <c r="AW937" s="42"/>
      <c r="AX937" s="42"/>
      <c r="AY937" s="42"/>
      <c r="AZ937" s="42"/>
      <c r="BA937" s="42"/>
      <c r="BB937" s="42"/>
      <c r="BC937" s="42"/>
      <c r="BD937" s="42"/>
      <c r="BE937" s="42"/>
      <c r="BF937" s="42"/>
      <c r="BG937" s="42"/>
      <c r="BH937" s="42"/>
      <c r="BI937" s="42"/>
      <c r="BJ937" s="42"/>
      <c r="BK937" s="42"/>
      <c r="BL937" s="42"/>
      <c r="BM937" s="42"/>
      <c r="BN937" s="42"/>
      <c r="BO937" s="42"/>
      <c r="BP937" s="42"/>
      <c r="BQ937" s="42"/>
      <c r="BR937" s="42"/>
      <c r="BS937" s="42"/>
      <c r="BT937" s="42"/>
      <c r="BU937" s="42"/>
      <c r="BV937" s="42"/>
      <c r="BW937" s="42"/>
      <c r="BX937" s="42"/>
      <c r="BY937" s="42"/>
      <c r="BZ937" s="42"/>
      <c r="CA937" s="42"/>
      <c r="CB937" s="42"/>
      <c r="CC937" s="42"/>
      <c r="CD937" s="42"/>
      <c r="CE937" s="42"/>
      <c r="CF937" s="42"/>
      <c r="CG937" s="42"/>
      <c r="CH937" s="42"/>
      <c r="CS937" s="29"/>
      <c r="CT937" s="29"/>
      <c r="CU937" s="29"/>
      <c r="CV937" s="522"/>
      <c r="CW937" s="522"/>
      <c r="CX937" s="211"/>
      <c r="CY937" s="211"/>
      <c r="CZ937" s="211"/>
      <c r="DA937" s="211"/>
      <c r="DB937" s="211"/>
      <c r="DC937" s="211"/>
      <c r="DD937" s="211"/>
      <c r="DE937" s="211"/>
      <c r="DF937" s="60"/>
      <c r="DG937" s="60"/>
      <c r="DH937" s="60"/>
      <c r="DI937" s="60"/>
      <c r="DJ937" s="60"/>
    </row>
    <row r="938" spans="3:114" s="25" customFormat="1">
      <c r="C938" s="24"/>
      <c r="D938" s="24"/>
      <c r="G938" s="57"/>
      <c r="H938" s="57"/>
      <c r="I938" s="57"/>
      <c r="J938" s="57"/>
      <c r="K938" s="57"/>
      <c r="L938" s="57"/>
      <c r="M938" s="57"/>
      <c r="N938" s="57"/>
      <c r="O938" s="57"/>
      <c r="P938" s="57"/>
      <c r="Q938" s="57"/>
      <c r="R938" s="57"/>
      <c r="S938" s="57"/>
      <c r="T938" s="559"/>
      <c r="U938" s="29"/>
      <c r="V938" s="29"/>
      <c r="AJ938" s="1215"/>
      <c r="AK938" s="1142"/>
      <c r="AM938" s="42"/>
      <c r="AN938" s="42"/>
      <c r="AO938" s="42"/>
      <c r="AP938" s="42"/>
      <c r="AQ938" s="42"/>
      <c r="AR938" s="42"/>
      <c r="AS938" s="42"/>
      <c r="AT938" s="42"/>
      <c r="AU938" s="42"/>
      <c r="AV938" s="42"/>
      <c r="AW938" s="42"/>
      <c r="AX938" s="42"/>
      <c r="AY938" s="42"/>
      <c r="AZ938" s="42"/>
      <c r="BA938" s="42"/>
      <c r="BB938" s="42"/>
      <c r="BC938" s="42"/>
      <c r="BD938" s="42"/>
      <c r="BE938" s="42"/>
      <c r="BF938" s="42"/>
      <c r="BG938" s="42"/>
      <c r="BH938" s="42"/>
      <c r="BI938" s="42"/>
      <c r="BJ938" s="42"/>
      <c r="BK938" s="42"/>
      <c r="BL938" s="42"/>
      <c r="BM938" s="42"/>
      <c r="BN938" s="42"/>
      <c r="BO938" s="42"/>
      <c r="BP938" s="42"/>
      <c r="BQ938" s="42"/>
      <c r="BR938" s="42"/>
      <c r="BS938" s="42"/>
      <c r="BT938" s="42"/>
      <c r="BU938" s="42"/>
      <c r="BV938" s="42"/>
      <c r="BW938" s="42"/>
      <c r="BX938" s="42"/>
      <c r="BY938" s="42"/>
      <c r="BZ938" s="42"/>
      <c r="CA938" s="42"/>
      <c r="CB938" s="42"/>
      <c r="CC938" s="42"/>
      <c r="CD938" s="42"/>
      <c r="CE938" s="42"/>
      <c r="CF938" s="42"/>
      <c r="CG938" s="42"/>
      <c r="CH938" s="42"/>
      <c r="CS938" s="29"/>
      <c r="CT938" s="29"/>
      <c r="CU938" s="29"/>
      <c r="CV938" s="522"/>
      <c r="CW938" s="522"/>
      <c r="CX938" s="211"/>
      <c r="CY938" s="211"/>
      <c r="CZ938" s="211"/>
      <c r="DA938" s="211"/>
      <c r="DB938" s="211"/>
      <c r="DC938" s="211"/>
      <c r="DD938" s="211"/>
      <c r="DE938" s="211"/>
      <c r="DF938" s="60"/>
      <c r="DG938" s="60"/>
      <c r="DH938" s="60"/>
      <c r="DI938" s="60"/>
      <c r="DJ938" s="60"/>
    </row>
    <row r="939" spans="3:114" s="25" customFormat="1">
      <c r="C939" s="24"/>
      <c r="D939" s="24"/>
      <c r="G939" s="57"/>
      <c r="H939" s="57"/>
      <c r="I939" s="57"/>
      <c r="J939" s="57"/>
      <c r="K939" s="57"/>
      <c r="L939" s="57"/>
      <c r="M939" s="57"/>
      <c r="N939" s="57"/>
      <c r="O939" s="57"/>
      <c r="P939" s="57"/>
      <c r="Q939" s="57"/>
      <c r="R939" s="57"/>
      <c r="S939" s="57"/>
      <c r="T939" s="559"/>
      <c r="U939" s="29"/>
      <c r="V939" s="29"/>
      <c r="AJ939" s="1215"/>
      <c r="AK939" s="1142"/>
      <c r="AM939" s="42"/>
      <c r="AN939" s="42"/>
      <c r="AO939" s="42"/>
      <c r="AP939" s="42"/>
      <c r="AQ939" s="42"/>
      <c r="AR939" s="42"/>
      <c r="AS939" s="42"/>
      <c r="AT939" s="42"/>
      <c r="AU939" s="42"/>
      <c r="AV939" s="42"/>
      <c r="AW939" s="42"/>
      <c r="AX939" s="42"/>
      <c r="AY939" s="42"/>
      <c r="AZ939" s="42"/>
      <c r="BA939" s="42"/>
      <c r="BB939" s="42"/>
      <c r="BC939" s="42"/>
      <c r="BD939" s="42"/>
      <c r="BE939" s="42"/>
      <c r="BF939" s="42"/>
      <c r="BG939" s="42"/>
      <c r="BH939" s="42"/>
      <c r="BI939" s="42"/>
      <c r="BJ939" s="42"/>
      <c r="BK939" s="42"/>
      <c r="BL939" s="42"/>
      <c r="BM939" s="42"/>
      <c r="BN939" s="42"/>
      <c r="BO939" s="42"/>
      <c r="BP939" s="42"/>
      <c r="BQ939" s="42"/>
      <c r="BR939" s="42"/>
      <c r="BS939" s="42"/>
      <c r="BT939" s="42"/>
      <c r="BU939" s="42"/>
      <c r="BV939" s="42"/>
      <c r="BW939" s="42"/>
      <c r="BX939" s="42"/>
      <c r="BY939" s="42"/>
      <c r="BZ939" s="42"/>
      <c r="CA939" s="42"/>
      <c r="CB939" s="42"/>
      <c r="CC939" s="42"/>
      <c r="CD939" s="42"/>
      <c r="CE939" s="42"/>
      <c r="CF939" s="42"/>
      <c r="CG939" s="42"/>
      <c r="CH939" s="42"/>
      <c r="CS939" s="29"/>
      <c r="CT939" s="29"/>
      <c r="CU939" s="29"/>
      <c r="CV939" s="522"/>
      <c r="CW939" s="522"/>
      <c r="CX939" s="211"/>
      <c r="CY939" s="211"/>
      <c r="CZ939" s="211"/>
      <c r="DA939" s="211"/>
      <c r="DB939" s="211"/>
      <c r="DC939" s="211"/>
      <c r="DD939" s="211"/>
      <c r="DE939" s="211"/>
      <c r="DF939" s="60"/>
      <c r="DG939" s="60"/>
      <c r="DH939" s="60"/>
      <c r="DI939" s="60"/>
      <c r="DJ939" s="60"/>
    </row>
    <row r="940" spans="3:114" s="25" customFormat="1">
      <c r="C940" s="24"/>
      <c r="D940" s="24"/>
      <c r="G940" s="57"/>
      <c r="H940" s="57"/>
      <c r="I940" s="57"/>
      <c r="J940" s="57"/>
      <c r="K940" s="57"/>
      <c r="L940" s="57"/>
      <c r="M940" s="57"/>
      <c r="N940" s="57"/>
      <c r="O940" s="57"/>
      <c r="P940" s="57"/>
      <c r="Q940" s="57"/>
      <c r="R940" s="57"/>
      <c r="S940" s="57"/>
      <c r="T940" s="559"/>
      <c r="U940" s="29"/>
      <c r="V940" s="29"/>
      <c r="AJ940" s="1215"/>
      <c r="AK940" s="1142"/>
      <c r="AM940" s="42"/>
      <c r="AN940" s="42"/>
      <c r="AO940" s="42"/>
      <c r="AP940" s="42"/>
      <c r="AQ940" s="42"/>
      <c r="AR940" s="42"/>
      <c r="AS940" s="42"/>
      <c r="AT940" s="42"/>
      <c r="AU940" s="42"/>
      <c r="AV940" s="42"/>
      <c r="AW940" s="42"/>
      <c r="AX940" s="42"/>
      <c r="AY940" s="42"/>
      <c r="AZ940" s="42"/>
      <c r="BA940" s="42"/>
      <c r="BB940" s="42"/>
      <c r="BC940" s="42"/>
      <c r="BD940" s="42"/>
      <c r="BE940" s="42"/>
      <c r="BF940" s="42"/>
      <c r="BG940" s="42"/>
      <c r="BH940" s="42"/>
      <c r="BI940" s="42"/>
      <c r="BJ940" s="42"/>
      <c r="BK940" s="42"/>
      <c r="BL940" s="42"/>
      <c r="BM940" s="42"/>
      <c r="BN940" s="42"/>
      <c r="BO940" s="42"/>
      <c r="BP940" s="42"/>
      <c r="BQ940" s="42"/>
      <c r="BR940" s="42"/>
      <c r="BS940" s="42"/>
      <c r="BT940" s="42"/>
      <c r="BU940" s="42"/>
      <c r="BV940" s="42"/>
      <c r="BW940" s="42"/>
      <c r="BX940" s="42"/>
      <c r="BY940" s="42"/>
      <c r="BZ940" s="42"/>
      <c r="CA940" s="42"/>
      <c r="CB940" s="42"/>
      <c r="CC940" s="42"/>
      <c r="CD940" s="42"/>
      <c r="CE940" s="42"/>
      <c r="CF940" s="42"/>
      <c r="CG940" s="42"/>
      <c r="CH940" s="42"/>
      <c r="CS940" s="29"/>
      <c r="CT940" s="29"/>
      <c r="CU940" s="29"/>
      <c r="CV940" s="522"/>
      <c r="CW940" s="522"/>
      <c r="CX940" s="211"/>
      <c r="CY940" s="211"/>
      <c r="CZ940" s="211"/>
      <c r="DA940" s="211"/>
      <c r="DB940" s="211"/>
      <c r="DC940" s="211"/>
      <c r="DD940" s="211"/>
      <c r="DE940" s="211"/>
      <c r="DF940" s="60"/>
      <c r="DG940" s="60"/>
      <c r="DH940" s="60"/>
      <c r="DI940" s="60"/>
      <c r="DJ940" s="60"/>
    </row>
    <row r="941" spans="3:114" s="25" customFormat="1">
      <c r="C941" s="24"/>
      <c r="D941" s="24"/>
      <c r="G941" s="57"/>
      <c r="H941" s="57"/>
      <c r="I941" s="57"/>
      <c r="J941" s="57"/>
      <c r="K941" s="57"/>
      <c r="L941" s="57"/>
      <c r="M941" s="57"/>
      <c r="N941" s="57"/>
      <c r="O941" s="57"/>
      <c r="P941" s="57"/>
      <c r="Q941" s="57"/>
      <c r="R941" s="57"/>
      <c r="S941" s="57"/>
      <c r="T941" s="559"/>
      <c r="U941" s="29"/>
      <c r="V941" s="29"/>
      <c r="AJ941" s="1215"/>
      <c r="AK941" s="1142"/>
      <c r="AM941" s="42"/>
      <c r="AN941" s="42"/>
      <c r="AO941" s="42"/>
      <c r="AP941" s="42"/>
      <c r="AQ941" s="42"/>
      <c r="AR941" s="42"/>
      <c r="AS941" s="42"/>
      <c r="AT941" s="42"/>
      <c r="AU941" s="42"/>
      <c r="AV941" s="42"/>
      <c r="AW941" s="42"/>
      <c r="AX941" s="42"/>
      <c r="AY941" s="42"/>
      <c r="AZ941" s="42"/>
      <c r="BA941" s="42"/>
      <c r="BB941" s="42"/>
      <c r="BC941" s="42"/>
      <c r="BD941" s="42"/>
      <c r="BE941" s="42"/>
      <c r="BF941" s="42"/>
      <c r="BG941" s="42"/>
      <c r="BH941" s="42"/>
      <c r="BI941" s="42"/>
      <c r="BJ941" s="42"/>
      <c r="BK941" s="42"/>
      <c r="BL941" s="42"/>
      <c r="BM941" s="42"/>
      <c r="BN941" s="42"/>
      <c r="BO941" s="42"/>
      <c r="BP941" s="42"/>
      <c r="BQ941" s="42"/>
      <c r="BR941" s="42"/>
      <c r="BS941" s="42"/>
      <c r="BT941" s="42"/>
      <c r="BU941" s="42"/>
      <c r="BV941" s="42"/>
      <c r="BW941" s="42"/>
      <c r="BX941" s="42"/>
      <c r="BY941" s="42"/>
      <c r="BZ941" s="42"/>
      <c r="CA941" s="42"/>
      <c r="CB941" s="42"/>
      <c r="CC941" s="42"/>
      <c r="CD941" s="42"/>
      <c r="CE941" s="42"/>
      <c r="CF941" s="42"/>
      <c r="CG941" s="42"/>
      <c r="CH941" s="42"/>
      <c r="CS941" s="29"/>
      <c r="CT941" s="29"/>
      <c r="CU941" s="29"/>
      <c r="CV941" s="522"/>
      <c r="CW941" s="522"/>
      <c r="CX941" s="211"/>
      <c r="CY941" s="211"/>
      <c r="CZ941" s="211"/>
      <c r="DA941" s="211"/>
      <c r="DB941" s="211"/>
      <c r="DC941" s="211"/>
      <c r="DD941" s="211"/>
      <c r="DE941" s="211"/>
      <c r="DF941" s="60"/>
      <c r="DG941" s="60"/>
      <c r="DH941" s="60"/>
      <c r="DI941" s="60"/>
      <c r="DJ941" s="60"/>
    </row>
    <row r="942" spans="3:114" s="25" customFormat="1">
      <c r="C942" s="24"/>
      <c r="D942" s="24"/>
      <c r="G942" s="57"/>
      <c r="H942" s="57"/>
      <c r="I942" s="57"/>
      <c r="J942" s="57"/>
      <c r="K942" s="57"/>
      <c r="L942" s="57"/>
      <c r="M942" s="57"/>
      <c r="N942" s="57"/>
      <c r="O942" s="57"/>
      <c r="P942" s="57"/>
      <c r="Q942" s="57"/>
      <c r="R942" s="57"/>
      <c r="S942" s="57"/>
      <c r="T942" s="559"/>
      <c r="U942" s="29"/>
      <c r="V942" s="29"/>
      <c r="AJ942" s="1215"/>
      <c r="AK942" s="1142"/>
      <c r="AM942" s="42"/>
      <c r="AN942" s="42"/>
      <c r="AO942" s="42"/>
      <c r="AP942" s="42"/>
      <c r="AQ942" s="42"/>
      <c r="AR942" s="42"/>
      <c r="AS942" s="42"/>
      <c r="AT942" s="42"/>
      <c r="AU942" s="42"/>
      <c r="AV942" s="42"/>
      <c r="AW942" s="42"/>
      <c r="AX942" s="42"/>
      <c r="AY942" s="42"/>
      <c r="AZ942" s="42"/>
      <c r="BA942" s="42"/>
      <c r="BB942" s="42"/>
      <c r="BC942" s="42"/>
      <c r="BD942" s="42"/>
      <c r="BE942" s="42"/>
      <c r="BF942" s="42"/>
      <c r="BG942" s="42"/>
      <c r="BH942" s="42"/>
      <c r="BI942" s="42"/>
      <c r="BJ942" s="42"/>
      <c r="BK942" s="42"/>
      <c r="BL942" s="42"/>
      <c r="BM942" s="42"/>
      <c r="BN942" s="42"/>
      <c r="BO942" s="42"/>
      <c r="BP942" s="42"/>
      <c r="BQ942" s="42"/>
      <c r="BR942" s="42"/>
      <c r="BS942" s="42"/>
      <c r="BT942" s="42"/>
      <c r="BU942" s="42"/>
      <c r="BV942" s="42"/>
      <c r="BW942" s="42"/>
      <c r="BX942" s="42"/>
      <c r="BY942" s="42"/>
      <c r="BZ942" s="42"/>
      <c r="CA942" s="42"/>
      <c r="CB942" s="42"/>
      <c r="CC942" s="42"/>
      <c r="CD942" s="42"/>
      <c r="CE942" s="42"/>
      <c r="CF942" s="42"/>
      <c r="CG942" s="42"/>
      <c r="CH942" s="42"/>
      <c r="CS942" s="29"/>
      <c r="CT942" s="29"/>
      <c r="CU942" s="29"/>
      <c r="CV942" s="522"/>
      <c r="CW942" s="522"/>
      <c r="CX942" s="211"/>
      <c r="CY942" s="211"/>
      <c r="CZ942" s="211"/>
      <c r="DA942" s="211"/>
      <c r="DB942" s="211"/>
      <c r="DC942" s="211"/>
      <c r="DD942" s="211"/>
      <c r="DE942" s="211"/>
      <c r="DF942" s="60"/>
      <c r="DG942" s="60"/>
      <c r="DH942" s="60"/>
      <c r="DI942" s="60"/>
      <c r="DJ942" s="60"/>
    </row>
    <row r="943" spans="3:114" s="25" customFormat="1">
      <c r="C943" s="24"/>
      <c r="D943" s="24"/>
      <c r="G943" s="57"/>
      <c r="H943" s="57"/>
      <c r="I943" s="57"/>
      <c r="J943" s="57"/>
      <c r="K943" s="57"/>
      <c r="L943" s="57"/>
      <c r="M943" s="57"/>
      <c r="N943" s="57"/>
      <c r="O943" s="57"/>
      <c r="P943" s="57"/>
      <c r="Q943" s="57"/>
      <c r="R943" s="57"/>
      <c r="S943" s="57"/>
      <c r="T943" s="559"/>
      <c r="U943" s="29"/>
      <c r="V943" s="29"/>
      <c r="AJ943" s="1215"/>
      <c r="AK943" s="1142"/>
      <c r="AM943" s="42"/>
      <c r="AN943" s="42"/>
      <c r="AO943" s="42"/>
      <c r="AP943" s="42"/>
      <c r="AQ943" s="42"/>
      <c r="AR943" s="42"/>
      <c r="AS943" s="42"/>
      <c r="AT943" s="42"/>
      <c r="AU943" s="42"/>
      <c r="AV943" s="42"/>
      <c r="AW943" s="42"/>
      <c r="AX943" s="42"/>
      <c r="AY943" s="42"/>
      <c r="AZ943" s="42"/>
      <c r="BA943" s="42"/>
      <c r="BB943" s="42"/>
      <c r="BC943" s="42"/>
      <c r="BD943" s="42"/>
      <c r="BE943" s="42"/>
      <c r="BF943" s="42"/>
      <c r="BG943" s="42"/>
      <c r="BH943" s="42"/>
      <c r="BI943" s="42"/>
      <c r="BJ943" s="42"/>
      <c r="BK943" s="42"/>
      <c r="BL943" s="42"/>
      <c r="BM943" s="42"/>
      <c r="BN943" s="42"/>
      <c r="BO943" s="42"/>
      <c r="BP943" s="42"/>
      <c r="BQ943" s="42"/>
      <c r="BR943" s="42"/>
      <c r="BS943" s="42"/>
      <c r="BT943" s="42"/>
      <c r="BU943" s="42"/>
      <c r="BV943" s="42"/>
      <c r="BW943" s="42"/>
      <c r="BX943" s="42"/>
      <c r="BY943" s="42"/>
      <c r="BZ943" s="42"/>
      <c r="CA943" s="42"/>
      <c r="CB943" s="42"/>
      <c r="CC943" s="42"/>
      <c r="CD943" s="42"/>
      <c r="CE943" s="42"/>
      <c r="CF943" s="42"/>
      <c r="CG943" s="42"/>
      <c r="CH943" s="42"/>
      <c r="CS943" s="29"/>
      <c r="CT943" s="29"/>
      <c r="CU943" s="29"/>
      <c r="CV943" s="522"/>
      <c r="CW943" s="522"/>
      <c r="CX943" s="211"/>
      <c r="CY943" s="211"/>
      <c r="CZ943" s="211"/>
      <c r="DA943" s="211"/>
      <c r="DB943" s="211"/>
      <c r="DC943" s="211"/>
      <c r="DD943" s="211"/>
      <c r="DE943" s="211"/>
      <c r="DF943" s="60"/>
      <c r="DG943" s="60"/>
      <c r="DH943" s="60"/>
      <c r="DI943" s="60"/>
      <c r="DJ943" s="60"/>
    </row>
    <row r="944" spans="3:114" s="25" customFormat="1">
      <c r="C944" s="24"/>
      <c r="D944" s="24"/>
      <c r="G944" s="57"/>
      <c r="H944" s="57"/>
      <c r="I944" s="57"/>
      <c r="J944" s="57"/>
      <c r="K944" s="57"/>
      <c r="L944" s="57"/>
      <c r="M944" s="57"/>
      <c r="N944" s="57"/>
      <c r="O944" s="57"/>
      <c r="P944" s="57"/>
      <c r="Q944" s="57"/>
      <c r="R944" s="57"/>
      <c r="S944" s="57"/>
      <c r="T944" s="559"/>
      <c r="U944" s="29"/>
      <c r="V944" s="29"/>
      <c r="AJ944" s="1215"/>
      <c r="AK944" s="1142"/>
      <c r="AM944" s="42"/>
      <c r="AN944" s="42"/>
      <c r="AO944" s="42"/>
      <c r="AP944" s="42"/>
      <c r="AQ944" s="42"/>
      <c r="AR944" s="42"/>
      <c r="AS944" s="42"/>
      <c r="AT944" s="42"/>
      <c r="AU944" s="42"/>
      <c r="AV944" s="42"/>
      <c r="AW944" s="42"/>
      <c r="AX944" s="42"/>
      <c r="AY944" s="42"/>
      <c r="AZ944" s="42"/>
      <c r="BA944" s="42"/>
      <c r="BB944" s="42"/>
      <c r="BC944" s="42"/>
      <c r="BD944" s="42"/>
      <c r="BE944" s="42"/>
      <c r="BF944" s="42"/>
      <c r="BG944" s="42"/>
      <c r="BH944" s="42"/>
      <c r="BI944" s="42"/>
      <c r="BJ944" s="42"/>
      <c r="BK944" s="42"/>
      <c r="BL944" s="42"/>
      <c r="BM944" s="42"/>
      <c r="BN944" s="42"/>
      <c r="BO944" s="42"/>
      <c r="BP944" s="42"/>
      <c r="BQ944" s="42"/>
      <c r="BR944" s="42"/>
      <c r="BS944" s="42"/>
      <c r="BT944" s="42"/>
      <c r="BU944" s="42"/>
      <c r="BV944" s="42"/>
      <c r="BW944" s="42"/>
      <c r="BX944" s="42"/>
      <c r="BY944" s="42"/>
      <c r="BZ944" s="42"/>
      <c r="CA944" s="42"/>
      <c r="CB944" s="42"/>
      <c r="CC944" s="42"/>
      <c r="CD944" s="42"/>
      <c r="CE944" s="42"/>
      <c r="CF944" s="42"/>
      <c r="CG944" s="42"/>
      <c r="CH944" s="42"/>
      <c r="CS944" s="29"/>
      <c r="CT944" s="29"/>
      <c r="CU944" s="29"/>
      <c r="CV944" s="522"/>
      <c r="CW944" s="522"/>
      <c r="CX944" s="211"/>
      <c r="CY944" s="211"/>
      <c r="CZ944" s="211"/>
      <c r="DA944" s="211"/>
      <c r="DB944" s="211"/>
      <c r="DC944" s="211"/>
      <c r="DD944" s="211"/>
      <c r="DE944" s="211"/>
      <c r="DF944" s="60"/>
      <c r="DG944" s="60"/>
      <c r="DH944" s="60"/>
      <c r="DI944" s="60"/>
      <c r="DJ944" s="60"/>
    </row>
    <row r="945" spans="3:114" s="25" customFormat="1">
      <c r="C945" s="24"/>
      <c r="D945" s="24"/>
      <c r="G945" s="57"/>
      <c r="H945" s="57"/>
      <c r="I945" s="57"/>
      <c r="J945" s="57"/>
      <c r="K945" s="57"/>
      <c r="L945" s="57"/>
      <c r="M945" s="57"/>
      <c r="N945" s="57"/>
      <c r="O945" s="57"/>
      <c r="P945" s="57"/>
      <c r="Q945" s="57"/>
      <c r="R945" s="57"/>
      <c r="S945" s="57"/>
      <c r="T945" s="559"/>
      <c r="U945" s="29"/>
      <c r="V945" s="29"/>
      <c r="AJ945" s="1215"/>
      <c r="AK945" s="1142"/>
      <c r="AM945" s="42"/>
      <c r="AN945" s="42"/>
      <c r="AO945" s="42"/>
      <c r="AP945" s="42"/>
      <c r="AQ945" s="42"/>
      <c r="AR945" s="42"/>
      <c r="AS945" s="42"/>
      <c r="AT945" s="42"/>
      <c r="AU945" s="42"/>
      <c r="AV945" s="42"/>
      <c r="AW945" s="42"/>
      <c r="AX945" s="42"/>
      <c r="AY945" s="42"/>
      <c r="AZ945" s="42"/>
      <c r="BA945" s="42"/>
      <c r="BB945" s="42"/>
      <c r="BC945" s="42"/>
      <c r="BD945" s="42"/>
      <c r="BE945" s="42"/>
      <c r="BF945" s="42"/>
      <c r="BG945" s="42"/>
      <c r="BH945" s="42"/>
      <c r="BI945" s="42"/>
      <c r="BJ945" s="42"/>
      <c r="BK945" s="42"/>
      <c r="BL945" s="42"/>
      <c r="BM945" s="42"/>
      <c r="BN945" s="42"/>
      <c r="BO945" s="42"/>
      <c r="BP945" s="42"/>
      <c r="BQ945" s="42"/>
      <c r="BR945" s="42"/>
      <c r="BS945" s="42"/>
      <c r="BT945" s="42"/>
      <c r="BU945" s="42"/>
      <c r="BV945" s="42"/>
      <c r="BW945" s="42"/>
      <c r="BX945" s="42"/>
      <c r="BY945" s="42"/>
      <c r="BZ945" s="42"/>
      <c r="CA945" s="42"/>
      <c r="CB945" s="42"/>
      <c r="CC945" s="42"/>
      <c r="CD945" s="42"/>
      <c r="CE945" s="42"/>
      <c r="CF945" s="42"/>
      <c r="CG945" s="42"/>
      <c r="CH945" s="42"/>
      <c r="CS945" s="29"/>
      <c r="CT945" s="29"/>
      <c r="CU945" s="29"/>
      <c r="CV945" s="522"/>
      <c r="CW945" s="522"/>
      <c r="CX945" s="211"/>
      <c r="CY945" s="211"/>
      <c r="CZ945" s="211"/>
      <c r="DA945" s="211"/>
      <c r="DB945" s="211"/>
      <c r="DC945" s="211"/>
      <c r="DD945" s="211"/>
      <c r="DE945" s="211"/>
      <c r="DF945" s="60"/>
      <c r="DG945" s="60"/>
      <c r="DH945" s="60"/>
      <c r="DI945" s="60"/>
      <c r="DJ945" s="60"/>
    </row>
    <row r="946" spans="3:114" s="25" customFormat="1">
      <c r="C946" s="24"/>
      <c r="D946" s="24"/>
      <c r="G946" s="57"/>
      <c r="H946" s="57"/>
      <c r="I946" s="57"/>
      <c r="J946" s="57"/>
      <c r="K946" s="57"/>
      <c r="L946" s="57"/>
      <c r="M946" s="57"/>
      <c r="N946" s="57"/>
      <c r="O946" s="57"/>
      <c r="P946" s="57"/>
      <c r="Q946" s="57"/>
      <c r="R946" s="57"/>
      <c r="S946" s="57"/>
      <c r="T946" s="559"/>
      <c r="U946" s="29"/>
      <c r="V946" s="29"/>
      <c r="AJ946" s="1215"/>
      <c r="AK946" s="1142"/>
      <c r="AM946" s="42"/>
      <c r="AN946" s="42"/>
      <c r="AO946" s="42"/>
      <c r="AP946" s="42"/>
      <c r="AQ946" s="42"/>
      <c r="AR946" s="42"/>
      <c r="AS946" s="42"/>
      <c r="AT946" s="42"/>
      <c r="AU946" s="42"/>
      <c r="AV946" s="42"/>
      <c r="AW946" s="42"/>
      <c r="AX946" s="42"/>
      <c r="AY946" s="42"/>
      <c r="AZ946" s="42"/>
      <c r="BA946" s="42"/>
      <c r="BB946" s="42"/>
      <c r="BC946" s="42"/>
      <c r="BD946" s="42"/>
      <c r="BE946" s="42"/>
      <c r="BF946" s="42"/>
      <c r="BG946" s="42"/>
      <c r="BH946" s="42"/>
      <c r="BI946" s="42"/>
      <c r="BJ946" s="42"/>
      <c r="BK946" s="42"/>
      <c r="BL946" s="42"/>
      <c r="BM946" s="42"/>
      <c r="BN946" s="42"/>
      <c r="BO946" s="42"/>
      <c r="BP946" s="42"/>
      <c r="BQ946" s="42"/>
      <c r="BR946" s="42"/>
      <c r="BS946" s="42"/>
      <c r="BT946" s="42"/>
      <c r="BU946" s="42"/>
      <c r="BV946" s="42"/>
      <c r="BW946" s="42"/>
      <c r="BX946" s="42"/>
      <c r="BY946" s="42"/>
      <c r="BZ946" s="42"/>
      <c r="CA946" s="42"/>
      <c r="CB946" s="42"/>
      <c r="CC946" s="42"/>
      <c r="CD946" s="42"/>
      <c r="CE946" s="42"/>
      <c r="CF946" s="42"/>
      <c r="CG946" s="42"/>
      <c r="CH946" s="42"/>
      <c r="CS946" s="29"/>
      <c r="CT946" s="29"/>
      <c r="CU946" s="29"/>
      <c r="CV946" s="522"/>
      <c r="CW946" s="522"/>
      <c r="CX946" s="211"/>
      <c r="CY946" s="211"/>
      <c r="CZ946" s="211"/>
      <c r="DA946" s="211"/>
      <c r="DB946" s="211"/>
      <c r="DC946" s="211"/>
      <c r="DD946" s="211"/>
      <c r="DE946" s="211"/>
      <c r="DF946" s="60"/>
      <c r="DG946" s="60"/>
      <c r="DH946" s="60"/>
      <c r="DI946" s="60"/>
      <c r="DJ946" s="60"/>
    </row>
    <row r="947" spans="3:114" s="25" customFormat="1">
      <c r="C947" s="24"/>
      <c r="D947" s="24"/>
      <c r="G947" s="57"/>
      <c r="H947" s="57"/>
      <c r="I947" s="57"/>
      <c r="J947" s="57"/>
      <c r="K947" s="57"/>
      <c r="L947" s="57"/>
      <c r="M947" s="57"/>
      <c r="N947" s="57"/>
      <c r="O947" s="57"/>
      <c r="P947" s="57"/>
      <c r="Q947" s="57"/>
      <c r="R947" s="57"/>
      <c r="S947" s="57"/>
      <c r="T947" s="559"/>
      <c r="U947" s="29"/>
      <c r="V947" s="29"/>
      <c r="AJ947" s="1215"/>
      <c r="AK947" s="1142"/>
      <c r="AM947" s="42"/>
      <c r="AN947" s="42"/>
      <c r="AO947" s="42"/>
      <c r="AP947" s="42"/>
      <c r="AQ947" s="42"/>
      <c r="AR947" s="42"/>
      <c r="AS947" s="42"/>
      <c r="AT947" s="42"/>
      <c r="AU947" s="42"/>
      <c r="AV947" s="42"/>
      <c r="AW947" s="42"/>
      <c r="AX947" s="42"/>
      <c r="AY947" s="42"/>
      <c r="AZ947" s="42"/>
      <c r="BA947" s="42"/>
      <c r="BB947" s="42"/>
      <c r="BC947" s="42"/>
      <c r="BD947" s="42"/>
      <c r="BE947" s="42"/>
      <c r="BF947" s="42"/>
      <c r="BG947" s="42"/>
      <c r="BH947" s="42"/>
      <c r="BI947" s="42"/>
      <c r="BJ947" s="42"/>
      <c r="BK947" s="42"/>
      <c r="BL947" s="42"/>
      <c r="BM947" s="42"/>
      <c r="BN947" s="42"/>
      <c r="BO947" s="42"/>
      <c r="BP947" s="42"/>
      <c r="BQ947" s="42"/>
      <c r="BR947" s="42"/>
      <c r="BS947" s="42"/>
      <c r="BT947" s="42"/>
      <c r="BU947" s="42"/>
      <c r="BV947" s="42"/>
      <c r="BW947" s="42"/>
      <c r="BX947" s="42"/>
      <c r="BY947" s="42"/>
      <c r="BZ947" s="42"/>
      <c r="CA947" s="42"/>
      <c r="CB947" s="42"/>
      <c r="CC947" s="42"/>
      <c r="CD947" s="42"/>
      <c r="CE947" s="42"/>
      <c r="CF947" s="42"/>
      <c r="CG947" s="42"/>
      <c r="CH947" s="42"/>
      <c r="CS947" s="29"/>
      <c r="CT947" s="29"/>
      <c r="CU947" s="29"/>
      <c r="CV947" s="522"/>
      <c r="CW947" s="522"/>
      <c r="CX947" s="211"/>
      <c r="CY947" s="211"/>
      <c r="CZ947" s="211"/>
      <c r="DA947" s="211"/>
      <c r="DB947" s="211"/>
      <c r="DC947" s="211"/>
      <c r="DD947" s="211"/>
      <c r="DE947" s="211"/>
      <c r="DF947" s="60"/>
      <c r="DG947" s="60"/>
      <c r="DH947" s="60"/>
      <c r="DI947" s="60"/>
      <c r="DJ947" s="60"/>
    </row>
    <row r="948" spans="3:114" s="25" customFormat="1">
      <c r="C948" s="24"/>
      <c r="D948" s="24"/>
      <c r="G948" s="57"/>
      <c r="H948" s="57"/>
      <c r="I948" s="57"/>
      <c r="J948" s="57"/>
      <c r="K948" s="57"/>
      <c r="L948" s="57"/>
      <c r="M948" s="57"/>
      <c r="N948" s="57"/>
      <c r="O948" s="57"/>
      <c r="P948" s="57"/>
      <c r="Q948" s="57"/>
      <c r="R948" s="57"/>
      <c r="S948" s="57"/>
      <c r="T948" s="559"/>
      <c r="U948" s="29"/>
      <c r="V948" s="29"/>
      <c r="AJ948" s="1215"/>
      <c r="AK948" s="1142"/>
      <c r="AM948" s="42"/>
      <c r="AN948" s="42"/>
      <c r="AO948" s="42"/>
      <c r="AP948" s="42"/>
      <c r="AQ948" s="42"/>
      <c r="AR948" s="42"/>
      <c r="AS948" s="42"/>
      <c r="AT948" s="42"/>
      <c r="AU948" s="42"/>
      <c r="AV948" s="42"/>
      <c r="AW948" s="42"/>
      <c r="AX948" s="42"/>
      <c r="AY948" s="42"/>
      <c r="AZ948" s="42"/>
      <c r="BA948" s="42"/>
      <c r="BB948" s="42"/>
      <c r="BC948" s="42"/>
      <c r="BD948" s="42"/>
      <c r="BE948" s="42"/>
      <c r="BF948" s="42"/>
      <c r="BG948" s="42"/>
      <c r="BH948" s="42"/>
      <c r="BI948" s="42"/>
      <c r="BJ948" s="42"/>
      <c r="BK948" s="42"/>
      <c r="BL948" s="42"/>
      <c r="BM948" s="42"/>
      <c r="BN948" s="42"/>
      <c r="BO948" s="42"/>
      <c r="BP948" s="42"/>
      <c r="BQ948" s="42"/>
      <c r="BR948" s="42"/>
      <c r="BS948" s="42"/>
      <c r="BT948" s="42"/>
      <c r="BU948" s="42"/>
      <c r="BV948" s="42"/>
      <c r="BW948" s="42"/>
      <c r="BX948" s="42"/>
      <c r="BY948" s="42"/>
      <c r="BZ948" s="42"/>
      <c r="CA948" s="42"/>
      <c r="CB948" s="42"/>
      <c r="CC948" s="42"/>
      <c r="CD948" s="42"/>
      <c r="CE948" s="42"/>
      <c r="CF948" s="42"/>
      <c r="CG948" s="42"/>
      <c r="CH948" s="42"/>
      <c r="CS948" s="29"/>
      <c r="CT948" s="29"/>
      <c r="CU948" s="29"/>
      <c r="CV948" s="522"/>
      <c r="CW948" s="522"/>
      <c r="CX948" s="211"/>
      <c r="CY948" s="211"/>
      <c r="CZ948" s="211"/>
      <c r="DA948" s="211"/>
      <c r="DB948" s="211"/>
      <c r="DC948" s="211"/>
      <c r="DD948" s="211"/>
      <c r="DE948" s="211"/>
      <c r="DF948" s="60"/>
      <c r="DG948" s="60"/>
      <c r="DH948" s="60"/>
      <c r="DI948" s="60"/>
      <c r="DJ948" s="60"/>
    </row>
    <row r="1000" spans="1:1">
      <c r="A1000" s="29">
        <v>75</v>
      </c>
    </row>
  </sheetData>
  <sheetProtection algorithmName="SHA-512" hashValue="bADythK5zJ2UCqTK3UJFzpNEB8cQ8aNON+3OBFDPj1LKbe9xPseT6J0zvycICTGr1JkR0NHxlK4Q800WMEX6Iw==" saltValue="ZFIPxPiKj44eVAz/BsZ4hQ==" spinCount="100000" sheet="1" objects="1" scenarios="1"/>
  <mergeCells count="102">
    <mergeCell ref="U3:V3"/>
    <mergeCell ref="U4:V4"/>
    <mergeCell ref="U5:V5"/>
    <mergeCell ref="U6:V6"/>
    <mergeCell ref="U7:V7"/>
    <mergeCell ref="H137:P137"/>
    <mergeCell ref="H132:P132"/>
    <mergeCell ref="I215:K215"/>
    <mergeCell ref="I210:K210"/>
    <mergeCell ref="I202:K202"/>
    <mergeCell ref="I195:K195"/>
    <mergeCell ref="I189:K189"/>
    <mergeCell ref="I168:K168"/>
    <mergeCell ref="I179:K179"/>
    <mergeCell ref="I183:K183"/>
    <mergeCell ref="U86:V86"/>
    <mergeCell ref="U182:V182"/>
    <mergeCell ref="C3:C4"/>
    <mergeCell ref="I160:K160"/>
    <mergeCell ref="H105:P105"/>
    <mergeCell ref="H101:P101"/>
    <mergeCell ref="H23:P23"/>
    <mergeCell ref="H4:P4"/>
    <mergeCell ref="H12:P12"/>
    <mergeCell ref="H27:P27"/>
    <mergeCell ref="H33:P33"/>
    <mergeCell ref="H39:P39"/>
    <mergeCell ref="H46:P46"/>
    <mergeCell ref="H54:P54"/>
    <mergeCell ref="H59:P59"/>
    <mergeCell ref="H117:P117"/>
    <mergeCell ref="H82:P82"/>
    <mergeCell ref="H90:P90"/>
    <mergeCell ref="AF125:AF130"/>
    <mergeCell ref="H111:P111"/>
    <mergeCell ref="U10:V10"/>
    <mergeCell ref="U90:AC91"/>
    <mergeCell ref="V112:V113"/>
    <mergeCell ref="H124:P124"/>
    <mergeCell ref="U125:U130"/>
    <mergeCell ref="W125:W130"/>
    <mergeCell ref="X125:X130"/>
    <mergeCell ref="U14:V14"/>
    <mergeCell ref="U15:V15"/>
    <mergeCell ref="U16:V16"/>
    <mergeCell ref="U17:V17"/>
    <mergeCell ref="U18:V18"/>
    <mergeCell ref="U35:W35"/>
    <mergeCell ref="U36:W36"/>
    <mergeCell ref="U21:V21"/>
    <mergeCell ref="U93:V93"/>
    <mergeCell ref="U94:V94"/>
    <mergeCell ref="U95:V95"/>
    <mergeCell ref="U82:V82"/>
    <mergeCell ref="U83:V83"/>
    <mergeCell ref="U84:V84"/>
    <mergeCell ref="U85:V85"/>
    <mergeCell ref="AG181:AI181"/>
    <mergeCell ref="U97:V97"/>
    <mergeCell ref="U96:V96"/>
    <mergeCell ref="U172:V172"/>
    <mergeCell ref="U173:V173"/>
    <mergeCell ref="U174:V174"/>
    <mergeCell ref="U175:V175"/>
    <mergeCell ref="U161:V161"/>
    <mergeCell ref="U162:V162"/>
    <mergeCell ref="U163:V163"/>
    <mergeCell ref="AG125:AG130"/>
    <mergeCell ref="Z125:Z130"/>
    <mergeCell ref="AA125:AA130"/>
    <mergeCell ref="Y125:Y130"/>
    <mergeCell ref="AH125:AH130"/>
    <mergeCell ref="AB125:AB130"/>
    <mergeCell ref="U159:V159"/>
    <mergeCell ref="U160:V160"/>
    <mergeCell ref="AC125:AC130"/>
    <mergeCell ref="U114:W114"/>
    <mergeCell ref="U115:W115"/>
    <mergeCell ref="U168:AD169"/>
    <mergeCell ref="U101:AA102"/>
    <mergeCell ref="U112:U113"/>
    <mergeCell ref="CF15:CF19"/>
    <mergeCell ref="CF4:CF8"/>
    <mergeCell ref="CF82:CF86"/>
    <mergeCell ref="CF93:CF97"/>
    <mergeCell ref="V33:V34"/>
    <mergeCell ref="U22:Y23"/>
    <mergeCell ref="U11:Z12"/>
    <mergeCell ref="U33:U34"/>
    <mergeCell ref="U79:AA80"/>
    <mergeCell ref="Y181:AA181"/>
    <mergeCell ref="AC181:AE181"/>
    <mergeCell ref="AD125:AD130"/>
    <mergeCell ref="AE125:AE130"/>
    <mergeCell ref="U170:V170"/>
    <mergeCell ref="U158:V158"/>
    <mergeCell ref="U171:V171"/>
    <mergeCell ref="U180:X181"/>
    <mergeCell ref="U8:V8"/>
    <mergeCell ref="U19:V19"/>
    <mergeCell ref="U24:V24"/>
    <mergeCell ref="U103:V103"/>
  </mergeCells>
  <phoneticPr fontId="0" type="noConversion"/>
  <conditionalFormatting sqref="F10">
    <cfRule type="cellIs" dxfId="352" priority="1446" stopIfTrue="1" operator="greaterThan">
      <formula>0</formula>
    </cfRule>
  </conditionalFormatting>
  <conditionalFormatting sqref="F18">
    <cfRule type="expression" dxfId="351" priority="77">
      <formula>IF(RIGHT($F$18,1)=" ",1,0)</formula>
    </cfRule>
  </conditionalFormatting>
  <conditionalFormatting sqref="F19">
    <cfRule type="expression" dxfId="350" priority="76">
      <formula>IF(RIGHT($F$19,1)=" ",1,0)</formula>
    </cfRule>
  </conditionalFormatting>
  <conditionalFormatting sqref="F20">
    <cfRule type="expression" dxfId="349" priority="75">
      <formula>IF(RIGHT($F$20,1)=" ",1,0)</formula>
    </cfRule>
  </conditionalFormatting>
  <conditionalFormatting sqref="F21">
    <cfRule type="cellIs" dxfId="348" priority="988" stopIfTrue="1" operator="greaterThan">
      <formula>0</formula>
    </cfRule>
  </conditionalFormatting>
  <conditionalFormatting sqref="F31">
    <cfRule type="cellIs" dxfId="347" priority="851" stopIfTrue="1" operator="greaterThan">
      <formula>0</formula>
    </cfRule>
  </conditionalFormatting>
  <conditionalFormatting sqref="F37">
    <cfRule type="cellIs" dxfId="346" priority="850" stopIfTrue="1" operator="greaterThan">
      <formula>0</formula>
    </cfRule>
  </conditionalFormatting>
  <conditionalFormatting sqref="F44">
    <cfRule type="cellIs" dxfId="345" priority="849" stopIfTrue="1" operator="greaterThan">
      <formula>0</formula>
    </cfRule>
  </conditionalFormatting>
  <conditionalFormatting sqref="F52">
    <cfRule type="cellIs" dxfId="344" priority="848" stopIfTrue="1" operator="greaterThan">
      <formula>0</formula>
    </cfRule>
  </conditionalFormatting>
  <conditionalFormatting sqref="F57">
    <cfRule type="cellIs" dxfId="343" priority="847" stopIfTrue="1" operator="greaterThan">
      <formula>0</formula>
    </cfRule>
  </conditionalFormatting>
  <conditionalFormatting sqref="F63">
    <cfRule type="cellIs" dxfId="342" priority="846" stopIfTrue="1" operator="greaterThan">
      <formula>0</formula>
    </cfRule>
  </conditionalFormatting>
  <conditionalFormatting sqref="F88">
    <cfRule type="cellIs" dxfId="341" priority="1328" stopIfTrue="1" operator="greaterThan">
      <formula>0</formula>
    </cfRule>
  </conditionalFormatting>
  <conditionalFormatting sqref="F99">
    <cfRule type="cellIs" dxfId="340" priority="981" stopIfTrue="1" operator="greaterThan">
      <formula>0</formula>
    </cfRule>
  </conditionalFormatting>
  <conditionalFormatting sqref="F109">
    <cfRule type="cellIs" dxfId="339" priority="1322" stopIfTrue="1" operator="greaterThan">
      <formula>0</formula>
    </cfRule>
  </conditionalFormatting>
  <conditionalFormatting sqref="F115 F122 F130">
    <cfRule type="cellIs" dxfId="338" priority="960" stopIfTrue="1" operator="greaterThan">
      <formula>0</formula>
    </cfRule>
  </conditionalFormatting>
  <conditionalFormatting sqref="F135 F141">
    <cfRule type="cellIs" dxfId="337" priority="958" stopIfTrue="1" operator="greaterThan">
      <formula>0</formula>
    </cfRule>
  </conditionalFormatting>
  <conditionalFormatting sqref="G106:G109">
    <cfRule type="cellIs" dxfId="335" priority="764" operator="greaterThan">
      <formula>0</formula>
    </cfRule>
  </conditionalFormatting>
  <conditionalFormatting sqref="G112:G114">
    <cfRule type="cellIs" dxfId="334" priority="758" operator="greaterThan">
      <formula>0</formula>
    </cfRule>
  </conditionalFormatting>
  <conditionalFormatting sqref="G133:G134">
    <cfRule type="cellIs" dxfId="333" priority="750" operator="greaterThan">
      <formula>0</formula>
    </cfRule>
  </conditionalFormatting>
  <conditionalFormatting sqref="G5:R7">
    <cfRule type="cellIs" dxfId="332" priority="921" operator="greaterThan">
      <formula>0</formula>
    </cfRule>
  </conditionalFormatting>
  <conditionalFormatting sqref="G10:R10">
    <cfRule type="cellIs" dxfId="329" priority="917" operator="greaterThan">
      <formula>0</formula>
    </cfRule>
  </conditionalFormatting>
  <conditionalFormatting sqref="G13:R13">
    <cfRule type="expression" dxfId="328" priority="838">
      <formula>IF(G15&lt;0,1,0)</formula>
    </cfRule>
  </conditionalFormatting>
  <conditionalFormatting sqref="G13:R20">
    <cfRule type="cellIs" dxfId="326" priority="565" operator="greaterThan">
      <formula>0</formula>
    </cfRule>
  </conditionalFormatting>
  <conditionalFormatting sqref="G21:R21">
    <cfRule type="cellIs" dxfId="323" priority="815" operator="greaterThan">
      <formula>0</formula>
    </cfRule>
  </conditionalFormatting>
  <conditionalFormatting sqref="G24:R25">
    <cfRule type="cellIs" dxfId="321" priority="817" operator="greaterThan">
      <formula>0</formula>
    </cfRule>
  </conditionalFormatting>
  <conditionalFormatting sqref="G28:R31">
    <cfRule type="cellIs" dxfId="319" priority="784" operator="greaterThan">
      <formula>0</formula>
    </cfRule>
  </conditionalFormatting>
  <conditionalFormatting sqref="G34:R37">
    <cfRule type="cellIs" dxfId="318" priority="811" operator="greaterThan">
      <formula>0</formula>
    </cfRule>
  </conditionalFormatting>
  <conditionalFormatting sqref="G40:R44">
    <cfRule type="cellIs" dxfId="316" priority="821" operator="greaterThan">
      <formula>0</formula>
    </cfRule>
  </conditionalFormatting>
  <conditionalFormatting sqref="G47:R52">
    <cfRule type="cellIs" dxfId="314" priority="823" operator="greaterThan">
      <formula>0</formula>
    </cfRule>
  </conditionalFormatting>
  <conditionalFormatting sqref="G55:R57">
    <cfRule type="cellIs" dxfId="311" priority="825" operator="greaterThan">
      <formula>0</formula>
    </cfRule>
  </conditionalFormatting>
  <conditionalFormatting sqref="G61:R63">
    <cfRule type="cellIs" dxfId="309" priority="862" operator="greaterThan">
      <formula>0</formula>
    </cfRule>
  </conditionalFormatting>
  <conditionalFormatting sqref="G88:R88">
    <cfRule type="cellIs" dxfId="308" priority="793" operator="greaterThan">
      <formula>0</formula>
    </cfRule>
  </conditionalFormatting>
  <conditionalFormatting sqref="G91:R92 H96:R98">
    <cfRule type="cellIs" dxfId="307" priority="1228" stopIfTrue="1" operator="greaterThan">
      <formula>0</formula>
    </cfRule>
  </conditionalFormatting>
  <conditionalFormatting sqref="G93:R93">
    <cfRule type="cellIs" dxfId="306" priority="827" operator="lessThan">
      <formula>0</formula>
    </cfRule>
    <cfRule type="cellIs" dxfId="305" priority="828" operator="greaterThan">
      <formula>0</formula>
    </cfRule>
  </conditionalFormatting>
  <conditionalFormatting sqref="G99:R99">
    <cfRule type="cellIs" dxfId="304" priority="809" operator="greaterThan">
      <formula>0</formula>
    </cfRule>
  </conditionalFormatting>
  <conditionalFormatting sqref="G102:R102">
    <cfRule type="cellIs" dxfId="303" priority="1223" stopIfTrue="1" operator="greaterThan">
      <formula>0</formula>
    </cfRule>
  </conditionalFormatting>
  <conditionalFormatting sqref="G103:R103">
    <cfRule type="cellIs" dxfId="302" priority="807" operator="greaterThan">
      <formula>0</formula>
    </cfRule>
  </conditionalFormatting>
  <conditionalFormatting sqref="G115:R115">
    <cfRule type="cellIs" dxfId="301" priority="803" operator="greaterThan">
      <formula>0</formula>
    </cfRule>
  </conditionalFormatting>
  <conditionalFormatting sqref="G118:R121">
    <cfRule type="cellIs" dxfId="300" priority="418" stopIfTrue="1" operator="greaterThan">
      <formula>0</formula>
    </cfRule>
  </conditionalFormatting>
  <conditionalFormatting sqref="G122:R122">
    <cfRule type="cellIs" dxfId="299" priority="801" operator="greaterThan">
      <formula>0</formula>
    </cfRule>
  </conditionalFormatting>
  <conditionalFormatting sqref="G125:R129">
    <cfRule type="cellIs" dxfId="298" priority="417" stopIfTrue="1" operator="greaterThan">
      <formula>0</formula>
    </cfRule>
  </conditionalFormatting>
  <conditionalFormatting sqref="G130:R130">
    <cfRule type="cellIs" dxfId="297" priority="799" operator="greaterThan">
      <formula>0</formula>
    </cfRule>
  </conditionalFormatting>
  <conditionalFormatting sqref="G135:R135">
    <cfRule type="cellIs" dxfId="296" priority="797" operator="greaterThan">
      <formula>0</formula>
    </cfRule>
  </conditionalFormatting>
  <conditionalFormatting sqref="G139:R140">
    <cfRule type="cellIs" dxfId="295" priority="1216" stopIfTrue="1" operator="greaterThan">
      <formula>0</formula>
    </cfRule>
  </conditionalFormatting>
  <conditionalFormatting sqref="G141:R141">
    <cfRule type="cellIs" dxfId="294" priority="795" operator="greaterThan">
      <formula>0</formula>
    </cfRule>
  </conditionalFormatting>
  <conditionalFormatting sqref="H101:P101">
    <cfRule type="expression" dxfId="293" priority="956">
      <formula>IF($G101="undo",1,0)</formula>
    </cfRule>
  </conditionalFormatting>
  <conditionalFormatting sqref="H111:P111">
    <cfRule type="expression" dxfId="292" priority="954">
      <formula>IF($G111="undo",1,0)</formula>
    </cfRule>
  </conditionalFormatting>
  <conditionalFormatting sqref="H4:Q4">
    <cfRule type="expression" dxfId="291" priority="997">
      <formula>IF($G$4="undo",1,0)</formula>
    </cfRule>
  </conditionalFormatting>
  <conditionalFormatting sqref="H23:Q23">
    <cfRule type="expression" dxfId="290" priority="979">
      <formula>IF($G$23="undo",1,0)</formula>
    </cfRule>
  </conditionalFormatting>
  <conditionalFormatting sqref="H27:Q27">
    <cfRule type="expression" dxfId="289" priority="978">
      <formula>IF($G$27="undo",1,0)</formula>
    </cfRule>
  </conditionalFormatting>
  <conditionalFormatting sqref="H33:Q33">
    <cfRule type="expression" dxfId="288" priority="977">
      <formula>IF($G$33="undo",1,0)</formula>
    </cfRule>
  </conditionalFormatting>
  <conditionalFormatting sqref="H39:Q39">
    <cfRule type="expression" dxfId="287" priority="976">
      <formula>IF($G$39="undo",1,0)</formula>
    </cfRule>
  </conditionalFormatting>
  <conditionalFormatting sqref="H46:Q46">
    <cfRule type="expression" dxfId="286" priority="975">
      <formula>IF($G$46="undo",1,0)</formula>
    </cfRule>
  </conditionalFormatting>
  <conditionalFormatting sqref="H54:Q54">
    <cfRule type="expression" dxfId="285" priority="974">
      <formula>IF($G$54="undo",1,0)</formula>
    </cfRule>
  </conditionalFormatting>
  <conditionalFormatting sqref="H59:Q59">
    <cfRule type="expression" dxfId="284" priority="973">
      <formula>IF($G$59="undo",1,0)</formula>
    </cfRule>
  </conditionalFormatting>
  <conditionalFormatting sqref="H82:Q82">
    <cfRule type="expression" dxfId="283" priority="972">
      <formula>IF($G82="undo",1,0)</formula>
    </cfRule>
  </conditionalFormatting>
  <conditionalFormatting sqref="H90:Q90">
    <cfRule type="expression" dxfId="282" priority="948">
      <formula>IF($G90="undo",1,0)</formula>
    </cfRule>
  </conditionalFormatting>
  <conditionalFormatting sqref="H105:Q105">
    <cfRule type="expression" dxfId="281" priority="947">
      <formula>IF($G105="undo",1,0)</formula>
    </cfRule>
  </conditionalFormatting>
  <conditionalFormatting sqref="H117:Q117">
    <cfRule type="expression" dxfId="280" priority="946">
      <formula>IF($G117="undo",1,0)</formula>
    </cfRule>
  </conditionalFormatting>
  <conditionalFormatting sqref="H124:Q124">
    <cfRule type="expression" dxfId="279" priority="945">
      <formula>IF($G124="undo",1,0)</formula>
    </cfRule>
  </conditionalFormatting>
  <conditionalFormatting sqref="H132:Q132">
    <cfRule type="expression" dxfId="278" priority="944">
      <formula>IF($G132="undo",1,0)</formula>
    </cfRule>
  </conditionalFormatting>
  <conditionalFormatting sqref="H137:Q137">
    <cfRule type="expression" dxfId="277" priority="943">
      <formula>IF($G137="undo",1,0)</formula>
    </cfRule>
  </conditionalFormatting>
  <conditionalFormatting sqref="H12:R12">
    <cfRule type="expression" dxfId="276" priority="980">
      <formula>IF($G$12="undo",1,0)</formula>
    </cfRule>
  </conditionalFormatting>
  <conditionalFormatting sqref="H15:R15">
    <cfRule type="cellIs" dxfId="274" priority="922" operator="lessThan">
      <formula>0</formula>
    </cfRule>
  </conditionalFormatting>
  <conditionalFormatting sqref="H83:R84 G83:G87">
    <cfRule type="cellIs" dxfId="273" priority="782" operator="greaterThan">
      <formula>0</formula>
    </cfRule>
  </conditionalFormatting>
  <conditionalFormatting sqref="H85:R87">
    <cfRule type="cellIs" dxfId="272" priority="441" stopIfTrue="1" operator="greaterThan">
      <formula>0</formula>
    </cfRule>
  </conditionalFormatting>
  <conditionalFormatting sqref="H95:R95 G95:G98">
    <cfRule type="cellIs" dxfId="271" priority="776" operator="greaterThan">
      <formula>0</formula>
    </cfRule>
  </conditionalFormatting>
  <conditionalFormatting sqref="H106:R108">
    <cfRule type="cellIs" dxfId="270" priority="1231" stopIfTrue="1" operator="greaterThan">
      <formula>0</formula>
    </cfRule>
  </conditionalFormatting>
  <conditionalFormatting sqref="H109:R109">
    <cfRule type="cellIs" dxfId="269" priority="805" operator="greaterThan">
      <formula>0</formula>
    </cfRule>
  </conditionalFormatting>
  <conditionalFormatting sqref="H112:R114">
    <cfRule type="cellIs" dxfId="268" priority="1230" stopIfTrue="1" operator="greaterThan">
      <formula>0</formula>
    </cfRule>
  </conditionalFormatting>
  <conditionalFormatting sqref="H133:R134">
    <cfRule type="cellIs" dxfId="267" priority="1071" stopIfTrue="1" operator="greaterThan">
      <formula>0</formula>
    </cfRule>
  </conditionalFormatting>
  <conditionalFormatting sqref="I189">
    <cfRule type="expression" dxfId="266" priority="4248">
      <formula>IF($C$228=1,1,0)</formula>
    </cfRule>
  </conditionalFormatting>
  <conditionalFormatting sqref="I157:K157 L160:L162 L168:L170 L183:L185 L189:L192 L195:L197 L202:L204 L210:L212 L215:L217">
    <cfRule type="expression" dxfId="265" priority="1043">
      <formula>IF(#REF!="undo",1,0)</formula>
    </cfRule>
  </conditionalFormatting>
  <conditionalFormatting sqref="I160:K160">
    <cfRule type="expression" dxfId="263" priority="4260">
      <formula>IF($C224=1,1,0)</formula>
    </cfRule>
  </conditionalFormatting>
  <conditionalFormatting sqref="I161:K166">
    <cfRule type="cellIs" dxfId="262" priority="438" operator="greaterThan">
      <formula>0</formula>
    </cfRule>
    <cfRule type="cellIs" dxfId="261" priority="439" stopIfTrue="1" operator="greaterThan">
      <formula>0</formula>
    </cfRule>
  </conditionalFormatting>
  <conditionalFormatting sqref="I168:K168">
    <cfRule type="expression" dxfId="260" priority="4257">
      <formula>IF(E225=1,1,0)</formula>
    </cfRule>
  </conditionalFormatting>
  <conditionalFormatting sqref="I169:K169">
    <cfRule type="cellIs" dxfId="259" priority="554" operator="greaterThan">
      <formula>0</formula>
    </cfRule>
  </conditionalFormatting>
  <conditionalFormatting sqref="I171:K171">
    <cfRule type="cellIs" dxfId="258" priority="571" operator="greaterThan">
      <formula>0</formula>
    </cfRule>
    <cfRule type="cellIs" dxfId="257" priority="572" operator="lessThan">
      <formula>0</formula>
    </cfRule>
  </conditionalFormatting>
  <conditionalFormatting sqref="I173:K173">
    <cfRule type="cellIs" dxfId="256" priority="1302" stopIfTrue="1" operator="greaterThan">
      <formula>0</formula>
    </cfRule>
    <cfRule type="cellIs" dxfId="255" priority="1040" operator="greaterThan">
      <formula>0</formula>
    </cfRule>
  </conditionalFormatting>
  <conditionalFormatting sqref="I174:K177 I184:K187 I217:K219">
    <cfRule type="cellIs" dxfId="254" priority="1297" stopIfTrue="1" operator="greaterThan">
      <formula>0</formula>
    </cfRule>
  </conditionalFormatting>
  <conditionalFormatting sqref="I179:K179">
    <cfRule type="expression" dxfId="253" priority="4254">
      <formula>IF(E226=1,1,0)</formula>
    </cfRule>
  </conditionalFormatting>
  <conditionalFormatting sqref="I181:K181">
    <cfRule type="cellIs" dxfId="252" priority="1285" stopIfTrue="1" operator="greaterThan">
      <formula>0</formula>
    </cfRule>
  </conditionalFormatting>
  <conditionalFormatting sqref="I183:K183">
    <cfRule type="expression" dxfId="251" priority="4251">
      <formula>IF($C$227=1,1,0)</formula>
    </cfRule>
  </conditionalFormatting>
  <conditionalFormatting sqref="I190:K190 J190:K192 I191:I193">
    <cfRule type="cellIs" dxfId="250" priority="1295" stopIfTrue="1" operator="greaterThan">
      <formula>0</formula>
    </cfRule>
  </conditionalFormatting>
  <conditionalFormatting sqref="I195:K195">
    <cfRule type="expression" dxfId="249" priority="4245">
      <formula>IF(C229=1,1,0)</formula>
    </cfRule>
  </conditionalFormatting>
  <conditionalFormatting sqref="I196:K200">
    <cfRule type="cellIs" dxfId="248" priority="1017" operator="greaterThan">
      <formula>0</formula>
    </cfRule>
  </conditionalFormatting>
  <conditionalFormatting sqref="I202:K202">
    <cfRule type="expression" dxfId="247" priority="4242">
      <formula>IF(E230=1,1,0)</formula>
    </cfRule>
  </conditionalFormatting>
  <conditionalFormatting sqref="I203:K208">
    <cfRule type="cellIs" dxfId="246" priority="942" operator="greaterThan">
      <formula>0</formula>
    </cfRule>
  </conditionalFormatting>
  <conditionalFormatting sqref="I210:K210">
    <cfRule type="expression" dxfId="245" priority="4239">
      <formula>IF(C231=1,1,0)</formula>
    </cfRule>
  </conditionalFormatting>
  <conditionalFormatting sqref="I211:K213">
    <cfRule type="cellIs" dxfId="244" priority="1012" operator="greaterThan">
      <formula>0</formula>
    </cfRule>
  </conditionalFormatting>
  <conditionalFormatting sqref="I215:K215">
    <cfRule type="expression" dxfId="243" priority="4236">
      <formula>IF(C232=1,1,0)</formula>
    </cfRule>
  </conditionalFormatting>
  <conditionalFormatting sqref="Q101">
    <cfRule type="expression" dxfId="241" priority="970">
      <formula>IF($G$4="undo",1,0)</formula>
    </cfRule>
  </conditionalFormatting>
  <conditionalFormatting sqref="Q111">
    <cfRule type="expression" dxfId="240" priority="968">
      <formula>IF($G$4="undo",1,0)</formula>
    </cfRule>
  </conditionalFormatting>
  <conditionalFormatting sqref="T92:T93 T169:T171">
    <cfRule type="expression" dxfId="239" priority="3493">
      <formula>IF(BB101=-1,1,0)</formula>
    </cfRule>
  </conditionalFormatting>
  <conditionalFormatting sqref="T94:T98">
    <cfRule type="expression" dxfId="238" priority="2412">
      <formula>IF(BB104=-1,1,0)</formula>
    </cfRule>
  </conditionalFormatting>
  <conditionalFormatting sqref="T99:T100 T176:AG177">
    <cfRule type="expression" dxfId="237" priority="2417">
      <formula>IF(BB107=-1,1,0)</formula>
    </cfRule>
  </conditionalFormatting>
  <conditionalFormatting sqref="T101:T104 T136 T179:T182 T214">
    <cfRule type="expression" dxfId="236" priority="1472">
      <formula>IF(BB104=-1,1,0)</formula>
    </cfRule>
  </conditionalFormatting>
  <conditionalFormatting sqref="T112:T115 T132:T134 T138 T190:T193 T210:T212 T216">
    <cfRule type="expression" dxfId="235" priority="1477">
      <formula>IF(BB116=-1,1,0)</formula>
    </cfRule>
  </conditionalFormatting>
  <conditionalFormatting sqref="T118:T122 T139:T140 T196:T200">
    <cfRule type="expression" dxfId="234" priority="1473">
      <formula>IF(BB123=-1,1,0)</formula>
    </cfRule>
  </conditionalFormatting>
  <conditionalFormatting sqref="T125 T161:T165 T203">
    <cfRule type="expression" dxfId="233" priority="1479">
      <formula>IF(BB131=-1,1,0)</formula>
    </cfRule>
  </conditionalFormatting>
  <conditionalFormatting sqref="T135 T141 T166 T213 T219">
    <cfRule type="expression" dxfId="232" priority="2459">
      <formula>IF(#REF!=-1,1,0)</formula>
    </cfRule>
  </conditionalFormatting>
  <conditionalFormatting sqref="T172:T175">
    <cfRule type="expression" dxfId="231" priority="1478">
      <formula>IF(BB182=-1,1,0)</formula>
    </cfRule>
  </conditionalFormatting>
  <conditionalFormatting sqref="T217:T218">
    <cfRule type="expression" dxfId="230" priority="3600">
      <formula>IF(BB222=-1,1,0)</formula>
    </cfRule>
  </conditionalFormatting>
  <conditionalFormatting sqref="T147:AJ147">
    <cfRule type="expression" dxfId="229" priority="4232">
      <formula>IF(BB109=-1,1,0)</formula>
    </cfRule>
  </conditionalFormatting>
  <conditionalFormatting sqref="U3:U7 W3:Y7">
    <cfRule type="cellIs" dxfId="228" priority="398" operator="greaterThan">
      <formula>0</formula>
    </cfRule>
  </conditionalFormatting>
  <conditionalFormatting sqref="U14:U18">
    <cfRule type="cellIs" dxfId="227" priority="64" operator="greaterThan">
      <formula>0</formula>
    </cfRule>
    <cfRule type="cellIs" dxfId="226" priority="65" operator="notEqual">
      <formula>0</formula>
    </cfRule>
  </conditionalFormatting>
  <conditionalFormatting sqref="U82:U86">
    <cfRule type="cellIs" dxfId="225" priority="50" operator="notEqual">
      <formula>0</formula>
    </cfRule>
    <cfRule type="cellIs" dxfId="224" priority="49" operator="greaterThan">
      <formula>0</formula>
    </cfRule>
  </conditionalFormatting>
  <conditionalFormatting sqref="U93:U97">
    <cfRule type="cellIs" dxfId="223" priority="34" operator="greaterThan">
      <formula>0</formula>
    </cfRule>
    <cfRule type="cellIs" dxfId="222" priority="35" operator="notEqual">
      <formula>0</formula>
    </cfRule>
  </conditionalFormatting>
  <conditionalFormatting sqref="U159:U163">
    <cfRule type="cellIs" dxfId="221" priority="24" operator="greaterThan">
      <formula>0</formula>
    </cfRule>
    <cfRule type="cellIs" dxfId="220" priority="25" operator="notEqual">
      <formula>0</formula>
    </cfRule>
  </conditionalFormatting>
  <conditionalFormatting sqref="U171:U175">
    <cfRule type="cellIs" dxfId="219" priority="9" operator="greaterThan">
      <formula>0</formula>
    </cfRule>
    <cfRule type="cellIs" dxfId="218" priority="10" operator="notEqual">
      <formula>0</formula>
    </cfRule>
  </conditionalFormatting>
  <conditionalFormatting sqref="U125:V125">
    <cfRule type="expression" dxfId="217" priority="3864">
      <formula>IF(BB131=-1,1,0)</formula>
    </cfRule>
  </conditionalFormatting>
  <conditionalFormatting sqref="U164:AE164 U165:AF165">
    <cfRule type="expression" dxfId="216" priority="2410">
      <formula>IF(BC170=-1,1,0)</formula>
    </cfRule>
  </conditionalFormatting>
  <conditionalFormatting sqref="V25:V33">
    <cfRule type="cellIs" dxfId="215" priority="87" operator="greaterThan">
      <formula>0</formula>
    </cfRule>
  </conditionalFormatting>
  <conditionalFormatting sqref="V104:V111">
    <cfRule type="cellIs" dxfId="213" priority="80" operator="greaterThan">
      <formula>0</formula>
    </cfRule>
  </conditionalFormatting>
  <conditionalFormatting sqref="V112">
    <cfRule type="expression" dxfId="211" priority="3885">
      <formula>IF($V$112&gt;$AJ$113,1,0)</formula>
    </cfRule>
    <cfRule type="cellIs" dxfId="210" priority="3886" operator="greaterThan">
      <formula>0</formula>
    </cfRule>
  </conditionalFormatting>
  <conditionalFormatting sqref="W82:W86">
    <cfRule type="cellIs" dxfId="209" priority="646" operator="notEqual">
      <formula>0</formula>
    </cfRule>
  </conditionalFormatting>
  <conditionalFormatting sqref="W93:W97">
    <cfRule type="cellIs" dxfId="208" priority="631" operator="notEqual">
      <formula>0</formula>
    </cfRule>
  </conditionalFormatting>
  <conditionalFormatting sqref="W3:Z3 Y4:Z7 U3:U7 W3:W7">
    <cfRule type="cellIs" dxfId="207" priority="734" operator="notEqual">
      <formula>0</formula>
    </cfRule>
  </conditionalFormatting>
  <conditionalFormatting sqref="W159:Z163">
    <cfRule type="cellIs" dxfId="206" priority="3894" operator="greaterThan">
      <formula>0</formula>
    </cfRule>
  </conditionalFormatting>
  <conditionalFormatting sqref="W93:AA97 Y171:AC175 AC14:AC18 W171:W175">
    <cfRule type="cellIs" dxfId="205" priority="4177" operator="notEqual">
      <formula>0</formula>
    </cfRule>
  </conditionalFormatting>
  <conditionalFormatting sqref="W125:AH125">
    <cfRule type="expression" dxfId="204" priority="3822">
      <formula>IF(BC131=-1,1,0)</formula>
    </cfRule>
  </conditionalFormatting>
  <conditionalFormatting sqref="X3:X5 X7 X14:X18 X82:X86 X93:X97 X159:X163 X171:X175">
    <cfRule type="expression" dxfId="203" priority="635">
      <formula>IF(OR(AND($X3&lt;$CA$2,$X3&lt;&gt;0),AND($X3&gt;$CB$2,$AA3=$CB$1),AND($X3&gt;$CC$2,$AA3=$CC$1)),1,0)</formula>
    </cfRule>
  </conditionalFormatting>
  <conditionalFormatting sqref="X6">
    <cfRule type="expression" dxfId="202" priority="4184">
      <formula>IF(OR(AND($X6&lt;$CA$2,$X6&lt;&gt;0),AND($X6&gt;$CB$2,$AA6=$CB$1),AND($X6&gt;$CC$2,$AA6=$CC$1)),1,0)</formula>
    </cfRule>
  </conditionalFormatting>
  <conditionalFormatting sqref="X171:X175 AA192 AE192 AI192 AG191">
    <cfRule type="cellIs" dxfId="201" priority="1184" operator="greaterThan">
      <formula>0</formula>
    </cfRule>
  </conditionalFormatting>
  <conditionalFormatting sqref="X14:AA18">
    <cfRule type="cellIs" dxfId="200" priority="355" operator="greaterThan">
      <formula>0</formula>
    </cfRule>
  </conditionalFormatting>
  <conditionalFormatting sqref="X82:AA86">
    <cfRule type="cellIs" dxfId="199" priority="3606" operator="greaterThan">
      <formula>0</formula>
    </cfRule>
  </conditionalFormatting>
  <conditionalFormatting sqref="X25:AI32">
    <cfRule type="cellIs" dxfId="198" priority="470" operator="greaterThan">
      <formula>0</formula>
    </cfRule>
  </conditionalFormatting>
  <conditionalFormatting sqref="X33:AI34">
    <cfRule type="cellIs" dxfId="197" priority="2" operator="greaterThan">
      <formula>0</formula>
    </cfRule>
  </conditionalFormatting>
  <conditionalFormatting sqref="X104:AI113">
    <cfRule type="cellIs" dxfId="196" priority="79" operator="greaterThan">
      <formula>0</formula>
    </cfRule>
  </conditionalFormatting>
  <conditionalFormatting sqref="X112:AI112">
    <cfRule type="expression" dxfId="195" priority="4265">
      <formula>IF(AND($V$112&gt;$AJ$113,SUM($X$112:$AI$112)&gt;0),1,0)</formula>
    </cfRule>
  </conditionalFormatting>
  <conditionalFormatting sqref="Y3:Y5 Y7 Y14:Y18">
    <cfRule type="expression" dxfId="194" priority="409">
      <formula>IF(AND($X3&gt;0,$Y3=0),1,0)</formula>
    </cfRule>
  </conditionalFormatting>
  <conditionalFormatting sqref="Y82:Y86">
    <cfRule type="expression" dxfId="193" priority="341">
      <formula>IF(AND($X82&gt;0,$Y82=0),1,0)</formula>
    </cfRule>
  </conditionalFormatting>
  <conditionalFormatting sqref="Y93:Y97">
    <cfRule type="expression" dxfId="192" priority="301">
      <formula>IF(AND($X93&gt;0,$Y93=0),1,0)</formula>
    </cfRule>
  </conditionalFormatting>
  <conditionalFormatting sqref="Y151">
    <cfRule type="expression" dxfId="191" priority="3882">
      <formula>IF(AA185=-1,1,0)</formula>
    </cfRule>
  </conditionalFormatting>
  <conditionalFormatting sqref="Y159:Y163">
    <cfRule type="expression" dxfId="190" priority="258">
      <formula>IF(AND($X159&gt;0,$Y159=0),1,0)</formula>
    </cfRule>
  </conditionalFormatting>
  <conditionalFormatting sqref="Y171:Y175">
    <cfRule type="expression" dxfId="189" priority="286">
      <formula>IF(AND($X171&gt;0,$Y171=0),1,0)</formula>
    </cfRule>
  </conditionalFormatting>
  <conditionalFormatting sqref="Y183">
    <cfRule type="cellIs" dxfId="188" priority="508" operator="greaterThan">
      <formula>0</formula>
    </cfRule>
  </conditionalFormatting>
  <conditionalFormatting sqref="Y185 Y187">
    <cfRule type="cellIs" dxfId="187" priority="170" operator="greaterThan">
      <formula>0</formula>
    </cfRule>
  </conditionalFormatting>
  <conditionalFormatting sqref="Y189">
    <cfRule type="cellIs" dxfId="186" priority="178" operator="greaterThan">
      <formula>0</formula>
    </cfRule>
  </conditionalFormatting>
  <conditionalFormatting sqref="Y191">
    <cfRule type="cellIs" dxfId="184" priority="498" operator="greaterThan">
      <formula>0</formula>
    </cfRule>
  </conditionalFormatting>
  <conditionalFormatting sqref="Y61:Z63">
    <cfRule type="expression" dxfId="183" priority="3605">
      <formula>IF(#REF!=-1,1,0)</formula>
    </cfRule>
  </conditionalFormatting>
  <conditionalFormatting sqref="Y73:Z73">
    <cfRule type="expression" dxfId="182" priority="4234">
      <formula>IF(Y99=-1,1,0)</formula>
    </cfRule>
  </conditionalFormatting>
  <conditionalFormatting sqref="Y74:Z74">
    <cfRule type="expression" dxfId="181" priority="4235">
      <formula>IF(Z109=-1,1,0)</formula>
    </cfRule>
  </conditionalFormatting>
  <conditionalFormatting sqref="Y75:Z75">
    <cfRule type="expression" dxfId="180" priority="3837">
      <formula>IF(Z119=-1,1,0)</formula>
    </cfRule>
  </conditionalFormatting>
  <conditionalFormatting sqref="Y76:Z76">
    <cfRule type="expression" dxfId="179" priority="3836">
      <formula>IF(#REF!=-1,1,0)</formula>
    </cfRule>
  </conditionalFormatting>
  <conditionalFormatting sqref="Y152:Z152">
    <cfRule type="expression" dxfId="178" priority="3867">
      <formula>IF(Y196=-1,1,0)</formula>
    </cfRule>
  </conditionalFormatting>
  <conditionalFormatting sqref="Y153:Z153">
    <cfRule type="expression" dxfId="177" priority="2531">
      <formula>IF(#REF!=-1,1,0)</formula>
    </cfRule>
  </conditionalFormatting>
  <conditionalFormatting sqref="Y154:Z154">
    <cfRule type="expression" dxfId="176" priority="1094">
      <formula>IF(Y205=-1,1,0)</formula>
    </cfRule>
  </conditionalFormatting>
  <conditionalFormatting sqref="Y229:Z229">
    <cfRule type="expression" dxfId="175" priority="1056">
      <formula>IF(Y254=-1,1,0)</formula>
    </cfRule>
  </conditionalFormatting>
  <conditionalFormatting sqref="Y230:Z230">
    <cfRule type="expression" dxfId="174" priority="1058">
      <formula>IF(Y264=-1,1,0)</formula>
    </cfRule>
  </conditionalFormatting>
  <conditionalFormatting sqref="Y231:Z231">
    <cfRule type="expression" dxfId="173" priority="1060">
      <formula>IF(Y270=-1,1,0)</formula>
    </cfRule>
  </conditionalFormatting>
  <conditionalFormatting sqref="Y232:Z232">
    <cfRule type="expression" dxfId="172" priority="1062">
      <formula>IF(Y277=-1,1,0)</formula>
    </cfRule>
  </conditionalFormatting>
  <conditionalFormatting sqref="Z14:Z18 Z3:Z7">
    <cfRule type="expression" dxfId="171" priority="396">
      <formula>IF(AND($X3&gt;0,$Z3=""),1,0)</formula>
    </cfRule>
  </conditionalFormatting>
  <conditionalFormatting sqref="Z82:Z86">
    <cfRule type="expression" dxfId="170" priority="335">
      <formula>IF(AND($X82&gt;0,$Z82=""),1,0)</formula>
    </cfRule>
  </conditionalFormatting>
  <conditionalFormatting sqref="Z93:Z97">
    <cfRule type="expression" dxfId="169" priority="309">
      <formula>IF(AND($X93&gt;0,$Z93=""),1,0)</formula>
    </cfRule>
  </conditionalFormatting>
  <conditionalFormatting sqref="Z151">
    <cfRule type="expression" dxfId="168" priority="3884">
      <formula>IF(AE185=-1,1,0)</formula>
    </cfRule>
  </conditionalFormatting>
  <conditionalFormatting sqref="Z159:Z163">
    <cfRule type="expression" dxfId="167" priority="251">
      <formula>IF(AND($X159&gt;0,$Z159=""),1,0)</formula>
    </cfRule>
  </conditionalFormatting>
  <conditionalFormatting sqref="Z171:Z175">
    <cfRule type="expression" dxfId="166" priority="279">
      <formula>IF(AND($X171&gt;0,$Z171=""),1,0)</formula>
    </cfRule>
  </conditionalFormatting>
  <conditionalFormatting sqref="Z184">
    <cfRule type="cellIs" dxfId="165" priority="507" operator="greaterThan">
      <formula>0</formula>
    </cfRule>
    <cfRule type="expression" dxfId="164" priority="176">
      <formula>IF(_xlfn.XOR($Y$183=0,$Z$184=0),1,0)</formula>
    </cfRule>
  </conditionalFormatting>
  <conditionalFormatting sqref="Z186 Z188">
    <cfRule type="cellIs" dxfId="163" priority="169" operator="greaterThan">
      <formula>0</formula>
    </cfRule>
  </conditionalFormatting>
  <conditionalFormatting sqref="Z186">
    <cfRule type="expression" dxfId="162" priority="149">
      <formula>IF(_xlfn.XOR($Y$185=0,$Z$186=0),1,0)</formula>
    </cfRule>
  </conditionalFormatting>
  <conditionalFormatting sqref="Z188">
    <cfRule type="expression" dxfId="161" priority="148">
      <formula>IF(_xlfn.XOR($Y$187=0,$Z$188=0),1,0)</formula>
    </cfRule>
  </conditionalFormatting>
  <conditionalFormatting sqref="Z190">
    <cfRule type="expression" dxfId="160" priority="177">
      <formula>IF(_xlfn.XOR($Y$189=0,$Z$190=0),1,0)</formula>
    </cfRule>
  </conditionalFormatting>
  <conditionalFormatting sqref="Z192">
    <cfRule type="expression" dxfId="159" priority="3896">
      <formula>IF(_xlfn.XOR($Y$191=0,$Z$192=0),1,0)</formula>
    </cfRule>
    <cfRule type="expression" dxfId="158" priority="145">
      <formula>IF($Z$192&gt;$AB$192,1,0)</formula>
    </cfRule>
  </conditionalFormatting>
  <conditionalFormatting sqref="Z3:AC7">
    <cfRule type="cellIs" dxfId="157" priority="722" operator="notEqual">
      <formula>0</formula>
    </cfRule>
  </conditionalFormatting>
  <conditionalFormatting sqref="AA3:AA7">
    <cfRule type="expression" dxfId="156" priority="395">
      <formula>IF(AND($AA3="",$X3&gt;0),1,0)</formula>
    </cfRule>
  </conditionalFormatting>
  <conditionalFormatting sqref="AA4">
    <cfRule type="expression" dxfId="155" priority="394">
      <formula>IF(AND($X4&gt;0,$Z4=""),1,0)</formula>
    </cfRule>
  </conditionalFormatting>
  <conditionalFormatting sqref="AA14:AA18">
    <cfRule type="expression" dxfId="154" priority="397">
      <formula>IF(AND($AA14="",$X14&gt;0),1,0)</formula>
    </cfRule>
  </conditionalFormatting>
  <conditionalFormatting sqref="AA82:AA86">
    <cfRule type="expression" dxfId="153" priority="327">
      <formula>IF(AND($AA82="",$X82&gt;0),1,0)</formula>
    </cfRule>
  </conditionalFormatting>
  <conditionalFormatting sqref="AA93:AA97">
    <cfRule type="expression" dxfId="152" priority="303">
      <formula>IF(AND($AA93="",$X93&gt;0),1,0)</formula>
    </cfRule>
  </conditionalFormatting>
  <conditionalFormatting sqref="AA159:AA163">
    <cfRule type="expression" dxfId="151" priority="244">
      <formula>IF(AND($AA159="",$X159&gt;0),1,0)</formula>
    </cfRule>
  </conditionalFormatting>
  <conditionalFormatting sqref="AA171:AA175">
    <cfRule type="expression" dxfId="150" priority="272">
      <formula>IF(AND($AA171="",$X171&gt;0),1,0)</formula>
    </cfRule>
  </conditionalFormatting>
  <conditionalFormatting sqref="AA192">
    <cfRule type="expression" dxfId="149" priority="135">
      <formula>IF(AND($Z$192&gt;$AB$192,$AA$192&gt;0),1,0)</formula>
    </cfRule>
  </conditionalFormatting>
  <conditionalFormatting sqref="AA159:AC163">
    <cfRule type="cellIs" dxfId="148" priority="609" operator="notEqual">
      <formula>0</formula>
    </cfRule>
  </conditionalFormatting>
  <conditionalFormatting sqref="AB82:AC86">
    <cfRule type="cellIs" dxfId="147" priority="639" operator="notEqual">
      <formula>0</formula>
    </cfRule>
  </conditionalFormatting>
  <conditionalFormatting sqref="AB93:AC97">
    <cfRule type="cellIs" dxfId="146" priority="625" operator="notEqual">
      <formula>0</formula>
    </cfRule>
  </conditionalFormatting>
  <conditionalFormatting sqref="AC189 AC183 AC185 AC187 AC191">
    <cfRule type="cellIs" dxfId="145" priority="150" operator="greaterThan">
      <formula>0</formula>
    </cfRule>
  </conditionalFormatting>
  <conditionalFormatting sqref="AD3:AD7 AD14:AD18 AD82:AD86 AD93:AD97 AD159:AD163">
    <cfRule type="expression" dxfId="143" priority="4170">
      <formula>IF(OR(AD3=$CD$1,AD3=$CD$2,AD3=$CA$3),1,0)</formula>
    </cfRule>
  </conditionalFormatting>
  <conditionalFormatting sqref="AD171:AD175">
    <cfRule type="expression" dxfId="142" priority="4168">
      <formula>IF(OR(AD171=$CD$1,AD171=$CD$2,AD171=$CA$3),1,0)</formula>
    </cfRule>
  </conditionalFormatting>
  <conditionalFormatting sqref="AD172">
    <cfRule type="expression" dxfId="141" priority="4169">
      <formula>IF(OR($AD$172=$CD$1,$AD$172=$CD$2,$AD$172=$CA$3),1,0)</formula>
    </cfRule>
  </conditionalFormatting>
  <conditionalFormatting sqref="AD184">
    <cfRule type="expression" dxfId="140" priority="154">
      <formula>IF(_xlfn.XOR($AC$183=0,$AD$184=0),1,0)</formula>
    </cfRule>
  </conditionalFormatting>
  <conditionalFormatting sqref="AD186">
    <cfRule type="expression" dxfId="139" priority="153">
      <formula>IF(_xlfn.XOR($AC$185=0,$AD$186=0),1,0)</formula>
    </cfRule>
  </conditionalFormatting>
  <conditionalFormatting sqref="AD188">
    <cfRule type="expression" dxfId="138" priority="152">
      <formula>IF(_xlfn.XOR($AC$187=0,$AD$188=0),1,0)</formula>
    </cfRule>
  </conditionalFormatting>
  <conditionalFormatting sqref="AD190">
    <cfRule type="expression" dxfId="137" priority="151">
      <formula>IF(_xlfn.XOR($AC$189=0,$AD$190=0),1,0)</formula>
    </cfRule>
    <cfRule type="cellIs" dxfId="136" priority="156" operator="greaterThan">
      <formula>0</formula>
    </cfRule>
  </conditionalFormatting>
  <conditionalFormatting sqref="AD192">
    <cfRule type="expression" dxfId="135" priority="146">
      <formula>IF($AD$192&gt;$AF$192,1,0)</formula>
    </cfRule>
    <cfRule type="expression" dxfId="134" priority="147">
      <formula>IF(_xlfn.XOR($AC$191=0,$AD$192=0),1,0)</formula>
    </cfRule>
  </conditionalFormatting>
  <conditionalFormatting sqref="AE192">
    <cfRule type="expression" dxfId="133" priority="133">
      <formula>IF(AND($AD$192&gt;$AF$192,$AE$192&gt;0),1,0)</formula>
    </cfRule>
  </conditionalFormatting>
  <conditionalFormatting sqref="AG183">
    <cfRule type="cellIs" dxfId="132" priority="5" operator="greaterThan">
      <formula>0</formula>
    </cfRule>
  </conditionalFormatting>
  <conditionalFormatting sqref="AG189">
    <cfRule type="cellIs" dxfId="131" priority="6" operator="greaterThan">
      <formula>0</formula>
    </cfRule>
  </conditionalFormatting>
  <conditionalFormatting sqref="AH183:AH190">
    <cfRule type="cellIs" dxfId="129" priority="422" operator="greaterThan">
      <formula>0</formula>
    </cfRule>
  </conditionalFormatting>
  <conditionalFormatting sqref="AH184">
    <cfRule type="expression" dxfId="128" priority="142">
      <formula>IF(_xlfn.XOR($AG$183=0,$AH$184=0),1,0)</formula>
    </cfRule>
  </conditionalFormatting>
  <conditionalFormatting sqref="AH186">
    <cfRule type="expression" dxfId="127" priority="141">
      <formula>IF(_xlfn.XOR($AG$185=0,$AH$186=0),1,0)</formula>
    </cfRule>
  </conditionalFormatting>
  <conditionalFormatting sqref="AH188">
    <cfRule type="expression" dxfId="126" priority="140">
      <formula>IF(_xlfn.XOR($AG$187=0,$AH$188=0),1,0)</formula>
    </cfRule>
  </conditionalFormatting>
  <conditionalFormatting sqref="AH190">
    <cfRule type="expression" dxfId="124" priority="143">
      <formula>IF(_xlfn.XOR($AG$189=0,$AH$190=0),1,0)</formula>
    </cfRule>
  </conditionalFormatting>
  <conditionalFormatting sqref="AH192">
    <cfRule type="expression" dxfId="123" priority="3897">
      <formula>IF($AH$192&gt;$AJ$192,1,0)</formula>
    </cfRule>
  </conditionalFormatting>
  <conditionalFormatting sqref="AI183">
    <cfRule type="cellIs" dxfId="121" priority="463" operator="greaterThan">
      <formula>0</formula>
    </cfRule>
  </conditionalFormatting>
  <conditionalFormatting sqref="AI185">
    <cfRule type="cellIs" dxfId="120" priority="460" operator="greaterThan">
      <formula>0</formula>
    </cfRule>
  </conditionalFormatting>
  <conditionalFormatting sqref="AI187">
    <cfRule type="cellIs" dxfId="119" priority="457" operator="greaterThan">
      <formula>0</formula>
    </cfRule>
  </conditionalFormatting>
  <conditionalFormatting sqref="AI189">
    <cfRule type="cellIs" dxfId="118" priority="421" operator="greaterThan">
      <formula>0</formula>
    </cfRule>
  </conditionalFormatting>
  <conditionalFormatting sqref="AI192">
    <cfRule type="expression" dxfId="117" priority="132">
      <formula>IF(AND($AH$192&gt;$AJ$192,$AI$192&gt;0),1,0)</formula>
    </cfRule>
  </conditionalFormatting>
  <conditionalFormatting sqref="AL4:AL63">
    <cfRule type="cellIs" dxfId="116" priority="126" operator="greaterThan">
      <formula>0</formula>
    </cfRule>
  </conditionalFormatting>
  <conditionalFormatting sqref="AL80:AL141">
    <cfRule type="cellIs" dxfId="115" priority="102" operator="greaterThan">
      <formula>0</formula>
    </cfRule>
  </conditionalFormatting>
  <conditionalFormatting sqref="AL159:AL219">
    <cfRule type="notContainsBlanks" dxfId="114" priority="925" stopIfTrue="1">
      <formula>LEN(TRIM(AL159))&gt;0</formula>
    </cfRule>
  </conditionalFormatting>
  <dataValidations disablePrompts="1" count="3">
    <dataValidation type="list" allowBlank="1" showInputMessage="1" showErrorMessage="1" sqref="Z14:Z18 Z82:Z86 Z3:Z7 Z93:Z97" xr:uid="{A7F6BF79-F52C-4A74-9ED3-E641ED58CD19}">
      <formula1>$G$2:$R$2</formula1>
    </dataValidation>
    <dataValidation type="list" allowBlank="1" showInputMessage="1" showErrorMessage="1" sqref="AA14:AA18 AA159:AA163 AA82:AA86 AA93:AA97 AA3:AA7 AA171:AA175" xr:uid="{494397C6-4978-4D11-85BA-DC04DFD41E63}">
      <formula1>$CB$1:$CC$1</formula1>
    </dataValidation>
    <dataValidation type="list" allowBlank="1" showInputMessage="1" showErrorMessage="1" sqref="Z159:Z163 Z171:Z175" xr:uid="{11E435FD-6D4C-47EE-9F79-3CAF04BA6BAB}">
      <formula1>$X$176:$Z$176</formula1>
    </dataValidation>
  </dataValidations>
  <printOptions horizontalCentered="1" verticalCentered="1"/>
  <pageMargins left="0.82677165354330717" right="0.82677165354330717" top="0.78740157480314965" bottom="0.31496062992125984" header="0.51181102362204722" footer="0.11811023622047245"/>
  <pageSetup paperSize="9" scale="50" fitToHeight="3" orientation="landscape" horizontalDpi="300" verticalDpi="300" r:id="rId1"/>
  <headerFooter alignWithMargins="0">
    <oddHeader>&amp;L&amp;G&amp;C&amp;36Betriebskosten|Cost&amp;R&amp;G</oddHeader>
    <oddFooter>&amp;L&amp;"Verdana,Standard"&amp;9&amp;F / &amp;A&amp;C&amp;"Verdana,Standard"&amp;9Seite &amp;P von &amp;N&amp;R&amp;"Verdana,Standard"&amp;9© 2026 Juergen Erlewein</oddFooter>
  </headerFooter>
  <rowBreaks count="2" manualBreakCount="2">
    <brk id="78" min="4" max="18" man="1"/>
    <brk id="156" min="4" max="18" man="1"/>
  </rowBreaks>
  <ignoredErrors>
    <ignoredError sqref="F233 AJ185:AJ188 AF184:AF188 AB185:AB188 AF190 F181 F219 Z158 S67 S143 F172 X191 W184:X184 W186 X189:X190 W185 W187:W188 X185:X188 AF182 G221:H221 S15 CN31 F8 S93 U185 U187 W27 W29 AJ24 AJ27 AJ30 F94" formula="1"/>
    <ignoredError sqref="F17:F21 F10" unlockedFormula="1"/>
    <ignoredError sqref="F141 F135" formula="1" unlockedFormula="1"/>
  </ignoredErrors>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expression" priority="437" id="{6670C998-D8CA-4906-9342-DD28AE044B49}">
            <xm:f>IF(AND(Basisdaten!$D$15&gt;G$2,G15&gt;0),1,0)</xm:f>
            <x14:dxf>
              <fill>
                <patternFill>
                  <bgColor rgb="FFFFFF00"/>
                </patternFill>
              </fill>
            </x14:dxf>
          </x14:cfRule>
          <xm:sqref>G15</xm:sqref>
        </x14:conditionalFormatting>
        <x14:conditionalFormatting xmlns:xm="http://schemas.microsoft.com/office/excel/2006/main">
          <x14:cfRule type="expression" priority="74" id="{E87D3D14-996A-4528-A441-96D508FEA89D}">
            <xm:f>IF(AND(Basisdaten!$D$15&gt;G$2,G5&gt;0),1,0)</xm:f>
            <x14:dxf>
              <fill>
                <patternFill>
                  <bgColor rgb="FFFFFF00"/>
                </patternFill>
              </fill>
            </x14:dxf>
          </x14:cfRule>
          <xm:sqref>G5:R7</xm:sqref>
        </x14:conditionalFormatting>
        <x14:conditionalFormatting xmlns:xm="http://schemas.microsoft.com/office/excel/2006/main">
          <x14:cfRule type="expression" priority="812" id="{D1307ADF-4E87-49E2-A2D6-8EE7FEC00A09}">
            <xm:f>IF(AND(Basisdaten!$D$15&gt;G$2,G9&gt;0),1,0)</xm:f>
            <x14:dxf>
              <fill>
                <patternFill>
                  <bgColor rgb="FFFFFF00"/>
                </patternFill>
              </fill>
            </x14:dxf>
          </x14:cfRule>
          <xm:sqref>G9:R10</xm:sqref>
        </x14:conditionalFormatting>
        <x14:conditionalFormatting xmlns:xm="http://schemas.microsoft.com/office/excel/2006/main">
          <x14:cfRule type="expression" priority="914" id="{4F0C46B7-936B-4A14-9760-D340B3B11669}">
            <xm:f>IF(AND(Basisdaten!$D$15&gt;G$2,G13&gt;0),1,0)</xm:f>
            <x14:dxf>
              <fill>
                <patternFill>
                  <bgColor rgb="FFFFFF00"/>
                </patternFill>
              </fill>
            </x14:dxf>
          </x14:cfRule>
          <xm:sqref>G13:R14</xm:sqref>
        </x14:conditionalFormatting>
        <x14:conditionalFormatting xmlns:xm="http://schemas.microsoft.com/office/excel/2006/main">
          <x14:cfRule type="expression" priority="436" id="{4599D7AE-0F59-47D8-B6FC-DE7A8696C044}">
            <xm:f>IF(AND(Basisdaten!$D$15&gt;G$2,G16&gt;0),1,0)</xm:f>
            <x14:dxf>
              <fill>
                <patternFill>
                  <bgColor rgb="FFFFFF00"/>
                </patternFill>
              </fill>
            </x14:dxf>
          </x14:cfRule>
          <xm:sqref>G16:R16</xm:sqref>
        </x14:conditionalFormatting>
        <x14:conditionalFormatting xmlns:xm="http://schemas.microsoft.com/office/excel/2006/main">
          <x14:cfRule type="expression" priority="814" id="{725FAC60-F3D2-4C5F-B7EB-B16E2EDD4301}">
            <xm:f>IF(AND(Basisdaten!$D$15&gt;G$2,G17&gt;0),1,0)</xm:f>
            <x14:dxf>
              <fill>
                <patternFill>
                  <bgColor rgb="FFFFFF00"/>
                </patternFill>
              </fill>
            </x14:dxf>
          </x14:cfRule>
          <xm:sqref>G17:R21</xm:sqref>
        </x14:conditionalFormatting>
        <x14:conditionalFormatting xmlns:xm="http://schemas.microsoft.com/office/excel/2006/main">
          <x14:cfRule type="expression" priority="816" id="{7393A380-9370-49BF-88A4-938455D77CD3}">
            <xm:f>IF(AND(Basisdaten!$D$15&gt;G$2,G24&gt;0),1,0)</xm:f>
            <x14:dxf>
              <fill>
                <patternFill>
                  <bgColor rgb="FFFFFF00"/>
                </patternFill>
              </fill>
            </x14:dxf>
          </x14:cfRule>
          <xm:sqref>G24:R25</xm:sqref>
        </x14:conditionalFormatting>
        <x14:conditionalFormatting xmlns:xm="http://schemas.microsoft.com/office/excel/2006/main">
          <x14:cfRule type="expression" priority="783" id="{B6DBE9A7-6802-43F2-8CD7-CE2E3781E366}">
            <xm:f>IF(AND(Basisdaten!$D$15&gt;G$2,G28&gt;0),1,0)</xm:f>
            <x14:dxf>
              <fill>
                <patternFill>
                  <bgColor rgb="FFFFFF00"/>
                </patternFill>
              </fill>
            </x14:dxf>
          </x14:cfRule>
          <xm:sqref>G28:R31</xm:sqref>
        </x14:conditionalFormatting>
        <x14:conditionalFormatting xmlns:xm="http://schemas.microsoft.com/office/excel/2006/main">
          <x14:cfRule type="expression" priority="810" id="{8471EBC8-82CB-4AB7-8566-8F082876411B}">
            <xm:f>IF(AND(Basisdaten!$D$15&gt;G$2,G34&gt;0),1,0)</xm:f>
            <x14:dxf>
              <fill>
                <patternFill>
                  <bgColor rgb="FFFFFF00"/>
                </patternFill>
              </fill>
            </x14:dxf>
          </x14:cfRule>
          <xm:sqref>G34:R37</xm:sqref>
        </x14:conditionalFormatting>
        <x14:conditionalFormatting xmlns:xm="http://schemas.microsoft.com/office/excel/2006/main">
          <x14:cfRule type="expression" priority="820" id="{A28A6554-D0A7-4AFD-80F4-02E9343B78AB}">
            <xm:f>IF(AND(Basisdaten!$D$15&gt;G$2,G40&gt;0),1,0)</xm:f>
            <x14:dxf>
              <fill>
                <patternFill>
                  <bgColor rgb="FFFFFF00"/>
                </patternFill>
              </fill>
            </x14:dxf>
          </x14:cfRule>
          <xm:sqref>G40:R44</xm:sqref>
        </x14:conditionalFormatting>
        <x14:conditionalFormatting xmlns:xm="http://schemas.microsoft.com/office/excel/2006/main">
          <x14:cfRule type="expression" priority="822" id="{641DF608-28AB-439C-9A13-C585A7A360AB}">
            <xm:f>IF(AND(Basisdaten!$D$15&gt;G$2,G47&gt;0),1,0)</xm:f>
            <x14:dxf>
              <fill>
                <patternFill>
                  <bgColor rgb="FFFFFF00"/>
                </patternFill>
              </fill>
            </x14:dxf>
          </x14:cfRule>
          <xm:sqref>G47:R52</xm:sqref>
        </x14:conditionalFormatting>
        <x14:conditionalFormatting xmlns:xm="http://schemas.microsoft.com/office/excel/2006/main">
          <x14:cfRule type="expression" priority="824" id="{F6320BFF-DD66-491C-8585-C0D817CF366A}">
            <xm:f>IF(AND(Basisdaten!$D$15&gt;G$2,G55&gt;0),1,0)</xm:f>
            <x14:dxf>
              <fill>
                <patternFill>
                  <bgColor rgb="FFFFFF00"/>
                </patternFill>
              </fill>
            </x14:dxf>
          </x14:cfRule>
          <xm:sqref>G55:R57</xm:sqref>
        </x14:conditionalFormatting>
        <x14:conditionalFormatting xmlns:xm="http://schemas.microsoft.com/office/excel/2006/main">
          <x14:cfRule type="expression" priority="861" id="{5CEFAE92-350B-4872-9523-F316167EB699}">
            <xm:f>IF(AND(Basisdaten!$D$15&gt;G$2,G61&gt;0),1,0)</xm:f>
            <x14:dxf>
              <fill>
                <patternFill>
                  <bgColor rgb="FFFFFF00"/>
                </patternFill>
              </fill>
            </x14:dxf>
          </x14:cfRule>
          <xm:sqref>G61:R63</xm:sqref>
        </x14:conditionalFormatting>
        <x14:conditionalFormatting xmlns:xm="http://schemas.microsoft.com/office/excel/2006/main">
          <x14:cfRule type="expression" priority="913" id="{E16C2CED-C959-42EB-98CC-C5118B0353EC}">
            <xm:f>IF(AND(Basisdaten!$D$15&gt;H$2,H15&gt;0),1,0)</xm:f>
            <x14:dxf>
              <fill>
                <patternFill>
                  <bgColor rgb="FFFFFF00"/>
                </patternFill>
              </fill>
            </x14:dxf>
          </x14:cfRule>
          <xm:sqref>H15:R15</xm:sqref>
        </x14:conditionalFormatting>
        <x14:conditionalFormatting xmlns:xm="http://schemas.microsoft.com/office/excel/2006/main">
          <x14:cfRule type="expression" priority="435" id="{E029EA8D-9AA2-4F84-A1A0-D8D2A52B779B}">
            <xm:f>IF(Basisdaten!$G$15=Basisdaten!$U$22,1,0)</xm:f>
            <x14:dxf>
              <font>
                <color theme="0"/>
              </font>
            </x14:dxf>
          </x14:cfRule>
          <xm:sqref>I158:K158</xm:sqref>
        </x14:conditionalFormatting>
        <x14:conditionalFormatting xmlns:xm="http://schemas.microsoft.com/office/excel/2006/main">
          <x14:cfRule type="expression" priority="910" id="{C4D926AE-58AC-4C13-864E-2177F20FF911}">
            <xm:f>IF(AND(Basisdaten!$D$15&gt;L$2,L19&gt;0),1,0)</xm:f>
            <x14:dxf>
              <fill>
                <patternFill>
                  <bgColor rgb="FFFFFF00"/>
                </patternFill>
              </fill>
            </x14:dxf>
          </x14:cfRule>
          <xm:sqref>L19:L20</xm:sqref>
        </x14:conditionalFormatting>
        <x14:conditionalFormatting xmlns:xm="http://schemas.microsoft.com/office/excel/2006/main">
          <x14:cfRule type="expression" priority="3" id="{40C5BE49-9374-4301-B150-74EC20AAE082}">
            <xm:f>IF(AND(OR('0 Daten|Data'!$D$7=Basisdaten!$U$31,'0 Daten|Data'!$D$7:$E$7=""),$V$31&gt;0),1,0)</xm:f>
            <x14:dxf>
              <font>
                <color theme="0"/>
              </font>
              <fill>
                <patternFill>
                  <bgColor rgb="FFFF0000"/>
                </patternFill>
              </fill>
            </x14:dxf>
          </x14:cfRule>
          <xm:sqref>V31 X31:AI31</xm:sqref>
        </x14:conditionalFormatting>
        <x14:conditionalFormatting xmlns:xm="http://schemas.microsoft.com/office/excel/2006/main">
          <x14:cfRule type="expression" priority="4" id="{5A2E4A6D-B8A4-4DDB-AE8B-927E8A63A8FD}">
            <xm:f>IF(AND(OR('0 Daten|Data'!$D$7=Basisdaten!$U$31,'0 Daten|Data'!$D$7=""),$V$110&gt;0),1,0)</xm:f>
            <x14:dxf>
              <font>
                <color theme="0"/>
              </font>
              <fill>
                <patternFill>
                  <bgColor rgb="FFFF0000"/>
                </patternFill>
              </fill>
            </x14:dxf>
          </x14:cfRule>
          <xm:sqref>V110 X110:AI110</xm:sqref>
        </x14:conditionalFormatting>
        <x14:conditionalFormatting xmlns:xm="http://schemas.microsoft.com/office/excel/2006/main">
          <x14:cfRule type="expression" priority="8" id="{E8ED32D4-B3B7-48D4-A740-EDAF0CB9E589}">
            <xm:f>IF(AND(OR('0 Daten|Data'!$D$7=Basisdaten!$U$31,'0 Daten|Data'!$D$7=""),$Y$189&gt;0),1,0)</xm:f>
            <x14:dxf>
              <font>
                <color theme="0"/>
              </font>
              <fill>
                <patternFill>
                  <bgColor rgb="FFFF0000"/>
                </patternFill>
              </fill>
            </x14:dxf>
          </x14:cfRule>
          <xm:sqref>Y189</xm:sqref>
        </x14:conditionalFormatting>
        <x14:conditionalFormatting xmlns:xm="http://schemas.microsoft.com/office/excel/2006/main">
          <x14:cfRule type="expression" priority="7" id="{6FDE85DF-928B-485A-AACC-102E44D460A4}">
            <xm:f>IF(AND(OR('0 Daten|Data'!$D$7=Basisdaten!$U$31,'0 Daten|Data'!$D$7:$E$7=""),$AC$189&gt;0),1,0)</xm:f>
            <x14:dxf>
              <font>
                <color theme="0"/>
              </font>
              <fill>
                <patternFill>
                  <bgColor rgb="FFFF0000"/>
                </patternFill>
              </fill>
            </x14:dxf>
          </x14:cfRule>
          <xm:sqref>AC189</xm:sqref>
        </x14:conditionalFormatting>
        <x14:conditionalFormatting xmlns:xm="http://schemas.microsoft.com/office/excel/2006/main">
          <x14:cfRule type="expression" priority="1" id="{797A0FC1-F82F-4F2B-B637-4061D3ACBAC4}">
            <xm:f>IF(AND(OR('0 Daten|Data'!$D$7=Basisdaten!$U$31,'0 Daten|Data'!$D$7:$E$7=""),$AG$189&gt;0),1,0)</xm:f>
            <x14:dxf>
              <font>
                <color theme="0"/>
              </font>
              <fill>
                <patternFill>
                  <bgColor rgb="FFFF0000"/>
                </patternFill>
              </fill>
            </x14:dxf>
          </x14:cfRule>
          <xm:sqref>AG189</xm:sqref>
        </x14:conditionalFormatting>
        <x14:conditionalFormatting xmlns:xm="http://schemas.microsoft.com/office/excel/2006/main">
          <x14:cfRule type="expression" priority="420" id="{6EED03B6-7F70-4066-B5F6-9BCCD105BAB8}">
            <xm:f>IF(AND(Basisdaten!$E$15=Basisdaten!$U$31,$AH$189&gt;0),1,0)</xm:f>
            <x14:dxf>
              <font>
                <color theme="0"/>
              </font>
              <fill>
                <patternFill>
                  <bgColor rgb="FFFF0000"/>
                </patternFill>
              </fill>
            </x14:dxf>
          </x14:cfRule>
          <xm:sqref>AH189</xm:sqref>
        </x14:conditionalFormatting>
        <x14:conditionalFormatting xmlns:xm="http://schemas.microsoft.com/office/excel/2006/main">
          <x14:cfRule type="expression" priority="419" id="{845747B0-9B1D-4A37-8550-98390107392F}">
            <xm:f>IF(AND(Basisdaten!$U$31=Basisdaten!$E$15,$AH$189&gt;0),1,0)</xm:f>
            <x14:dxf>
              <font>
                <color theme="0"/>
              </font>
              <fill>
                <patternFill>
                  <bgColor rgb="FFFF0000"/>
                </patternFill>
              </fill>
            </x14:dxf>
          </x14:cfRule>
          <xm:sqref>AH189:AI189</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CD7DBB23-6F0E-4487-9B99-B800ECB4F103}">
          <x14:formula1>
            <xm:f>Basisdaten!$O$38:$O$40</xm:f>
          </x14:formula1>
          <xm:sqref>C61:C63 C13:C21 C5:C10 C28:C31 C34:C37 C40:C44 C47:C52 C55:C57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435A8-965C-44E4-93D2-32DDB1209807}">
  <sheetPr codeName="Tabelle9">
    <pageSetUpPr fitToPage="1"/>
  </sheetPr>
  <dimension ref="A1:IC1000"/>
  <sheetViews>
    <sheetView showGridLines="0" zoomScale="75" zoomScaleNormal="75" workbookViewId="0">
      <selection activeCell="A2" sqref="A2"/>
    </sheetView>
  </sheetViews>
  <sheetFormatPr baseColWidth="10" defaultColWidth="11.44140625" defaultRowHeight="13.8"/>
  <cols>
    <col min="1" max="1" width="6.109375" style="68" customWidth="1"/>
    <col min="2" max="2" width="3.44140625" style="68" customWidth="1"/>
    <col min="3" max="3" width="5" style="71" customWidth="1"/>
    <col min="4" max="4" width="24.77734375" style="71" customWidth="1"/>
    <col min="5" max="5" width="10.6640625" style="125" customWidth="1"/>
    <col min="6" max="6" width="7.6640625" style="71" customWidth="1"/>
    <col min="7" max="7" width="7.6640625" style="125" customWidth="1"/>
    <col min="8" max="8" width="12.77734375" style="86" customWidth="1"/>
    <col min="9" max="9" width="12.77734375" style="71" customWidth="1"/>
    <col min="10" max="10" width="10.6640625" style="71" customWidth="1"/>
    <col min="11" max="12" width="7.6640625" style="125" customWidth="1"/>
    <col min="13" max="13" width="12.77734375" style="86" customWidth="1"/>
    <col min="14" max="14" width="12.77734375" style="71" customWidth="1"/>
    <col min="15" max="15" width="10.6640625" style="71" customWidth="1"/>
    <col min="16" max="17" width="7.6640625" style="71" customWidth="1"/>
    <col min="18" max="18" width="12.77734375" style="86" customWidth="1"/>
    <col min="19" max="19" width="12.77734375" style="71" customWidth="1"/>
    <col min="20" max="20" width="10.6640625" style="124" customWidth="1"/>
    <col min="21" max="21" width="7.6640625" style="124" customWidth="1"/>
    <col min="22" max="22" width="7.6640625" style="71" customWidth="1"/>
    <col min="23" max="23" width="12.77734375" style="86" customWidth="1"/>
    <col min="24" max="24" width="12.77734375" style="71" customWidth="1"/>
    <col min="25" max="25" width="10.6640625" style="124" customWidth="1"/>
    <col min="26" max="26" width="7.6640625" style="124" customWidth="1"/>
    <col min="27" max="27" width="7.6640625" style="71" customWidth="1"/>
    <col min="28" max="28" width="12.77734375" style="124" customWidth="1"/>
    <col min="29" max="59" width="12.77734375" style="68" customWidth="1"/>
    <col min="60" max="78" width="12.77734375" style="71" customWidth="1"/>
    <col min="79" max="98" width="12.77734375" style="71" hidden="1" customWidth="1"/>
    <col min="99" max="100" width="56.6640625" style="71" hidden="1" customWidth="1"/>
    <col min="101" max="101" width="71.21875" style="71" hidden="1" customWidth="1"/>
    <col min="102" max="104" width="12.77734375" style="71" hidden="1" customWidth="1"/>
    <col min="105" max="106" width="12.77734375" style="296" customWidth="1"/>
    <col min="107" max="122" width="12.77734375" style="112" customWidth="1"/>
    <col min="123" max="129" width="12.77734375" style="71" customWidth="1"/>
    <col min="130" max="192" width="12.6640625" style="71" customWidth="1"/>
    <col min="193" max="16384" width="11.44140625" style="71"/>
  </cols>
  <sheetData>
    <row r="1" spans="1:128" ht="9.9" customHeight="1">
      <c r="C1" s="130" t="s">
        <v>1028</v>
      </c>
      <c r="O1" s="425"/>
      <c r="BI1" s="107"/>
    </row>
    <row r="2" spans="1:128" s="423" customFormat="1" ht="24.75" customHeight="1">
      <c r="A2" s="336" t="s">
        <v>507</v>
      </c>
      <c r="C2" s="424" t="str">
        <f ca="1">$CU$2</f>
        <v>4 Investitionen (ohne MwSt) für die Jahre 2026 - 2030</v>
      </c>
      <c r="D2" s="300"/>
      <c r="E2" s="426"/>
      <c r="F2" s="300"/>
      <c r="G2" s="426"/>
      <c r="H2" s="427"/>
      <c r="I2" s="300"/>
      <c r="J2" s="300"/>
      <c r="K2" s="426"/>
      <c r="L2" s="426"/>
      <c r="M2" s="427"/>
      <c r="N2" s="425"/>
      <c r="O2" s="425"/>
      <c r="P2" s="425"/>
      <c r="Q2" s="425"/>
      <c r="R2" s="427"/>
      <c r="T2" s="425"/>
      <c r="U2" s="425"/>
      <c r="V2" s="425"/>
      <c r="W2" s="427"/>
      <c r="X2" s="425"/>
      <c r="Y2" s="425"/>
      <c r="Z2" s="425"/>
      <c r="AR2" s="98"/>
      <c r="AS2" s="239"/>
      <c r="AT2" s="239"/>
      <c r="AU2" s="239"/>
      <c r="AV2" s="98"/>
      <c r="AW2" s="98"/>
      <c r="AX2" s="98"/>
      <c r="AY2" s="239"/>
      <c r="AZ2" s="239"/>
      <c r="BA2" s="239"/>
      <c r="BB2" s="98"/>
      <c r="BC2" s="98"/>
      <c r="BD2" s="98"/>
      <c r="BE2" s="239"/>
      <c r="BF2" s="239"/>
      <c r="BG2" s="239"/>
      <c r="BI2" s="507"/>
      <c r="CN2" s="71"/>
      <c r="CO2" s="71"/>
      <c r="CR2" s="38" t="s">
        <v>1006</v>
      </c>
      <c r="CU2" s="428" t="str">
        <f ca="1">IF(Basisdaten!$B$15="English",CW2,CV2)</f>
        <v>4 Investitionen (ohne MwSt) für die Jahre 2026 - 2030</v>
      </c>
      <c r="CV2" s="305" t="str">
        <f ca="1">"4 Investitionen" &amp;Basisdaten!$L$15&amp; "für die Jahre "&amp; Basisdaten!$C$15&amp;" - "&amp; Basisdaten!$C$15+4</f>
        <v>4 Investitionen (ohne MwSt) für die Jahre 2026 - 2030</v>
      </c>
      <c r="CW2" s="117" t="str">
        <f ca="1">"4  Investment of Compound Items"&amp;Basisdaten!$L$15&amp;"for year "&amp; Basisdaten!$C$15&amp;" - "&amp; Basisdaten!$C$15+4</f>
        <v>4  Investment of Compound Items (ohne MwSt) for year 2026 - 2030</v>
      </c>
      <c r="CY2" s="429"/>
      <c r="CZ2" s="429"/>
      <c r="DD2" s="117"/>
      <c r="DR2" s="430"/>
      <c r="DS2" s="429"/>
      <c r="DT2" s="429"/>
      <c r="DU2" s="429"/>
      <c r="DV2" s="429"/>
      <c r="DW2" s="429"/>
      <c r="DX2" s="429"/>
    </row>
    <row r="3" spans="1:128" s="431" customFormat="1" ht="9.9" customHeight="1">
      <c r="A3" s="65"/>
      <c r="C3" s="432"/>
      <c r="D3" s="433"/>
      <c r="E3" s="434"/>
      <c r="F3" s="433"/>
      <c r="G3" s="433"/>
      <c r="H3" s="435"/>
      <c r="I3" s="433"/>
      <c r="J3" s="434"/>
      <c r="K3" s="433"/>
      <c r="L3" s="433"/>
      <c r="N3" s="433"/>
      <c r="O3" s="434"/>
      <c r="P3" s="433"/>
      <c r="Q3" s="433"/>
      <c r="S3" s="433"/>
      <c r="T3" s="433"/>
      <c r="U3" s="433"/>
      <c r="V3" s="433"/>
      <c r="W3" s="436"/>
      <c r="X3" s="433"/>
      <c r="Y3" s="433"/>
      <c r="Z3" s="433"/>
      <c r="AA3" s="433"/>
      <c r="AB3" s="65"/>
      <c r="AR3" s="65"/>
      <c r="AS3" s="437"/>
      <c r="AT3" s="437"/>
      <c r="AU3" s="437"/>
      <c r="AV3" s="65"/>
      <c r="AW3" s="65"/>
      <c r="AX3" s="65"/>
      <c r="AY3" s="437"/>
      <c r="AZ3" s="53"/>
      <c r="BA3" s="53"/>
      <c r="BB3" s="53"/>
      <c r="BC3" s="53"/>
      <c r="BD3" s="53"/>
      <c r="BE3" s="53"/>
      <c r="BF3" s="53"/>
      <c r="BG3" s="437"/>
      <c r="BI3" s="235"/>
      <c r="CO3" s="71"/>
      <c r="CP3" s="438"/>
      <c r="CQ3" s="438"/>
      <c r="CU3" s="428" t="str">
        <f>IF(Basisdaten!$B$15="English",CW3,CV3)</f>
        <v>Investmonat</v>
      </c>
      <c r="CV3" s="305" t="s">
        <v>349</v>
      </c>
      <c r="CW3" s="117" t="s">
        <v>551</v>
      </c>
      <c r="CY3" s="438"/>
      <c r="CZ3" s="438"/>
      <c r="DD3" s="439"/>
      <c r="DE3" s="439"/>
      <c r="DF3" s="439"/>
      <c r="DG3" s="439"/>
      <c r="DH3" s="439"/>
      <c r="DI3" s="439"/>
      <c r="DJ3" s="439"/>
      <c r="DK3" s="439"/>
      <c r="DL3" s="439"/>
      <c r="DM3" s="439"/>
      <c r="DN3" s="439"/>
      <c r="DO3" s="439"/>
      <c r="DP3" s="439"/>
      <c r="DQ3" s="439"/>
      <c r="DR3" s="439"/>
      <c r="DS3" s="438"/>
      <c r="DT3" s="438"/>
      <c r="DU3" s="438"/>
      <c r="DV3" s="438"/>
      <c r="DW3" s="438"/>
      <c r="DX3" s="438"/>
    </row>
    <row r="4" spans="1:128" s="123" customFormat="1" ht="32.1" customHeight="1">
      <c r="B4" s="440"/>
      <c r="C4" s="441" t="s">
        <v>186</v>
      </c>
      <c r="D4" s="474" t="str">
        <f>CU4</f>
        <v>Investitionenen</v>
      </c>
      <c r="E4" s="443" t="str">
        <f ca="1">$CU$6&amp;" "&amp;Basisdaten!$C$15</f>
        <v>Betrag 2026</v>
      </c>
      <c r="F4" s="518" t="str">
        <f>CU3</f>
        <v>Investmonat</v>
      </c>
      <c r="G4" s="518" t="str">
        <f>CU8</f>
        <v>Jahre Absch.</v>
      </c>
      <c r="H4" s="2286" t="str">
        <f>D4</f>
        <v>Investitionenen</v>
      </c>
      <c r="I4" s="2287"/>
      <c r="J4" s="442" t="str">
        <f ca="1">$CU$6&amp;" "&amp;Basisdaten!$C$15+1</f>
        <v>Betrag 2027</v>
      </c>
      <c r="K4" s="520" t="str">
        <f>F4</f>
        <v>Investmonat</v>
      </c>
      <c r="L4" s="519" t="str">
        <f>G4</f>
        <v>Jahre Absch.</v>
      </c>
      <c r="M4" s="2286" t="str">
        <f>H4</f>
        <v>Investitionenen</v>
      </c>
      <c r="N4" s="2287"/>
      <c r="O4" s="442" t="str">
        <f ca="1">$CU$6&amp;" "&amp;Basisdaten!C15+2</f>
        <v>Betrag 2028</v>
      </c>
      <c r="P4" s="520" t="str">
        <f>F4</f>
        <v>Investmonat</v>
      </c>
      <c r="Q4" s="520" t="str">
        <f>L4</f>
        <v>Jahre Absch.</v>
      </c>
      <c r="R4" s="2286" t="str">
        <f>M4</f>
        <v>Investitionenen</v>
      </c>
      <c r="S4" s="2287"/>
      <c r="T4" s="442" t="str">
        <f ca="1">$CU$6&amp;" "&amp;Basisdaten!C15+3</f>
        <v>Betrag 2029</v>
      </c>
      <c r="U4" s="520" t="str">
        <f>F4</f>
        <v>Investmonat</v>
      </c>
      <c r="V4" s="519" t="str">
        <f>Q4</f>
        <v>Jahre Absch.</v>
      </c>
      <c r="W4" s="2286" t="str">
        <f>R4</f>
        <v>Investitionenen</v>
      </c>
      <c r="X4" s="2287"/>
      <c r="Y4" s="442" t="str">
        <f ca="1">$CU$6&amp;" "&amp;Basisdaten!$C$15+4</f>
        <v>Betrag 2030</v>
      </c>
      <c r="Z4" s="519" t="str">
        <f>F4</f>
        <v>Investmonat</v>
      </c>
      <c r="AA4" s="520" t="str">
        <f>V4</f>
        <v>Jahre Absch.</v>
      </c>
      <c r="BI4" s="217"/>
      <c r="CU4" s="428" t="str">
        <f>IF(Basisdaten!$B$15="English",CW4,CV4)</f>
        <v>Investitionenen</v>
      </c>
      <c r="CV4" s="444" t="s">
        <v>552</v>
      </c>
      <c r="CW4" s="117" t="s">
        <v>426</v>
      </c>
      <c r="CY4" s="133"/>
      <c r="DD4" s="445"/>
      <c r="DE4" s="446"/>
      <c r="DF4" s="446"/>
      <c r="DG4" s="446"/>
      <c r="DH4" s="446"/>
      <c r="DI4" s="446"/>
      <c r="DJ4" s="446"/>
      <c r="DK4" s="446"/>
      <c r="DL4" s="446"/>
      <c r="DM4" s="446"/>
      <c r="DN4" s="446"/>
      <c r="DO4" s="446"/>
      <c r="DP4" s="446"/>
      <c r="DQ4" s="446"/>
      <c r="DR4" s="446"/>
    </row>
    <row r="5" spans="1:128" s="30" customFormat="1" ht="14.25" customHeight="1">
      <c r="A5" s="123"/>
      <c r="B5" s="1579"/>
      <c r="C5" s="447">
        <v>1</v>
      </c>
      <c r="D5" s="448" t="str">
        <f>$CU$5&amp;"_"&amp;$C5</f>
        <v>Investition_1</v>
      </c>
      <c r="E5" s="449"/>
      <c r="F5" s="450"/>
      <c r="G5" s="450"/>
      <c r="H5" s="2247" t="str">
        <f>$CU$5&amp;"_"&amp;$C5</f>
        <v>Investition_1</v>
      </c>
      <c r="I5" s="2248"/>
      <c r="J5" s="449"/>
      <c r="K5" s="450"/>
      <c r="L5" s="450"/>
      <c r="M5" s="2247" t="str">
        <f>$CU$5&amp;"_"&amp;$C5</f>
        <v>Investition_1</v>
      </c>
      <c r="N5" s="2248"/>
      <c r="O5" s="449"/>
      <c r="P5" s="450"/>
      <c r="Q5" s="450"/>
      <c r="R5" s="2247" t="str">
        <f>$CU$5&amp;"_"&amp;$C5</f>
        <v>Investition_1</v>
      </c>
      <c r="S5" s="2248"/>
      <c r="T5" s="449"/>
      <c r="U5" s="450"/>
      <c r="V5" s="450"/>
      <c r="W5" s="2247" t="str">
        <f>$CU$5&amp;"_"&amp;$C5</f>
        <v>Investition_1</v>
      </c>
      <c r="X5" s="2248"/>
      <c r="Y5" s="449"/>
      <c r="Z5" s="450"/>
      <c r="AA5" s="450"/>
      <c r="CE5" s="123"/>
      <c r="CF5" s="123"/>
      <c r="CG5" s="123"/>
      <c r="CH5" s="123"/>
      <c r="CI5" s="123"/>
      <c r="CJ5" s="123"/>
      <c r="CK5" s="123"/>
      <c r="CL5" s="123"/>
      <c r="CM5" s="123"/>
      <c r="CN5" s="123"/>
      <c r="CO5" s="123"/>
      <c r="CP5" s="123"/>
      <c r="CQ5" s="123"/>
      <c r="CR5" s="123"/>
      <c r="CU5" s="428" t="str">
        <f>IF(Basisdaten!$B$15="English",CW5,CV5)</f>
        <v>Investition</v>
      </c>
      <c r="CV5" s="452" t="s">
        <v>553</v>
      </c>
      <c r="CW5" s="117" t="s">
        <v>426</v>
      </c>
      <c r="DD5" s="117"/>
      <c r="DE5" s="117"/>
      <c r="DF5" s="117"/>
      <c r="DG5" s="117"/>
      <c r="DH5" s="117"/>
      <c r="DI5" s="117"/>
      <c r="DJ5" s="117"/>
      <c r="DK5" s="117"/>
      <c r="DL5" s="117"/>
      <c r="DM5" s="117"/>
      <c r="DN5" s="117"/>
      <c r="DO5" s="117"/>
      <c r="DP5" s="117"/>
      <c r="DQ5" s="117"/>
      <c r="DR5" s="117"/>
    </row>
    <row r="6" spans="1:128" s="30" customFormat="1" ht="14.25" customHeight="1">
      <c r="A6" s="123"/>
      <c r="B6" s="440"/>
      <c r="C6" s="447">
        <v>2</v>
      </c>
      <c r="D6" s="448" t="str">
        <f t="shared" ref="D6:D7" si="0">$CU$5&amp;"_"&amp;$C6</f>
        <v>Investition_2</v>
      </c>
      <c r="E6" s="449"/>
      <c r="F6" s="450"/>
      <c r="G6" s="450"/>
      <c r="H6" s="2282" t="str">
        <f t="shared" ref="H6:H7" si="1">$CU$5&amp;"_"&amp;$C6</f>
        <v>Investition_2</v>
      </c>
      <c r="I6" s="2283"/>
      <c r="J6" s="449"/>
      <c r="K6" s="450"/>
      <c r="L6" s="450"/>
      <c r="M6" s="2282" t="str">
        <f>$CU$5&amp;"_"&amp;$C6</f>
        <v>Investition_2</v>
      </c>
      <c r="N6" s="2283"/>
      <c r="O6" s="449"/>
      <c r="P6" s="450"/>
      <c r="Q6" s="450"/>
      <c r="R6" s="2282" t="str">
        <f>$CU$5&amp;"_"&amp;$C6</f>
        <v>Investition_2</v>
      </c>
      <c r="S6" s="2283"/>
      <c r="T6" s="449"/>
      <c r="U6" s="450"/>
      <c r="V6" s="450"/>
      <c r="W6" s="2282" t="str">
        <f>$CU$5&amp;"_"&amp;$C6</f>
        <v>Investition_2</v>
      </c>
      <c r="X6" s="2283"/>
      <c r="Y6" s="449"/>
      <c r="Z6" s="450"/>
      <c r="AA6" s="450"/>
      <c r="CA6" s="251" t="s">
        <v>1013</v>
      </c>
      <c r="CE6" s="123"/>
      <c r="CF6" s="123"/>
      <c r="CG6" s="123"/>
      <c r="CH6" s="123"/>
      <c r="CI6" s="123"/>
      <c r="CJ6" s="123"/>
      <c r="CK6" s="123"/>
      <c r="CL6" s="123"/>
      <c r="CM6" s="123"/>
      <c r="CN6" s="123"/>
      <c r="CO6" s="123"/>
      <c r="CP6" s="123"/>
      <c r="CQ6" s="123"/>
      <c r="CR6" s="123"/>
      <c r="CU6" s="428" t="str">
        <f>IF(Basisdaten!$B$15="English",CW6,CV6)</f>
        <v>Betrag</v>
      </c>
      <c r="CV6" s="428" t="s">
        <v>121</v>
      </c>
      <c r="CW6" s="453" t="s">
        <v>232</v>
      </c>
      <c r="DD6" s="117"/>
      <c r="DE6" s="117"/>
      <c r="DF6" s="117"/>
      <c r="DG6" s="117"/>
      <c r="DH6" s="117"/>
      <c r="DI6" s="117"/>
      <c r="DJ6" s="117"/>
      <c r="DK6" s="117"/>
      <c r="DL6" s="117"/>
      <c r="DM6" s="117"/>
      <c r="DN6" s="117"/>
      <c r="DO6" s="117"/>
      <c r="DP6" s="117"/>
      <c r="DQ6" s="117"/>
      <c r="DR6" s="117"/>
    </row>
    <row r="7" spans="1:128" s="30" customFormat="1" ht="14.25" customHeight="1">
      <c r="A7" s="440"/>
      <c r="B7" s="440"/>
      <c r="C7" s="447">
        <v>3</v>
      </c>
      <c r="D7" s="448" t="str">
        <f t="shared" si="0"/>
        <v>Investition_3</v>
      </c>
      <c r="E7" s="449"/>
      <c r="F7" s="450"/>
      <c r="G7" s="450"/>
      <c r="H7" s="2282" t="str">
        <f t="shared" si="1"/>
        <v>Investition_3</v>
      </c>
      <c r="I7" s="2283"/>
      <c r="J7" s="449"/>
      <c r="K7" s="450"/>
      <c r="L7" s="450"/>
      <c r="M7" s="2282" t="str">
        <f>$CU$5&amp;"_"&amp;$C7</f>
        <v>Investition_3</v>
      </c>
      <c r="N7" s="2283"/>
      <c r="O7" s="449"/>
      <c r="P7" s="450"/>
      <c r="Q7" s="450"/>
      <c r="R7" s="2282" t="str">
        <f>$CU$5&amp;"_"&amp;$C7</f>
        <v>Investition_3</v>
      </c>
      <c r="S7" s="2283"/>
      <c r="T7" s="449"/>
      <c r="U7" s="450"/>
      <c r="V7" s="450"/>
      <c r="W7" s="2282" t="str">
        <f>$CU$5&amp;"_"&amp;$C7</f>
        <v>Investition_3</v>
      </c>
      <c r="X7" s="2283"/>
      <c r="Y7" s="449"/>
      <c r="Z7" s="450"/>
      <c r="AA7" s="450"/>
      <c r="CA7" s="102" t="s">
        <v>1014</v>
      </c>
      <c r="CE7" s="123"/>
      <c r="CF7" s="123"/>
      <c r="CG7" s="123"/>
      <c r="CH7" s="123"/>
      <c r="CI7" s="123"/>
      <c r="CJ7" s="123"/>
      <c r="CK7" s="123"/>
      <c r="CL7" s="123"/>
      <c r="CM7" s="123"/>
      <c r="CN7" s="123"/>
      <c r="CO7" s="123"/>
      <c r="CP7" s="123"/>
      <c r="CQ7" s="123"/>
      <c r="CR7" s="123"/>
      <c r="CU7" s="428" t="str">
        <f>IF(Basisdaten!$B$15="English",CW7,CV7)</f>
        <v xml:space="preserve"> (NH)</v>
      </c>
      <c r="CV7" s="452" t="s">
        <v>555</v>
      </c>
      <c r="CW7" s="454" t="s">
        <v>556</v>
      </c>
      <c r="DD7" s="117"/>
      <c r="DE7" s="117"/>
      <c r="DF7" s="117"/>
      <c r="DG7" s="117"/>
      <c r="DH7" s="117"/>
      <c r="DI7" s="117"/>
      <c r="DJ7" s="117"/>
      <c r="DK7" s="117"/>
      <c r="DL7" s="117"/>
      <c r="DM7" s="117"/>
      <c r="DN7" s="117"/>
      <c r="DO7" s="117"/>
      <c r="DP7" s="117"/>
      <c r="DQ7" s="117"/>
      <c r="DR7" s="117"/>
    </row>
    <row r="8" spans="1:128" s="30" customFormat="1" ht="14.25" customHeight="1">
      <c r="A8" s="440"/>
      <c r="B8" s="440"/>
      <c r="C8" s="447">
        <v>4</v>
      </c>
      <c r="D8" s="448" t="str">
        <f>$CU$5&amp;"_"&amp;$C8</f>
        <v>Investition_4</v>
      </c>
      <c r="E8" s="449"/>
      <c r="F8" s="450"/>
      <c r="G8" s="450"/>
      <c r="H8" s="2282" t="str">
        <f>$CU$5&amp;"_"&amp;$C8</f>
        <v>Investition_4</v>
      </c>
      <c r="I8" s="2283"/>
      <c r="J8" s="449"/>
      <c r="K8" s="450"/>
      <c r="L8" s="450"/>
      <c r="M8" s="2282" t="str">
        <f>$CU$5&amp;"_"&amp;$C8</f>
        <v>Investition_4</v>
      </c>
      <c r="N8" s="2283"/>
      <c r="O8" s="449"/>
      <c r="P8" s="450"/>
      <c r="Q8" s="450"/>
      <c r="R8" s="2282" t="str">
        <f>$CU$5&amp;"_"&amp;$C8</f>
        <v>Investition_4</v>
      </c>
      <c r="S8" s="2283"/>
      <c r="T8" s="449"/>
      <c r="U8" s="450"/>
      <c r="V8" s="450"/>
      <c r="W8" s="2282" t="str">
        <f>$CU$5&amp;"_"&amp;$C8</f>
        <v>Investition_4</v>
      </c>
      <c r="X8" s="2283"/>
      <c r="Y8" s="449"/>
      <c r="Z8" s="450"/>
      <c r="AA8" s="450"/>
      <c r="CA8" s="102" t="s">
        <v>1015</v>
      </c>
      <c r="CU8" s="428" t="str">
        <f>IF(Basisdaten!$B$15="English",CW8,CV8)</f>
        <v>Jahre Absch.</v>
      </c>
      <c r="CV8" s="452" t="s">
        <v>557</v>
      </c>
      <c r="CW8" s="112" t="s">
        <v>558</v>
      </c>
      <c r="DD8" s="117"/>
      <c r="DE8" s="117"/>
      <c r="DF8" s="117"/>
      <c r="DG8" s="117"/>
      <c r="DH8" s="117"/>
      <c r="DI8" s="117"/>
      <c r="DJ8" s="117"/>
      <c r="DK8" s="117"/>
      <c r="DL8" s="117"/>
      <c r="DM8" s="117"/>
      <c r="DN8" s="117"/>
      <c r="DO8" s="117"/>
      <c r="DP8" s="117"/>
      <c r="DQ8" s="117"/>
      <c r="DR8" s="117"/>
    </row>
    <row r="9" spans="1:128" s="133" customFormat="1" ht="14.25" customHeight="1">
      <c r="A9" s="440"/>
      <c r="B9" s="440"/>
      <c r="C9" s="447">
        <v>5</v>
      </c>
      <c r="D9" s="448" t="str">
        <f>$CU$5&amp;"_"&amp;$C9</f>
        <v>Investition_5</v>
      </c>
      <c r="E9" s="449"/>
      <c r="F9" s="450"/>
      <c r="G9" s="450"/>
      <c r="H9" s="2284" t="str">
        <f>$CU$5&amp;"_"&amp;$C9</f>
        <v>Investition_5</v>
      </c>
      <c r="I9" s="2285"/>
      <c r="J9" s="449"/>
      <c r="K9" s="450"/>
      <c r="L9" s="450"/>
      <c r="M9" s="2284" t="str">
        <f>$CU$5&amp;"_"&amp;$C9</f>
        <v>Investition_5</v>
      </c>
      <c r="N9" s="2285"/>
      <c r="O9" s="449"/>
      <c r="P9" s="450"/>
      <c r="Q9" s="450"/>
      <c r="R9" s="2284" t="str">
        <f>$CU$5&amp;"_"&amp;$C9</f>
        <v>Investition_5</v>
      </c>
      <c r="S9" s="2285"/>
      <c r="T9" s="449"/>
      <c r="U9" s="450"/>
      <c r="V9" s="450"/>
      <c r="W9" s="2284" t="str">
        <f>$CU$5&amp;"_"&amp;$C9</f>
        <v>Investition_5</v>
      </c>
      <c r="X9" s="2285"/>
      <c r="Y9" s="449"/>
      <c r="Z9" s="450"/>
      <c r="AA9" s="450"/>
      <c r="CA9" s="102" t="s">
        <v>1016</v>
      </c>
      <c r="CU9" s="428">
        <f>IF(Basisdaten!$B$15="English",CW9,CV9)</f>
        <v>0</v>
      </c>
      <c r="CV9" s="444"/>
      <c r="CW9" s="446"/>
      <c r="DD9" s="445"/>
      <c r="DE9" s="445"/>
      <c r="DF9" s="445"/>
      <c r="DG9" s="445"/>
      <c r="DH9" s="445"/>
      <c r="DI9" s="445"/>
      <c r="DJ9" s="445"/>
      <c r="DK9" s="445"/>
      <c r="DL9" s="445"/>
      <c r="DM9" s="445"/>
      <c r="DN9" s="445"/>
      <c r="DO9" s="445"/>
      <c r="DP9" s="445"/>
      <c r="DQ9" s="445"/>
      <c r="DR9" s="445"/>
    </row>
    <row r="10" spans="1:128" s="133" customFormat="1" ht="14.25" customHeight="1">
      <c r="A10" s="440"/>
      <c r="B10" s="455"/>
      <c r="C10" s="456">
        <v>6</v>
      </c>
      <c r="D10" s="511" t="str">
        <f>$CU$10</f>
        <v>Summe Sammelposten</v>
      </c>
      <c r="E10" s="458">
        <f>'3  Betriebskosten|Operation Ex'!AI10+'3  Betriebskosten|Operation Ex'!AI21</f>
        <v>0</v>
      </c>
      <c r="F10" s="459">
        <v>1</v>
      </c>
      <c r="G10" s="459">
        <v>5</v>
      </c>
      <c r="H10" s="2288" t="str">
        <f>D10</f>
        <v>Summe Sammelposten</v>
      </c>
      <c r="I10" s="2289"/>
      <c r="J10" s="458">
        <f>'3  Betriebskosten|Operation Ex'!AI89+'3  Betriebskosten|Operation Ex'!AI100</f>
        <v>0</v>
      </c>
      <c r="K10" s="460">
        <v>1</v>
      </c>
      <c r="L10" s="459">
        <v>5</v>
      </c>
      <c r="M10" s="2288" t="str">
        <f>H10</f>
        <v>Summe Sammelposten</v>
      </c>
      <c r="N10" s="2289"/>
      <c r="O10" s="458">
        <f ca="1">'3  Betriebskosten|Operation Ex'!X166+'3  Betriebskosten|Operation Ex'!X178</f>
        <v>0</v>
      </c>
      <c r="P10" s="460">
        <v>1</v>
      </c>
      <c r="Q10" s="459">
        <v>5</v>
      </c>
      <c r="R10" s="2288" t="str">
        <f>M10</f>
        <v>Summe Sammelposten</v>
      </c>
      <c r="S10" s="2289"/>
      <c r="T10" s="458">
        <f ca="1">'3  Betriebskosten|Operation Ex'!Y165+'3  Betriebskosten|Operation Ex'!Y177</f>
        <v>0</v>
      </c>
      <c r="U10" s="460">
        <v>1</v>
      </c>
      <c r="V10" s="459">
        <v>5</v>
      </c>
      <c r="W10" s="2288" t="str">
        <f>M10</f>
        <v>Summe Sammelposten</v>
      </c>
      <c r="X10" s="2289"/>
      <c r="Y10" s="458">
        <f ca="1">'3  Betriebskosten|Operation Ex'!Z166+'3  Betriebskosten|Operation Ex'!Z178</f>
        <v>0</v>
      </c>
      <c r="Z10" s="460">
        <v>1</v>
      </c>
      <c r="AA10" s="459">
        <v>5</v>
      </c>
      <c r="AC10" s="30"/>
      <c r="AE10" s="30"/>
      <c r="AF10" s="30"/>
      <c r="AI10" s="30"/>
      <c r="AL10" s="30"/>
      <c r="AO10" s="30"/>
      <c r="CA10" s="102" t="s">
        <v>1017</v>
      </c>
      <c r="CU10" s="428" t="str">
        <f>IF(Basisdaten!$B$15="English",CW10,CV10)</f>
        <v>Summe Sammelposten</v>
      </c>
      <c r="CV10" s="461" t="s">
        <v>111</v>
      </c>
      <c r="CW10" s="112" t="s">
        <v>204</v>
      </c>
      <c r="DD10" s="446"/>
      <c r="DE10" s="446"/>
      <c r="DF10" s="445"/>
      <c r="DG10" s="445"/>
      <c r="DH10" s="445"/>
      <c r="DI10" s="445"/>
      <c r="DJ10" s="445"/>
      <c r="DK10" s="445"/>
      <c r="DL10" s="445"/>
      <c r="DM10" s="445"/>
      <c r="DN10" s="445"/>
      <c r="DO10" s="445"/>
      <c r="DP10" s="445"/>
      <c r="DQ10" s="445"/>
      <c r="DR10" s="445"/>
    </row>
    <row r="11" spans="1:128" s="133" customFormat="1" ht="14.25" customHeight="1">
      <c r="C11" s="462"/>
      <c r="D11" s="512" t="str">
        <f>$CU$11</f>
        <v>Summe Investitionen</v>
      </c>
      <c r="E11" s="464">
        <f>SUM(E5:E10)</f>
        <v>0</v>
      </c>
      <c r="F11" s="465"/>
      <c r="G11" s="466"/>
      <c r="H11" s="2290" t="str">
        <f>D11</f>
        <v>Summe Investitionen</v>
      </c>
      <c r="I11" s="2291"/>
      <c r="J11" s="464">
        <f>SUM(J5:J10)</f>
        <v>0</v>
      </c>
      <c r="K11" s="465"/>
      <c r="L11" s="466"/>
      <c r="M11" s="2288" t="str">
        <f>H11</f>
        <v>Summe Investitionen</v>
      </c>
      <c r="N11" s="2289"/>
      <c r="O11" s="464">
        <f ca="1">SUM(O5:O10)</f>
        <v>0</v>
      </c>
      <c r="P11" s="465"/>
      <c r="Q11" s="16"/>
      <c r="R11" s="2288" t="str">
        <f>M11</f>
        <v>Summe Investitionen</v>
      </c>
      <c r="S11" s="2289"/>
      <c r="T11" s="464">
        <f ca="1">SUM(T5:T10)</f>
        <v>0</v>
      </c>
      <c r="U11" s="465"/>
      <c r="V11" s="16"/>
      <c r="W11" s="457" t="str">
        <f>R11</f>
        <v>Summe Investitionen</v>
      </c>
      <c r="X11" s="463"/>
      <c r="Y11" s="464">
        <f ca="1">SUM(Y5:Y10)</f>
        <v>0</v>
      </c>
      <c r="Z11" s="465"/>
      <c r="AC11" s="30"/>
      <c r="AE11" s="30"/>
      <c r="AF11" s="30"/>
      <c r="AI11" s="30"/>
      <c r="AL11" s="30"/>
      <c r="AO11" s="30"/>
      <c r="CA11" s="102" t="s">
        <v>1018</v>
      </c>
      <c r="CU11" s="428" t="str">
        <f>IF(Basisdaten!$B$15="English",CW11,CV11)</f>
        <v>Summe Investitionen</v>
      </c>
      <c r="CV11" s="467" t="s">
        <v>559</v>
      </c>
      <c r="CW11" s="112" t="s">
        <v>388</v>
      </c>
      <c r="DD11" s="446"/>
      <c r="DE11" s="446"/>
      <c r="DF11" s="445"/>
      <c r="DG11" s="445"/>
      <c r="DH11" s="445"/>
      <c r="DI11" s="445"/>
      <c r="DJ11" s="445"/>
      <c r="DK11" s="445"/>
      <c r="DL11" s="445"/>
      <c r="DM11" s="445"/>
      <c r="DN11" s="445"/>
      <c r="DO11" s="445"/>
      <c r="DP11" s="445"/>
      <c r="DQ11" s="445"/>
      <c r="DR11" s="445"/>
    </row>
    <row r="12" spans="1:128" s="133" customFormat="1" ht="14.25" customHeight="1">
      <c r="A12" s="445"/>
      <c r="B12" s="445"/>
      <c r="C12" s="445"/>
      <c r="D12" s="445"/>
      <c r="E12" s="445"/>
      <c r="F12" s="445"/>
      <c r="G12" s="445"/>
      <c r="H12" s="445"/>
      <c r="I12" s="445"/>
      <c r="J12" s="445"/>
      <c r="K12" s="445"/>
      <c r="L12" s="445"/>
      <c r="M12" s="445"/>
      <c r="N12" s="445"/>
      <c r="O12" s="445"/>
      <c r="P12" s="445"/>
      <c r="Q12" s="16"/>
      <c r="R12" s="445"/>
      <c r="S12" s="445"/>
      <c r="T12" s="445"/>
      <c r="U12" s="445"/>
      <c r="V12" s="16"/>
      <c r="W12" s="445"/>
      <c r="X12" s="445"/>
      <c r="Y12" s="445"/>
      <c r="Z12" s="445"/>
      <c r="AB12" s="445"/>
      <c r="AC12" s="445"/>
      <c r="AD12" s="445"/>
      <c r="AE12" s="445"/>
      <c r="AF12" s="445"/>
      <c r="AG12" s="445"/>
      <c r="CU12" s="428" t="str">
        <f>IF(Basisdaten!$B$15="English",CW12,CV12)</f>
        <v>Pool-AFA</v>
      </c>
      <c r="CV12" s="467" t="s">
        <v>560</v>
      </c>
      <c r="CW12" s="112" t="s">
        <v>561</v>
      </c>
      <c r="DD12" s="446"/>
      <c r="DE12" s="446"/>
      <c r="DF12" s="445"/>
      <c r="DG12" s="445"/>
      <c r="DH12" s="445"/>
      <c r="DI12" s="445"/>
      <c r="DJ12" s="445"/>
      <c r="DK12" s="445"/>
      <c r="DL12" s="445"/>
      <c r="DM12" s="445"/>
      <c r="DN12" s="445"/>
      <c r="DO12" s="445"/>
      <c r="DP12" s="445"/>
      <c r="DQ12" s="445"/>
      <c r="DR12" s="445"/>
    </row>
    <row r="13" spans="1:128" s="133" customFormat="1" ht="14.25" customHeight="1">
      <c r="A13" s="1580"/>
      <c r="C13" s="712"/>
      <c r="D13" s="1581"/>
      <c r="F13" s="471"/>
      <c r="H13" s="132"/>
      <c r="I13" s="68"/>
      <c r="K13" s="156"/>
      <c r="L13" s="16"/>
      <c r="M13" s="132"/>
      <c r="N13" s="68"/>
      <c r="O13" s="132"/>
      <c r="P13" s="445"/>
      <c r="Q13" s="16"/>
      <c r="R13" s="132"/>
      <c r="S13" s="68"/>
      <c r="U13" s="472"/>
      <c r="V13" s="16"/>
      <c r="W13" s="132"/>
      <c r="X13" s="68"/>
      <c r="Z13" s="470"/>
      <c r="AB13" s="445"/>
      <c r="BL13" s="470"/>
      <c r="CU13" s="428"/>
      <c r="CV13" s="473"/>
      <c r="CW13" s="117"/>
      <c r="DD13" s="446"/>
      <c r="DE13" s="446"/>
      <c r="DF13" s="445"/>
      <c r="DG13" s="445"/>
      <c r="DH13" s="445"/>
      <c r="DI13" s="445"/>
      <c r="DJ13" s="445"/>
      <c r="DK13" s="445"/>
      <c r="DL13" s="445"/>
      <c r="DM13" s="445"/>
      <c r="DN13" s="445"/>
      <c r="DO13" s="445"/>
      <c r="DP13" s="445"/>
      <c r="DQ13" s="445"/>
      <c r="DR13" s="445"/>
    </row>
    <row r="14" spans="1:128" s="133" customFormat="1" ht="18" customHeight="1">
      <c r="A14" s="136"/>
      <c r="B14" s="136"/>
      <c r="C14" s="138"/>
      <c r="D14" s="468"/>
      <c r="E14" s="470"/>
      <c r="F14" s="470"/>
      <c r="G14" s="470"/>
      <c r="H14" s="469"/>
      <c r="I14" s="468"/>
      <c r="J14" s="470"/>
      <c r="K14" s="470"/>
      <c r="L14" s="470"/>
      <c r="M14" s="469"/>
      <c r="N14" s="468"/>
      <c r="O14" s="470"/>
      <c r="P14" s="470"/>
      <c r="Q14" s="470"/>
      <c r="R14" s="469"/>
      <c r="S14" s="468"/>
      <c r="T14" s="470"/>
      <c r="U14" s="470"/>
      <c r="V14" s="470"/>
      <c r="W14" s="469"/>
      <c r="X14" s="468"/>
      <c r="Y14" s="470"/>
      <c r="Z14" s="470"/>
      <c r="AB14" s="470"/>
      <c r="AC14" s="508"/>
      <c r="AD14" s="509"/>
      <c r="AE14" s="510"/>
      <c r="AF14" s="508"/>
      <c r="AG14" s="509"/>
      <c r="AH14" s="510"/>
      <c r="AI14" s="508"/>
      <c r="AJ14" s="509"/>
      <c r="AK14" s="510"/>
      <c r="AL14" s="508"/>
      <c r="AM14" s="509"/>
      <c r="AN14" s="510"/>
      <c r="AO14" s="508"/>
      <c r="AP14" s="509"/>
      <c r="AQ14" s="510"/>
      <c r="AU14" s="476"/>
      <c r="AY14" s="476"/>
      <c r="AZ14" s="476"/>
      <c r="BA14" s="476"/>
      <c r="BE14" s="476"/>
      <c r="BF14" s="476"/>
      <c r="BG14" s="476"/>
      <c r="CU14" s="428">
        <f>IF(Basisdaten!$B$15="English",CW14,CV14)</f>
        <v>0</v>
      </c>
      <c r="DA14" s="428"/>
      <c r="DB14" s="473"/>
      <c r="DC14" s="112"/>
      <c r="DD14" s="445"/>
      <c r="DE14" s="445"/>
      <c r="DF14" s="445"/>
      <c r="DG14" s="445"/>
      <c r="DH14" s="445"/>
      <c r="DI14" s="445"/>
      <c r="DJ14" s="445"/>
      <c r="DK14" s="445"/>
      <c r="DL14" s="445"/>
      <c r="DM14" s="445"/>
      <c r="DN14" s="445"/>
      <c r="DO14" s="445"/>
      <c r="DP14" s="445"/>
      <c r="DQ14" s="445"/>
      <c r="DR14" s="445"/>
    </row>
    <row r="15" spans="1:128" s="133" customFormat="1" ht="18" customHeight="1">
      <c r="A15" s="136"/>
      <c r="B15" s="136"/>
      <c r="C15" s="138"/>
      <c r="D15" s="468"/>
      <c r="E15" s="470"/>
      <c r="F15" s="470"/>
      <c r="G15" s="470"/>
      <c r="H15" s="469"/>
      <c r="I15" s="468"/>
      <c r="J15" s="470"/>
      <c r="K15" s="470"/>
      <c r="L15" s="470"/>
      <c r="M15" s="469"/>
      <c r="N15" s="468"/>
      <c r="O15" s="470"/>
      <c r="P15" s="470"/>
      <c r="Q15" s="470"/>
      <c r="R15" s="469"/>
      <c r="S15" s="468"/>
      <c r="T15" s="470"/>
      <c r="U15" s="470"/>
      <c r="V15" s="470"/>
      <c r="W15" s="469"/>
      <c r="X15" s="468"/>
      <c r="Y15" s="470"/>
      <c r="Z15" s="470"/>
      <c r="AB15" s="470"/>
      <c r="AC15" s="508"/>
      <c r="AD15" s="509"/>
      <c r="AE15" s="510"/>
      <c r="AF15" s="508"/>
      <c r="AG15" s="509"/>
      <c r="AH15" s="510"/>
      <c r="AI15" s="508"/>
      <c r="AJ15" s="509"/>
      <c r="AK15" s="510"/>
      <c r="AL15" s="508"/>
      <c r="AM15" s="509"/>
      <c r="AN15" s="510"/>
      <c r="AO15" s="508"/>
      <c r="AP15" s="509"/>
      <c r="AQ15" s="510"/>
      <c r="AU15" s="476"/>
      <c r="AY15" s="476"/>
      <c r="AZ15" s="476"/>
      <c r="BA15" s="476"/>
      <c r="BE15" s="476"/>
      <c r="BF15" s="476"/>
      <c r="BG15" s="476"/>
      <c r="CU15" s="428">
        <f>IF(Basisdaten!$B$15="English",CW15,CV15)</f>
        <v>0</v>
      </c>
      <c r="DA15" s="428"/>
      <c r="DB15" s="473"/>
      <c r="DC15" s="112"/>
      <c r="DD15" s="445"/>
      <c r="DE15" s="445"/>
      <c r="DF15" s="445"/>
      <c r="DG15" s="445"/>
      <c r="DH15" s="445"/>
      <c r="DI15" s="445"/>
      <c r="DJ15" s="445"/>
      <c r="DK15" s="445"/>
      <c r="DL15" s="445"/>
      <c r="DM15" s="445"/>
      <c r="DN15" s="445"/>
      <c r="DO15" s="445"/>
      <c r="DP15" s="445"/>
      <c r="DQ15" s="445"/>
      <c r="DR15" s="445"/>
    </row>
    <row r="16" spans="1:128" s="133" customFormat="1" ht="18" customHeight="1">
      <c r="A16" s="136"/>
      <c r="B16" s="136"/>
      <c r="C16" s="138"/>
      <c r="D16" s="468"/>
      <c r="E16" s="470"/>
      <c r="F16" s="470"/>
      <c r="G16" s="470"/>
      <c r="H16" s="469"/>
      <c r="I16" s="468"/>
      <c r="J16" s="470"/>
      <c r="K16" s="470"/>
      <c r="L16" s="470"/>
      <c r="M16" s="469"/>
      <c r="N16" s="468"/>
      <c r="O16" s="470"/>
      <c r="P16" s="470"/>
      <c r="Q16" s="470"/>
      <c r="R16" s="469"/>
      <c r="S16" s="468"/>
      <c r="T16" s="470"/>
      <c r="U16" s="470"/>
      <c r="V16" s="470"/>
      <c r="W16" s="469"/>
      <c r="X16" s="468"/>
      <c r="Y16" s="470"/>
      <c r="Z16" s="470"/>
      <c r="AA16" s="470"/>
      <c r="AB16" s="470"/>
      <c r="AC16" s="508"/>
      <c r="AD16" s="509"/>
      <c r="AE16" s="510"/>
      <c r="AF16" s="508"/>
      <c r="AG16" s="509"/>
      <c r="AH16" s="510"/>
      <c r="AI16" s="508"/>
      <c r="AJ16" s="509"/>
      <c r="AK16" s="510"/>
      <c r="AL16" s="508"/>
      <c r="AM16" s="509"/>
      <c r="AN16" s="510"/>
      <c r="AO16" s="508"/>
      <c r="AP16" s="509"/>
      <c r="AQ16" s="510"/>
      <c r="AU16" s="476"/>
      <c r="AY16" s="476"/>
      <c r="AZ16" s="476"/>
      <c r="BA16" s="476"/>
      <c r="BE16" s="476"/>
      <c r="BF16" s="476"/>
      <c r="BG16" s="476"/>
      <c r="CU16" s="428" t="str">
        <f ca="1">IF(Basisdaten!$B$15="English",CW16,CV16)</f>
        <v>Monatliche Anschaffungen/Abschreibungen 2026 &amp; 2027</v>
      </c>
      <c r="CV16" s="305" t="str">
        <f ca="1">"Monatliche Anschaffungen/Abschreibungen "&amp;  Basisdaten!$C$15 &amp;" &amp; "&amp;   Basisdaten!$C$15+1</f>
        <v>Monatliche Anschaffungen/Abschreibungen 2026 &amp; 2027</v>
      </c>
      <c r="CW16" s="117" t="str">
        <f ca="1">"Monthly Capital Expenditures/Depreciation in "&amp;  Basisdaten!$C$15 &amp;" &amp; "&amp;  Basisdaten!$C$15+1</f>
        <v>Monthly Capital Expenditures/Depreciation in 2026 &amp; 2027</v>
      </c>
      <c r="DA16" s="428"/>
      <c r="DB16" s="473"/>
      <c r="DC16" s="112"/>
      <c r="DD16" s="445"/>
      <c r="DE16" s="445"/>
      <c r="DF16" s="445"/>
      <c r="DG16" s="445"/>
      <c r="DH16" s="445"/>
      <c r="DI16" s="445"/>
      <c r="DJ16" s="445"/>
      <c r="DK16" s="445"/>
      <c r="DL16" s="445"/>
      <c r="DM16" s="445"/>
      <c r="DN16" s="445"/>
      <c r="DO16" s="445"/>
      <c r="DP16" s="445"/>
      <c r="DQ16" s="445"/>
      <c r="DR16" s="445"/>
    </row>
    <row r="17" spans="1:122" s="133" customFormat="1" ht="18" customHeight="1">
      <c r="A17" s="136"/>
      <c r="B17" s="136"/>
      <c r="C17" s="138"/>
      <c r="D17" s="468"/>
      <c r="E17" s="470"/>
      <c r="F17" s="470"/>
      <c r="G17" s="470"/>
      <c r="H17" s="469"/>
      <c r="I17" s="468"/>
      <c r="J17" s="470"/>
      <c r="K17" s="470"/>
      <c r="L17" s="470"/>
      <c r="M17" s="469"/>
      <c r="N17" s="468"/>
      <c r="O17" s="470"/>
      <c r="P17" s="470"/>
      <c r="Q17" s="470"/>
      <c r="R17" s="469"/>
      <c r="S17" s="468"/>
      <c r="T17" s="470"/>
      <c r="U17" s="470"/>
      <c r="V17" s="470"/>
      <c r="W17" s="469"/>
      <c r="X17" s="468"/>
      <c r="Y17" s="470"/>
      <c r="Z17" s="470"/>
      <c r="AA17" s="470"/>
      <c r="AB17" s="470"/>
      <c r="AC17" s="508"/>
      <c r="AD17" s="509"/>
      <c r="AE17" s="510"/>
      <c r="AF17" s="508"/>
      <c r="AG17" s="509"/>
      <c r="AH17" s="510"/>
      <c r="AI17" s="508"/>
      <c r="AJ17" s="509"/>
      <c r="AK17" s="510"/>
      <c r="AL17" s="508"/>
      <c r="AM17" s="509"/>
      <c r="AN17" s="510"/>
      <c r="AO17" s="508"/>
      <c r="AP17" s="509"/>
      <c r="AQ17" s="510"/>
      <c r="AU17" s="476"/>
      <c r="AY17" s="476"/>
      <c r="AZ17" s="476"/>
      <c r="BA17" s="476"/>
      <c r="BE17" s="476"/>
      <c r="BF17" s="476"/>
      <c r="BG17" s="476"/>
      <c r="CU17" s="428" t="str">
        <f>IF(Basisdaten!$B$15="English",CW17,CV17)</f>
        <v xml:space="preserve">Jährliche Anschaffungen/Abschreibungen </v>
      </c>
      <c r="CV17" s="305" t="s">
        <v>574</v>
      </c>
      <c r="CW17" s="117" t="s">
        <v>562</v>
      </c>
      <c r="DA17" s="428"/>
      <c r="DB17" s="473"/>
      <c r="DC17" s="112"/>
      <c r="DD17" s="445"/>
      <c r="DE17" s="445"/>
      <c r="DF17" s="445"/>
      <c r="DG17" s="445"/>
      <c r="DH17" s="445"/>
      <c r="DI17" s="445"/>
      <c r="DJ17" s="445"/>
      <c r="DK17" s="445"/>
      <c r="DL17" s="445"/>
      <c r="DM17" s="445"/>
      <c r="DN17" s="445"/>
      <c r="DO17" s="445"/>
      <c r="DP17" s="445"/>
      <c r="DQ17" s="445"/>
      <c r="DR17" s="445"/>
    </row>
    <row r="18" spans="1:122" s="133" customFormat="1" ht="18" customHeight="1">
      <c r="A18" s="136"/>
      <c r="B18" s="136"/>
      <c r="C18" s="138"/>
      <c r="D18" s="468"/>
      <c r="E18" s="470"/>
      <c r="F18" s="470"/>
      <c r="G18" s="470"/>
      <c r="H18" s="469"/>
      <c r="I18" s="468"/>
      <c r="J18" s="470"/>
      <c r="K18" s="470"/>
      <c r="L18" s="470"/>
      <c r="M18" s="469"/>
      <c r="N18" s="468"/>
      <c r="O18" s="470"/>
      <c r="P18" s="470"/>
      <c r="Q18" s="470"/>
      <c r="R18" s="469"/>
      <c r="S18" s="468"/>
      <c r="T18" s="470"/>
      <c r="U18" s="470"/>
      <c r="V18" s="470"/>
      <c r="W18" s="469"/>
      <c r="X18" s="468"/>
      <c r="Y18" s="470"/>
      <c r="Z18" s="470"/>
      <c r="AA18" s="470"/>
      <c r="AB18" s="470"/>
      <c r="AC18" s="508"/>
      <c r="AD18" s="509"/>
      <c r="AE18" s="510"/>
      <c r="AF18" s="508"/>
      <c r="AG18" s="509"/>
      <c r="AH18" s="510"/>
      <c r="AI18" s="508"/>
      <c r="AJ18" s="509"/>
      <c r="AK18" s="510"/>
      <c r="AL18" s="508"/>
      <c r="AM18" s="509"/>
      <c r="AN18" s="510"/>
      <c r="AO18" s="508"/>
      <c r="AP18" s="509"/>
      <c r="AQ18" s="510"/>
      <c r="AU18" s="476"/>
      <c r="AY18" s="476"/>
      <c r="AZ18" s="476"/>
      <c r="BA18" s="476"/>
      <c r="BE18" s="476"/>
      <c r="BF18" s="476"/>
      <c r="BG18" s="476"/>
      <c r="CU18" s="428" t="str">
        <f>IF(Basisdaten!$B$15="English",CW18,CV18)</f>
        <v xml:space="preserve">Anschaffungen/Abschreibungen </v>
      </c>
      <c r="CV18" s="305" t="s">
        <v>563</v>
      </c>
      <c r="CW18" s="117" t="s">
        <v>564</v>
      </c>
      <c r="DA18" s="428"/>
      <c r="DB18" s="473"/>
      <c r="DC18" s="112"/>
      <c r="DD18" s="445"/>
      <c r="DE18" s="445"/>
      <c r="DF18" s="445"/>
      <c r="DG18" s="445"/>
      <c r="DH18" s="445"/>
      <c r="DI18" s="445"/>
      <c r="DJ18" s="445"/>
      <c r="DK18" s="445"/>
      <c r="DL18" s="445"/>
      <c r="DM18" s="445"/>
      <c r="DN18" s="445"/>
      <c r="DO18" s="445"/>
      <c r="DP18" s="445"/>
      <c r="DQ18" s="445"/>
      <c r="DR18" s="445"/>
    </row>
    <row r="19" spans="1:122" s="133" customFormat="1" ht="18" customHeight="1">
      <c r="A19" s="136"/>
      <c r="B19" s="136"/>
      <c r="C19" s="138"/>
      <c r="D19" s="468"/>
      <c r="E19" s="470"/>
      <c r="F19" s="470"/>
      <c r="G19" s="470"/>
      <c r="H19" s="469"/>
      <c r="I19" s="468"/>
      <c r="J19" s="470"/>
      <c r="K19" s="470"/>
      <c r="L19" s="470"/>
      <c r="M19" s="469"/>
      <c r="N19" s="468"/>
      <c r="O19" s="470"/>
      <c r="P19" s="470"/>
      <c r="Q19" s="470"/>
      <c r="R19" s="469"/>
      <c r="S19" s="468"/>
      <c r="T19" s="470"/>
      <c r="U19" s="470"/>
      <c r="V19" s="470"/>
      <c r="W19" s="469"/>
      <c r="X19" s="468"/>
      <c r="Y19" s="470"/>
      <c r="Z19" s="470"/>
      <c r="AA19" s="470"/>
      <c r="AB19" s="470"/>
      <c r="AC19" s="508"/>
      <c r="AD19" s="509"/>
      <c r="AE19" s="510"/>
      <c r="AF19" s="508"/>
      <c r="AG19" s="509"/>
      <c r="AH19" s="510"/>
      <c r="AI19" s="508"/>
      <c r="AJ19" s="509"/>
      <c r="AK19" s="510"/>
      <c r="AL19" s="508"/>
      <c r="AM19" s="509"/>
      <c r="AN19" s="510"/>
      <c r="AO19" s="508"/>
      <c r="AP19" s="509"/>
      <c r="AQ19" s="510"/>
      <c r="AU19" s="476"/>
      <c r="AY19" s="476"/>
      <c r="AZ19" s="476"/>
      <c r="BA19" s="476"/>
      <c r="BE19" s="476"/>
      <c r="BF19" s="476"/>
      <c r="BG19" s="476"/>
      <c r="CU19" s="428" t="str">
        <f>IF(Basisdaten!$B$15="English",CW19,CV19)</f>
        <v>Anschaffungen (EUR)</v>
      </c>
      <c r="CV19" s="305" t="s">
        <v>565</v>
      </c>
      <c r="CW19" s="117" t="s">
        <v>566</v>
      </c>
      <c r="DA19" s="428"/>
      <c r="DB19" s="473"/>
      <c r="DC19" s="112"/>
      <c r="DD19" s="445"/>
      <c r="DE19" s="445"/>
      <c r="DF19" s="445"/>
      <c r="DG19" s="445"/>
      <c r="DH19" s="445"/>
      <c r="DI19" s="445"/>
      <c r="DJ19" s="445"/>
      <c r="DK19" s="445"/>
      <c r="DL19" s="445"/>
      <c r="DM19" s="445"/>
      <c r="DN19" s="445"/>
      <c r="DO19" s="445"/>
      <c r="DP19" s="445"/>
      <c r="DQ19" s="445"/>
      <c r="DR19" s="445"/>
    </row>
    <row r="20" spans="1:122" s="133" customFormat="1" ht="18" customHeight="1">
      <c r="A20" s="136"/>
      <c r="B20" s="136"/>
      <c r="C20" s="138"/>
      <c r="D20" s="468"/>
      <c r="E20" s="470"/>
      <c r="F20" s="470"/>
      <c r="G20" s="470"/>
      <c r="H20" s="469"/>
      <c r="I20" s="468"/>
      <c r="J20" s="470"/>
      <c r="K20" s="470"/>
      <c r="L20" s="470"/>
      <c r="M20" s="469"/>
      <c r="N20" s="468"/>
      <c r="O20" s="470"/>
      <c r="P20" s="470"/>
      <c r="Q20" s="470"/>
      <c r="R20" s="469"/>
      <c r="S20" s="468"/>
      <c r="T20" s="470"/>
      <c r="U20" s="470"/>
      <c r="V20" s="470"/>
      <c r="W20" s="469"/>
      <c r="X20" s="468"/>
      <c r="Y20" s="470"/>
      <c r="Z20" s="470"/>
      <c r="AA20" s="470"/>
      <c r="AB20" s="470"/>
      <c r="AC20" s="508"/>
      <c r="AD20" s="509"/>
      <c r="AE20" s="510"/>
      <c r="AF20" s="508"/>
      <c r="AG20" s="509"/>
      <c r="AH20" s="510"/>
      <c r="AI20" s="508"/>
      <c r="AJ20" s="509"/>
      <c r="AK20" s="510"/>
      <c r="AL20" s="508"/>
      <c r="AM20" s="509"/>
      <c r="AN20" s="510"/>
      <c r="AO20" s="508"/>
      <c r="AP20" s="509"/>
      <c r="AQ20" s="510"/>
      <c r="AU20" s="476"/>
      <c r="AY20" s="476"/>
      <c r="AZ20" s="476"/>
      <c r="BA20" s="476"/>
      <c r="BE20" s="476"/>
      <c r="BF20" s="476"/>
      <c r="BG20" s="476"/>
      <c r="CU20" s="428" t="str">
        <f>IF(Basisdaten!$B$15="English",CW20,CV20)</f>
        <v>Anschaffungen</v>
      </c>
      <c r="CV20" s="305" t="s">
        <v>425</v>
      </c>
      <c r="CW20" s="117" t="s">
        <v>567</v>
      </c>
      <c r="DA20" s="428"/>
      <c r="DB20" s="473"/>
      <c r="DC20" s="112"/>
      <c r="DD20" s="445"/>
      <c r="DE20" s="445"/>
      <c r="DF20" s="445"/>
      <c r="DG20" s="445"/>
      <c r="DH20" s="445"/>
      <c r="DI20" s="445"/>
      <c r="DJ20" s="445"/>
      <c r="DK20" s="445"/>
      <c r="DL20" s="445"/>
      <c r="DM20" s="445"/>
      <c r="DN20" s="445"/>
      <c r="DO20" s="445"/>
      <c r="DP20" s="445"/>
      <c r="DQ20" s="445"/>
      <c r="DR20" s="445"/>
    </row>
    <row r="21" spans="1:122" s="133" customFormat="1" ht="18" customHeight="1">
      <c r="A21" s="136"/>
      <c r="B21" s="136"/>
      <c r="C21" s="138"/>
      <c r="D21" s="468"/>
      <c r="E21" s="470"/>
      <c r="F21" s="470"/>
      <c r="G21" s="470"/>
      <c r="H21" s="469"/>
      <c r="I21" s="468"/>
      <c r="J21" s="470"/>
      <c r="K21" s="470"/>
      <c r="L21" s="470"/>
      <c r="M21" s="469"/>
      <c r="N21" s="468"/>
      <c r="O21" s="470"/>
      <c r="P21" s="470"/>
      <c r="Q21" s="470"/>
      <c r="R21" s="469"/>
      <c r="S21" s="468"/>
      <c r="T21" s="470"/>
      <c r="U21" s="470"/>
      <c r="V21" s="470"/>
      <c r="W21" s="469"/>
      <c r="X21" s="468"/>
      <c r="Y21" s="470"/>
      <c r="Z21" s="470"/>
      <c r="AA21" s="470"/>
      <c r="AB21" s="470"/>
      <c r="AC21" s="508"/>
      <c r="AD21" s="509"/>
      <c r="AE21" s="510"/>
      <c r="AF21" s="508"/>
      <c r="AG21" s="509"/>
      <c r="AH21" s="510"/>
      <c r="AI21" s="508"/>
      <c r="AJ21" s="509"/>
      <c r="AK21" s="510"/>
      <c r="AL21" s="508"/>
      <c r="AM21" s="509"/>
      <c r="AN21" s="510"/>
      <c r="AO21" s="508"/>
      <c r="AP21" s="509"/>
      <c r="AQ21" s="510"/>
      <c r="AU21" s="476"/>
      <c r="AY21" s="476"/>
      <c r="AZ21" s="476"/>
      <c r="BA21" s="476"/>
      <c r="BE21" s="476"/>
      <c r="BF21" s="476"/>
      <c r="BG21" s="476"/>
      <c r="CU21" s="428" t="str">
        <f>IF(Basisdaten!$B$15="English",CW21,CV21)</f>
        <v xml:space="preserve">Abschreibungen </v>
      </c>
      <c r="CV21" s="305" t="s">
        <v>568</v>
      </c>
      <c r="CW21" s="117" t="s">
        <v>305</v>
      </c>
      <c r="DA21" s="428"/>
      <c r="DB21" s="473"/>
      <c r="DC21" s="112"/>
      <c r="DD21" s="445"/>
      <c r="DE21" s="445"/>
      <c r="DF21" s="445"/>
      <c r="DG21" s="445"/>
      <c r="DH21" s="445"/>
      <c r="DI21" s="445"/>
      <c r="DJ21" s="445"/>
      <c r="DK21" s="445"/>
      <c r="DL21" s="445"/>
      <c r="DM21" s="445"/>
      <c r="DN21" s="445"/>
      <c r="DO21" s="445"/>
      <c r="DP21" s="445"/>
      <c r="DQ21" s="445"/>
      <c r="DR21" s="445"/>
    </row>
    <row r="22" spans="1:122" s="133" customFormat="1">
      <c r="A22" s="136"/>
      <c r="B22" s="136"/>
      <c r="C22" s="138"/>
      <c r="D22" s="468"/>
      <c r="E22" s="470"/>
      <c r="F22" s="470"/>
      <c r="G22" s="470"/>
      <c r="H22" s="469"/>
      <c r="I22" s="468"/>
      <c r="J22" s="470"/>
      <c r="K22" s="470"/>
      <c r="L22" s="470"/>
      <c r="M22" s="469"/>
      <c r="N22" s="468"/>
      <c r="O22" s="470"/>
      <c r="P22" s="470"/>
      <c r="Q22" s="470"/>
      <c r="R22" s="469"/>
      <c r="S22" s="468"/>
      <c r="T22" s="470"/>
      <c r="U22" s="470"/>
      <c r="V22" s="470"/>
      <c r="W22" s="469"/>
      <c r="X22" s="468"/>
      <c r="Y22" s="470"/>
      <c r="Z22" s="470"/>
      <c r="AA22" s="470"/>
      <c r="AB22" s="470"/>
      <c r="AC22" s="470"/>
      <c r="AF22" s="470"/>
      <c r="AI22" s="470"/>
      <c r="AL22" s="470"/>
      <c r="AO22" s="470"/>
      <c r="AS22" s="470"/>
      <c r="AT22" s="470"/>
      <c r="AU22" s="470"/>
      <c r="AY22" s="470"/>
      <c r="AZ22" s="470"/>
      <c r="BA22" s="470"/>
      <c r="BE22" s="470"/>
      <c r="BF22" s="470"/>
      <c r="BG22" s="470"/>
      <c r="DA22" s="473"/>
      <c r="DB22" s="473"/>
      <c r="DC22" s="112"/>
      <c r="DD22" s="445"/>
      <c r="DE22" s="445"/>
      <c r="DF22" s="445"/>
      <c r="DG22" s="445"/>
      <c r="DH22" s="445"/>
      <c r="DI22" s="445"/>
      <c r="DJ22" s="445"/>
      <c r="DK22" s="445"/>
      <c r="DL22" s="445"/>
      <c r="DM22" s="445"/>
      <c r="DN22" s="445"/>
      <c r="DO22" s="445"/>
      <c r="DP22" s="445"/>
      <c r="DQ22" s="445"/>
      <c r="DR22" s="445"/>
    </row>
    <row r="23" spans="1:122" s="133" customFormat="1">
      <c r="A23" s="136"/>
      <c r="B23" s="136"/>
      <c r="C23" s="138"/>
      <c r="D23" s="468"/>
      <c r="E23" s="470"/>
      <c r="F23" s="470"/>
      <c r="G23" s="470"/>
      <c r="H23" s="469"/>
      <c r="I23" s="468"/>
      <c r="J23" s="470"/>
      <c r="K23" s="470"/>
      <c r="L23" s="470"/>
      <c r="M23" s="469"/>
      <c r="N23" s="468"/>
      <c r="O23" s="470"/>
      <c r="P23" s="470"/>
      <c r="Q23" s="470"/>
      <c r="R23" s="469"/>
      <c r="S23" s="468"/>
      <c r="T23" s="470"/>
      <c r="U23" s="470"/>
      <c r="V23" s="470"/>
      <c r="W23" s="469"/>
      <c r="X23" s="468"/>
      <c r="Y23" s="470"/>
      <c r="Z23" s="470"/>
      <c r="AA23" s="470"/>
      <c r="AB23" s="470"/>
      <c r="AC23" s="470"/>
      <c r="AF23" s="470"/>
      <c r="AI23" s="470"/>
      <c r="AL23" s="470"/>
      <c r="AO23" s="470"/>
      <c r="AS23" s="470"/>
      <c r="AT23" s="470"/>
      <c r="AU23" s="470"/>
      <c r="AV23" s="470"/>
      <c r="AW23" s="470"/>
      <c r="AX23" s="470"/>
      <c r="AY23" s="470"/>
      <c r="AZ23" s="470"/>
      <c r="BA23" s="470"/>
      <c r="BB23" s="470"/>
      <c r="BC23" s="470"/>
      <c r="BD23" s="470"/>
      <c r="BE23" s="470"/>
      <c r="BF23" s="470"/>
      <c r="BG23" s="470"/>
      <c r="DA23" s="473"/>
      <c r="DB23" s="473"/>
      <c r="DC23" s="112"/>
      <c r="DD23" s="445"/>
      <c r="DE23" s="445"/>
      <c r="DF23" s="445"/>
      <c r="DG23" s="445"/>
      <c r="DH23" s="445"/>
      <c r="DI23" s="445"/>
      <c r="DJ23" s="445"/>
      <c r="DK23" s="445"/>
      <c r="DL23" s="445"/>
      <c r="DM23" s="445"/>
      <c r="DN23" s="445"/>
      <c r="DO23" s="445"/>
      <c r="DP23" s="445"/>
      <c r="DQ23" s="445"/>
      <c r="DR23" s="445"/>
    </row>
    <row r="24" spans="1:122" s="133" customFormat="1">
      <c r="A24" s="136"/>
      <c r="B24" s="136"/>
      <c r="C24" s="138"/>
      <c r="D24" s="468"/>
      <c r="E24" s="470"/>
      <c r="F24" s="470"/>
      <c r="G24" s="470"/>
      <c r="H24" s="469"/>
      <c r="I24" s="468"/>
      <c r="J24" s="470"/>
      <c r="K24" s="470"/>
      <c r="L24" s="470"/>
      <c r="M24" s="469"/>
      <c r="N24" s="468"/>
      <c r="O24" s="470"/>
      <c r="P24" s="470"/>
      <c r="Q24" s="470"/>
      <c r="R24" s="469"/>
      <c r="S24" s="468"/>
      <c r="T24" s="470"/>
      <c r="U24" s="470"/>
      <c r="V24" s="470"/>
      <c r="W24" s="469"/>
      <c r="X24" s="468"/>
      <c r="Y24" s="470"/>
      <c r="Z24" s="470"/>
      <c r="AA24" s="470"/>
      <c r="AB24" s="470"/>
      <c r="AC24" s="470"/>
      <c r="AD24" s="470"/>
      <c r="AE24" s="470"/>
      <c r="AF24" s="470"/>
      <c r="AG24" s="470"/>
      <c r="AH24" s="470"/>
      <c r="AI24" s="470"/>
      <c r="AJ24" s="470"/>
      <c r="AK24" s="470"/>
      <c r="AL24" s="470"/>
      <c r="AM24" s="470"/>
      <c r="AN24" s="470"/>
      <c r="AO24" s="470"/>
      <c r="AP24" s="470"/>
      <c r="AQ24" s="470"/>
      <c r="AR24" s="470"/>
      <c r="AS24" s="470"/>
      <c r="AT24" s="470"/>
      <c r="AU24" s="470"/>
      <c r="AV24" s="470"/>
      <c r="AW24" s="470"/>
      <c r="AX24" s="470"/>
      <c r="AY24" s="470"/>
      <c r="AZ24" s="470"/>
      <c r="BA24" s="470"/>
      <c r="BB24" s="470"/>
      <c r="BC24" s="470"/>
      <c r="BD24" s="470"/>
      <c r="BE24" s="470"/>
      <c r="BF24" s="470"/>
      <c r="BG24" s="470"/>
      <c r="DA24" s="473"/>
      <c r="DB24" s="473"/>
      <c r="DC24" s="112"/>
      <c r="DD24" s="445"/>
      <c r="DE24" s="445"/>
      <c r="DF24" s="445"/>
      <c r="DG24" s="445"/>
      <c r="DH24" s="445"/>
      <c r="DI24" s="445"/>
      <c r="DJ24" s="445"/>
      <c r="DK24" s="445"/>
      <c r="DL24" s="445"/>
      <c r="DM24" s="445"/>
      <c r="DN24" s="445"/>
      <c r="DO24" s="445"/>
      <c r="DP24" s="445"/>
      <c r="DQ24" s="445"/>
      <c r="DR24" s="445"/>
    </row>
    <row r="25" spans="1:122" s="133" customFormat="1">
      <c r="A25" s="136"/>
      <c r="B25" s="136"/>
      <c r="C25" s="138"/>
      <c r="D25" s="468"/>
      <c r="E25" s="470"/>
      <c r="F25" s="470"/>
      <c r="G25" s="470"/>
      <c r="H25" s="469"/>
      <c r="I25" s="468"/>
      <c r="J25" s="470"/>
      <c r="K25" s="470"/>
      <c r="L25" s="470"/>
      <c r="M25" s="469"/>
      <c r="N25" s="468"/>
      <c r="O25" s="470"/>
      <c r="P25" s="470"/>
      <c r="Q25" s="470"/>
      <c r="R25" s="469"/>
      <c r="S25" s="468"/>
      <c r="T25" s="470"/>
      <c r="U25" s="470"/>
      <c r="V25" s="470"/>
      <c r="W25" s="469"/>
      <c r="X25" s="468"/>
      <c r="Y25" s="470"/>
      <c r="Z25" s="470"/>
      <c r="AA25" s="470"/>
      <c r="AB25" s="470"/>
      <c r="AC25" s="470"/>
      <c r="AD25" s="470"/>
      <c r="AE25" s="470"/>
      <c r="AF25" s="470"/>
      <c r="AG25" s="470"/>
      <c r="AH25" s="470"/>
      <c r="AI25" s="470"/>
      <c r="AJ25" s="470"/>
      <c r="AK25" s="470"/>
      <c r="AL25" s="470"/>
      <c r="AM25" s="470"/>
      <c r="AN25" s="470"/>
      <c r="AO25" s="470"/>
      <c r="AP25" s="470"/>
      <c r="AQ25" s="470"/>
      <c r="AR25" s="470"/>
      <c r="AS25" s="470"/>
      <c r="AT25" s="470"/>
      <c r="AU25" s="470"/>
      <c r="AV25" s="470"/>
      <c r="AW25" s="470"/>
      <c r="AX25" s="470"/>
      <c r="AY25" s="470"/>
      <c r="AZ25" s="470"/>
      <c r="BA25" s="470"/>
      <c r="BB25" s="470"/>
      <c r="BC25" s="470"/>
      <c r="BD25" s="470"/>
      <c r="BE25" s="470"/>
      <c r="BF25" s="470"/>
      <c r="BG25" s="470"/>
      <c r="DA25" s="473"/>
      <c r="DB25" s="473"/>
      <c r="DC25" s="112"/>
      <c r="DD25" s="445"/>
      <c r="DE25" s="445"/>
      <c r="DF25" s="445"/>
      <c r="DG25" s="445"/>
      <c r="DH25" s="445"/>
      <c r="DI25" s="445"/>
      <c r="DJ25" s="445"/>
      <c r="DK25" s="445"/>
      <c r="DL25" s="445"/>
      <c r="DM25" s="445"/>
      <c r="DN25" s="445"/>
      <c r="DO25" s="445"/>
      <c r="DP25" s="445"/>
      <c r="DQ25" s="445"/>
      <c r="DR25" s="445"/>
    </row>
    <row r="26" spans="1:122" s="133" customFormat="1">
      <c r="A26" s="136"/>
      <c r="B26" s="136"/>
      <c r="C26" s="138"/>
      <c r="D26" s="468"/>
      <c r="E26" s="470"/>
      <c r="F26" s="470"/>
      <c r="G26" s="470"/>
      <c r="H26" s="469"/>
      <c r="I26" s="468"/>
      <c r="J26" s="470"/>
      <c r="K26" s="470"/>
      <c r="L26" s="470"/>
      <c r="M26" s="469"/>
      <c r="N26" s="468"/>
      <c r="O26" s="470"/>
      <c r="P26" s="470"/>
      <c r="Q26" s="470"/>
      <c r="R26" s="469"/>
      <c r="S26" s="468"/>
      <c r="T26" s="470"/>
      <c r="U26" s="470"/>
      <c r="V26" s="470"/>
      <c r="W26" s="469"/>
      <c r="X26" s="468"/>
      <c r="Y26" s="470"/>
      <c r="Z26" s="470"/>
      <c r="AA26" s="470"/>
      <c r="AB26" s="470"/>
      <c r="AC26" s="470"/>
      <c r="AD26" s="470"/>
      <c r="AE26" s="470"/>
      <c r="AF26" s="470"/>
      <c r="AG26" s="470"/>
      <c r="AH26" s="470"/>
      <c r="AI26" s="470"/>
      <c r="AJ26" s="470"/>
      <c r="AK26" s="470"/>
      <c r="AL26" s="470"/>
      <c r="AM26" s="470"/>
      <c r="AN26" s="470"/>
      <c r="AO26" s="470"/>
      <c r="AP26" s="470"/>
      <c r="AQ26" s="470"/>
      <c r="AR26" s="470"/>
      <c r="AS26" s="470"/>
      <c r="AT26" s="470"/>
      <c r="AU26" s="470"/>
      <c r="AV26" s="470"/>
      <c r="AW26" s="470"/>
      <c r="AX26" s="470"/>
      <c r="AY26" s="470"/>
      <c r="AZ26" s="470"/>
      <c r="BA26" s="470"/>
      <c r="BB26" s="470"/>
      <c r="BC26" s="470"/>
      <c r="BD26" s="470"/>
      <c r="BE26" s="470"/>
      <c r="BF26" s="470"/>
      <c r="BG26" s="470"/>
      <c r="DA26" s="473"/>
      <c r="DB26" s="473"/>
      <c r="DC26" s="112"/>
      <c r="DD26" s="445"/>
      <c r="DE26" s="445"/>
      <c r="DF26" s="445"/>
      <c r="DG26" s="445"/>
      <c r="DH26" s="445"/>
      <c r="DI26" s="445"/>
      <c r="DJ26" s="445"/>
      <c r="DK26" s="445"/>
      <c r="DL26" s="445"/>
      <c r="DM26" s="445"/>
      <c r="DN26" s="445"/>
      <c r="DO26" s="445"/>
      <c r="DP26" s="445"/>
      <c r="DQ26" s="445"/>
      <c r="DR26" s="445"/>
    </row>
    <row r="27" spans="1:122" s="133" customFormat="1">
      <c r="A27" s="136"/>
      <c r="B27" s="136"/>
      <c r="C27" s="138"/>
      <c r="D27" s="468"/>
      <c r="E27" s="470"/>
      <c r="F27" s="470"/>
      <c r="G27" s="470"/>
      <c r="H27" s="469"/>
      <c r="I27" s="468"/>
      <c r="J27" s="470"/>
      <c r="K27" s="470"/>
      <c r="L27" s="470"/>
      <c r="M27" s="469"/>
      <c r="N27" s="468"/>
      <c r="O27" s="470"/>
      <c r="P27" s="470"/>
      <c r="Q27" s="470"/>
      <c r="R27" s="469"/>
      <c r="S27" s="468"/>
      <c r="T27" s="470"/>
      <c r="U27" s="470"/>
      <c r="V27" s="470"/>
      <c r="W27" s="469"/>
      <c r="X27" s="468"/>
      <c r="Y27" s="470"/>
      <c r="Z27" s="470"/>
      <c r="AA27" s="470"/>
      <c r="AB27" s="470"/>
      <c r="AC27" s="470"/>
      <c r="AD27" s="470"/>
      <c r="AE27" s="470"/>
      <c r="AF27" s="470"/>
      <c r="AG27" s="470"/>
      <c r="AH27" s="470"/>
      <c r="AI27" s="470"/>
      <c r="AJ27" s="470"/>
      <c r="AK27" s="470"/>
      <c r="AL27" s="470"/>
      <c r="AM27" s="470"/>
      <c r="AN27" s="470"/>
      <c r="AO27" s="470"/>
      <c r="AP27" s="470"/>
      <c r="AQ27" s="470"/>
      <c r="AR27" s="470"/>
      <c r="AS27" s="470"/>
      <c r="AT27" s="470"/>
      <c r="AU27" s="470"/>
      <c r="AV27" s="470"/>
      <c r="AW27" s="470"/>
      <c r="AX27" s="470"/>
      <c r="AY27" s="470"/>
      <c r="AZ27" s="470"/>
      <c r="BA27" s="470"/>
      <c r="BB27" s="470"/>
      <c r="BC27" s="470"/>
      <c r="BD27" s="470"/>
      <c r="BE27" s="470"/>
      <c r="BF27" s="470"/>
      <c r="BG27" s="470"/>
      <c r="DA27" s="473"/>
      <c r="DB27" s="473"/>
      <c r="DC27" s="112"/>
      <c r="DD27" s="445"/>
      <c r="DE27" s="445"/>
      <c r="DF27" s="445"/>
      <c r="DG27" s="445"/>
      <c r="DH27" s="445"/>
      <c r="DI27" s="445"/>
      <c r="DJ27" s="445"/>
      <c r="DK27" s="445"/>
      <c r="DL27" s="445"/>
      <c r="DM27" s="445"/>
      <c r="DN27" s="445"/>
      <c r="DO27" s="445"/>
      <c r="DP27" s="445"/>
      <c r="DQ27" s="445"/>
      <c r="DR27" s="445"/>
    </row>
    <row r="28" spans="1:122" s="133" customFormat="1">
      <c r="A28" s="136"/>
      <c r="B28" s="136"/>
      <c r="C28" s="138"/>
      <c r="D28" s="468"/>
      <c r="E28" s="470"/>
      <c r="F28" s="470"/>
      <c r="G28" s="470"/>
      <c r="H28" s="469"/>
      <c r="I28" s="468"/>
      <c r="J28" s="470"/>
      <c r="K28" s="470"/>
      <c r="L28" s="470"/>
      <c r="M28" s="469"/>
      <c r="N28" s="468"/>
      <c r="O28" s="470"/>
      <c r="P28" s="470"/>
      <c r="Q28" s="470"/>
      <c r="R28" s="469"/>
      <c r="S28" s="468"/>
      <c r="T28" s="470"/>
      <c r="U28" s="470"/>
      <c r="V28" s="470"/>
      <c r="W28" s="469"/>
      <c r="X28" s="468"/>
      <c r="Y28" s="470"/>
      <c r="Z28" s="470"/>
      <c r="AA28" s="470"/>
      <c r="AB28" s="470"/>
      <c r="AC28" s="470"/>
      <c r="AD28" s="470"/>
      <c r="AE28" s="470"/>
      <c r="AF28" s="470"/>
      <c r="AG28" s="470"/>
      <c r="AH28" s="470"/>
      <c r="AI28" s="470"/>
      <c r="AJ28" s="470"/>
      <c r="AK28" s="470"/>
      <c r="AL28" s="470"/>
      <c r="AM28" s="470"/>
      <c r="AN28" s="470"/>
      <c r="AO28" s="470"/>
      <c r="AP28" s="470"/>
      <c r="AQ28" s="470"/>
      <c r="AR28" s="470"/>
      <c r="AS28" s="470"/>
      <c r="AT28" s="470"/>
      <c r="AU28" s="470"/>
      <c r="AV28" s="470"/>
      <c r="AW28" s="470"/>
      <c r="AX28" s="470"/>
      <c r="AY28" s="470"/>
      <c r="AZ28" s="470"/>
      <c r="BA28" s="470"/>
      <c r="BB28" s="470"/>
      <c r="BC28" s="470"/>
      <c r="BD28" s="470"/>
      <c r="BE28" s="470"/>
      <c r="BF28" s="470"/>
      <c r="BG28" s="470"/>
      <c r="DA28" s="473"/>
      <c r="DB28" s="473"/>
      <c r="DC28" s="112"/>
      <c r="DD28" s="445"/>
      <c r="DE28" s="445"/>
      <c r="DF28" s="445"/>
      <c r="DG28" s="445"/>
      <c r="DH28" s="445"/>
      <c r="DI28" s="445"/>
      <c r="DJ28" s="445"/>
      <c r="DK28" s="445"/>
      <c r="DL28" s="445"/>
      <c r="DM28" s="445"/>
      <c r="DN28" s="445"/>
      <c r="DO28" s="445"/>
      <c r="DP28" s="445"/>
      <c r="DQ28" s="445"/>
      <c r="DR28" s="445"/>
    </row>
    <row r="29" spans="1:122" s="133" customFormat="1">
      <c r="A29" s="136"/>
      <c r="B29" s="136"/>
      <c r="C29" s="138"/>
      <c r="D29" s="468"/>
      <c r="E29" s="470"/>
      <c r="F29" s="470"/>
      <c r="G29" s="470"/>
      <c r="H29" s="469"/>
      <c r="I29" s="468"/>
      <c r="J29" s="470"/>
      <c r="K29" s="470"/>
      <c r="L29" s="470"/>
      <c r="M29" s="469"/>
      <c r="N29" s="468"/>
      <c r="R29" s="469"/>
      <c r="S29" s="468"/>
      <c r="W29" s="469"/>
      <c r="X29" s="468"/>
      <c r="Y29" s="470"/>
      <c r="Z29" s="470"/>
      <c r="AB29" s="468"/>
      <c r="AC29" s="468"/>
      <c r="AD29" s="470"/>
      <c r="AE29" s="470"/>
      <c r="AF29" s="468"/>
      <c r="AG29" s="470"/>
      <c r="AH29" s="470"/>
      <c r="AI29" s="468"/>
      <c r="AJ29" s="470"/>
      <c r="AK29" s="470"/>
      <c r="AL29" s="468"/>
      <c r="AM29" s="470"/>
      <c r="AN29" s="470"/>
      <c r="AO29" s="468"/>
      <c r="AP29" s="470"/>
      <c r="AQ29" s="470"/>
      <c r="AR29" s="470"/>
      <c r="AU29" s="468"/>
      <c r="AV29" s="470"/>
      <c r="AW29" s="470"/>
      <c r="AX29" s="470"/>
      <c r="BA29" s="468"/>
      <c r="BB29" s="470"/>
      <c r="BC29" s="470"/>
      <c r="BD29" s="470"/>
      <c r="BG29" s="468"/>
      <c r="DA29" s="473"/>
      <c r="DB29" s="473"/>
      <c r="DC29" s="112"/>
      <c r="DD29" s="445"/>
      <c r="DE29" s="445"/>
      <c r="DF29" s="445"/>
      <c r="DG29" s="445"/>
      <c r="DH29" s="445"/>
      <c r="DI29" s="445"/>
      <c r="DJ29" s="445"/>
      <c r="DK29" s="445"/>
      <c r="DL29" s="445"/>
      <c r="DM29" s="445"/>
      <c r="DN29" s="445"/>
      <c r="DO29" s="445"/>
      <c r="DP29" s="445"/>
      <c r="DQ29" s="445"/>
      <c r="DR29" s="445"/>
    </row>
    <row r="30" spans="1:122" s="133" customFormat="1">
      <c r="A30" s="136"/>
      <c r="B30" s="136"/>
      <c r="C30" s="138"/>
      <c r="D30" s="468"/>
      <c r="E30" s="470"/>
      <c r="F30" s="470"/>
      <c r="G30" s="470"/>
      <c r="H30" s="469"/>
      <c r="I30" s="468"/>
      <c r="J30" s="470"/>
      <c r="K30" s="470"/>
      <c r="L30" s="470"/>
      <c r="M30" s="469"/>
      <c r="N30" s="468"/>
      <c r="R30" s="469"/>
      <c r="S30" s="468"/>
      <c r="W30" s="469"/>
      <c r="X30" s="468"/>
      <c r="Y30" s="470"/>
      <c r="Z30" s="470"/>
      <c r="AB30" s="468"/>
      <c r="AC30" s="468"/>
      <c r="AD30" s="470"/>
      <c r="AE30" s="470"/>
      <c r="AF30" s="468"/>
      <c r="AG30" s="470"/>
      <c r="AH30" s="470"/>
      <c r="AI30" s="468"/>
      <c r="AJ30" s="470"/>
      <c r="AK30" s="470"/>
      <c r="AL30" s="468"/>
      <c r="AM30" s="470"/>
      <c r="AN30" s="470"/>
      <c r="AO30" s="468"/>
      <c r="AP30" s="470"/>
      <c r="AQ30" s="470"/>
      <c r="AR30" s="470"/>
      <c r="AU30" s="468"/>
      <c r="AV30" s="470"/>
      <c r="AW30" s="470"/>
      <c r="AX30" s="470"/>
      <c r="BA30" s="468"/>
      <c r="BB30" s="470"/>
      <c r="BC30" s="470"/>
      <c r="BD30" s="470"/>
      <c r="BG30" s="468"/>
      <c r="DA30" s="473"/>
      <c r="DB30" s="473"/>
      <c r="DC30" s="112"/>
      <c r="DD30" s="445"/>
      <c r="DE30" s="445"/>
      <c r="DF30" s="445"/>
      <c r="DG30" s="445"/>
      <c r="DH30" s="445"/>
      <c r="DI30" s="445"/>
      <c r="DJ30" s="445"/>
      <c r="DK30" s="445"/>
      <c r="DL30" s="445"/>
      <c r="DM30" s="445"/>
      <c r="DN30" s="445"/>
      <c r="DO30" s="445"/>
      <c r="DP30" s="445"/>
      <c r="DQ30" s="445"/>
      <c r="DR30" s="445"/>
    </row>
    <row r="31" spans="1:122" s="133" customFormat="1">
      <c r="A31" s="136"/>
      <c r="B31" s="136"/>
      <c r="C31" s="138"/>
      <c r="D31" s="468"/>
      <c r="E31" s="470"/>
      <c r="F31" s="470"/>
      <c r="G31" s="470"/>
      <c r="H31" s="469"/>
      <c r="I31" s="468"/>
      <c r="J31" s="470"/>
      <c r="K31" s="470"/>
      <c r="L31" s="470"/>
      <c r="M31" s="469"/>
      <c r="N31" s="468"/>
      <c r="R31" s="469"/>
      <c r="S31" s="468"/>
      <c r="W31" s="469"/>
      <c r="X31" s="468"/>
      <c r="Y31" s="470"/>
      <c r="Z31" s="470"/>
      <c r="AB31" s="468"/>
      <c r="AC31" s="468"/>
      <c r="AD31" s="470"/>
      <c r="AE31" s="470"/>
      <c r="AF31" s="468"/>
      <c r="AG31" s="470"/>
      <c r="AH31" s="470"/>
      <c r="AI31" s="468"/>
      <c r="AJ31" s="470"/>
      <c r="AK31" s="470"/>
      <c r="AL31" s="468"/>
      <c r="AM31" s="470"/>
      <c r="AN31" s="470"/>
      <c r="AO31" s="468"/>
      <c r="AP31" s="470"/>
      <c r="AQ31" s="470"/>
      <c r="AR31" s="470"/>
      <c r="AU31" s="468"/>
      <c r="AV31" s="470"/>
      <c r="AW31" s="470"/>
      <c r="AX31" s="470"/>
      <c r="BA31" s="468"/>
      <c r="BB31" s="470"/>
      <c r="BC31" s="470"/>
      <c r="BD31" s="470"/>
      <c r="BG31" s="468"/>
      <c r="DA31" s="473"/>
      <c r="DB31" s="473"/>
      <c r="DC31" s="112"/>
      <c r="DD31" s="445"/>
      <c r="DE31" s="445"/>
      <c r="DF31" s="445"/>
      <c r="DG31" s="445"/>
      <c r="DH31" s="445"/>
      <c r="DI31" s="445"/>
      <c r="DJ31" s="445"/>
      <c r="DK31" s="445"/>
      <c r="DL31" s="445"/>
      <c r="DM31" s="445"/>
      <c r="DN31" s="445"/>
      <c r="DO31" s="445"/>
      <c r="DP31" s="445"/>
      <c r="DQ31" s="445"/>
      <c r="DR31" s="445"/>
    </row>
    <row r="32" spans="1:122" s="133" customFormat="1">
      <c r="A32" s="136"/>
      <c r="B32" s="136"/>
      <c r="C32" s="138"/>
      <c r="D32" s="468"/>
      <c r="E32" s="470"/>
      <c r="F32" s="470"/>
      <c r="G32" s="470"/>
      <c r="H32" s="469"/>
      <c r="I32" s="468"/>
      <c r="J32" s="470"/>
      <c r="K32" s="470"/>
      <c r="L32" s="470"/>
      <c r="M32" s="469"/>
      <c r="N32" s="468"/>
      <c r="R32" s="469"/>
      <c r="S32" s="468"/>
      <c r="W32" s="469"/>
      <c r="X32" s="468"/>
      <c r="Y32" s="470"/>
      <c r="Z32" s="470"/>
      <c r="AB32" s="468"/>
      <c r="AC32" s="468"/>
      <c r="AD32" s="470"/>
      <c r="AE32" s="470"/>
      <c r="AF32" s="468"/>
      <c r="AG32" s="470"/>
      <c r="AH32" s="470"/>
      <c r="AI32" s="468"/>
      <c r="AJ32" s="470"/>
      <c r="AK32" s="470"/>
      <c r="AL32" s="468"/>
      <c r="AM32" s="470"/>
      <c r="AN32" s="470"/>
      <c r="AO32" s="468"/>
      <c r="AP32" s="470"/>
      <c r="AQ32" s="470"/>
      <c r="AR32" s="470"/>
      <c r="AU32" s="468"/>
      <c r="AV32" s="470"/>
      <c r="AW32" s="470"/>
      <c r="AX32" s="470"/>
      <c r="BA32" s="468"/>
      <c r="BB32" s="470"/>
      <c r="BC32" s="470"/>
      <c r="BD32" s="470"/>
      <c r="BG32" s="468"/>
      <c r="DA32" s="473"/>
      <c r="DB32" s="473"/>
      <c r="DC32" s="112"/>
      <c r="DD32" s="445"/>
      <c r="DE32" s="445"/>
      <c r="DF32" s="445"/>
      <c r="DG32" s="445"/>
      <c r="DH32" s="445"/>
      <c r="DI32" s="445"/>
      <c r="DJ32" s="445"/>
      <c r="DK32" s="445"/>
      <c r="DL32" s="445"/>
      <c r="DM32" s="445"/>
      <c r="DN32" s="445"/>
      <c r="DO32" s="445"/>
      <c r="DP32" s="445"/>
      <c r="DQ32" s="445"/>
      <c r="DR32" s="445"/>
    </row>
    <row r="33" spans="1:122" s="133" customFormat="1">
      <c r="A33" s="136"/>
      <c r="B33" s="136"/>
      <c r="C33" s="468"/>
      <c r="D33" s="468"/>
      <c r="E33" s="470"/>
      <c r="F33" s="470"/>
      <c r="G33" s="470"/>
      <c r="H33" s="469"/>
      <c r="I33" s="468"/>
      <c r="J33" s="470"/>
      <c r="K33" s="470"/>
      <c r="L33" s="470"/>
      <c r="M33" s="469"/>
      <c r="N33" s="468"/>
      <c r="R33" s="469"/>
      <c r="S33" s="468"/>
      <c r="W33" s="469"/>
      <c r="X33" s="468"/>
      <c r="Y33" s="470"/>
      <c r="Z33" s="470"/>
      <c r="AB33" s="468"/>
      <c r="AC33" s="468"/>
      <c r="AD33" s="470"/>
      <c r="AE33" s="470"/>
      <c r="AF33" s="468"/>
      <c r="AG33" s="470"/>
      <c r="AH33" s="470"/>
      <c r="AI33" s="468"/>
      <c r="AJ33" s="470"/>
      <c r="AK33" s="470"/>
      <c r="AL33" s="468"/>
      <c r="AM33" s="470"/>
      <c r="AN33" s="470"/>
      <c r="AO33" s="468"/>
      <c r="AP33" s="470"/>
      <c r="AQ33" s="470"/>
      <c r="AR33" s="470"/>
      <c r="AU33" s="468"/>
      <c r="AV33" s="470"/>
      <c r="AW33" s="470"/>
      <c r="AX33" s="470"/>
      <c r="BA33" s="468"/>
      <c r="BB33" s="470"/>
      <c r="BC33" s="470"/>
      <c r="BD33" s="470"/>
      <c r="BG33" s="468"/>
      <c r="DA33" s="473"/>
      <c r="DB33" s="473"/>
      <c r="DC33" s="112"/>
      <c r="DD33" s="445"/>
      <c r="DE33" s="445"/>
      <c r="DF33" s="445"/>
      <c r="DG33" s="445"/>
      <c r="DH33" s="445"/>
      <c r="DI33" s="445"/>
      <c r="DJ33" s="445"/>
      <c r="DK33" s="445"/>
      <c r="DL33" s="445"/>
      <c r="DM33" s="445"/>
      <c r="DN33" s="445"/>
      <c r="DO33" s="445"/>
      <c r="DP33" s="445"/>
      <c r="DQ33" s="445"/>
      <c r="DR33" s="445"/>
    </row>
    <row r="34" spans="1:122" s="133" customFormat="1">
      <c r="A34" s="136"/>
      <c r="B34" s="136"/>
      <c r="C34" s="138"/>
      <c r="D34" s="468"/>
      <c r="E34" s="470"/>
      <c r="F34" s="470"/>
      <c r="G34" s="470"/>
      <c r="H34" s="469"/>
      <c r="I34" s="468"/>
      <c r="J34" s="470"/>
      <c r="K34" s="470"/>
      <c r="L34" s="470"/>
      <c r="M34" s="469"/>
      <c r="N34" s="468"/>
      <c r="R34" s="469"/>
      <c r="S34" s="468"/>
      <c r="W34" s="469"/>
      <c r="X34" s="468"/>
      <c r="Y34" s="470"/>
      <c r="Z34" s="470"/>
      <c r="AB34" s="468"/>
      <c r="AC34" s="468"/>
      <c r="AD34" s="470"/>
      <c r="AE34" s="470"/>
      <c r="AF34" s="468"/>
      <c r="AG34" s="470"/>
      <c r="AH34" s="470"/>
      <c r="AI34" s="468"/>
      <c r="AJ34" s="470"/>
      <c r="AK34" s="470"/>
      <c r="AL34" s="468"/>
      <c r="AM34" s="470"/>
      <c r="AN34" s="470"/>
      <c r="AO34" s="468"/>
      <c r="AP34" s="470"/>
      <c r="AQ34" s="470"/>
      <c r="AR34" s="470"/>
      <c r="AU34" s="468"/>
      <c r="AV34" s="470"/>
      <c r="AW34" s="470"/>
      <c r="AX34" s="470"/>
      <c r="BA34" s="468"/>
      <c r="BB34" s="470"/>
      <c r="BC34" s="470"/>
      <c r="BD34" s="470"/>
      <c r="BG34" s="468"/>
      <c r="DA34" s="473"/>
      <c r="DB34" s="473"/>
      <c r="DC34" s="112"/>
      <c r="DD34" s="445"/>
      <c r="DE34" s="445"/>
      <c r="DF34" s="445"/>
      <c r="DG34" s="445"/>
      <c r="DH34" s="445"/>
      <c r="DI34" s="445"/>
      <c r="DJ34" s="445"/>
      <c r="DK34" s="445"/>
      <c r="DL34" s="445"/>
      <c r="DM34" s="445"/>
      <c r="DN34" s="445"/>
      <c r="DO34" s="445"/>
      <c r="DP34" s="445"/>
      <c r="DQ34" s="445"/>
      <c r="DR34" s="445"/>
    </row>
    <row r="35" spans="1:122" s="133" customFormat="1">
      <c r="A35" s="136"/>
      <c r="B35" s="136"/>
      <c r="C35" s="138"/>
      <c r="D35" s="468"/>
      <c r="E35" s="470"/>
      <c r="F35" s="470"/>
      <c r="G35" s="470"/>
      <c r="H35" s="469"/>
      <c r="I35" s="468"/>
      <c r="J35" s="470"/>
      <c r="K35" s="470"/>
      <c r="L35" s="470"/>
      <c r="M35" s="469"/>
      <c r="N35" s="468"/>
      <c r="R35" s="469"/>
      <c r="S35" s="468"/>
      <c r="W35" s="469"/>
      <c r="X35" s="468"/>
      <c r="Y35" s="470"/>
      <c r="Z35" s="470"/>
      <c r="AB35" s="468"/>
      <c r="AC35" s="468"/>
      <c r="AD35" s="470"/>
      <c r="AE35" s="470"/>
      <c r="AF35" s="468"/>
      <c r="AG35" s="470"/>
      <c r="AH35" s="470"/>
      <c r="AI35" s="468"/>
      <c r="AJ35" s="470"/>
      <c r="AK35" s="470"/>
      <c r="AL35" s="468"/>
      <c r="AM35" s="470"/>
      <c r="AN35" s="470"/>
      <c r="AO35" s="468"/>
      <c r="AP35" s="470"/>
      <c r="AQ35" s="470"/>
      <c r="AR35" s="470"/>
      <c r="AU35" s="468"/>
      <c r="AV35" s="470"/>
      <c r="AW35" s="470"/>
      <c r="AX35" s="470"/>
      <c r="BA35" s="468"/>
      <c r="BB35" s="470"/>
      <c r="BC35" s="470"/>
      <c r="BD35" s="470"/>
      <c r="BG35" s="468"/>
      <c r="DA35" s="473"/>
      <c r="DB35" s="473"/>
      <c r="DC35" s="112"/>
      <c r="DD35" s="445"/>
      <c r="DE35" s="445"/>
      <c r="DF35" s="445"/>
      <c r="DG35" s="445"/>
      <c r="DH35" s="445"/>
      <c r="DI35" s="445"/>
      <c r="DJ35" s="445"/>
      <c r="DK35" s="445"/>
      <c r="DL35" s="445"/>
      <c r="DM35" s="445"/>
      <c r="DN35" s="445"/>
      <c r="DO35" s="445"/>
      <c r="DP35" s="445"/>
      <c r="DQ35" s="445"/>
      <c r="DR35" s="445"/>
    </row>
    <row r="36" spans="1:122" s="133" customFormat="1">
      <c r="A36" s="136"/>
      <c r="B36" s="136"/>
      <c r="C36" s="138"/>
      <c r="D36" s="468"/>
      <c r="E36" s="470"/>
      <c r="F36" s="470"/>
      <c r="G36" s="470"/>
      <c r="H36" s="469"/>
      <c r="I36" s="468"/>
      <c r="J36" s="470"/>
      <c r="K36" s="470"/>
      <c r="L36" s="470"/>
      <c r="M36" s="469"/>
      <c r="N36" s="468"/>
      <c r="R36" s="469"/>
      <c r="S36" s="468"/>
      <c r="W36" s="469"/>
      <c r="X36" s="468"/>
      <c r="Y36" s="470"/>
      <c r="Z36" s="470"/>
      <c r="AB36" s="468"/>
      <c r="AC36" s="468"/>
      <c r="AD36" s="470"/>
      <c r="AE36" s="470"/>
      <c r="AF36" s="468"/>
      <c r="AG36" s="470"/>
      <c r="AH36" s="470"/>
      <c r="AI36" s="468"/>
      <c r="AJ36" s="470"/>
      <c r="AK36" s="470"/>
      <c r="AL36" s="468"/>
      <c r="AM36" s="470"/>
      <c r="AN36" s="470"/>
      <c r="AO36" s="468"/>
      <c r="AP36" s="470"/>
      <c r="AQ36" s="470"/>
      <c r="AR36" s="470"/>
      <c r="AU36" s="468"/>
      <c r="AV36" s="470"/>
      <c r="AW36" s="470"/>
      <c r="AX36" s="470"/>
      <c r="BA36" s="468"/>
      <c r="BB36" s="470"/>
      <c r="BC36" s="470"/>
      <c r="BD36" s="470"/>
      <c r="BG36" s="468"/>
      <c r="DA36" s="473"/>
      <c r="DB36" s="473"/>
      <c r="DC36" s="112"/>
      <c r="DD36" s="445"/>
      <c r="DE36" s="445"/>
      <c r="DF36" s="445"/>
      <c r="DG36" s="445"/>
      <c r="DH36" s="445"/>
      <c r="DI36" s="445"/>
      <c r="DJ36" s="445"/>
      <c r="DK36" s="445"/>
      <c r="DL36" s="445"/>
      <c r="DM36" s="445"/>
      <c r="DN36" s="445"/>
      <c r="DO36" s="445"/>
      <c r="DP36" s="445"/>
      <c r="DQ36" s="445"/>
      <c r="DR36" s="445"/>
    </row>
    <row r="37" spans="1:122" s="133" customFormat="1">
      <c r="A37" s="136"/>
      <c r="B37" s="136"/>
      <c r="C37" s="138"/>
      <c r="D37" s="468"/>
      <c r="E37" s="470"/>
      <c r="F37" s="470"/>
      <c r="G37" s="470"/>
      <c r="H37" s="469"/>
      <c r="I37" s="468"/>
      <c r="J37" s="470"/>
      <c r="K37" s="470"/>
      <c r="L37" s="470"/>
      <c r="M37" s="469"/>
      <c r="N37" s="468"/>
      <c r="R37" s="469"/>
      <c r="S37" s="468"/>
      <c r="W37" s="469"/>
      <c r="X37" s="468"/>
      <c r="Y37" s="470"/>
      <c r="AA37" s="470"/>
      <c r="AB37" s="468"/>
      <c r="AC37" s="468"/>
      <c r="AD37" s="470"/>
      <c r="AE37" s="470"/>
      <c r="AF37" s="468"/>
      <c r="AG37" s="470"/>
      <c r="AH37" s="470"/>
      <c r="AI37" s="468"/>
      <c r="AJ37" s="470"/>
      <c r="AK37" s="470"/>
      <c r="AL37" s="468"/>
      <c r="AM37" s="470"/>
      <c r="AN37" s="470"/>
      <c r="AO37" s="468"/>
      <c r="AP37" s="470"/>
      <c r="AQ37" s="470"/>
      <c r="AR37" s="470"/>
      <c r="AU37" s="468"/>
      <c r="AV37" s="470"/>
      <c r="AW37" s="470"/>
      <c r="AX37" s="470"/>
      <c r="BA37" s="468"/>
      <c r="BB37" s="470"/>
      <c r="BC37" s="470"/>
      <c r="BD37" s="470"/>
      <c r="BG37" s="468"/>
      <c r="DA37" s="473"/>
      <c r="DB37" s="473"/>
      <c r="DC37" s="112"/>
      <c r="DD37" s="445"/>
      <c r="DE37" s="445"/>
      <c r="DF37" s="445"/>
      <c r="DG37" s="445"/>
      <c r="DH37" s="445"/>
      <c r="DI37" s="445"/>
      <c r="DJ37" s="445"/>
      <c r="DK37" s="445"/>
      <c r="DL37" s="445"/>
      <c r="DM37" s="445"/>
      <c r="DN37" s="445"/>
      <c r="DO37" s="445"/>
      <c r="DP37" s="445"/>
      <c r="DQ37" s="445"/>
      <c r="DR37" s="445"/>
    </row>
    <row r="38" spans="1:122" s="133" customFormat="1">
      <c r="A38" s="136"/>
      <c r="B38" s="136"/>
      <c r="C38" s="138"/>
      <c r="D38" s="468"/>
      <c r="E38" s="470"/>
      <c r="F38" s="470"/>
      <c r="G38" s="470"/>
      <c r="H38" s="469"/>
      <c r="I38" s="468"/>
      <c r="J38" s="470"/>
      <c r="K38" s="470"/>
      <c r="L38" s="470"/>
      <c r="M38" s="469"/>
      <c r="N38" s="468"/>
      <c r="R38" s="469"/>
      <c r="S38" s="468"/>
      <c r="W38" s="469"/>
      <c r="X38" s="468"/>
      <c r="Y38" s="470"/>
      <c r="Z38" s="470"/>
      <c r="AB38" s="468"/>
      <c r="AC38" s="468"/>
      <c r="AD38" s="470"/>
      <c r="AE38" s="470"/>
      <c r="AF38" s="468"/>
      <c r="AG38" s="470"/>
      <c r="AH38" s="470"/>
      <c r="AI38" s="468"/>
      <c r="AJ38" s="470"/>
      <c r="AK38" s="470"/>
      <c r="AL38" s="468"/>
      <c r="AM38" s="470"/>
      <c r="AN38" s="470"/>
      <c r="AO38" s="468"/>
      <c r="AP38" s="470"/>
      <c r="AQ38" s="470"/>
      <c r="AR38" s="470"/>
      <c r="AU38" s="468"/>
      <c r="AV38" s="470"/>
      <c r="AW38" s="470"/>
      <c r="AX38" s="470"/>
      <c r="BA38" s="468"/>
      <c r="BB38" s="470"/>
      <c r="BC38" s="470"/>
      <c r="BD38" s="470"/>
      <c r="BG38" s="468"/>
      <c r="DA38" s="473"/>
      <c r="DB38" s="473"/>
      <c r="DC38" s="112"/>
      <c r="DD38" s="445"/>
      <c r="DE38" s="445"/>
      <c r="DF38" s="445"/>
      <c r="DG38" s="445"/>
      <c r="DH38" s="445"/>
      <c r="DI38" s="445"/>
      <c r="DJ38" s="445"/>
      <c r="DK38" s="445"/>
      <c r="DL38" s="445"/>
      <c r="DM38" s="445"/>
      <c r="DN38" s="445"/>
      <c r="DO38" s="445"/>
      <c r="DP38" s="445"/>
      <c r="DQ38" s="445"/>
      <c r="DR38" s="445"/>
    </row>
    <row r="39" spans="1:122" s="133" customFormat="1">
      <c r="A39" s="136"/>
      <c r="B39" s="136"/>
      <c r="C39" s="138"/>
      <c r="D39" s="468"/>
      <c r="E39" s="470"/>
      <c r="F39" s="470"/>
      <c r="G39" s="470"/>
      <c r="H39" s="469"/>
      <c r="I39" s="468"/>
      <c r="J39" s="470"/>
      <c r="K39" s="470"/>
      <c r="L39" s="470"/>
      <c r="M39" s="469"/>
      <c r="N39" s="468"/>
      <c r="R39" s="469"/>
      <c r="S39" s="468"/>
      <c r="W39" s="469"/>
      <c r="X39" s="468"/>
      <c r="Y39" s="470"/>
      <c r="Z39" s="470"/>
      <c r="AB39" s="468"/>
      <c r="AC39" s="468"/>
      <c r="AD39" s="470"/>
      <c r="AE39" s="470"/>
      <c r="AF39" s="468"/>
      <c r="AG39" s="470"/>
      <c r="AH39" s="470"/>
      <c r="AI39" s="468"/>
      <c r="AJ39" s="470"/>
      <c r="AK39" s="470"/>
      <c r="AL39" s="468"/>
      <c r="AM39" s="470"/>
      <c r="AN39" s="470"/>
      <c r="AO39" s="468"/>
      <c r="AP39" s="470"/>
      <c r="AQ39" s="470"/>
      <c r="AR39" s="470"/>
      <c r="AU39" s="468"/>
      <c r="AV39" s="470"/>
      <c r="AW39" s="470"/>
      <c r="AX39" s="470"/>
      <c r="BA39" s="468"/>
      <c r="BB39" s="470"/>
      <c r="BC39" s="470"/>
      <c r="BD39" s="470"/>
      <c r="BG39" s="468"/>
      <c r="DA39" s="473"/>
      <c r="DB39" s="473"/>
      <c r="DC39" s="112"/>
      <c r="DD39" s="445"/>
      <c r="DE39" s="445"/>
      <c r="DF39" s="445"/>
      <c r="DG39" s="445"/>
      <c r="DH39" s="445"/>
      <c r="DI39" s="445"/>
      <c r="DJ39" s="445"/>
      <c r="DK39" s="445"/>
      <c r="DL39" s="445"/>
      <c r="DM39" s="445"/>
      <c r="DN39" s="445"/>
      <c r="DO39" s="445"/>
      <c r="DP39" s="445"/>
      <c r="DQ39" s="445"/>
      <c r="DR39" s="445"/>
    </row>
    <row r="40" spans="1:122" s="133" customFormat="1">
      <c r="A40" s="136"/>
      <c r="B40" s="136"/>
      <c r="C40" s="138"/>
      <c r="D40" s="468"/>
      <c r="E40" s="470"/>
      <c r="F40" s="470"/>
      <c r="G40" s="470"/>
      <c r="H40" s="469"/>
      <c r="I40" s="468"/>
      <c r="J40" s="470"/>
      <c r="K40" s="470"/>
      <c r="L40" s="470"/>
      <c r="M40" s="469"/>
      <c r="O40" s="468"/>
      <c r="R40" s="469"/>
      <c r="S40" s="468"/>
      <c r="W40" s="469"/>
      <c r="X40" s="468"/>
      <c r="Y40" s="470"/>
      <c r="Z40" s="470"/>
      <c r="AB40" s="468"/>
      <c r="AC40" s="468"/>
      <c r="AD40" s="470"/>
      <c r="AE40" s="470"/>
      <c r="AF40" s="468"/>
      <c r="AG40" s="470"/>
      <c r="AH40" s="470"/>
      <c r="AI40" s="468"/>
      <c r="AJ40" s="470"/>
      <c r="AK40" s="470"/>
      <c r="AL40" s="468"/>
      <c r="AM40" s="470"/>
      <c r="AN40" s="470"/>
      <c r="AO40" s="468"/>
      <c r="AP40" s="470"/>
      <c r="AQ40" s="470"/>
      <c r="AR40" s="470"/>
      <c r="AU40" s="468"/>
      <c r="AV40" s="470"/>
      <c r="AW40" s="470"/>
      <c r="AX40" s="470"/>
      <c r="BA40" s="468"/>
      <c r="BB40" s="470"/>
      <c r="BC40" s="470"/>
      <c r="BD40" s="470"/>
      <c r="BG40" s="468"/>
      <c r="DA40" s="473"/>
      <c r="DB40" s="473"/>
      <c r="DC40" s="112"/>
      <c r="DD40" s="445"/>
      <c r="DE40" s="445"/>
      <c r="DF40" s="445"/>
      <c r="DG40" s="445"/>
      <c r="DH40" s="445"/>
      <c r="DI40" s="445"/>
      <c r="DJ40" s="445"/>
      <c r="DK40" s="445"/>
      <c r="DL40" s="445"/>
      <c r="DM40" s="445"/>
      <c r="DN40" s="445"/>
      <c r="DO40" s="445"/>
      <c r="DP40" s="445"/>
      <c r="DQ40" s="445"/>
      <c r="DR40" s="445"/>
    </row>
    <row r="41" spans="1:122" s="133" customFormat="1">
      <c r="A41" s="136"/>
      <c r="B41" s="136"/>
      <c r="C41" s="138"/>
      <c r="D41" s="468"/>
      <c r="E41" s="470"/>
      <c r="F41" s="470"/>
      <c r="G41" s="470"/>
      <c r="H41" s="469"/>
      <c r="I41" s="468"/>
      <c r="J41" s="470"/>
      <c r="K41" s="470"/>
      <c r="L41" s="470"/>
      <c r="M41" s="469"/>
      <c r="N41" s="468"/>
      <c r="R41" s="469"/>
      <c r="S41" s="468"/>
      <c r="W41" s="469"/>
      <c r="X41" s="468"/>
      <c r="Y41" s="470"/>
      <c r="Z41" s="470"/>
      <c r="AB41" s="468"/>
      <c r="AC41" s="468"/>
      <c r="AD41" s="470"/>
      <c r="AE41" s="470"/>
      <c r="AF41" s="468"/>
      <c r="AG41" s="470"/>
      <c r="AH41" s="470"/>
      <c r="AI41" s="468"/>
      <c r="AJ41" s="470"/>
      <c r="AK41" s="470"/>
      <c r="AL41" s="468"/>
      <c r="AM41" s="470"/>
      <c r="AN41" s="470"/>
      <c r="AO41" s="468"/>
      <c r="AP41" s="470"/>
      <c r="AQ41" s="470"/>
      <c r="AR41" s="470"/>
      <c r="AU41" s="468"/>
      <c r="AV41" s="470"/>
      <c r="AW41" s="470"/>
      <c r="AX41" s="470"/>
      <c r="BA41" s="468"/>
      <c r="BB41" s="470"/>
      <c r="BC41" s="470"/>
      <c r="BD41" s="470"/>
      <c r="BG41" s="468"/>
      <c r="DA41" s="473"/>
      <c r="DB41" s="473"/>
      <c r="DC41" s="112"/>
      <c r="DD41" s="445"/>
      <c r="DE41" s="445"/>
      <c r="DF41" s="445"/>
      <c r="DG41" s="445"/>
      <c r="DH41" s="445"/>
      <c r="DI41" s="445"/>
      <c r="DJ41" s="445"/>
      <c r="DK41" s="445"/>
      <c r="DL41" s="445"/>
      <c r="DM41" s="445"/>
      <c r="DN41" s="445"/>
      <c r="DO41" s="445"/>
      <c r="DP41" s="445"/>
      <c r="DQ41" s="445"/>
      <c r="DR41" s="445"/>
    </row>
    <row r="42" spans="1:122" s="133" customFormat="1">
      <c r="A42" s="136"/>
      <c r="B42" s="136"/>
      <c r="C42" s="1335"/>
      <c r="D42" s="1335"/>
      <c r="E42" s="1334"/>
      <c r="F42" s="1371"/>
      <c r="G42" s="1372"/>
      <c r="H42" s="1371"/>
      <c r="I42" s="1372"/>
      <c r="J42" s="1371"/>
      <c r="K42" s="1372"/>
      <c r="L42" s="1371"/>
      <c r="M42" s="1372"/>
      <c r="N42" s="1371"/>
      <c r="O42" s="1333"/>
      <c r="R42" s="469"/>
      <c r="S42" s="468"/>
      <c r="W42" s="469"/>
      <c r="X42" s="468"/>
      <c r="Y42" s="470"/>
      <c r="Z42" s="470"/>
      <c r="AB42" s="468"/>
      <c r="AC42" s="468"/>
      <c r="AD42" s="470"/>
      <c r="AE42" s="470"/>
      <c r="AF42" s="468"/>
      <c r="AG42" s="470"/>
      <c r="AH42" s="470"/>
      <c r="AI42" s="468"/>
      <c r="AJ42" s="470"/>
      <c r="AK42" s="470"/>
      <c r="AL42" s="468"/>
      <c r="AM42" s="470"/>
      <c r="AN42" s="470"/>
      <c r="AO42" s="468"/>
      <c r="AP42" s="470"/>
      <c r="AQ42" s="470"/>
      <c r="AR42" s="470"/>
      <c r="AU42" s="468"/>
      <c r="AV42" s="470"/>
      <c r="AW42" s="470"/>
      <c r="AX42" s="470"/>
      <c r="BA42" s="468"/>
      <c r="BB42" s="470"/>
      <c r="BC42" s="470"/>
      <c r="BD42" s="470"/>
      <c r="BG42" s="468"/>
      <c r="DA42" s="473"/>
      <c r="DB42" s="473"/>
      <c r="DC42" s="112"/>
      <c r="DD42" s="445"/>
      <c r="DE42" s="445"/>
      <c r="DF42" s="445"/>
      <c r="DG42" s="445"/>
      <c r="DH42" s="445"/>
      <c r="DI42" s="445"/>
      <c r="DJ42" s="445"/>
      <c r="DK42" s="445"/>
      <c r="DL42" s="445"/>
      <c r="DM42" s="445"/>
      <c r="DN42" s="445"/>
      <c r="DO42" s="445"/>
      <c r="DP42" s="445"/>
      <c r="DQ42" s="445"/>
      <c r="DR42" s="445"/>
    </row>
    <row r="43" spans="1:122" s="133" customFormat="1">
      <c r="A43" s="136"/>
      <c r="B43" s="136"/>
      <c r="C43" s="1314"/>
      <c r="D43" s="1314"/>
      <c r="E43" s="1313"/>
      <c r="F43" s="1314"/>
      <c r="G43" s="1315"/>
      <c r="H43" s="1314"/>
      <c r="I43" s="1315"/>
      <c r="J43" s="1314"/>
      <c r="K43" s="1315"/>
      <c r="L43" s="1314"/>
      <c r="M43" s="1315"/>
      <c r="N43" s="1314"/>
      <c r="O43" s="1315"/>
      <c r="R43" s="469"/>
      <c r="S43" s="468"/>
      <c r="W43" s="469"/>
      <c r="X43" s="468"/>
      <c r="Y43" s="470"/>
      <c r="Z43" s="470"/>
      <c r="AB43" s="468"/>
      <c r="AC43" s="468"/>
      <c r="AD43" s="470"/>
      <c r="AE43" s="470"/>
      <c r="AF43" s="468"/>
      <c r="AG43" s="470"/>
      <c r="AH43" s="470"/>
      <c r="AI43" s="468"/>
      <c r="AJ43" s="470"/>
      <c r="AK43" s="470"/>
      <c r="AL43" s="468"/>
      <c r="AM43" s="470"/>
      <c r="AN43" s="470"/>
      <c r="AO43" s="468"/>
      <c r="AP43" s="470"/>
      <c r="AQ43" s="470"/>
      <c r="AR43" s="470"/>
      <c r="AU43" s="468"/>
      <c r="AV43" s="470"/>
      <c r="AW43" s="470"/>
      <c r="AX43" s="470"/>
      <c r="BA43" s="468"/>
      <c r="BB43" s="470"/>
      <c r="BC43" s="470"/>
      <c r="BD43" s="470"/>
      <c r="BG43" s="468"/>
      <c r="DA43" s="473"/>
      <c r="DB43" s="473"/>
      <c r="DC43" s="112"/>
      <c r="DD43" s="445"/>
      <c r="DE43" s="445"/>
      <c r="DF43" s="445"/>
      <c r="DG43" s="445"/>
      <c r="DH43" s="445"/>
      <c r="DI43" s="445"/>
      <c r="DJ43" s="445"/>
      <c r="DK43" s="445"/>
      <c r="DL43" s="445"/>
      <c r="DM43" s="445"/>
      <c r="DN43" s="445"/>
      <c r="DO43" s="445"/>
      <c r="DP43" s="445"/>
      <c r="DQ43" s="445"/>
      <c r="DR43" s="445"/>
    </row>
    <row r="44" spans="1:122" s="133" customFormat="1">
      <c r="A44" s="136"/>
      <c r="B44" s="136"/>
      <c r="C44" s="1314"/>
      <c r="D44" s="1314"/>
      <c r="E44" s="1313"/>
      <c r="F44" s="1315"/>
      <c r="G44" s="1314"/>
      <c r="H44" s="1315"/>
      <c r="I44" s="1314"/>
      <c r="J44" s="1315"/>
      <c r="K44" s="1314"/>
      <c r="L44" s="1315"/>
      <c r="M44" s="1314"/>
      <c r="N44" s="1316"/>
      <c r="O44" s="514"/>
      <c r="R44" s="469"/>
      <c r="S44" s="468"/>
      <c r="W44" s="469"/>
      <c r="X44" s="468"/>
      <c r="Y44" s="470"/>
      <c r="Z44" s="470"/>
      <c r="AB44" s="468"/>
      <c r="AC44" s="468"/>
      <c r="AD44" s="470"/>
      <c r="AE44" s="470"/>
      <c r="AF44" s="468"/>
      <c r="AG44" s="470"/>
      <c r="AH44" s="470"/>
      <c r="AI44" s="468"/>
      <c r="AJ44" s="470"/>
      <c r="AK44" s="470"/>
      <c r="AL44" s="468"/>
      <c r="AM44" s="470"/>
      <c r="AN44" s="470"/>
      <c r="AO44" s="468"/>
      <c r="AP44" s="470"/>
      <c r="AQ44" s="470"/>
      <c r="AR44" s="470"/>
      <c r="AU44" s="468"/>
      <c r="AV44" s="470"/>
      <c r="AW44" s="470"/>
      <c r="AX44" s="470"/>
      <c r="BA44" s="468"/>
      <c r="BB44" s="470"/>
      <c r="BC44" s="470"/>
      <c r="BD44" s="470"/>
      <c r="BG44" s="468"/>
      <c r="DA44" s="473"/>
      <c r="DB44" s="473"/>
      <c r="DC44" s="112"/>
      <c r="DD44" s="445"/>
      <c r="DE44" s="445"/>
      <c r="DF44" s="445"/>
      <c r="DG44" s="445"/>
      <c r="DH44" s="445"/>
      <c r="DI44" s="445"/>
      <c r="DJ44" s="445"/>
      <c r="DK44" s="445"/>
      <c r="DL44" s="445"/>
      <c r="DM44" s="445"/>
      <c r="DN44" s="445"/>
      <c r="DO44" s="445"/>
      <c r="DP44" s="445"/>
      <c r="DQ44" s="445"/>
      <c r="DR44" s="445"/>
    </row>
    <row r="45" spans="1:122" s="133" customFormat="1">
      <c r="A45" s="136"/>
      <c r="B45" s="136"/>
      <c r="C45" s="137"/>
      <c r="D45" s="137"/>
      <c r="E45" s="517"/>
      <c r="F45" s="513"/>
      <c r="G45" s="137"/>
      <c r="H45" s="513"/>
      <c r="I45" s="137"/>
      <c r="J45" s="513"/>
      <c r="K45" s="137"/>
      <c r="L45" s="137"/>
      <c r="M45" s="137"/>
      <c r="N45" s="513"/>
      <c r="O45" s="513"/>
      <c r="P45" s="481"/>
      <c r="Q45" s="481"/>
      <c r="R45" s="480"/>
      <c r="S45" s="478"/>
      <c r="W45" s="480"/>
      <c r="X45" s="478"/>
      <c r="Y45" s="470"/>
      <c r="Z45" s="470"/>
      <c r="AB45" s="468"/>
      <c r="AC45" s="468"/>
      <c r="AD45" s="470"/>
      <c r="AE45" s="470"/>
      <c r="AF45" s="468"/>
      <c r="AG45" s="470"/>
      <c r="AH45" s="470"/>
      <c r="AI45" s="468"/>
      <c r="AJ45" s="470"/>
      <c r="AK45" s="470"/>
      <c r="AL45" s="468"/>
      <c r="AM45" s="470"/>
      <c r="AN45" s="470"/>
      <c r="AO45" s="468"/>
      <c r="AP45" s="470"/>
      <c r="AQ45" s="470"/>
      <c r="AR45" s="470"/>
      <c r="AU45" s="468"/>
      <c r="AV45" s="470"/>
      <c r="AW45" s="470"/>
      <c r="AX45" s="470"/>
      <c r="BA45" s="468"/>
      <c r="BB45" s="470"/>
      <c r="BC45" s="470"/>
      <c r="BD45" s="470"/>
      <c r="BG45" s="468"/>
      <c r="DA45" s="473"/>
      <c r="DB45" s="473"/>
      <c r="DC45" s="112"/>
      <c r="DD45" s="445"/>
      <c r="DE45" s="445"/>
      <c r="DF45" s="445"/>
      <c r="DG45" s="445"/>
      <c r="DH45" s="445"/>
      <c r="DI45" s="445"/>
      <c r="DJ45" s="445"/>
      <c r="DK45" s="445"/>
      <c r="DL45" s="445"/>
      <c r="DM45" s="445"/>
      <c r="DN45" s="445"/>
      <c r="DO45" s="445"/>
      <c r="DP45" s="445"/>
      <c r="DQ45" s="445"/>
      <c r="DR45" s="445"/>
    </row>
    <row r="46" spans="1:122" s="133" customFormat="1">
      <c r="A46" s="136"/>
      <c r="B46" s="136"/>
      <c r="C46" s="137"/>
      <c r="D46" s="137"/>
      <c r="E46" s="517"/>
      <c r="F46" s="1317"/>
      <c r="G46" s="137"/>
      <c r="H46" s="1317"/>
      <c r="I46" s="137"/>
      <c r="J46" s="1317"/>
      <c r="K46" s="137"/>
      <c r="L46" s="1317"/>
      <c r="M46" s="137"/>
      <c r="N46" s="1317"/>
      <c r="O46" s="513"/>
      <c r="P46" s="481"/>
      <c r="Q46" s="481"/>
      <c r="R46" s="480"/>
      <c r="S46" s="478"/>
      <c r="W46" s="480"/>
      <c r="X46" s="478"/>
      <c r="Y46" s="470"/>
      <c r="Z46" s="470"/>
      <c r="AB46" s="468"/>
      <c r="AC46" s="468"/>
      <c r="AD46" s="470"/>
      <c r="AE46" s="470"/>
      <c r="AF46" s="468"/>
      <c r="AG46" s="470"/>
      <c r="AH46" s="470"/>
      <c r="AI46" s="468"/>
      <c r="AJ46" s="470"/>
      <c r="AK46" s="470"/>
      <c r="AL46" s="468"/>
      <c r="AM46" s="470"/>
      <c r="AN46" s="470"/>
      <c r="AO46" s="468"/>
      <c r="AP46" s="470"/>
      <c r="AQ46" s="470"/>
      <c r="AR46" s="470"/>
      <c r="AU46" s="468"/>
      <c r="AV46" s="470"/>
      <c r="AW46" s="470"/>
      <c r="AX46" s="470"/>
      <c r="BA46" s="468"/>
      <c r="BB46" s="470"/>
      <c r="BC46" s="470"/>
      <c r="BD46" s="470"/>
      <c r="BG46" s="468"/>
      <c r="DA46" s="473"/>
      <c r="DB46" s="473"/>
      <c r="DC46" s="112"/>
      <c r="DD46" s="445"/>
      <c r="DE46" s="445"/>
      <c r="DF46" s="445"/>
      <c r="DG46" s="445"/>
      <c r="DH46" s="445"/>
      <c r="DI46" s="445"/>
      <c r="DJ46" s="445"/>
      <c r="DK46" s="445"/>
      <c r="DL46" s="445"/>
      <c r="DM46" s="445"/>
      <c r="DN46" s="445"/>
      <c r="DO46" s="445"/>
      <c r="DP46" s="445"/>
      <c r="DQ46" s="445"/>
      <c r="DR46" s="445"/>
    </row>
    <row r="47" spans="1:122" s="133" customFormat="1">
      <c r="A47" s="136"/>
      <c r="B47" s="136"/>
      <c r="C47" s="68"/>
      <c r="D47" s="68"/>
      <c r="E47" s="68"/>
      <c r="F47" s="68"/>
      <c r="G47" s="124"/>
      <c r="H47" s="68"/>
      <c r="I47" s="37"/>
      <c r="J47" s="70"/>
      <c r="K47" s="68"/>
      <c r="L47" s="68"/>
      <c r="M47" s="124"/>
      <c r="N47" s="37"/>
      <c r="O47" s="70"/>
      <c r="P47" s="481"/>
      <c r="Q47" s="481"/>
      <c r="R47" s="480"/>
      <c r="S47" s="478"/>
      <c r="W47" s="480"/>
      <c r="X47" s="478"/>
      <c r="Y47" s="470"/>
      <c r="Z47" s="470"/>
      <c r="AB47" s="468"/>
      <c r="AC47" s="468"/>
      <c r="AD47" s="470"/>
      <c r="AE47" s="470"/>
      <c r="AF47" s="468"/>
      <c r="AG47" s="470"/>
      <c r="AH47" s="470"/>
      <c r="AI47" s="468"/>
      <c r="AJ47" s="470"/>
      <c r="AK47" s="470"/>
      <c r="AL47" s="468"/>
      <c r="AM47" s="470"/>
      <c r="AN47" s="470"/>
      <c r="AO47" s="468"/>
      <c r="AP47" s="470"/>
      <c r="AQ47" s="470"/>
      <c r="AR47" s="470"/>
      <c r="AU47" s="468"/>
      <c r="AV47" s="470"/>
      <c r="AW47" s="470"/>
      <c r="AX47" s="470"/>
      <c r="BA47" s="468"/>
      <c r="BB47" s="470"/>
      <c r="BC47" s="470"/>
      <c r="BD47" s="470"/>
      <c r="BG47" s="468"/>
      <c r="DA47" s="473"/>
      <c r="DB47" s="473"/>
      <c r="DC47" s="112"/>
      <c r="DD47" s="445"/>
      <c r="DE47" s="445"/>
      <c r="DF47" s="445"/>
      <c r="DG47" s="445"/>
      <c r="DH47" s="445"/>
      <c r="DI47" s="445"/>
      <c r="DJ47" s="445"/>
      <c r="DK47" s="445"/>
      <c r="DL47" s="445"/>
      <c r="DM47" s="445"/>
      <c r="DN47" s="445"/>
      <c r="DO47" s="445"/>
      <c r="DP47" s="445"/>
      <c r="DQ47" s="445"/>
      <c r="DR47" s="445"/>
    </row>
    <row r="48" spans="1:122" s="133" customFormat="1">
      <c r="A48" s="136"/>
      <c r="B48" s="136"/>
      <c r="C48" s="477"/>
      <c r="D48" s="478"/>
      <c r="E48" s="479"/>
      <c r="F48" s="479"/>
      <c r="G48" s="479"/>
      <c r="H48" s="480"/>
      <c r="I48" s="478"/>
      <c r="J48" s="479"/>
      <c r="K48" s="479"/>
      <c r="L48" s="479"/>
      <c r="M48" s="480"/>
      <c r="N48" s="478"/>
      <c r="O48" s="481"/>
      <c r="P48" s="481"/>
      <c r="Q48" s="481"/>
      <c r="R48" s="480"/>
      <c r="S48" s="478"/>
      <c r="W48" s="480"/>
      <c r="X48" s="478"/>
      <c r="Y48" s="470"/>
      <c r="Z48" s="470"/>
      <c r="AB48" s="468"/>
      <c r="AC48" s="468"/>
      <c r="AD48" s="470"/>
      <c r="AE48" s="470"/>
      <c r="AF48" s="468"/>
      <c r="AG48" s="470"/>
      <c r="AH48" s="470"/>
      <c r="AI48" s="468"/>
      <c r="AJ48" s="470"/>
      <c r="AK48" s="470"/>
      <c r="AL48" s="468"/>
      <c r="AM48" s="470"/>
      <c r="AN48" s="470"/>
      <c r="AO48" s="468"/>
      <c r="AP48" s="470"/>
      <c r="AQ48" s="470"/>
      <c r="AR48" s="470"/>
      <c r="AU48" s="468"/>
      <c r="AV48" s="470"/>
      <c r="AW48" s="470"/>
      <c r="AX48" s="470"/>
      <c r="BA48" s="468"/>
      <c r="BB48" s="470"/>
      <c r="BC48" s="470"/>
      <c r="BD48" s="470"/>
      <c r="BG48" s="468"/>
      <c r="DA48" s="473"/>
      <c r="DB48" s="473"/>
      <c r="DC48" s="112"/>
      <c r="DD48" s="445"/>
      <c r="DE48" s="445"/>
      <c r="DF48" s="445"/>
      <c r="DG48" s="445"/>
      <c r="DH48" s="445"/>
      <c r="DI48" s="445"/>
      <c r="DJ48" s="445"/>
      <c r="DK48" s="445"/>
      <c r="DL48" s="445"/>
      <c r="DM48" s="445"/>
      <c r="DN48" s="445"/>
      <c r="DO48" s="445"/>
      <c r="DP48" s="445"/>
      <c r="DQ48" s="445"/>
      <c r="DR48" s="445"/>
    </row>
    <row r="49" spans="1:122" s="133" customFormat="1">
      <c r="A49" s="136"/>
      <c r="B49" s="136"/>
      <c r="C49" s="477"/>
      <c r="D49" s="478"/>
      <c r="E49" s="479"/>
      <c r="F49" s="479"/>
      <c r="G49" s="479"/>
      <c r="H49" s="480"/>
      <c r="I49" s="478"/>
      <c r="J49" s="479"/>
      <c r="K49" s="479"/>
      <c r="L49" s="479"/>
      <c r="M49" s="480"/>
      <c r="N49" s="478"/>
      <c r="O49" s="481"/>
      <c r="P49" s="481"/>
      <c r="Q49" s="481"/>
      <c r="R49" s="480"/>
      <c r="S49" s="478"/>
      <c r="W49" s="480"/>
      <c r="X49" s="478"/>
      <c r="Y49" s="470"/>
      <c r="Z49" s="470"/>
      <c r="AB49" s="468"/>
      <c r="AC49" s="468"/>
      <c r="AD49" s="470"/>
      <c r="AE49" s="470"/>
      <c r="AF49" s="468"/>
      <c r="AG49" s="470"/>
      <c r="AH49" s="470"/>
      <c r="AI49" s="468"/>
      <c r="AJ49" s="470"/>
      <c r="AK49" s="470"/>
      <c r="AL49" s="468"/>
      <c r="AM49" s="470"/>
      <c r="AN49" s="470"/>
      <c r="AO49" s="468"/>
      <c r="AP49" s="470"/>
      <c r="AQ49" s="470"/>
      <c r="AR49" s="470"/>
      <c r="AU49" s="468"/>
      <c r="AV49" s="470"/>
      <c r="AW49" s="470"/>
      <c r="AX49" s="470"/>
      <c r="BA49" s="468"/>
      <c r="BB49" s="470"/>
      <c r="BC49" s="470"/>
      <c r="BD49" s="470"/>
      <c r="BG49" s="468"/>
      <c r="DA49" s="473"/>
      <c r="DB49" s="473"/>
      <c r="DC49" s="112"/>
      <c r="DD49" s="445"/>
      <c r="DE49" s="445"/>
      <c r="DF49" s="445"/>
      <c r="DG49" s="445"/>
      <c r="DH49" s="445"/>
      <c r="DI49" s="445"/>
      <c r="DJ49" s="445"/>
      <c r="DK49" s="445"/>
      <c r="DL49" s="445"/>
      <c r="DM49" s="445"/>
      <c r="DN49" s="445"/>
      <c r="DO49" s="445"/>
      <c r="DP49" s="445"/>
      <c r="DQ49" s="445"/>
      <c r="DR49" s="445"/>
    </row>
    <row r="50" spans="1:122" s="133" customFormat="1">
      <c r="A50" s="136"/>
      <c r="B50" s="136"/>
      <c r="C50" s="477"/>
      <c r="D50" s="478"/>
      <c r="E50" s="479"/>
      <c r="F50" s="479"/>
      <c r="G50" s="479"/>
      <c r="H50" s="480"/>
      <c r="I50" s="478"/>
      <c r="J50" s="479"/>
      <c r="K50" s="479"/>
      <c r="L50" s="479"/>
      <c r="M50" s="480"/>
      <c r="N50" s="478"/>
      <c r="O50" s="481"/>
      <c r="P50" s="481"/>
      <c r="Q50" s="481"/>
      <c r="R50" s="480"/>
      <c r="S50" s="478"/>
      <c r="W50" s="480"/>
      <c r="X50" s="478"/>
      <c r="Y50" s="470"/>
      <c r="Z50" s="470"/>
      <c r="AB50" s="468"/>
      <c r="AC50" s="468"/>
      <c r="AD50" s="470"/>
      <c r="AE50" s="470"/>
      <c r="AF50" s="468"/>
      <c r="AG50" s="470"/>
      <c r="AH50" s="470"/>
      <c r="AI50" s="468"/>
      <c r="AJ50" s="470"/>
      <c r="AK50" s="470"/>
      <c r="AL50" s="468"/>
      <c r="AM50" s="470"/>
      <c r="AN50" s="470"/>
      <c r="AO50" s="468"/>
      <c r="AP50" s="470"/>
      <c r="AQ50" s="470"/>
      <c r="AR50" s="470"/>
      <c r="AU50" s="468"/>
      <c r="AV50" s="470"/>
      <c r="AW50" s="470"/>
      <c r="AX50" s="470"/>
      <c r="BA50" s="468"/>
      <c r="BB50" s="470"/>
      <c r="BC50" s="470"/>
      <c r="BD50" s="470"/>
      <c r="BG50" s="468"/>
      <c r="DA50" s="473"/>
      <c r="DB50" s="473"/>
      <c r="DC50" s="112"/>
      <c r="DD50" s="445"/>
      <c r="DE50" s="445"/>
      <c r="DF50" s="445"/>
      <c r="DG50" s="445"/>
      <c r="DH50" s="445"/>
      <c r="DI50" s="445"/>
      <c r="DJ50" s="445"/>
      <c r="DK50" s="445"/>
      <c r="DL50" s="445"/>
      <c r="DM50" s="445"/>
      <c r="DN50" s="445"/>
      <c r="DO50" s="445"/>
      <c r="DP50" s="445"/>
      <c r="DQ50" s="445"/>
      <c r="DR50" s="445"/>
    </row>
    <row r="51" spans="1:122" s="133" customFormat="1">
      <c r="A51" s="136"/>
      <c r="B51" s="136"/>
      <c r="C51" s="477"/>
      <c r="D51" s="478"/>
      <c r="E51" s="479"/>
      <c r="F51" s="479"/>
      <c r="G51" s="479"/>
      <c r="H51" s="480"/>
      <c r="I51" s="478"/>
      <c r="J51" s="479"/>
      <c r="K51" s="479"/>
      <c r="L51" s="479"/>
      <c r="M51" s="480"/>
      <c r="N51" s="478"/>
      <c r="O51" s="481"/>
      <c r="P51" s="481"/>
      <c r="Q51" s="481"/>
      <c r="R51" s="480"/>
      <c r="S51" s="478"/>
      <c r="W51" s="480"/>
      <c r="X51" s="478"/>
      <c r="Y51" s="470"/>
      <c r="Z51" s="470"/>
      <c r="AB51" s="468"/>
      <c r="AC51" s="468"/>
      <c r="AD51" s="470"/>
      <c r="AE51" s="470"/>
      <c r="AF51" s="468"/>
      <c r="AG51" s="470"/>
      <c r="AH51" s="470"/>
      <c r="AI51" s="468"/>
      <c r="AJ51" s="470"/>
      <c r="AK51" s="470"/>
      <c r="AL51" s="468"/>
      <c r="AM51" s="470"/>
      <c r="AN51" s="470"/>
      <c r="AO51" s="468"/>
      <c r="AP51" s="470"/>
      <c r="AQ51" s="470"/>
      <c r="AR51" s="470"/>
      <c r="AU51" s="468"/>
      <c r="AV51" s="470"/>
      <c r="AW51" s="470"/>
      <c r="AX51" s="470"/>
      <c r="BA51" s="468"/>
      <c r="BB51" s="470"/>
      <c r="BC51" s="470"/>
      <c r="BD51" s="470"/>
      <c r="BG51" s="468"/>
      <c r="DA51" s="473"/>
      <c r="DB51" s="473"/>
      <c r="DC51" s="112"/>
      <c r="DD51" s="445"/>
      <c r="DE51" s="445"/>
      <c r="DF51" s="445"/>
      <c r="DG51" s="445"/>
      <c r="DH51" s="445"/>
      <c r="DI51" s="445"/>
      <c r="DJ51" s="445"/>
      <c r="DK51" s="445"/>
      <c r="DL51" s="445"/>
      <c r="DM51" s="445"/>
      <c r="DN51" s="445"/>
      <c r="DO51" s="445"/>
      <c r="DP51" s="445"/>
      <c r="DQ51" s="445"/>
      <c r="DR51" s="445"/>
    </row>
    <row r="52" spans="1:122" s="133" customFormat="1">
      <c r="A52" s="136"/>
      <c r="B52" s="136"/>
      <c r="C52" s="477"/>
      <c r="D52" s="478"/>
      <c r="E52" s="479"/>
      <c r="F52" s="479"/>
      <c r="G52" s="479"/>
      <c r="H52" s="480"/>
      <c r="I52" s="478"/>
      <c r="J52" s="479"/>
      <c r="K52" s="479"/>
      <c r="L52" s="479"/>
      <c r="M52" s="480"/>
      <c r="N52" s="478"/>
      <c r="O52" s="481"/>
      <c r="P52" s="481"/>
      <c r="Q52" s="481"/>
      <c r="R52" s="480"/>
      <c r="S52" s="478"/>
      <c r="W52" s="480"/>
      <c r="X52" s="478"/>
      <c r="Y52" s="470"/>
      <c r="Z52" s="470"/>
      <c r="AB52" s="468"/>
      <c r="AC52" s="468"/>
      <c r="AD52" s="470"/>
      <c r="AE52" s="470"/>
      <c r="AF52" s="468"/>
      <c r="AG52" s="470"/>
      <c r="AH52" s="470"/>
      <c r="AI52" s="468"/>
      <c r="AJ52" s="470"/>
      <c r="AK52" s="470"/>
      <c r="AL52" s="468"/>
      <c r="AM52" s="470"/>
      <c r="AN52" s="470"/>
      <c r="AO52" s="468"/>
      <c r="AP52" s="470"/>
      <c r="AQ52" s="470"/>
      <c r="AR52" s="470"/>
      <c r="AU52" s="468"/>
      <c r="AV52" s="470"/>
      <c r="AW52" s="470"/>
      <c r="AX52" s="470"/>
      <c r="BA52" s="468"/>
      <c r="BB52" s="470"/>
      <c r="BC52" s="470"/>
      <c r="BD52" s="470"/>
      <c r="BG52" s="468"/>
      <c r="DA52" s="473"/>
      <c r="DB52" s="473"/>
      <c r="DC52" s="112"/>
      <c r="DD52" s="445"/>
      <c r="DE52" s="445"/>
      <c r="DF52" s="445"/>
      <c r="DG52" s="445"/>
      <c r="DH52" s="445"/>
      <c r="DI52" s="445"/>
      <c r="DJ52" s="445"/>
      <c r="DK52" s="445"/>
      <c r="DL52" s="445"/>
      <c r="DM52" s="445"/>
      <c r="DN52" s="445"/>
      <c r="DO52" s="445"/>
      <c r="DP52" s="445"/>
      <c r="DQ52" s="445"/>
      <c r="DR52" s="445"/>
    </row>
    <row r="53" spans="1:122" s="133" customFormat="1">
      <c r="A53" s="136"/>
      <c r="B53" s="136"/>
      <c r="C53" s="477"/>
      <c r="D53" s="478"/>
      <c r="E53" s="479"/>
      <c r="F53" s="479"/>
      <c r="G53" s="479"/>
      <c r="H53" s="480"/>
      <c r="I53" s="478"/>
      <c r="J53" s="479"/>
      <c r="K53" s="479"/>
      <c r="L53" s="479"/>
      <c r="M53" s="480"/>
      <c r="N53" s="478"/>
      <c r="O53" s="481"/>
      <c r="P53" s="481"/>
      <c r="Q53" s="481"/>
      <c r="R53" s="480"/>
      <c r="S53" s="478"/>
      <c r="W53" s="480"/>
      <c r="X53" s="478"/>
      <c r="Y53" s="470"/>
      <c r="Z53" s="470"/>
      <c r="AB53" s="468"/>
      <c r="AC53" s="468"/>
      <c r="AD53" s="470"/>
      <c r="AE53" s="470"/>
      <c r="AF53" s="468"/>
      <c r="AG53" s="470"/>
      <c r="AH53" s="470"/>
      <c r="AI53" s="468"/>
      <c r="AJ53" s="470"/>
      <c r="AK53" s="470"/>
      <c r="AL53" s="468"/>
      <c r="AM53" s="470"/>
      <c r="AN53" s="470"/>
      <c r="AO53" s="468"/>
      <c r="AP53" s="470"/>
      <c r="AQ53" s="470"/>
      <c r="AR53" s="470"/>
      <c r="AU53" s="468"/>
      <c r="AV53" s="470"/>
      <c r="AW53" s="470"/>
      <c r="AX53" s="470"/>
      <c r="BA53" s="468"/>
      <c r="BB53" s="470"/>
      <c r="BC53" s="470"/>
      <c r="BD53" s="470"/>
      <c r="BG53" s="468"/>
      <c r="DA53" s="473"/>
      <c r="DB53" s="473"/>
      <c r="DC53" s="112"/>
      <c r="DD53" s="445"/>
      <c r="DE53" s="445"/>
      <c r="DF53" s="445"/>
      <c r="DG53" s="445"/>
      <c r="DH53" s="445"/>
      <c r="DI53" s="445"/>
      <c r="DJ53" s="445"/>
      <c r="DK53" s="445"/>
      <c r="DL53" s="445"/>
      <c r="DM53" s="445"/>
      <c r="DN53" s="445"/>
      <c r="DO53" s="445"/>
      <c r="DP53" s="445"/>
      <c r="DQ53" s="445"/>
      <c r="DR53" s="445"/>
    </row>
    <row r="54" spans="1:122" s="133" customFormat="1">
      <c r="A54" s="136"/>
      <c r="B54" s="136"/>
      <c r="C54" s="477"/>
      <c r="D54" s="478"/>
      <c r="E54" s="479"/>
      <c r="F54" s="479"/>
      <c r="G54" s="479"/>
      <c r="H54" s="480"/>
      <c r="I54" s="478"/>
      <c r="J54" s="479"/>
      <c r="K54" s="479"/>
      <c r="L54" s="479"/>
      <c r="M54" s="480"/>
      <c r="N54" s="478"/>
      <c r="O54" s="481"/>
      <c r="P54" s="481"/>
      <c r="Q54" s="481"/>
      <c r="R54" s="480"/>
      <c r="S54" s="478"/>
      <c r="W54" s="480"/>
      <c r="X54" s="478"/>
      <c r="Y54" s="470"/>
      <c r="Z54" s="470"/>
      <c r="AB54" s="468"/>
      <c r="AC54" s="468"/>
      <c r="AD54" s="470"/>
      <c r="AE54" s="470"/>
      <c r="AF54" s="468"/>
      <c r="AG54" s="470"/>
      <c r="AH54" s="470"/>
      <c r="AI54" s="468"/>
      <c r="AJ54" s="470"/>
      <c r="AK54" s="470"/>
      <c r="AL54" s="468"/>
      <c r="AM54" s="470"/>
      <c r="AN54" s="470"/>
      <c r="AO54" s="468"/>
      <c r="AP54" s="470"/>
      <c r="AQ54" s="470"/>
      <c r="AR54" s="470"/>
      <c r="AU54" s="468"/>
      <c r="AV54" s="470"/>
      <c r="AW54" s="470"/>
      <c r="AX54" s="470"/>
      <c r="BA54" s="468"/>
      <c r="BB54" s="470"/>
      <c r="BC54" s="470"/>
      <c r="BD54" s="470"/>
      <c r="BG54" s="468"/>
      <c r="DA54" s="473"/>
      <c r="DB54" s="473"/>
      <c r="DC54" s="112"/>
      <c r="DD54" s="445"/>
      <c r="DE54" s="445"/>
      <c r="DF54" s="445"/>
      <c r="DG54" s="445"/>
      <c r="DH54" s="445"/>
      <c r="DI54" s="445"/>
      <c r="DJ54" s="445"/>
      <c r="DK54" s="445"/>
      <c r="DL54" s="445"/>
      <c r="DM54" s="445"/>
      <c r="DN54" s="445"/>
      <c r="DO54" s="445"/>
      <c r="DP54" s="445"/>
      <c r="DQ54" s="445"/>
      <c r="DR54" s="445"/>
    </row>
    <row r="55" spans="1:122" s="133" customFormat="1">
      <c r="A55" s="136"/>
      <c r="B55" s="136"/>
      <c r="C55" s="477"/>
      <c r="D55" s="478"/>
      <c r="E55" s="479"/>
      <c r="F55" s="479"/>
      <c r="G55" s="479"/>
      <c r="H55" s="480"/>
      <c r="I55" s="478"/>
      <c r="J55" s="479"/>
      <c r="K55" s="479"/>
      <c r="L55" s="479"/>
      <c r="M55" s="480"/>
      <c r="N55" s="478"/>
      <c r="O55" s="481"/>
      <c r="P55" s="481"/>
      <c r="Q55" s="481"/>
      <c r="R55" s="480"/>
      <c r="S55" s="478"/>
      <c r="W55" s="480"/>
      <c r="X55" s="478"/>
      <c r="Y55" s="470"/>
      <c r="Z55" s="470"/>
      <c r="AB55" s="468"/>
      <c r="AC55" s="468"/>
      <c r="AD55" s="470"/>
      <c r="AE55" s="470"/>
      <c r="AF55" s="468"/>
      <c r="AG55" s="470"/>
      <c r="AH55" s="470"/>
      <c r="AI55" s="468"/>
      <c r="AJ55" s="470"/>
      <c r="AK55" s="470"/>
      <c r="AL55" s="468"/>
      <c r="AM55" s="470"/>
      <c r="AN55" s="470"/>
      <c r="AO55" s="468"/>
      <c r="AP55" s="470"/>
      <c r="AQ55" s="470"/>
      <c r="AR55" s="470"/>
      <c r="AU55" s="468"/>
      <c r="AV55" s="470"/>
      <c r="AW55" s="470"/>
      <c r="AX55" s="470"/>
      <c r="BA55" s="468"/>
      <c r="BB55" s="470"/>
      <c r="BC55" s="470"/>
      <c r="BD55" s="470"/>
      <c r="BG55" s="468"/>
      <c r="DA55" s="473"/>
      <c r="DB55" s="473"/>
      <c r="DC55" s="112"/>
      <c r="DD55" s="445"/>
      <c r="DE55" s="445"/>
      <c r="DF55" s="445"/>
      <c r="DG55" s="445"/>
      <c r="DH55" s="445"/>
      <c r="DI55" s="445"/>
      <c r="DJ55" s="445"/>
      <c r="DK55" s="445"/>
      <c r="DL55" s="445"/>
      <c r="DM55" s="445"/>
      <c r="DN55" s="445"/>
      <c r="DO55" s="445"/>
      <c r="DP55" s="445"/>
      <c r="DQ55" s="445"/>
      <c r="DR55" s="445"/>
    </row>
    <row r="56" spans="1:122" s="133" customFormat="1">
      <c r="A56" s="136"/>
      <c r="B56" s="136"/>
      <c r="C56" s="477"/>
      <c r="D56" s="478"/>
      <c r="E56" s="479"/>
      <c r="F56" s="479"/>
      <c r="G56" s="479"/>
      <c r="H56" s="480"/>
      <c r="I56" s="478"/>
      <c r="J56" s="479"/>
      <c r="K56" s="479"/>
      <c r="L56" s="479"/>
      <c r="M56" s="480"/>
      <c r="N56" s="478"/>
      <c r="O56" s="481"/>
      <c r="P56" s="481"/>
      <c r="Q56" s="481"/>
      <c r="R56" s="480"/>
      <c r="S56" s="478"/>
      <c r="W56" s="480"/>
      <c r="X56" s="478"/>
      <c r="Y56" s="470"/>
      <c r="Z56" s="470"/>
      <c r="AB56" s="468"/>
      <c r="AC56" s="468"/>
      <c r="AD56" s="470"/>
      <c r="AE56" s="470"/>
      <c r="AF56" s="468"/>
      <c r="AG56" s="470"/>
      <c r="AH56" s="470"/>
      <c r="AI56" s="468"/>
      <c r="AJ56" s="470"/>
      <c r="AK56" s="470"/>
      <c r="AL56" s="468"/>
      <c r="AM56" s="470"/>
      <c r="AN56" s="470"/>
      <c r="AO56" s="468"/>
      <c r="AP56" s="470"/>
      <c r="AQ56" s="470"/>
      <c r="AR56" s="470"/>
      <c r="AU56" s="468"/>
      <c r="AV56" s="470"/>
      <c r="AW56" s="470"/>
      <c r="AX56" s="470"/>
      <c r="BA56" s="468"/>
      <c r="BB56" s="470"/>
      <c r="BC56" s="470"/>
      <c r="BD56" s="470"/>
      <c r="BG56" s="468"/>
      <c r="DA56" s="473"/>
      <c r="DB56" s="473"/>
      <c r="DC56" s="112"/>
      <c r="DD56" s="445"/>
      <c r="DE56" s="445"/>
      <c r="DF56" s="445"/>
      <c r="DG56" s="445"/>
      <c r="DH56" s="445"/>
      <c r="DI56" s="445"/>
      <c r="DJ56" s="445"/>
      <c r="DK56" s="445"/>
      <c r="DL56" s="445"/>
      <c r="DM56" s="445"/>
      <c r="DN56" s="445"/>
      <c r="DO56" s="445"/>
      <c r="DP56" s="445"/>
      <c r="DQ56" s="445"/>
      <c r="DR56" s="445"/>
    </row>
    <row r="57" spans="1:122" s="133" customFormat="1">
      <c r="A57" s="136"/>
      <c r="B57" s="136"/>
      <c r="C57" s="477"/>
      <c r="D57" s="478"/>
      <c r="E57" s="479"/>
      <c r="F57" s="479"/>
      <c r="G57" s="479"/>
      <c r="H57" s="480"/>
      <c r="I57" s="478"/>
      <c r="J57" s="479"/>
      <c r="K57" s="479"/>
      <c r="L57" s="479"/>
      <c r="M57" s="480"/>
      <c r="N57" s="478"/>
      <c r="O57" s="481"/>
      <c r="P57" s="481"/>
      <c r="Q57" s="481"/>
      <c r="R57" s="480"/>
      <c r="S57" s="478"/>
      <c r="W57" s="480"/>
      <c r="X57" s="478"/>
      <c r="Y57" s="470"/>
      <c r="Z57" s="470"/>
      <c r="AB57" s="468"/>
      <c r="AC57" s="468"/>
      <c r="AD57" s="470"/>
      <c r="AE57" s="470"/>
      <c r="AF57" s="468"/>
      <c r="AG57" s="470"/>
      <c r="AH57" s="470"/>
      <c r="AI57" s="468"/>
      <c r="AJ57" s="470"/>
      <c r="AK57" s="470"/>
      <c r="AL57" s="468"/>
      <c r="AM57" s="470"/>
      <c r="AN57" s="470"/>
      <c r="AO57" s="468"/>
      <c r="AP57" s="470"/>
      <c r="AQ57" s="470"/>
      <c r="AR57" s="470"/>
      <c r="AU57" s="468"/>
      <c r="AV57" s="470"/>
      <c r="AW57" s="470"/>
      <c r="AX57" s="470"/>
      <c r="BA57" s="468"/>
      <c r="BB57" s="470"/>
      <c r="BC57" s="470"/>
      <c r="BD57" s="470"/>
      <c r="BG57" s="468"/>
      <c r="DA57" s="473"/>
      <c r="DB57" s="473"/>
      <c r="DC57" s="112"/>
      <c r="DD57" s="445"/>
      <c r="DE57" s="445"/>
      <c r="DF57" s="445"/>
      <c r="DG57" s="445"/>
      <c r="DH57" s="445"/>
      <c r="DI57" s="445"/>
      <c r="DJ57" s="445"/>
      <c r="DK57" s="445"/>
      <c r="DL57" s="445"/>
      <c r="DM57" s="445"/>
      <c r="DN57" s="445"/>
      <c r="DO57" s="445"/>
      <c r="DP57" s="445"/>
      <c r="DQ57" s="445"/>
      <c r="DR57" s="445"/>
    </row>
    <row r="58" spans="1:122" s="133" customFormat="1">
      <c r="A58" s="136"/>
      <c r="B58" s="136"/>
      <c r="C58" s="477"/>
      <c r="D58" s="478"/>
      <c r="E58" s="479"/>
      <c r="F58" s="479"/>
      <c r="G58" s="479"/>
      <c r="H58" s="480"/>
      <c r="I58" s="478"/>
      <c r="J58" s="479"/>
      <c r="K58" s="479"/>
      <c r="L58" s="479"/>
      <c r="M58" s="480"/>
      <c r="N58" s="478"/>
      <c r="O58" s="481"/>
      <c r="P58" s="481"/>
      <c r="Q58" s="481"/>
      <c r="R58" s="480"/>
      <c r="S58" s="478"/>
      <c r="W58" s="480"/>
      <c r="X58" s="478"/>
      <c r="Y58" s="470"/>
      <c r="Z58" s="470"/>
      <c r="AB58" s="468"/>
      <c r="AC58" s="468"/>
      <c r="AD58" s="470"/>
      <c r="AE58" s="470"/>
      <c r="AF58" s="468"/>
      <c r="AG58" s="470"/>
      <c r="AH58" s="470"/>
      <c r="AI58" s="468"/>
      <c r="AJ58" s="470"/>
      <c r="AK58" s="470"/>
      <c r="AL58" s="468"/>
      <c r="AM58" s="470"/>
      <c r="AN58" s="470"/>
      <c r="AO58" s="468"/>
      <c r="AP58" s="470"/>
      <c r="AQ58" s="470"/>
      <c r="AR58" s="470"/>
      <c r="AU58" s="468"/>
      <c r="AV58" s="470"/>
      <c r="AW58" s="470"/>
      <c r="AX58" s="470"/>
      <c r="BA58" s="468"/>
      <c r="BB58" s="470"/>
      <c r="BC58" s="470"/>
      <c r="BD58" s="470"/>
      <c r="BG58" s="468"/>
      <c r="DA58" s="473"/>
      <c r="DB58" s="473"/>
      <c r="DC58" s="112"/>
      <c r="DD58" s="445"/>
      <c r="DE58" s="445"/>
      <c r="DF58" s="445"/>
      <c r="DG58" s="445"/>
      <c r="DH58" s="445"/>
      <c r="DI58" s="445"/>
      <c r="DJ58" s="445"/>
      <c r="DK58" s="445"/>
      <c r="DL58" s="445"/>
      <c r="DM58" s="445"/>
      <c r="DN58" s="445"/>
      <c r="DO58" s="445"/>
      <c r="DP58" s="445"/>
      <c r="DQ58" s="445"/>
      <c r="DR58" s="445"/>
    </row>
    <row r="59" spans="1:122" s="133" customFormat="1">
      <c r="A59" s="136"/>
      <c r="B59" s="136"/>
      <c r="C59" s="477"/>
      <c r="D59" s="478"/>
      <c r="E59" s="479"/>
      <c r="F59" s="479"/>
      <c r="G59" s="479"/>
      <c r="H59" s="480"/>
      <c r="I59" s="478"/>
      <c r="J59" s="479"/>
      <c r="K59" s="479"/>
      <c r="L59" s="479"/>
      <c r="M59" s="480"/>
      <c r="N59" s="478"/>
      <c r="O59" s="481"/>
      <c r="P59" s="481"/>
      <c r="Q59" s="481"/>
      <c r="R59" s="480"/>
      <c r="S59" s="478"/>
      <c r="W59" s="480"/>
      <c r="X59" s="478"/>
      <c r="Y59" s="470"/>
      <c r="Z59" s="470"/>
      <c r="AB59" s="468"/>
      <c r="AC59" s="468"/>
      <c r="AD59" s="470"/>
      <c r="AE59" s="470"/>
      <c r="AF59" s="468"/>
      <c r="AG59" s="470"/>
      <c r="AH59" s="470"/>
      <c r="AI59" s="468"/>
      <c r="AJ59" s="470"/>
      <c r="AK59" s="470"/>
      <c r="AL59" s="468"/>
      <c r="AM59" s="470"/>
      <c r="AN59" s="470"/>
      <c r="AO59" s="468"/>
      <c r="AP59" s="470"/>
      <c r="AQ59" s="470"/>
      <c r="AR59" s="470"/>
      <c r="AU59" s="468"/>
      <c r="AV59" s="470"/>
      <c r="AW59" s="470"/>
      <c r="AX59" s="470"/>
      <c r="BA59" s="468"/>
      <c r="BB59" s="470"/>
      <c r="BC59" s="470"/>
      <c r="BD59" s="470"/>
      <c r="BG59" s="468"/>
      <c r="DA59" s="473"/>
      <c r="DB59" s="473"/>
      <c r="DC59" s="112"/>
      <c r="DD59" s="445"/>
      <c r="DE59" s="445"/>
      <c r="DF59" s="445"/>
      <c r="DG59" s="445"/>
      <c r="DH59" s="445"/>
      <c r="DI59" s="445"/>
      <c r="DJ59" s="445"/>
      <c r="DK59" s="445"/>
      <c r="DL59" s="445"/>
      <c r="DM59" s="445"/>
      <c r="DN59" s="445"/>
      <c r="DO59" s="445"/>
      <c r="DP59" s="445"/>
      <c r="DQ59" s="445"/>
      <c r="DR59" s="445"/>
    </row>
    <row r="60" spans="1:122" s="133" customFormat="1">
      <c r="A60" s="136"/>
      <c r="B60" s="136"/>
      <c r="C60" s="477"/>
      <c r="D60" s="478"/>
      <c r="E60" s="479"/>
      <c r="F60" s="479"/>
      <c r="G60" s="479"/>
      <c r="H60" s="480"/>
      <c r="I60" s="478"/>
      <c r="J60" s="479"/>
      <c r="K60" s="479"/>
      <c r="L60" s="479"/>
      <c r="M60" s="480"/>
      <c r="N60" s="478"/>
      <c r="O60" s="481"/>
      <c r="P60" s="481"/>
      <c r="Q60" s="481"/>
      <c r="R60" s="480"/>
      <c r="S60" s="478"/>
      <c r="W60" s="480"/>
      <c r="X60" s="478"/>
      <c r="Y60" s="470"/>
      <c r="Z60" s="470"/>
      <c r="AB60" s="468"/>
      <c r="AC60" s="468"/>
      <c r="AD60" s="470"/>
      <c r="AE60" s="470"/>
      <c r="AF60" s="468"/>
      <c r="AG60" s="470"/>
      <c r="AH60" s="470"/>
      <c r="AI60" s="468"/>
      <c r="AJ60" s="470"/>
      <c r="AK60" s="470"/>
      <c r="AL60" s="468"/>
      <c r="AM60" s="470"/>
      <c r="AN60" s="470"/>
      <c r="AO60" s="468"/>
      <c r="AP60" s="470"/>
      <c r="AQ60" s="470"/>
      <c r="AR60" s="470"/>
      <c r="AU60" s="468"/>
      <c r="AV60" s="470"/>
      <c r="AW60" s="470"/>
      <c r="AX60" s="470"/>
      <c r="BA60" s="468"/>
      <c r="BB60" s="470"/>
      <c r="BC60" s="470"/>
      <c r="BD60" s="470"/>
      <c r="BG60" s="468"/>
      <c r="DA60" s="473"/>
      <c r="DB60" s="473"/>
      <c r="DC60" s="112"/>
      <c r="DD60" s="445"/>
      <c r="DE60" s="445"/>
      <c r="DF60" s="445"/>
      <c r="DG60" s="445"/>
      <c r="DH60" s="445"/>
      <c r="DI60" s="445"/>
      <c r="DJ60" s="445"/>
      <c r="DK60" s="445"/>
      <c r="DL60" s="445"/>
      <c r="DM60" s="445"/>
      <c r="DN60" s="445"/>
      <c r="DO60" s="445"/>
      <c r="DP60" s="445"/>
      <c r="DQ60" s="445"/>
      <c r="DR60" s="445"/>
    </row>
    <row r="61" spans="1:122" s="133" customFormat="1">
      <c r="A61" s="136"/>
      <c r="B61" s="136"/>
      <c r="C61" s="477"/>
      <c r="D61" s="478"/>
      <c r="E61" s="479"/>
      <c r="F61" s="479"/>
      <c r="G61" s="479"/>
      <c r="H61" s="480"/>
      <c r="I61" s="478"/>
      <c r="J61" s="479"/>
      <c r="K61" s="479"/>
      <c r="L61" s="479"/>
      <c r="M61" s="480"/>
      <c r="N61" s="478"/>
      <c r="O61" s="481"/>
      <c r="P61" s="481"/>
      <c r="Q61" s="481"/>
      <c r="R61" s="480"/>
      <c r="S61" s="478"/>
      <c r="W61" s="480"/>
      <c r="X61" s="478"/>
      <c r="Y61" s="470"/>
      <c r="Z61" s="470"/>
      <c r="AB61" s="468"/>
      <c r="AC61" s="468"/>
      <c r="AD61" s="470"/>
      <c r="AE61" s="470"/>
      <c r="AF61" s="468"/>
      <c r="AG61" s="470"/>
      <c r="AH61" s="470"/>
      <c r="AI61" s="468"/>
      <c r="AJ61" s="470"/>
      <c r="AK61" s="470"/>
      <c r="AL61" s="468"/>
      <c r="AM61" s="470"/>
      <c r="AN61" s="470"/>
      <c r="AO61" s="468"/>
      <c r="AP61" s="470"/>
      <c r="AQ61" s="470"/>
      <c r="AR61" s="470"/>
      <c r="AU61" s="468"/>
      <c r="AV61" s="470"/>
      <c r="AW61" s="470"/>
      <c r="AX61" s="470"/>
      <c r="BA61" s="468"/>
      <c r="BB61" s="470"/>
      <c r="BC61" s="470"/>
      <c r="BD61" s="470"/>
      <c r="BG61" s="468"/>
      <c r="DA61" s="473"/>
      <c r="DB61" s="473"/>
      <c r="DC61" s="112"/>
      <c r="DD61" s="445"/>
      <c r="DE61" s="445"/>
      <c r="DF61" s="445"/>
      <c r="DG61" s="445"/>
      <c r="DH61" s="445"/>
      <c r="DI61" s="445"/>
      <c r="DJ61" s="445"/>
      <c r="DK61" s="445"/>
      <c r="DL61" s="445"/>
      <c r="DM61" s="445"/>
      <c r="DN61" s="445"/>
      <c r="DO61" s="445"/>
      <c r="DP61" s="445"/>
      <c r="DQ61" s="445"/>
      <c r="DR61" s="445"/>
    </row>
    <row r="62" spans="1:122" s="133" customFormat="1">
      <c r="A62" s="136"/>
      <c r="B62" s="136"/>
      <c r="C62" s="477"/>
      <c r="D62" s="478"/>
      <c r="E62" s="479"/>
      <c r="F62" s="479"/>
      <c r="G62" s="479"/>
      <c r="H62" s="480"/>
      <c r="I62" s="478"/>
      <c r="J62" s="479"/>
      <c r="K62" s="479"/>
      <c r="L62" s="479"/>
      <c r="M62" s="480"/>
      <c r="N62" s="478"/>
      <c r="O62" s="481"/>
      <c r="P62" s="481"/>
      <c r="Q62" s="481"/>
      <c r="R62" s="480"/>
      <c r="S62" s="478"/>
      <c r="W62" s="480"/>
      <c r="X62" s="478"/>
      <c r="Y62" s="470"/>
      <c r="Z62" s="470"/>
      <c r="AB62" s="468"/>
      <c r="AC62" s="468"/>
      <c r="AD62" s="470"/>
      <c r="AE62" s="470"/>
      <c r="AF62" s="468"/>
      <c r="AG62" s="470"/>
      <c r="AH62" s="470"/>
      <c r="AI62" s="468"/>
      <c r="AJ62" s="470"/>
      <c r="AK62" s="470"/>
      <c r="AL62" s="468"/>
      <c r="AM62" s="470"/>
      <c r="AN62" s="470"/>
      <c r="AO62" s="468"/>
      <c r="AP62" s="470"/>
      <c r="AQ62" s="470"/>
      <c r="AR62" s="470"/>
      <c r="AU62" s="468"/>
      <c r="AV62" s="470"/>
      <c r="AW62" s="470"/>
      <c r="AX62" s="470"/>
      <c r="BA62" s="468"/>
      <c r="BB62" s="470"/>
      <c r="BC62" s="470"/>
      <c r="BD62" s="470"/>
      <c r="BG62" s="468"/>
      <c r="DA62" s="473"/>
      <c r="DB62" s="473"/>
      <c r="DC62" s="112"/>
      <c r="DD62" s="445"/>
      <c r="DE62" s="445"/>
      <c r="DF62" s="445"/>
      <c r="DG62" s="445"/>
      <c r="DH62" s="445"/>
      <c r="DI62" s="445"/>
      <c r="DJ62" s="445"/>
      <c r="DK62" s="445"/>
      <c r="DL62" s="445"/>
      <c r="DM62" s="445"/>
      <c r="DN62" s="445"/>
      <c r="DO62" s="445"/>
      <c r="DP62" s="445"/>
      <c r="DQ62" s="445"/>
      <c r="DR62" s="445"/>
    </row>
    <row r="63" spans="1:122" s="133" customFormat="1">
      <c r="A63" s="136"/>
      <c r="B63" s="136"/>
      <c r="C63" s="477"/>
      <c r="D63" s="478"/>
      <c r="E63" s="479"/>
      <c r="F63" s="479"/>
      <c r="G63" s="479"/>
      <c r="H63" s="480"/>
      <c r="I63" s="478"/>
      <c r="J63" s="479"/>
      <c r="K63" s="479"/>
      <c r="L63" s="479"/>
      <c r="M63" s="480"/>
      <c r="N63" s="478"/>
      <c r="O63" s="481"/>
      <c r="P63" s="481"/>
      <c r="Q63" s="481"/>
      <c r="R63" s="480"/>
      <c r="S63" s="478"/>
      <c r="W63" s="480"/>
      <c r="X63" s="478"/>
      <c r="Y63" s="470"/>
      <c r="Z63" s="470"/>
      <c r="AB63" s="468"/>
      <c r="AC63" s="468"/>
      <c r="AD63" s="470"/>
      <c r="AE63" s="470"/>
      <c r="AF63" s="468"/>
      <c r="AG63" s="470"/>
      <c r="AH63" s="470"/>
      <c r="AI63" s="468"/>
      <c r="AJ63" s="470"/>
      <c r="AK63" s="470"/>
      <c r="AL63" s="468"/>
      <c r="AM63" s="470"/>
      <c r="AN63" s="470"/>
      <c r="AO63" s="468"/>
      <c r="AP63" s="470"/>
      <c r="AQ63" s="470"/>
      <c r="AR63" s="470"/>
      <c r="AU63" s="468"/>
      <c r="AV63" s="470"/>
      <c r="AW63" s="470"/>
      <c r="AX63" s="470"/>
      <c r="BA63" s="468"/>
      <c r="BB63" s="470"/>
      <c r="BC63" s="470"/>
      <c r="BD63" s="470"/>
      <c r="BG63" s="468"/>
      <c r="DA63" s="473"/>
      <c r="DB63" s="473"/>
      <c r="DC63" s="112"/>
      <c r="DD63" s="445"/>
      <c r="DE63" s="445"/>
      <c r="DF63" s="445"/>
      <c r="DG63" s="445"/>
      <c r="DH63" s="445"/>
      <c r="DI63" s="445"/>
      <c r="DJ63" s="445"/>
      <c r="DK63" s="445"/>
      <c r="DL63" s="445"/>
      <c r="DM63" s="445"/>
      <c r="DN63" s="445"/>
      <c r="DO63" s="445"/>
      <c r="DP63" s="445"/>
      <c r="DQ63" s="445"/>
      <c r="DR63" s="445"/>
    </row>
    <row r="64" spans="1:122" s="133" customFormat="1">
      <c r="A64" s="136"/>
      <c r="B64" s="136"/>
      <c r="C64" s="477"/>
      <c r="D64" s="478"/>
      <c r="E64" s="479"/>
      <c r="F64" s="479"/>
      <c r="G64" s="479"/>
      <c r="H64" s="480"/>
      <c r="I64" s="478"/>
      <c r="J64" s="479"/>
      <c r="K64" s="479"/>
      <c r="L64" s="479"/>
      <c r="M64" s="480"/>
      <c r="N64" s="478"/>
      <c r="O64" s="481"/>
      <c r="P64" s="481"/>
      <c r="Q64" s="481"/>
      <c r="R64" s="480"/>
      <c r="S64" s="478"/>
      <c r="W64" s="480"/>
      <c r="X64" s="478"/>
      <c r="Y64" s="470"/>
      <c r="Z64" s="470"/>
      <c r="AB64" s="468"/>
      <c r="AC64" s="468"/>
      <c r="AD64" s="470"/>
      <c r="AE64" s="470"/>
      <c r="AF64" s="468"/>
      <c r="AG64" s="470"/>
      <c r="AH64" s="470"/>
      <c r="AI64" s="468"/>
      <c r="AJ64" s="470"/>
      <c r="AK64" s="470"/>
      <c r="AL64" s="468"/>
      <c r="AM64" s="470"/>
      <c r="AN64" s="470"/>
      <c r="AO64" s="468"/>
      <c r="AP64" s="470"/>
      <c r="AQ64" s="470"/>
      <c r="AR64" s="470"/>
      <c r="AU64" s="468"/>
      <c r="AV64" s="470"/>
      <c r="AW64" s="470"/>
      <c r="AX64" s="470"/>
      <c r="BA64" s="468"/>
      <c r="BB64" s="470"/>
      <c r="BC64" s="470"/>
      <c r="BD64" s="470"/>
      <c r="BG64" s="468"/>
      <c r="DA64" s="473"/>
      <c r="DB64" s="473"/>
      <c r="DC64" s="112"/>
      <c r="DD64" s="445"/>
      <c r="DE64" s="445"/>
      <c r="DF64" s="445"/>
      <c r="DG64" s="445"/>
      <c r="DH64" s="445"/>
      <c r="DI64" s="445"/>
      <c r="DJ64" s="445"/>
      <c r="DK64" s="445"/>
      <c r="DL64" s="445"/>
      <c r="DM64" s="445"/>
      <c r="DN64" s="445"/>
      <c r="DO64" s="445"/>
      <c r="DP64" s="445"/>
      <c r="DQ64" s="445"/>
      <c r="DR64" s="445"/>
    </row>
    <row r="65" spans="1:122" s="133" customFormat="1">
      <c r="A65" s="136"/>
      <c r="B65" s="136"/>
      <c r="C65" s="477"/>
      <c r="D65" s="478"/>
      <c r="E65" s="479"/>
      <c r="F65" s="479"/>
      <c r="G65" s="479"/>
      <c r="H65" s="480"/>
      <c r="I65" s="478"/>
      <c r="J65" s="479"/>
      <c r="K65" s="479"/>
      <c r="L65" s="479"/>
      <c r="M65" s="480"/>
      <c r="N65" s="478"/>
      <c r="O65" s="481"/>
      <c r="P65" s="481"/>
      <c r="Q65" s="481"/>
      <c r="R65" s="480"/>
      <c r="S65" s="478"/>
      <c r="W65" s="480"/>
      <c r="X65" s="478"/>
      <c r="Y65" s="470"/>
      <c r="Z65" s="470"/>
      <c r="AB65" s="468"/>
      <c r="AC65" s="468"/>
      <c r="AD65" s="470"/>
      <c r="AE65" s="470"/>
      <c r="AF65" s="468"/>
      <c r="AG65" s="470"/>
      <c r="AH65" s="470"/>
      <c r="AI65" s="468"/>
      <c r="AJ65" s="470"/>
      <c r="AK65" s="470"/>
      <c r="AL65" s="468"/>
      <c r="AM65" s="470"/>
      <c r="AN65" s="470"/>
      <c r="AO65" s="468"/>
      <c r="AP65" s="470"/>
      <c r="AQ65" s="470"/>
      <c r="AR65" s="470"/>
      <c r="AU65" s="468"/>
      <c r="AV65" s="470"/>
      <c r="AW65" s="470"/>
      <c r="AX65" s="470"/>
      <c r="BA65" s="468"/>
      <c r="BB65" s="470"/>
      <c r="BC65" s="470"/>
      <c r="BD65" s="470"/>
      <c r="BG65" s="468"/>
      <c r="DA65" s="473"/>
      <c r="DB65" s="473"/>
      <c r="DC65" s="112"/>
      <c r="DD65" s="445"/>
      <c r="DE65" s="445"/>
      <c r="DF65" s="445"/>
      <c r="DG65" s="445"/>
      <c r="DH65" s="445"/>
      <c r="DI65" s="445"/>
      <c r="DJ65" s="445"/>
      <c r="DK65" s="445"/>
      <c r="DL65" s="445"/>
      <c r="DM65" s="445"/>
      <c r="DN65" s="445"/>
      <c r="DO65" s="445"/>
      <c r="DP65" s="445"/>
      <c r="DQ65" s="445"/>
      <c r="DR65" s="445"/>
    </row>
    <row r="66" spans="1:122" s="133" customFormat="1">
      <c r="A66" s="136"/>
      <c r="B66" s="136"/>
      <c r="C66" s="477"/>
      <c r="D66" s="478"/>
      <c r="E66" s="479"/>
      <c r="F66" s="479"/>
      <c r="G66" s="479"/>
      <c r="H66" s="480"/>
      <c r="I66" s="478"/>
      <c r="J66" s="479"/>
      <c r="K66" s="479"/>
      <c r="L66" s="479"/>
      <c r="M66" s="480"/>
      <c r="N66" s="478"/>
      <c r="O66" s="481"/>
      <c r="P66" s="481"/>
      <c r="Q66" s="481"/>
      <c r="R66" s="480"/>
      <c r="S66" s="478"/>
      <c r="W66" s="480"/>
      <c r="X66" s="478"/>
      <c r="Y66" s="470"/>
      <c r="Z66" s="470"/>
      <c r="AB66" s="468"/>
      <c r="AC66" s="468"/>
      <c r="AD66" s="470"/>
      <c r="AE66" s="470"/>
      <c r="AF66" s="468"/>
      <c r="AG66" s="470"/>
      <c r="AH66" s="470"/>
      <c r="AI66" s="468"/>
      <c r="AJ66" s="470"/>
      <c r="AK66" s="470"/>
      <c r="AL66" s="468"/>
      <c r="AM66" s="470"/>
      <c r="AN66" s="470"/>
      <c r="AO66" s="468"/>
      <c r="AP66" s="470"/>
      <c r="AQ66" s="470"/>
      <c r="AR66" s="470"/>
      <c r="AU66" s="468"/>
      <c r="AV66" s="470"/>
      <c r="AW66" s="470"/>
      <c r="AX66" s="470"/>
      <c r="BA66" s="468"/>
      <c r="BB66" s="470"/>
      <c r="BC66" s="470"/>
      <c r="BD66" s="470"/>
      <c r="BG66" s="468"/>
      <c r="DA66" s="473"/>
      <c r="DB66" s="473"/>
      <c r="DC66" s="112"/>
      <c r="DD66" s="445"/>
      <c r="DE66" s="445"/>
      <c r="DF66" s="445"/>
      <c r="DG66" s="445"/>
      <c r="DH66" s="445"/>
      <c r="DI66" s="445"/>
      <c r="DJ66" s="445"/>
      <c r="DK66" s="445"/>
      <c r="DL66" s="445"/>
      <c r="DM66" s="445"/>
      <c r="DN66" s="445"/>
      <c r="DO66" s="445"/>
      <c r="DP66" s="445"/>
      <c r="DQ66" s="445"/>
      <c r="DR66" s="445"/>
    </row>
    <row r="67" spans="1:122" s="133" customFormat="1">
      <c r="A67" s="136"/>
      <c r="B67" s="136"/>
      <c r="C67" s="477"/>
      <c r="D67" s="478"/>
      <c r="E67" s="479"/>
      <c r="F67" s="479"/>
      <c r="G67" s="479"/>
      <c r="H67" s="480"/>
      <c r="I67" s="478"/>
      <c r="J67" s="479"/>
      <c r="K67" s="479"/>
      <c r="L67" s="479"/>
      <c r="M67" s="480"/>
      <c r="N67" s="478"/>
      <c r="O67" s="481"/>
      <c r="P67" s="481"/>
      <c r="Q67" s="481"/>
      <c r="R67" s="480"/>
      <c r="S67" s="478"/>
      <c r="W67" s="480"/>
      <c r="X67" s="478"/>
      <c r="Y67" s="470"/>
      <c r="Z67" s="470"/>
      <c r="AB67" s="468"/>
      <c r="AC67" s="468"/>
      <c r="AD67" s="470"/>
      <c r="AE67" s="470"/>
      <c r="AF67" s="468"/>
      <c r="AG67" s="470"/>
      <c r="AH67" s="470"/>
      <c r="AI67" s="468"/>
      <c r="AJ67" s="470"/>
      <c r="AK67" s="470"/>
      <c r="AL67" s="468"/>
      <c r="AM67" s="470"/>
      <c r="AN67" s="470"/>
      <c r="AO67" s="468"/>
      <c r="AP67" s="470"/>
      <c r="AQ67" s="470"/>
      <c r="AR67" s="470"/>
      <c r="AU67" s="468"/>
      <c r="AV67" s="470"/>
      <c r="AW67" s="470"/>
      <c r="AX67" s="470"/>
      <c r="BA67" s="468"/>
      <c r="BB67" s="470"/>
      <c r="BC67" s="470"/>
      <c r="BD67" s="470"/>
      <c r="BG67" s="468"/>
      <c r="DA67" s="473"/>
      <c r="DB67" s="473"/>
      <c r="DC67" s="112"/>
      <c r="DD67" s="445"/>
      <c r="DE67" s="445"/>
      <c r="DF67" s="445"/>
      <c r="DG67" s="445"/>
      <c r="DH67" s="445"/>
      <c r="DI67" s="445"/>
      <c r="DJ67" s="445"/>
      <c r="DK67" s="445"/>
      <c r="DL67" s="445"/>
      <c r="DM67" s="445"/>
      <c r="DN67" s="445"/>
      <c r="DO67" s="445"/>
      <c r="DP67" s="445"/>
      <c r="DQ67" s="445"/>
      <c r="DR67" s="445"/>
    </row>
    <row r="68" spans="1:122" s="133" customFormat="1">
      <c r="A68" s="136"/>
      <c r="B68" s="136"/>
      <c r="C68" s="477"/>
      <c r="D68" s="478"/>
      <c r="E68" s="479"/>
      <c r="F68" s="479"/>
      <c r="G68" s="479"/>
      <c r="H68" s="480"/>
      <c r="I68" s="478"/>
      <c r="J68" s="479"/>
      <c r="K68" s="479"/>
      <c r="L68" s="479"/>
      <c r="M68" s="480"/>
      <c r="N68" s="478"/>
      <c r="O68" s="481"/>
      <c r="P68" s="481"/>
      <c r="Q68" s="481"/>
      <c r="R68" s="480"/>
      <c r="S68" s="478"/>
      <c r="W68" s="480"/>
      <c r="X68" s="478"/>
      <c r="Y68" s="470"/>
      <c r="Z68" s="470"/>
      <c r="AB68" s="468"/>
      <c r="AC68" s="468"/>
      <c r="AD68" s="470"/>
      <c r="AE68" s="470"/>
      <c r="AF68" s="468"/>
      <c r="AG68" s="470"/>
      <c r="AH68" s="470"/>
      <c r="AI68" s="468"/>
      <c r="AJ68" s="470"/>
      <c r="AK68" s="470"/>
      <c r="AL68" s="468"/>
      <c r="AM68" s="470"/>
      <c r="AN68" s="470"/>
      <c r="AO68" s="468"/>
      <c r="AP68" s="470"/>
      <c r="AQ68" s="470"/>
      <c r="AR68" s="470"/>
      <c r="AU68" s="468"/>
      <c r="AV68" s="470"/>
      <c r="AW68" s="470"/>
      <c r="AX68" s="470"/>
      <c r="BA68" s="468"/>
      <c r="BB68" s="470"/>
      <c r="BC68" s="470"/>
      <c r="BD68" s="470"/>
      <c r="BG68" s="468"/>
      <c r="DA68" s="473"/>
      <c r="DB68" s="473"/>
      <c r="DC68" s="112"/>
      <c r="DD68" s="445"/>
      <c r="DE68" s="445"/>
      <c r="DF68" s="445"/>
      <c r="DG68" s="445"/>
      <c r="DH68" s="445"/>
      <c r="DI68" s="445"/>
      <c r="DJ68" s="445"/>
      <c r="DK68" s="445"/>
      <c r="DL68" s="445"/>
      <c r="DM68" s="445"/>
      <c r="DN68" s="445"/>
      <c r="DO68" s="445"/>
      <c r="DP68" s="445"/>
      <c r="DQ68" s="445"/>
      <c r="DR68" s="445"/>
    </row>
    <row r="69" spans="1:122" s="133" customFormat="1">
      <c r="A69" s="136"/>
      <c r="B69" s="136"/>
      <c r="C69" s="477"/>
      <c r="D69" s="478"/>
      <c r="E69" s="479"/>
      <c r="F69" s="479"/>
      <c r="G69" s="479"/>
      <c r="H69" s="480"/>
      <c r="I69" s="478"/>
      <c r="J69" s="479"/>
      <c r="K69" s="479"/>
      <c r="L69" s="479"/>
      <c r="M69" s="480"/>
      <c r="N69" s="478"/>
      <c r="O69" s="481"/>
      <c r="P69" s="481"/>
      <c r="Q69" s="481"/>
      <c r="R69" s="480"/>
      <c r="S69" s="478"/>
      <c r="W69" s="480"/>
      <c r="X69" s="478"/>
      <c r="Y69" s="470"/>
      <c r="Z69" s="470"/>
      <c r="AB69" s="468"/>
      <c r="AC69" s="468"/>
      <c r="AD69" s="470"/>
      <c r="AE69" s="470"/>
      <c r="AF69" s="468"/>
      <c r="AG69" s="470"/>
      <c r="AH69" s="470"/>
      <c r="AI69" s="468"/>
      <c r="AJ69" s="470"/>
      <c r="AK69" s="470"/>
      <c r="AL69" s="468"/>
      <c r="AM69" s="470"/>
      <c r="AN69" s="470"/>
      <c r="AO69" s="468"/>
      <c r="AP69" s="470"/>
      <c r="AQ69" s="470"/>
      <c r="AR69" s="470"/>
      <c r="AU69" s="468"/>
      <c r="AV69" s="470"/>
      <c r="AW69" s="470"/>
      <c r="AX69" s="470"/>
      <c r="BA69" s="468"/>
      <c r="BB69" s="470"/>
      <c r="BC69" s="470"/>
      <c r="BD69" s="470"/>
      <c r="BG69" s="468"/>
      <c r="DA69" s="473"/>
      <c r="DB69" s="473"/>
      <c r="DC69" s="112"/>
      <c r="DD69" s="445"/>
      <c r="DE69" s="445"/>
      <c r="DF69" s="445"/>
      <c r="DG69" s="445"/>
      <c r="DH69" s="445"/>
      <c r="DI69" s="445"/>
      <c r="DJ69" s="445"/>
      <c r="DK69" s="445"/>
      <c r="DL69" s="445"/>
      <c r="DM69" s="445"/>
      <c r="DN69" s="445"/>
      <c r="DO69" s="445"/>
      <c r="DP69" s="445"/>
      <c r="DQ69" s="445"/>
      <c r="DR69" s="445"/>
    </row>
    <row r="70" spans="1:122" s="133" customFormat="1">
      <c r="A70" s="136"/>
      <c r="B70" s="136"/>
      <c r="C70" s="477"/>
      <c r="D70" s="478"/>
      <c r="E70" s="479"/>
      <c r="F70" s="479"/>
      <c r="G70" s="479"/>
      <c r="H70" s="480"/>
      <c r="I70" s="478"/>
      <c r="J70" s="479"/>
      <c r="K70" s="479"/>
      <c r="L70" s="479"/>
      <c r="M70" s="480"/>
      <c r="N70" s="478"/>
      <c r="O70" s="481"/>
      <c r="P70" s="481"/>
      <c r="Q70" s="481"/>
      <c r="R70" s="480"/>
      <c r="S70" s="478"/>
      <c r="W70" s="480"/>
      <c r="X70" s="478"/>
      <c r="Y70" s="470"/>
      <c r="Z70" s="470"/>
      <c r="AB70" s="468"/>
      <c r="AC70" s="468"/>
      <c r="AD70" s="470"/>
      <c r="AE70" s="470"/>
      <c r="AF70" s="468"/>
      <c r="AG70" s="470"/>
      <c r="AH70" s="470"/>
      <c r="AI70" s="468"/>
      <c r="AJ70" s="470"/>
      <c r="AK70" s="470"/>
      <c r="AL70" s="468"/>
      <c r="AM70" s="470"/>
      <c r="AN70" s="470"/>
      <c r="AO70" s="468"/>
      <c r="AP70" s="470"/>
      <c r="AQ70" s="470"/>
      <c r="AR70" s="470"/>
      <c r="AU70" s="468"/>
      <c r="AV70" s="470"/>
      <c r="AW70" s="470"/>
      <c r="AX70" s="470"/>
      <c r="BA70" s="468"/>
      <c r="BB70" s="470"/>
      <c r="BC70" s="470"/>
      <c r="BD70" s="470"/>
      <c r="BG70" s="468"/>
      <c r="DA70" s="473"/>
      <c r="DB70" s="473"/>
      <c r="DC70" s="112"/>
      <c r="DD70" s="445"/>
      <c r="DE70" s="445"/>
      <c r="DF70" s="445"/>
      <c r="DG70" s="445"/>
      <c r="DH70" s="445"/>
      <c r="DI70" s="445"/>
      <c r="DJ70" s="445"/>
      <c r="DK70" s="445"/>
      <c r="DL70" s="445"/>
      <c r="DM70" s="445"/>
      <c r="DN70" s="445"/>
      <c r="DO70" s="445"/>
      <c r="DP70" s="445"/>
      <c r="DQ70" s="445"/>
      <c r="DR70" s="445"/>
    </row>
    <row r="71" spans="1:122" s="133" customFormat="1">
      <c r="A71" s="136"/>
      <c r="B71" s="136"/>
      <c r="C71" s="477"/>
      <c r="D71" s="478"/>
      <c r="E71" s="479"/>
      <c r="F71" s="479"/>
      <c r="G71" s="479"/>
      <c r="H71" s="480"/>
      <c r="I71" s="478"/>
      <c r="J71" s="479"/>
      <c r="K71" s="479"/>
      <c r="L71" s="479"/>
      <c r="M71" s="480"/>
      <c r="N71" s="478"/>
      <c r="O71" s="481"/>
      <c r="P71" s="481"/>
      <c r="Q71" s="481"/>
      <c r="R71" s="480"/>
      <c r="S71" s="478"/>
      <c r="W71" s="480"/>
      <c r="X71" s="478"/>
      <c r="Y71" s="470"/>
      <c r="Z71" s="470"/>
      <c r="AB71" s="468"/>
      <c r="AC71" s="468"/>
      <c r="AD71" s="470"/>
      <c r="AE71" s="470"/>
      <c r="AF71" s="468"/>
      <c r="AG71" s="470"/>
      <c r="AH71" s="470"/>
      <c r="AI71" s="468"/>
      <c r="AJ71" s="470"/>
      <c r="AK71" s="470"/>
      <c r="AL71" s="468"/>
      <c r="AM71" s="470"/>
      <c r="AN71" s="470"/>
      <c r="AO71" s="468"/>
      <c r="AP71" s="470"/>
      <c r="AQ71" s="470"/>
      <c r="AR71" s="470"/>
      <c r="AU71" s="468"/>
      <c r="AV71" s="470"/>
      <c r="AW71" s="470"/>
      <c r="AX71" s="470"/>
      <c r="BA71" s="468"/>
      <c r="BB71" s="470"/>
      <c r="BC71" s="470"/>
      <c r="BD71" s="470"/>
      <c r="BG71" s="468"/>
      <c r="DA71" s="473"/>
      <c r="DB71" s="473"/>
      <c r="DC71" s="112"/>
      <c r="DD71" s="445"/>
      <c r="DE71" s="445"/>
      <c r="DF71" s="445"/>
      <c r="DG71" s="445"/>
      <c r="DH71" s="445"/>
      <c r="DI71" s="445"/>
      <c r="DJ71" s="445"/>
      <c r="DK71" s="445"/>
      <c r="DL71" s="445"/>
      <c r="DM71" s="445"/>
      <c r="DN71" s="445"/>
      <c r="DO71" s="445"/>
      <c r="DP71" s="445"/>
      <c r="DQ71" s="445"/>
      <c r="DR71" s="445"/>
    </row>
    <row r="72" spans="1:122" s="133" customFormat="1">
      <c r="A72" s="136"/>
      <c r="B72" s="136"/>
      <c r="C72" s="477"/>
      <c r="D72" s="478"/>
      <c r="E72" s="479"/>
      <c r="F72" s="479"/>
      <c r="G72" s="479"/>
      <c r="H72" s="480"/>
      <c r="I72" s="478"/>
      <c r="J72" s="479"/>
      <c r="K72" s="479"/>
      <c r="L72" s="479"/>
      <c r="M72" s="480"/>
      <c r="N72" s="478"/>
      <c r="O72" s="481"/>
      <c r="P72" s="481"/>
      <c r="Q72" s="481"/>
      <c r="R72" s="480"/>
      <c r="S72" s="478"/>
      <c r="W72" s="480"/>
      <c r="X72" s="478"/>
      <c r="Y72" s="470"/>
      <c r="Z72" s="470"/>
      <c r="AB72" s="468"/>
      <c r="AC72" s="468"/>
      <c r="AD72" s="470"/>
      <c r="AE72" s="470"/>
      <c r="AF72" s="468"/>
      <c r="AG72" s="470"/>
      <c r="AH72" s="470"/>
      <c r="AI72" s="468"/>
      <c r="AJ72" s="470"/>
      <c r="AK72" s="470"/>
      <c r="AL72" s="468"/>
      <c r="AM72" s="470"/>
      <c r="AN72" s="470"/>
      <c r="AO72" s="468"/>
      <c r="AP72" s="470"/>
      <c r="AQ72" s="470"/>
      <c r="AR72" s="470"/>
      <c r="AU72" s="468"/>
      <c r="AV72" s="470"/>
      <c r="AW72" s="470"/>
      <c r="AX72" s="470"/>
      <c r="BA72" s="468"/>
      <c r="BB72" s="470"/>
      <c r="BC72" s="470"/>
      <c r="BD72" s="470"/>
      <c r="BG72" s="468"/>
      <c r="DA72" s="473"/>
      <c r="DB72" s="473"/>
      <c r="DC72" s="112"/>
      <c r="DD72" s="445"/>
      <c r="DE72" s="445"/>
      <c r="DF72" s="445"/>
      <c r="DG72" s="445"/>
      <c r="DH72" s="445"/>
      <c r="DI72" s="445"/>
      <c r="DJ72" s="445"/>
      <c r="DK72" s="445"/>
      <c r="DL72" s="445"/>
      <c r="DM72" s="445"/>
      <c r="DN72" s="445"/>
      <c r="DO72" s="445"/>
      <c r="DP72" s="445"/>
      <c r="DQ72" s="445"/>
      <c r="DR72" s="445"/>
    </row>
    <row r="73" spans="1:122" s="133" customFormat="1">
      <c r="A73" s="136"/>
      <c r="B73" s="136"/>
      <c r="C73" s="477"/>
      <c r="D73" s="478"/>
      <c r="E73" s="479"/>
      <c r="F73" s="479"/>
      <c r="G73" s="479"/>
      <c r="H73" s="480"/>
      <c r="I73" s="478"/>
      <c r="J73" s="479"/>
      <c r="K73" s="479"/>
      <c r="L73" s="479"/>
      <c r="M73" s="480"/>
      <c r="N73" s="478"/>
      <c r="O73" s="481"/>
      <c r="P73" s="481"/>
      <c r="Q73" s="481"/>
      <c r="R73" s="480"/>
      <c r="S73" s="478"/>
      <c r="W73" s="480"/>
      <c r="X73" s="478"/>
      <c r="Y73" s="470"/>
      <c r="Z73" s="470"/>
      <c r="AB73" s="468"/>
      <c r="AC73" s="468"/>
      <c r="AD73" s="470"/>
      <c r="AE73" s="470"/>
      <c r="AF73" s="468"/>
      <c r="AG73" s="470"/>
      <c r="AH73" s="470"/>
      <c r="AI73" s="468"/>
      <c r="AJ73" s="470"/>
      <c r="AK73" s="470"/>
      <c r="AL73" s="468"/>
      <c r="AM73" s="470"/>
      <c r="AN73" s="470"/>
      <c r="AO73" s="468"/>
      <c r="AP73" s="470"/>
      <c r="AQ73" s="470"/>
      <c r="AR73" s="470"/>
      <c r="AU73" s="468"/>
      <c r="AV73" s="470"/>
      <c r="AW73" s="470"/>
      <c r="AX73" s="470"/>
      <c r="BA73" s="468"/>
      <c r="BB73" s="470"/>
      <c r="BC73" s="470"/>
      <c r="BD73" s="470"/>
      <c r="BG73" s="468"/>
      <c r="DA73" s="473"/>
      <c r="DB73" s="473"/>
      <c r="DC73" s="112"/>
      <c r="DD73" s="445"/>
      <c r="DE73" s="445"/>
      <c r="DF73" s="445"/>
      <c r="DG73" s="445"/>
      <c r="DH73" s="445"/>
      <c r="DI73" s="445"/>
      <c r="DJ73" s="445"/>
      <c r="DK73" s="445"/>
      <c r="DL73" s="445"/>
      <c r="DM73" s="445"/>
      <c r="DN73" s="445"/>
      <c r="DO73" s="445"/>
      <c r="DP73" s="445"/>
      <c r="DQ73" s="445"/>
      <c r="DR73" s="445"/>
    </row>
    <row r="74" spans="1:122" s="133" customFormat="1">
      <c r="A74" s="136"/>
      <c r="B74" s="136"/>
      <c r="C74" s="477"/>
      <c r="D74" s="478"/>
      <c r="E74" s="479"/>
      <c r="F74" s="479"/>
      <c r="G74" s="479"/>
      <c r="H74" s="480"/>
      <c r="I74" s="478"/>
      <c r="J74" s="479"/>
      <c r="K74" s="479"/>
      <c r="L74" s="479"/>
      <c r="M74" s="480"/>
      <c r="N74" s="478"/>
      <c r="O74" s="481"/>
      <c r="P74" s="481"/>
      <c r="Q74" s="481"/>
      <c r="R74" s="480"/>
      <c r="S74" s="478"/>
      <c r="W74" s="480"/>
      <c r="X74" s="478"/>
      <c r="Y74" s="470"/>
      <c r="Z74" s="470"/>
      <c r="AB74" s="468"/>
      <c r="AC74" s="468"/>
      <c r="AD74" s="470"/>
      <c r="AE74" s="470"/>
      <c r="AF74" s="468"/>
      <c r="AG74" s="470"/>
      <c r="AH74" s="470"/>
      <c r="AI74" s="468"/>
      <c r="AJ74" s="470"/>
      <c r="AK74" s="470"/>
      <c r="AL74" s="468"/>
      <c r="AM74" s="470"/>
      <c r="AN74" s="470"/>
      <c r="AO74" s="468"/>
      <c r="AP74" s="470"/>
      <c r="AQ74" s="470"/>
      <c r="AR74" s="470"/>
      <c r="AU74" s="468"/>
      <c r="AV74" s="470"/>
      <c r="AW74" s="470"/>
      <c r="AX74" s="470"/>
      <c r="BA74" s="468"/>
      <c r="BB74" s="470"/>
      <c r="BC74" s="470"/>
      <c r="BD74" s="470"/>
      <c r="BG74" s="468"/>
      <c r="DA74" s="473"/>
      <c r="DB74" s="473"/>
      <c r="DC74" s="112"/>
      <c r="DD74" s="445"/>
      <c r="DE74" s="445"/>
      <c r="DF74" s="445"/>
      <c r="DG74" s="445"/>
      <c r="DH74" s="445"/>
      <c r="DI74" s="445"/>
      <c r="DJ74" s="445"/>
      <c r="DK74" s="445"/>
      <c r="DL74" s="445"/>
      <c r="DM74" s="445"/>
      <c r="DN74" s="445"/>
      <c r="DO74" s="445"/>
      <c r="DP74" s="445"/>
      <c r="DQ74" s="445"/>
      <c r="DR74" s="445"/>
    </row>
    <row r="75" spans="1:122" s="133" customFormat="1">
      <c r="A75" s="136"/>
      <c r="B75" s="136"/>
      <c r="C75" s="477"/>
      <c r="D75" s="478"/>
      <c r="E75" s="479"/>
      <c r="F75" s="479"/>
      <c r="G75" s="479"/>
      <c r="H75" s="480"/>
      <c r="I75" s="478"/>
      <c r="J75" s="479"/>
      <c r="K75" s="479"/>
      <c r="L75" s="479"/>
      <c r="M75" s="480"/>
      <c r="N75" s="478"/>
      <c r="O75" s="481"/>
      <c r="P75" s="481"/>
      <c r="Q75" s="481"/>
      <c r="R75" s="480"/>
      <c r="S75" s="478"/>
      <c r="W75" s="480"/>
      <c r="X75" s="478"/>
      <c r="Y75" s="470"/>
      <c r="Z75" s="470"/>
      <c r="AB75" s="468"/>
      <c r="AC75" s="468"/>
      <c r="AD75" s="470"/>
      <c r="AE75" s="470"/>
      <c r="AF75" s="468"/>
      <c r="AG75" s="470"/>
      <c r="AH75" s="470"/>
      <c r="AI75" s="468"/>
      <c r="AJ75" s="470"/>
      <c r="AK75" s="470"/>
      <c r="AL75" s="468"/>
      <c r="AM75" s="470"/>
      <c r="AN75" s="470"/>
      <c r="AO75" s="468"/>
      <c r="AP75" s="470"/>
      <c r="AQ75" s="470"/>
      <c r="AR75" s="470"/>
      <c r="AU75" s="468"/>
      <c r="AV75" s="470"/>
      <c r="AW75" s="470"/>
      <c r="AX75" s="470"/>
      <c r="BA75" s="468"/>
      <c r="BB75" s="470"/>
      <c r="BC75" s="470"/>
      <c r="BD75" s="470"/>
      <c r="BG75" s="468"/>
      <c r="DA75" s="473"/>
      <c r="DB75" s="473"/>
      <c r="DC75" s="112"/>
      <c r="DD75" s="445"/>
      <c r="DE75" s="445"/>
      <c r="DF75" s="445"/>
      <c r="DG75" s="445"/>
      <c r="DH75" s="445"/>
      <c r="DI75" s="445"/>
      <c r="DJ75" s="445"/>
      <c r="DK75" s="445"/>
      <c r="DL75" s="445"/>
      <c r="DM75" s="445"/>
      <c r="DN75" s="445"/>
      <c r="DO75" s="445"/>
      <c r="DP75" s="445"/>
      <c r="DQ75" s="445"/>
      <c r="DR75" s="445"/>
    </row>
    <row r="76" spans="1:122" s="133" customFormat="1">
      <c r="A76" s="136"/>
      <c r="B76" s="136"/>
      <c r="C76" s="477"/>
      <c r="D76" s="478"/>
      <c r="E76" s="479"/>
      <c r="F76" s="479"/>
      <c r="G76" s="479"/>
      <c r="H76" s="480"/>
      <c r="I76" s="478"/>
      <c r="J76" s="479"/>
      <c r="K76" s="479"/>
      <c r="L76" s="479"/>
      <c r="M76" s="480"/>
      <c r="N76" s="478"/>
      <c r="O76" s="481"/>
      <c r="P76" s="481"/>
      <c r="Q76" s="481"/>
      <c r="R76" s="480"/>
      <c r="S76" s="478"/>
      <c r="W76" s="480"/>
      <c r="X76" s="478"/>
      <c r="Y76" s="470"/>
      <c r="Z76" s="470"/>
      <c r="AB76" s="468"/>
      <c r="AC76" s="468"/>
      <c r="AD76" s="470"/>
      <c r="AE76" s="470"/>
      <c r="AF76" s="468"/>
      <c r="AG76" s="470"/>
      <c r="AH76" s="470"/>
      <c r="AI76" s="468"/>
      <c r="AJ76" s="470"/>
      <c r="AK76" s="470"/>
      <c r="AL76" s="468"/>
      <c r="AM76" s="470"/>
      <c r="AN76" s="470"/>
      <c r="AO76" s="468"/>
      <c r="AP76" s="470"/>
      <c r="AQ76" s="470"/>
      <c r="AR76" s="470"/>
      <c r="AU76" s="468"/>
      <c r="AV76" s="470"/>
      <c r="AW76" s="470"/>
      <c r="AX76" s="470"/>
      <c r="BA76" s="468"/>
      <c r="BB76" s="470"/>
      <c r="BC76" s="470"/>
      <c r="BD76" s="470"/>
      <c r="BG76" s="468"/>
      <c r="DA76" s="473"/>
      <c r="DB76" s="473"/>
      <c r="DC76" s="112"/>
      <c r="DD76" s="445"/>
      <c r="DE76" s="445"/>
      <c r="DF76" s="445"/>
      <c r="DG76" s="445"/>
      <c r="DH76" s="445"/>
      <c r="DI76" s="445"/>
      <c r="DJ76" s="445"/>
      <c r="DK76" s="445"/>
      <c r="DL76" s="445"/>
      <c r="DM76" s="445"/>
      <c r="DN76" s="445"/>
      <c r="DO76" s="445"/>
      <c r="DP76" s="445"/>
      <c r="DQ76" s="445"/>
      <c r="DR76" s="445"/>
    </row>
    <row r="77" spans="1:122" s="133" customFormat="1">
      <c r="A77" s="136"/>
      <c r="B77" s="136"/>
      <c r="C77" s="477"/>
      <c r="D77" s="478"/>
      <c r="E77" s="479"/>
      <c r="F77" s="479"/>
      <c r="G77" s="479"/>
      <c r="H77" s="480"/>
      <c r="I77" s="478"/>
      <c r="J77" s="479"/>
      <c r="K77" s="479"/>
      <c r="L77" s="479"/>
      <c r="M77" s="480"/>
      <c r="N77" s="478"/>
      <c r="O77" s="481"/>
      <c r="P77" s="481"/>
      <c r="Q77" s="481"/>
      <c r="R77" s="480"/>
      <c r="S77" s="478"/>
      <c r="W77" s="480"/>
      <c r="X77" s="478"/>
      <c r="Y77" s="470"/>
      <c r="Z77" s="470"/>
      <c r="AB77" s="468"/>
      <c r="AC77" s="468"/>
      <c r="AD77" s="470"/>
      <c r="AE77" s="470"/>
      <c r="AF77" s="468"/>
      <c r="AG77" s="470"/>
      <c r="AH77" s="470"/>
      <c r="AI77" s="468"/>
      <c r="AJ77" s="470"/>
      <c r="AK77" s="470"/>
      <c r="AL77" s="468"/>
      <c r="AM77" s="470"/>
      <c r="AN77" s="470"/>
      <c r="AO77" s="468"/>
      <c r="AP77" s="470"/>
      <c r="AQ77" s="470"/>
      <c r="AR77" s="470"/>
      <c r="AU77" s="468"/>
      <c r="AV77" s="470"/>
      <c r="AW77" s="470"/>
      <c r="AX77" s="470"/>
      <c r="BA77" s="468"/>
      <c r="BB77" s="470"/>
      <c r="BC77" s="470"/>
      <c r="BD77" s="470"/>
      <c r="BG77" s="468"/>
      <c r="DA77" s="473"/>
      <c r="DB77" s="473"/>
      <c r="DC77" s="112"/>
      <c r="DD77" s="445"/>
      <c r="DE77" s="445"/>
      <c r="DF77" s="445"/>
      <c r="DG77" s="445"/>
      <c r="DH77" s="445"/>
      <c r="DI77" s="445"/>
      <c r="DJ77" s="445"/>
      <c r="DK77" s="445"/>
      <c r="DL77" s="445"/>
      <c r="DM77" s="445"/>
      <c r="DN77" s="445"/>
      <c r="DO77" s="445"/>
      <c r="DP77" s="445"/>
      <c r="DQ77" s="445"/>
      <c r="DR77" s="445"/>
    </row>
    <row r="78" spans="1:122" s="133" customFormat="1">
      <c r="A78" s="136"/>
      <c r="B78" s="136"/>
      <c r="C78" s="477"/>
      <c r="D78" s="478"/>
      <c r="E78" s="479"/>
      <c r="F78" s="479"/>
      <c r="G78" s="479"/>
      <c r="H78" s="480"/>
      <c r="I78" s="478"/>
      <c r="J78" s="479"/>
      <c r="K78" s="479"/>
      <c r="L78" s="479"/>
      <c r="M78" s="480"/>
      <c r="N78" s="478"/>
      <c r="O78" s="481"/>
      <c r="P78" s="481"/>
      <c r="Q78" s="481"/>
      <c r="R78" s="480"/>
      <c r="S78" s="478"/>
      <c r="W78" s="480"/>
      <c r="X78" s="478"/>
      <c r="Y78" s="470"/>
      <c r="Z78" s="470"/>
      <c r="AB78" s="468"/>
      <c r="AC78" s="468"/>
      <c r="AD78" s="470"/>
      <c r="AE78" s="470"/>
      <c r="AF78" s="468"/>
      <c r="AG78" s="470"/>
      <c r="AH78" s="470"/>
      <c r="AI78" s="468"/>
      <c r="AJ78" s="470"/>
      <c r="AK78" s="470"/>
      <c r="AL78" s="468"/>
      <c r="AM78" s="470"/>
      <c r="AN78" s="470"/>
      <c r="AO78" s="468"/>
      <c r="AP78" s="470"/>
      <c r="AQ78" s="470"/>
      <c r="AR78" s="470"/>
      <c r="AU78" s="468"/>
      <c r="AV78" s="470"/>
      <c r="AW78" s="470"/>
      <c r="AX78" s="470"/>
      <c r="BA78" s="468"/>
      <c r="BB78" s="470"/>
      <c r="BC78" s="470"/>
      <c r="BD78" s="470"/>
      <c r="BG78" s="468"/>
      <c r="DA78" s="473"/>
      <c r="DB78" s="473"/>
      <c r="DC78" s="112"/>
      <c r="DD78" s="445"/>
      <c r="DE78" s="445"/>
      <c r="DF78" s="445"/>
      <c r="DG78" s="445"/>
      <c r="DH78" s="445"/>
      <c r="DI78" s="445"/>
      <c r="DJ78" s="445"/>
      <c r="DK78" s="445"/>
      <c r="DL78" s="445"/>
      <c r="DM78" s="445"/>
      <c r="DN78" s="445"/>
      <c r="DO78" s="445"/>
      <c r="DP78" s="445"/>
      <c r="DQ78" s="445"/>
      <c r="DR78" s="445"/>
    </row>
    <row r="79" spans="1:122" s="133" customFormat="1">
      <c r="A79" s="136"/>
      <c r="B79" s="136"/>
      <c r="C79" s="477"/>
      <c r="D79" s="478"/>
      <c r="E79" s="479"/>
      <c r="F79" s="479"/>
      <c r="G79" s="479"/>
      <c r="H79" s="480"/>
      <c r="I79" s="478"/>
      <c r="J79" s="479"/>
      <c r="K79" s="479"/>
      <c r="L79" s="479"/>
      <c r="M79" s="480"/>
      <c r="N79" s="478"/>
      <c r="O79" s="481"/>
      <c r="P79" s="481"/>
      <c r="Q79" s="481"/>
      <c r="R79" s="480"/>
      <c r="S79" s="478"/>
      <c r="W79" s="480"/>
      <c r="X79" s="478"/>
      <c r="Y79" s="470"/>
      <c r="Z79" s="470"/>
      <c r="AB79" s="468"/>
      <c r="AC79" s="468"/>
      <c r="AD79" s="470"/>
      <c r="AE79" s="470"/>
      <c r="AF79" s="468"/>
      <c r="AG79" s="470"/>
      <c r="AH79" s="470"/>
      <c r="AI79" s="468"/>
      <c r="AJ79" s="470"/>
      <c r="AK79" s="470"/>
      <c r="AL79" s="468"/>
      <c r="AM79" s="470"/>
      <c r="AN79" s="470"/>
      <c r="AO79" s="468"/>
      <c r="AP79" s="470"/>
      <c r="AQ79" s="470"/>
      <c r="AR79" s="470"/>
      <c r="AU79" s="468"/>
      <c r="AV79" s="470"/>
      <c r="AW79" s="470"/>
      <c r="AX79" s="470"/>
      <c r="BA79" s="468"/>
      <c r="BB79" s="470"/>
      <c r="BC79" s="470"/>
      <c r="BD79" s="470"/>
      <c r="BG79" s="468"/>
      <c r="DA79" s="473"/>
      <c r="DB79" s="473"/>
      <c r="DC79" s="112"/>
      <c r="DD79" s="445"/>
      <c r="DE79" s="445"/>
      <c r="DF79" s="445"/>
      <c r="DG79" s="445"/>
      <c r="DH79" s="445"/>
      <c r="DI79" s="445"/>
      <c r="DJ79" s="445"/>
      <c r="DK79" s="445"/>
      <c r="DL79" s="445"/>
      <c r="DM79" s="445"/>
      <c r="DN79" s="445"/>
      <c r="DO79" s="445"/>
      <c r="DP79" s="445"/>
      <c r="DQ79" s="445"/>
      <c r="DR79" s="445"/>
    </row>
    <row r="80" spans="1:122" s="133" customFormat="1">
      <c r="A80" s="136"/>
      <c r="B80" s="136"/>
      <c r="C80" s="477"/>
      <c r="D80" s="478"/>
      <c r="E80" s="479"/>
      <c r="F80" s="479"/>
      <c r="G80" s="479"/>
      <c r="H80" s="480"/>
      <c r="I80" s="478"/>
      <c r="J80" s="479"/>
      <c r="K80" s="479"/>
      <c r="L80" s="479"/>
      <c r="M80" s="480"/>
      <c r="N80" s="478"/>
      <c r="O80" s="481"/>
      <c r="P80" s="481"/>
      <c r="Q80" s="481"/>
      <c r="R80" s="480"/>
      <c r="S80" s="478"/>
      <c r="W80" s="480"/>
      <c r="X80" s="478"/>
      <c r="Y80" s="470"/>
      <c r="Z80" s="470"/>
      <c r="AB80" s="468"/>
      <c r="AC80" s="468"/>
      <c r="AD80" s="470"/>
      <c r="AE80" s="470"/>
      <c r="AF80" s="468"/>
      <c r="AG80" s="470"/>
      <c r="AH80" s="470"/>
      <c r="AI80" s="468"/>
      <c r="AJ80" s="470"/>
      <c r="AK80" s="470"/>
      <c r="AL80" s="468"/>
      <c r="AM80" s="470"/>
      <c r="AN80" s="470"/>
      <c r="AO80" s="468"/>
      <c r="AP80" s="470"/>
      <c r="AQ80" s="470"/>
      <c r="AR80" s="470"/>
      <c r="AU80" s="468"/>
      <c r="AV80" s="470"/>
      <c r="AW80" s="470"/>
      <c r="AX80" s="470"/>
      <c r="BA80" s="468"/>
      <c r="BB80" s="470"/>
      <c r="BC80" s="470"/>
      <c r="BD80" s="470"/>
      <c r="BG80" s="468"/>
      <c r="DA80" s="473"/>
      <c r="DB80" s="473"/>
      <c r="DC80" s="112"/>
      <c r="DD80" s="445"/>
      <c r="DE80" s="445"/>
      <c r="DF80" s="445"/>
      <c r="DG80" s="445"/>
      <c r="DH80" s="445"/>
      <c r="DI80" s="445"/>
      <c r="DJ80" s="445"/>
      <c r="DK80" s="445"/>
      <c r="DL80" s="445"/>
      <c r="DM80" s="445"/>
      <c r="DN80" s="445"/>
      <c r="DO80" s="445"/>
      <c r="DP80" s="445"/>
      <c r="DQ80" s="445"/>
      <c r="DR80" s="445"/>
    </row>
    <row r="81" spans="1:122" s="133" customFormat="1">
      <c r="A81" s="136"/>
      <c r="B81" s="136"/>
      <c r="C81" s="477"/>
      <c r="D81" s="478"/>
      <c r="E81" s="479"/>
      <c r="F81" s="479"/>
      <c r="G81" s="479"/>
      <c r="H81" s="480"/>
      <c r="I81" s="478"/>
      <c r="J81" s="479"/>
      <c r="K81" s="479"/>
      <c r="L81" s="479"/>
      <c r="M81" s="480"/>
      <c r="N81" s="478"/>
      <c r="O81" s="481"/>
      <c r="P81" s="481"/>
      <c r="Q81" s="481"/>
      <c r="R81" s="480"/>
      <c r="S81" s="478"/>
      <c r="W81" s="480"/>
      <c r="X81" s="478"/>
      <c r="Y81" s="470"/>
      <c r="Z81" s="470"/>
      <c r="AB81" s="468"/>
      <c r="AC81" s="468"/>
      <c r="AD81" s="470"/>
      <c r="AE81" s="470"/>
      <c r="AF81" s="468"/>
      <c r="AG81" s="470"/>
      <c r="AH81" s="470"/>
      <c r="AI81" s="468"/>
      <c r="AJ81" s="470"/>
      <c r="AK81" s="470"/>
      <c r="AL81" s="468"/>
      <c r="AM81" s="470"/>
      <c r="AN81" s="470"/>
      <c r="AO81" s="468"/>
      <c r="AP81" s="470"/>
      <c r="AQ81" s="470"/>
      <c r="AR81" s="470"/>
      <c r="AU81" s="468"/>
      <c r="AV81" s="470"/>
      <c r="AW81" s="470"/>
      <c r="AX81" s="470"/>
      <c r="BA81" s="468"/>
      <c r="BB81" s="470"/>
      <c r="BC81" s="470"/>
      <c r="BD81" s="470"/>
      <c r="BG81" s="468"/>
      <c r="DA81" s="473"/>
      <c r="DB81" s="473"/>
      <c r="DC81" s="112"/>
      <c r="DD81" s="445"/>
      <c r="DE81" s="445"/>
      <c r="DF81" s="445"/>
      <c r="DG81" s="445"/>
      <c r="DH81" s="445"/>
      <c r="DI81" s="445"/>
      <c r="DJ81" s="445"/>
      <c r="DK81" s="445"/>
      <c r="DL81" s="445"/>
      <c r="DM81" s="445"/>
      <c r="DN81" s="445"/>
      <c r="DO81" s="445"/>
      <c r="DP81" s="445"/>
      <c r="DQ81" s="445"/>
      <c r="DR81" s="445"/>
    </row>
    <row r="82" spans="1:122" s="133" customFormat="1">
      <c r="A82" s="136"/>
      <c r="B82" s="136"/>
      <c r="C82" s="477"/>
      <c r="D82" s="478"/>
      <c r="E82" s="479"/>
      <c r="F82" s="479"/>
      <c r="G82" s="479"/>
      <c r="H82" s="480"/>
      <c r="I82" s="478"/>
      <c r="J82" s="479"/>
      <c r="K82" s="479"/>
      <c r="L82" s="479"/>
      <c r="M82" s="480"/>
      <c r="N82" s="478"/>
      <c r="O82" s="481"/>
      <c r="P82" s="481"/>
      <c r="Q82" s="481"/>
      <c r="R82" s="480"/>
      <c r="S82" s="478"/>
      <c r="W82" s="480"/>
      <c r="X82" s="478"/>
      <c r="Y82" s="470"/>
      <c r="Z82" s="470"/>
      <c r="AB82" s="468"/>
      <c r="AC82" s="468"/>
      <c r="AD82" s="470"/>
      <c r="AE82" s="470"/>
      <c r="AF82" s="468"/>
      <c r="AG82" s="470"/>
      <c r="AH82" s="470"/>
      <c r="AI82" s="468"/>
      <c r="AJ82" s="470"/>
      <c r="AK82" s="470"/>
      <c r="AL82" s="468"/>
      <c r="AM82" s="470"/>
      <c r="AN82" s="470"/>
      <c r="AO82" s="468"/>
      <c r="AP82" s="470"/>
      <c r="AQ82" s="470"/>
      <c r="AR82" s="470"/>
      <c r="AU82" s="468"/>
      <c r="AV82" s="470"/>
      <c r="AW82" s="470"/>
      <c r="AX82" s="470"/>
      <c r="BA82" s="468"/>
      <c r="BB82" s="470"/>
      <c r="BC82" s="470"/>
      <c r="BD82" s="470"/>
      <c r="BG82" s="468"/>
      <c r="DA82" s="473"/>
      <c r="DB82" s="473"/>
      <c r="DC82" s="112"/>
      <c r="DD82" s="445"/>
      <c r="DE82" s="445"/>
      <c r="DF82" s="445"/>
      <c r="DG82" s="445"/>
      <c r="DH82" s="445"/>
      <c r="DI82" s="445"/>
      <c r="DJ82" s="445"/>
      <c r="DK82" s="445"/>
      <c r="DL82" s="445"/>
      <c r="DM82" s="445"/>
      <c r="DN82" s="445"/>
      <c r="DO82" s="445"/>
      <c r="DP82" s="445"/>
      <c r="DQ82" s="445"/>
      <c r="DR82" s="445"/>
    </row>
    <row r="83" spans="1:122" s="133" customFormat="1">
      <c r="A83" s="136"/>
      <c r="B83" s="136"/>
      <c r="C83" s="477"/>
      <c r="D83" s="478"/>
      <c r="E83" s="479"/>
      <c r="F83" s="479"/>
      <c r="G83" s="479"/>
      <c r="H83" s="480"/>
      <c r="I83" s="478"/>
      <c r="J83" s="479"/>
      <c r="K83" s="479"/>
      <c r="L83" s="479"/>
      <c r="M83" s="480"/>
      <c r="N83" s="478"/>
      <c r="O83" s="481"/>
      <c r="P83" s="481"/>
      <c r="Q83" s="481"/>
      <c r="R83" s="480"/>
      <c r="S83" s="478"/>
      <c r="W83" s="480"/>
      <c r="X83" s="478"/>
      <c r="Y83" s="470"/>
      <c r="Z83" s="470"/>
      <c r="AB83" s="468"/>
      <c r="AC83" s="468"/>
      <c r="AD83" s="470"/>
      <c r="AE83" s="470"/>
      <c r="AF83" s="468"/>
      <c r="AG83" s="470"/>
      <c r="AH83" s="470"/>
      <c r="AI83" s="468"/>
      <c r="AJ83" s="470"/>
      <c r="AK83" s="470"/>
      <c r="AL83" s="468"/>
      <c r="AM83" s="470"/>
      <c r="AN83" s="470"/>
      <c r="AO83" s="468"/>
      <c r="AP83" s="470"/>
      <c r="AQ83" s="470"/>
      <c r="AR83" s="470"/>
      <c r="AU83" s="468"/>
      <c r="AV83" s="470"/>
      <c r="AW83" s="470"/>
      <c r="AX83" s="470"/>
      <c r="BA83" s="468"/>
      <c r="BB83" s="470"/>
      <c r="BC83" s="470"/>
      <c r="BD83" s="470"/>
      <c r="BG83" s="468"/>
      <c r="DA83" s="473"/>
      <c r="DB83" s="473"/>
      <c r="DC83" s="112"/>
      <c r="DD83" s="445"/>
      <c r="DE83" s="445"/>
      <c r="DF83" s="445"/>
      <c r="DG83" s="445"/>
      <c r="DH83" s="445"/>
      <c r="DI83" s="445"/>
      <c r="DJ83" s="445"/>
      <c r="DK83" s="445"/>
      <c r="DL83" s="445"/>
      <c r="DM83" s="445"/>
      <c r="DN83" s="445"/>
      <c r="DO83" s="445"/>
      <c r="DP83" s="445"/>
      <c r="DQ83" s="445"/>
      <c r="DR83" s="445"/>
    </row>
    <row r="84" spans="1:122" s="133" customFormat="1">
      <c r="A84" s="136"/>
      <c r="B84" s="136"/>
      <c r="C84" s="477"/>
      <c r="D84" s="478"/>
      <c r="E84" s="479"/>
      <c r="F84" s="479"/>
      <c r="G84" s="479"/>
      <c r="H84" s="480"/>
      <c r="I84" s="478"/>
      <c r="J84" s="479"/>
      <c r="K84" s="479"/>
      <c r="L84" s="479"/>
      <c r="M84" s="480"/>
      <c r="N84" s="478"/>
      <c r="O84" s="481"/>
      <c r="P84" s="481"/>
      <c r="Q84" s="481"/>
      <c r="R84" s="480"/>
      <c r="S84" s="478"/>
      <c r="W84" s="480"/>
      <c r="X84" s="478"/>
      <c r="Y84" s="470"/>
      <c r="Z84" s="470"/>
      <c r="AB84" s="468"/>
      <c r="AC84" s="468"/>
      <c r="AD84" s="470"/>
      <c r="AE84" s="470"/>
      <c r="AF84" s="468"/>
      <c r="AG84" s="470"/>
      <c r="AH84" s="470"/>
      <c r="AI84" s="468"/>
      <c r="AJ84" s="470"/>
      <c r="AK84" s="470"/>
      <c r="AL84" s="468"/>
      <c r="AM84" s="470"/>
      <c r="AN84" s="470"/>
      <c r="AO84" s="468"/>
      <c r="AP84" s="470"/>
      <c r="AQ84" s="470"/>
      <c r="AR84" s="470"/>
      <c r="AU84" s="468"/>
      <c r="AV84" s="470"/>
      <c r="AW84" s="470"/>
      <c r="AX84" s="470"/>
      <c r="BA84" s="468"/>
      <c r="BB84" s="470"/>
      <c r="BC84" s="470"/>
      <c r="BD84" s="470"/>
      <c r="BG84" s="468"/>
      <c r="DA84" s="473"/>
      <c r="DB84" s="473"/>
      <c r="DC84" s="112"/>
      <c r="DD84" s="445"/>
      <c r="DE84" s="445"/>
      <c r="DF84" s="445"/>
      <c r="DG84" s="445"/>
      <c r="DH84" s="445"/>
      <c r="DI84" s="445"/>
      <c r="DJ84" s="445"/>
      <c r="DK84" s="445"/>
      <c r="DL84" s="445"/>
      <c r="DM84" s="445"/>
      <c r="DN84" s="445"/>
      <c r="DO84" s="445"/>
      <c r="DP84" s="445"/>
      <c r="DQ84" s="445"/>
      <c r="DR84" s="445"/>
    </row>
    <row r="85" spans="1:122" s="133" customFormat="1">
      <c r="A85" s="136"/>
      <c r="B85" s="136"/>
      <c r="C85" s="477"/>
      <c r="D85" s="478"/>
      <c r="E85" s="479"/>
      <c r="F85" s="479"/>
      <c r="G85" s="479"/>
      <c r="H85" s="480"/>
      <c r="I85" s="478"/>
      <c r="J85" s="479"/>
      <c r="K85" s="479"/>
      <c r="L85" s="479"/>
      <c r="M85" s="480"/>
      <c r="N85" s="478"/>
      <c r="O85" s="481"/>
      <c r="P85" s="481"/>
      <c r="Q85" s="481"/>
      <c r="R85" s="480"/>
      <c r="S85" s="478"/>
      <c r="W85" s="480"/>
      <c r="X85" s="478"/>
      <c r="Y85" s="470"/>
      <c r="Z85" s="470"/>
      <c r="AB85" s="468"/>
      <c r="AC85" s="468"/>
      <c r="AD85" s="470"/>
      <c r="AE85" s="470"/>
      <c r="AF85" s="468"/>
      <c r="AG85" s="470"/>
      <c r="AH85" s="470"/>
      <c r="AI85" s="468"/>
      <c r="AJ85" s="470"/>
      <c r="AK85" s="470"/>
      <c r="AL85" s="468"/>
      <c r="AM85" s="470"/>
      <c r="AN85" s="470"/>
      <c r="AO85" s="468"/>
      <c r="AP85" s="470"/>
      <c r="AQ85" s="470"/>
      <c r="AR85" s="470"/>
      <c r="AU85" s="468"/>
      <c r="AV85" s="470"/>
      <c r="AW85" s="470"/>
      <c r="AX85" s="470"/>
      <c r="BA85" s="468"/>
      <c r="BB85" s="470"/>
      <c r="BC85" s="470"/>
      <c r="BD85" s="470"/>
      <c r="BG85" s="468"/>
      <c r="DA85" s="473"/>
      <c r="DB85" s="473"/>
      <c r="DC85" s="112"/>
      <c r="DD85" s="445"/>
      <c r="DE85" s="445"/>
      <c r="DF85" s="445"/>
      <c r="DG85" s="445"/>
      <c r="DH85" s="445"/>
      <c r="DI85" s="445"/>
      <c r="DJ85" s="445"/>
      <c r="DK85" s="445"/>
      <c r="DL85" s="445"/>
      <c r="DM85" s="445"/>
      <c r="DN85" s="445"/>
      <c r="DO85" s="445"/>
      <c r="DP85" s="445"/>
      <c r="DQ85" s="445"/>
      <c r="DR85" s="445"/>
    </row>
    <row r="86" spans="1:122" s="133" customFormat="1">
      <c r="A86" s="136"/>
      <c r="B86" s="136"/>
      <c r="C86" s="477"/>
      <c r="D86" s="478"/>
      <c r="E86" s="479"/>
      <c r="F86" s="479"/>
      <c r="G86" s="479"/>
      <c r="H86" s="480"/>
      <c r="I86" s="478"/>
      <c r="J86" s="479"/>
      <c r="K86" s="479"/>
      <c r="L86" s="479"/>
      <c r="M86" s="480"/>
      <c r="N86" s="478"/>
      <c r="O86" s="481"/>
      <c r="P86" s="481"/>
      <c r="Q86" s="481"/>
      <c r="R86" s="480"/>
      <c r="S86" s="478"/>
      <c r="W86" s="480"/>
      <c r="X86" s="478"/>
      <c r="Y86" s="470"/>
      <c r="Z86" s="470"/>
      <c r="AB86" s="468"/>
      <c r="AC86" s="468"/>
      <c r="AD86" s="470"/>
      <c r="AE86" s="470"/>
      <c r="AF86" s="468"/>
      <c r="AG86" s="470"/>
      <c r="AH86" s="470"/>
      <c r="AI86" s="468"/>
      <c r="AJ86" s="470"/>
      <c r="AK86" s="470"/>
      <c r="AL86" s="468"/>
      <c r="AM86" s="470"/>
      <c r="AN86" s="470"/>
      <c r="AO86" s="468"/>
      <c r="AP86" s="470"/>
      <c r="AQ86" s="470"/>
      <c r="AR86" s="470"/>
      <c r="AU86" s="468"/>
      <c r="AV86" s="470"/>
      <c r="AW86" s="470"/>
      <c r="AX86" s="470"/>
      <c r="BA86" s="468"/>
      <c r="BB86" s="470"/>
      <c r="BC86" s="470"/>
      <c r="BD86" s="470"/>
      <c r="BG86" s="468"/>
      <c r="DA86" s="473"/>
      <c r="DB86" s="473"/>
      <c r="DC86" s="112"/>
      <c r="DD86" s="445"/>
      <c r="DE86" s="445"/>
      <c r="DF86" s="445"/>
      <c r="DG86" s="445"/>
      <c r="DH86" s="445"/>
      <c r="DI86" s="445"/>
      <c r="DJ86" s="445"/>
      <c r="DK86" s="445"/>
      <c r="DL86" s="445"/>
      <c r="DM86" s="445"/>
      <c r="DN86" s="445"/>
      <c r="DO86" s="445"/>
      <c r="DP86" s="445"/>
      <c r="DQ86" s="445"/>
      <c r="DR86" s="445"/>
    </row>
    <row r="87" spans="1:122" s="133" customFormat="1">
      <c r="A87" s="136"/>
      <c r="B87" s="136"/>
      <c r="C87" s="477"/>
      <c r="D87" s="478"/>
      <c r="E87" s="479"/>
      <c r="F87" s="479"/>
      <c r="G87" s="479"/>
      <c r="H87" s="480"/>
      <c r="I87" s="478"/>
      <c r="J87" s="479"/>
      <c r="K87" s="479"/>
      <c r="L87" s="479"/>
      <c r="M87" s="480"/>
      <c r="N87" s="478"/>
      <c r="O87" s="481"/>
      <c r="P87" s="481"/>
      <c r="Q87" s="481"/>
      <c r="R87" s="480"/>
      <c r="S87" s="478"/>
      <c r="W87" s="480"/>
      <c r="X87" s="478"/>
      <c r="Y87" s="470"/>
      <c r="Z87" s="470"/>
      <c r="AB87" s="468"/>
      <c r="AC87" s="468"/>
      <c r="AD87" s="470"/>
      <c r="AE87" s="470"/>
      <c r="AF87" s="468"/>
      <c r="AG87" s="470"/>
      <c r="AH87" s="470"/>
      <c r="AI87" s="468"/>
      <c r="AJ87" s="470"/>
      <c r="AK87" s="470"/>
      <c r="AL87" s="468"/>
      <c r="AM87" s="470"/>
      <c r="AN87" s="470"/>
      <c r="AO87" s="468"/>
      <c r="AP87" s="470"/>
      <c r="AQ87" s="470"/>
      <c r="AR87" s="470"/>
      <c r="AU87" s="468"/>
      <c r="AV87" s="470"/>
      <c r="AW87" s="470"/>
      <c r="AX87" s="470"/>
      <c r="BA87" s="468"/>
      <c r="BB87" s="470"/>
      <c r="BC87" s="470"/>
      <c r="BD87" s="470"/>
      <c r="BG87" s="468"/>
      <c r="DA87" s="473"/>
      <c r="DB87" s="473"/>
      <c r="DC87" s="112"/>
      <c r="DD87" s="445"/>
      <c r="DE87" s="445"/>
      <c r="DF87" s="445"/>
      <c r="DG87" s="445"/>
      <c r="DH87" s="445"/>
      <c r="DI87" s="445"/>
      <c r="DJ87" s="445"/>
      <c r="DK87" s="445"/>
      <c r="DL87" s="445"/>
      <c r="DM87" s="445"/>
      <c r="DN87" s="445"/>
      <c r="DO87" s="445"/>
      <c r="DP87" s="445"/>
      <c r="DQ87" s="445"/>
      <c r="DR87" s="445"/>
    </row>
    <row r="88" spans="1:122" s="133" customFormat="1">
      <c r="A88" s="136"/>
      <c r="B88" s="136"/>
      <c r="C88" s="477"/>
      <c r="D88" s="478"/>
      <c r="E88" s="479"/>
      <c r="F88" s="479"/>
      <c r="G88" s="479"/>
      <c r="H88" s="480"/>
      <c r="I88" s="478"/>
      <c r="J88" s="479"/>
      <c r="K88" s="479"/>
      <c r="L88" s="479"/>
      <c r="M88" s="480"/>
      <c r="N88" s="478"/>
      <c r="O88" s="481"/>
      <c r="P88" s="481"/>
      <c r="Q88" s="481"/>
      <c r="R88" s="480"/>
      <c r="S88" s="478"/>
      <c r="W88" s="480"/>
      <c r="X88" s="478"/>
      <c r="Y88" s="470"/>
      <c r="Z88" s="470"/>
      <c r="AB88" s="468"/>
      <c r="AC88" s="468"/>
      <c r="AD88" s="470"/>
      <c r="AE88" s="470"/>
      <c r="AF88" s="468"/>
      <c r="AG88" s="470"/>
      <c r="AH88" s="470"/>
      <c r="AI88" s="468"/>
      <c r="AJ88" s="470"/>
      <c r="AK88" s="470"/>
      <c r="AL88" s="468"/>
      <c r="AM88" s="470"/>
      <c r="AN88" s="470"/>
      <c r="AO88" s="468"/>
      <c r="AP88" s="470"/>
      <c r="AQ88" s="470"/>
      <c r="AR88" s="470"/>
      <c r="AU88" s="468"/>
      <c r="AV88" s="470"/>
      <c r="AW88" s="470"/>
      <c r="AX88" s="470"/>
      <c r="BA88" s="468"/>
      <c r="BB88" s="470"/>
      <c r="BC88" s="470"/>
      <c r="BD88" s="470"/>
      <c r="BG88" s="468"/>
      <c r="DA88" s="473"/>
      <c r="DB88" s="473"/>
      <c r="DC88" s="112"/>
      <c r="DD88" s="445"/>
      <c r="DE88" s="445"/>
      <c r="DF88" s="445"/>
      <c r="DG88" s="445"/>
      <c r="DH88" s="445"/>
      <c r="DI88" s="445"/>
      <c r="DJ88" s="445"/>
      <c r="DK88" s="445"/>
      <c r="DL88" s="445"/>
      <c r="DM88" s="445"/>
      <c r="DN88" s="445"/>
      <c r="DO88" s="445"/>
      <c r="DP88" s="445"/>
      <c r="DQ88" s="445"/>
      <c r="DR88" s="445"/>
    </row>
    <row r="89" spans="1:122" s="133" customFormat="1">
      <c r="A89" s="136"/>
      <c r="B89" s="136"/>
      <c r="C89" s="477"/>
      <c r="D89" s="478"/>
      <c r="E89" s="479"/>
      <c r="F89" s="479"/>
      <c r="G89" s="479"/>
      <c r="H89" s="480"/>
      <c r="I89" s="478"/>
      <c r="J89" s="479"/>
      <c r="K89" s="479"/>
      <c r="L89" s="479"/>
      <c r="M89" s="480"/>
      <c r="N89" s="478"/>
      <c r="O89" s="481"/>
      <c r="P89" s="481"/>
      <c r="Q89" s="481"/>
      <c r="R89" s="480"/>
      <c r="S89" s="478"/>
      <c r="W89" s="480"/>
      <c r="X89" s="478"/>
      <c r="Y89" s="470"/>
      <c r="Z89" s="470"/>
      <c r="AB89" s="468"/>
      <c r="AC89" s="468"/>
      <c r="AD89" s="470"/>
      <c r="AE89" s="470"/>
      <c r="AF89" s="468"/>
      <c r="AG89" s="470"/>
      <c r="AH89" s="470"/>
      <c r="AI89" s="468"/>
      <c r="AJ89" s="470"/>
      <c r="AK89" s="470"/>
      <c r="AL89" s="468"/>
      <c r="AM89" s="470"/>
      <c r="AN89" s="470"/>
      <c r="AO89" s="468"/>
      <c r="AP89" s="470"/>
      <c r="AQ89" s="470"/>
      <c r="AR89" s="470"/>
      <c r="AU89" s="468"/>
      <c r="AV89" s="470"/>
      <c r="AW89" s="470"/>
      <c r="AX89" s="470"/>
      <c r="BA89" s="468"/>
      <c r="BB89" s="470"/>
      <c r="BC89" s="470"/>
      <c r="BD89" s="470"/>
      <c r="BG89" s="468"/>
      <c r="DA89" s="473"/>
      <c r="DB89" s="473"/>
      <c r="DC89" s="112"/>
      <c r="DD89" s="445"/>
      <c r="DE89" s="445"/>
      <c r="DF89" s="445"/>
      <c r="DG89" s="445"/>
      <c r="DH89" s="445"/>
      <c r="DI89" s="445"/>
      <c r="DJ89" s="445"/>
      <c r="DK89" s="445"/>
      <c r="DL89" s="445"/>
      <c r="DM89" s="445"/>
      <c r="DN89" s="445"/>
      <c r="DO89" s="445"/>
      <c r="DP89" s="445"/>
      <c r="DQ89" s="445"/>
      <c r="DR89" s="445"/>
    </row>
    <row r="90" spans="1:122" s="133" customFormat="1">
      <c r="A90" s="136"/>
      <c r="B90" s="136"/>
      <c r="C90" s="477"/>
      <c r="D90" s="478"/>
      <c r="E90" s="479"/>
      <c r="F90" s="479"/>
      <c r="G90" s="479"/>
      <c r="H90" s="480"/>
      <c r="I90" s="478"/>
      <c r="J90" s="479"/>
      <c r="K90" s="479"/>
      <c r="L90" s="479"/>
      <c r="M90" s="480"/>
      <c r="N90" s="478"/>
      <c r="O90" s="481"/>
      <c r="P90" s="481"/>
      <c r="Q90" s="481"/>
      <c r="R90" s="480"/>
      <c r="S90" s="478"/>
      <c r="W90" s="480"/>
      <c r="X90" s="478"/>
      <c r="Y90" s="470"/>
      <c r="Z90" s="470"/>
      <c r="AB90" s="468"/>
      <c r="AC90" s="468"/>
      <c r="AD90" s="470"/>
      <c r="AE90" s="470"/>
      <c r="AF90" s="468"/>
      <c r="AG90" s="470"/>
      <c r="AH90" s="470"/>
      <c r="AI90" s="468"/>
      <c r="AJ90" s="470"/>
      <c r="AK90" s="470"/>
      <c r="AL90" s="468"/>
      <c r="AM90" s="470"/>
      <c r="AN90" s="470"/>
      <c r="AO90" s="468"/>
      <c r="AP90" s="470"/>
      <c r="AQ90" s="470"/>
      <c r="AR90" s="470"/>
      <c r="AU90" s="468"/>
      <c r="AV90" s="470"/>
      <c r="AW90" s="470"/>
      <c r="AX90" s="470"/>
      <c r="BA90" s="468"/>
      <c r="BB90" s="470"/>
      <c r="BC90" s="470"/>
      <c r="BD90" s="470"/>
      <c r="BG90" s="468"/>
      <c r="DA90" s="473"/>
      <c r="DB90" s="473"/>
      <c r="DC90" s="112"/>
      <c r="DD90" s="445"/>
      <c r="DE90" s="445"/>
      <c r="DF90" s="445"/>
      <c r="DG90" s="445"/>
      <c r="DH90" s="445"/>
      <c r="DI90" s="445"/>
      <c r="DJ90" s="445"/>
      <c r="DK90" s="445"/>
      <c r="DL90" s="445"/>
      <c r="DM90" s="445"/>
      <c r="DN90" s="445"/>
      <c r="DO90" s="445"/>
      <c r="DP90" s="445"/>
      <c r="DQ90" s="445"/>
      <c r="DR90" s="445"/>
    </row>
    <row r="91" spans="1:122" s="273" customFormat="1">
      <c r="A91" s="482"/>
      <c r="B91" s="482"/>
      <c r="C91" s="477"/>
      <c r="D91" s="478"/>
      <c r="E91" s="479"/>
      <c r="F91" s="479"/>
      <c r="G91" s="479"/>
      <c r="H91" s="480"/>
      <c r="I91" s="478"/>
      <c r="J91" s="479"/>
      <c r="K91" s="479"/>
      <c r="L91" s="479"/>
      <c r="M91" s="480"/>
      <c r="N91" s="478"/>
      <c r="O91" s="481"/>
      <c r="P91" s="481"/>
      <c r="Q91" s="481"/>
      <c r="R91" s="480"/>
      <c r="S91" s="478"/>
      <c r="W91" s="480"/>
      <c r="X91" s="478"/>
      <c r="Y91" s="475"/>
      <c r="Z91" s="475"/>
      <c r="AB91" s="483"/>
      <c r="AC91" s="483"/>
      <c r="AD91" s="475"/>
      <c r="AE91" s="475"/>
      <c r="AF91" s="483"/>
      <c r="AG91" s="475"/>
      <c r="AH91" s="475"/>
      <c r="AI91" s="483"/>
      <c r="AJ91" s="475"/>
      <c r="AK91" s="475"/>
      <c r="AL91" s="483"/>
      <c r="AM91" s="475"/>
      <c r="AN91" s="475"/>
      <c r="AO91" s="483"/>
      <c r="AP91" s="475"/>
      <c r="AQ91" s="475"/>
      <c r="AR91" s="475"/>
      <c r="AU91" s="483"/>
      <c r="AV91" s="475"/>
      <c r="AW91" s="475"/>
      <c r="AX91" s="475"/>
      <c r="AZ91" s="133"/>
      <c r="BA91" s="468"/>
      <c r="BB91" s="470"/>
      <c r="BC91" s="470"/>
      <c r="BD91" s="470"/>
      <c r="BE91" s="133"/>
      <c r="BF91" s="133"/>
      <c r="BG91" s="483"/>
      <c r="DA91" s="484"/>
      <c r="DB91" s="484"/>
      <c r="DC91" s="485"/>
      <c r="DD91" s="486"/>
      <c r="DE91" s="486"/>
      <c r="DF91" s="486"/>
      <c r="DG91" s="486"/>
      <c r="DH91" s="486"/>
      <c r="DI91" s="486"/>
      <c r="DJ91" s="486"/>
      <c r="DK91" s="486"/>
      <c r="DL91" s="486"/>
      <c r="DM91" s="486"/>
      <c r="DN91" s="486"/>
      <c r="DO91" s="486"/>
      <c r="DP91" s="486"/>
      <c r="DQ91" s="486"/>
      <c r="DR91" s="486"/>
    </row>
    <row r="92" spans="1:122" s="273" customFormat="1">
      <c r="A92" s="482"/>
      <c r="B92" s="482"/>
      <c r="C92" s="477"/>
      <c r="D92" s="483"/>
      <c r="E92" s="475"/>
      <c r="F92" s="475"/>
      <c r="G92" s="475"/>
      <c r="H92" s="1891"/>
      <c r="I92" s="483"/>
      <c r="J92" s="475"/>
      <c r="K92" s="475"/>
      <c r="L92" s="475"/>
      <c r="M92" s="1891"/>
      <c r="N92" s="483"/>
      <c r="R92" s="1891"/>
      <c r="S92" s="483"/>
      <c r="W92" s="1891"/>
      <c r="X92" s="478"/>
      <c r="Y92" s="475"/>
      <c r="Z92" s="475"/>
      <c r="AB92" s="483"/>
      <c r="AC92" s="483"/>
      <c r="AD92" s="475"/>
      <c r="AE92" s="475"/>
      <c r="AF92" s="483"/>
      <c r="AG92" s="475"/>
      <c r="AH92" s="475"/>
      <c r="AI92" s="483"/>
      <c r="AJ92" s="475"/>
      <c r="AK92" s="475"/>
      <c r="AL92" s="483"/>
      <c r="AM92" s="475"/>
      <c r="AN92" s="475"/>
      <c r="AO92" s="483"/>
      <c r="AP92" s="475"/>
      <c r="AQ92" s="475"/>
      <c r="AR92" s="475"/>
      <c r="AU92" s="483"/>
      <c r="AV92" s="475"/>
      <c r="AW92" s="475"/>
      <c r="AX92" s="475"/>
      <c r="AZ92" s="133"/>
      <c r="BA92" s="468"/>
      <c r="BB92" s="470"/>
      <c r="BC92" s="470"/>
      <c r="BD92" s="470"/>
      <c r="BE92" s="133"/>
      <c r="BF92" s="133"/>
      <c r="BG92" s="483"/>
      <c r="DA92" s="484"/>
      <c r="DB92" s="484"/>
      <c r="DC92" s="485"/>
      <c r="DD92" s="486"/>
      <c r="DE92" s="486"/>
      <c r="DF92" s="486"/>
      <c r="DG92" s="486"/>
      <c r="DH92" s="486"/>
      <c r="DI92" s="486"/>
      <c r="DJ92" s="486"/>
      <c r="DK92" s="486"/>
      <c r="DL92" s="486"/>
      <c r="DM92" s="486"/>
      <c r="DN92" s="486"/>
      <c r="DO92" s="486"/>
      <c r="DP92" s="486"/>
      <c r="DQ92" s="486"/>
      <c r="DR92" s="486"/>
    </row>
    <row r="93" spans="1:122" s="273" customFormat="1">
      <c r="A93" s="482"/>
      <c r="B93" s="482"/>
      <c r="C93" s="477"/>
      <c r="D93" s="483"/>
      <c r="E93" s="475"/>
      <c r="F93" s="475"/>
      <c r="G93" s="475"/>
      <c r="H93" s="1891"/>
      <c r="I93" s="483"/>
      <c r="J93" s="475"/>
      <c r="K93" s="475"/>
      <c r="L93" s="475"/>
      <c r="M93" s="1891"/>
      <c r="N93" s="483"/>
      <c r="R93" s="1891"/>
      <c r="S93" s="483"/>
      <c r="W93" s="1891"/>
      <c r="X93" s="478"/>
      <c r="Y93" s="475"/>
      <c r="Z93" s="475"/>
      <c r="AB93" s="483"/>
      <c r="AC93" s="483"/>
      <c r="AD93" s="475"/>
      <c r="AE93" s="475"/>
      <c r="AF93" s="483"/>
      <c r="AG93" s="475"/>
      <c r="AH93" s="475"/>
      <c r="AI93" s="483"/>
      <c r="AJ93" s="475"/>
      <c r="AK93" s="475"/>
      <c r="AL93" s="483"/>
      <c r="AM93" s="475"/>
      <c r="AN93" s="475"/>
      <c r="AO93" s="483"/>
      <c r="AP93" s="475"/>
      <c r="AQ93" s="475"/>
      <c r="AR93" s="475"/>
      <c r="AU93" s="483"/>
      <c r="AV93" s="475"/>
      <c r="AW93" s="475"/>
      <c r="AX93" s="475"/>
      <c r="AZ93" s="133"/>
      <c r="BA93" s="468"/>
      <c r="BB93" s="470"/>
      <c r="BC93" s="470"/>
      <c r="BD93" s="470"/>
      <c r="BE93" s="133"/>
      <c r="BF93" s="133"/>
      <c r="BG93" s="483"/>
      <c r="DA93" s="484"/>
      <c r="DB93" s="484"/>
      <c r="DC93" s="485"/>
      <c r="DD93" s="486"/>
      <c r="DE93" s="486"/>
      <c r="DF93" s="486"/>
      <c r="DG93" s="486"/>
      <c r="DH93" s="486"/>
      <c r="DI93" s="486"/>
      <c r="DJ93" s="486"/>
      <c r="DK93" s="486"/>
      <c r="DL93" s="486"/>
      <c r="DM93" s="486"/>
      <c r="DN93" s="486"/>
      <c r="DO93" s="486"/>
      <c r="DP93" s="486"/>
      <c r="DQ93" s="486"/>
      <c r="DR93" s="486"/>
    </row>
    <row r="94" spans="1:122" s="273" customFormat="1">
      <c r="A94" s="482"/>
      <c r="B94" s="482"/>
      <c r="C94" s="477"/>
      <c r="D94" s="483"/>
      <c r="E94" s="475"/>
      <c r="F94" s="475"/>
      <c r="G94" s="475"/>
      <c r="H94" s="1891"/>
      <c r="I94" s="483"/>
      <c r="J94" s="475"/>
      <c r="K94" s="475"/>
      <c r="L94" s="475"/>
      <c r="M94" s="1891"/>
      <c r="N94" s="483"/>
      <c r="R94" s="1891"/>
      <c r="S94" s="483"/>
      <c r="W94" s="1891"/>
      <c r="X94" s="478"/>
      <c r="Y94" s="475"/>
      <c r="Z94" s="475"/>
      <c r="AB94" s="483"/>
      <c r="AC94" s="483"/>
      <c r="AD94" s="475"/>
      <c r="AE94" s="475"/>
      <c r="AF94" s="483"/>
      <c r="AG94" s="475"/>
      <c r="AH94" s="475"/>
      <c r="AI94" s="483"/>
      <c r="AJ94" s="475"/>
      <c r="AK94" s="475"/>
      <c r="AL94" s="483"/>
      <c r="AM94" s="475"/>
      <c r="AN94" s="475"/>
      <c r="AO94" s="483"/>
      <c r="AP94" s="475"/>
      <c r="AQ94" s="475"/>
      <c r="AR94" s="475"/>
      <c r="AU94" s="483"/>
      <c r="AV94" s="475"/>
      <c r="AW94" s="475"/>
      <c r="AX94" s="475"/>
      <c r="AZ94" s="133"/>
      <c r="BA94" s="468"/>
      <c r="BB94" s="470"/>
      <c r="BC94" s="470"/>
      <c r="BD94" s="470"/>
      <c r="BE94" s="133"/>
      <c r="BF94" s="133"/>
      <c r="BG94" s="483"/>
      <c r="DA94" s="484"/>
      <c r="DB94" s="484"/>
      <c r="DC94" s="485"/>
      <c r="DD94" s="486"/>
      <c r="DE94" s="486"/>
      <c r="DF94" s="486"/>
      <c r="DG94" s="486"/>
      <c r="DH94" s="486"/>
      <c r="DI94" s="486"/>
      <c r="DJ94" s="486"/>
      <c r="DK94" s="486"/>
      <c r="DL94" s="486"/>
      <c r="DM94" s="486"/>
      <c r="DN94" s="486"/>
      <c r="DO94" s="486"/>
      <c r="DP94" s="486"/>
      <c r="DQ94" s="486"/>
      <c r="DR94" s="486"/>
    </row>
    <row r="95" spans="1:122" s="273" customFormat="1">
      <c r="A95" s="482"/>
      <c r="B95" s="482"/>
      <c r="C95" s="477"/>
      <c r="D95" s="483"/>
      <c r="E95" s="475"/>
      <c r="F95" s="475"/>
      <c r="G95" s="475"/>
      <c r="H95" s="1891"/>
      <c r="I95" s="483"/>
      <c r="J95" s="475"/>
      <c r="K95" s="475"/>
      <c r="L95" s="475"/>
      <c r="M95" s="1891"/>
      <c r="N95" s="483"/>
      <c r="R95" s="1891"/>
      <c r="S95" s="483"/>
      <c r="W95" s="1891"/>
      <c r="X95" s="478"/>
      <c r="Y95" s="475"/>
      <c r="Z95" s="475"/>
      <c r="AB95" s="483"/>
      <c r="AC95" s="483"/>
      <c r="AD95" s="475"/>
      <c r="AE95" s="475"/>
      <c r="AF95" s="483"/>
      <c r="AG95" s="475"/>
      <c r="AH95" s="475"/>
      <c r="AI95" s="483"/>
      <c r="AJ95" s="475"/>
      <c r="AK95" s="475"/>
      <c r="AL95" s="483"/>
      <c r="AM95" s="475"/>
      <c r="AN95" s="475"/>
      <c r="AO95" s="483"/>
      <c r="AP95" s="475"/>
      <c r="AQ95" s="475"/>
      <c r="AR95" s="475"/>
      <c r="AU95" s="483"/>
      <c r="AV95" s="475"/>
      <c r="AW95" s="475"/>
      <c r="AX95" s="475"/>
      <c r="AZ95" s="133"/>
      <c r="BA95" s="468"/>
      <c r="BB95" s="470"/>
      <c r="BC95" s="470"/>
      <c r="BD95" s="470"/>
      <c r="BE95" s="133"/>
      <c r="BF95" s="133"/>
      <c r="BG95" s="483"/>
      <c r="DA95" s="484"/>
      <c r="DB95" s="484"/>
      <c r="DC95" s="485"/>
      <c r="DD95" s="486"/>
      <c r="DE95" s="486"/>
      <c r="DF95" s="486"/>
      <c r="DG95" s="486"/>
      <c r="DH95" s="486"/>
      <c r="DI95" s="486"/>
      <c r="DJ95" s="486"/>
      <c r="DK95" s="486"/>
      <c r="DL95" s="486"/>
      <c r="DM95" s="486"/>
      <c r="DN95" s="486"/>
      <c r="DO95" s="486"/>
      <c r="DP95" s="486"/>
      <c r="DQ95" s="486"/>
      <c r="DR95" s="486"/>
    </row>
    <row r="96" spans="1:122" s="273" customFormat="1">
      <c r="A96" s="482"/>
      <c r="B96" s="482"/>
      <c r="C96" s="477"/>
      <c r="D96" s="483"/>
      <c r="E96" s="475"/>
      <c r="F96" s="475"/>
      <c r="G96" s="475"/>
      <c r="H96" s="1891"/>
      <c r="I96" s="483"/>
      <c r="J96" s="475"/>
      <c r="K96" s="475"/>
      <c r="L96" s="475"/>
      <c r="M96" s="1891"/>
      <c r="N96" s="483"/>
      <c r="R96" s="1891"/>
      <c r="S96" s="483"/>
      <c r="W96" s="1891"/>
      <c r="X96" s="478"/>
      <c r="Y96" s="475"/>
      <c r="Z96" s="475"/>
      <c r="AB96" s="483"/>
      <c r="AC96" s="483"/>
      <c r="AD96" s="475"/>
      <c r="AE96" s="475"/>
      <c r="AF96" s="483"/>
      <c r="AG96" s="475"/>
      <c r="AH96" s="475"/>
      <c r="AI96" s="483"/>
      <c r="AJ96" s="475"/>
      <c r="AK96" s="475"/>
      <c r="AL96" s="483"/>
      <c r="AM96" s="475"/>
      <c r="AN96" s="475"/>
      <c r="AO96" s="483"/>
      <c r="AP96" s="475"/>
      <c r="AQ96" s="475"/>
      <c r="AR96" s="475"/>
      <c r="AU96" s="483"/>
      <c r="AV96" s="475"/>
      <c r="AW96" s="475"/>
      <c r="AX96" s="475"/>
      <c r="AZ96" s="133"/>
      <c r="BA96" s="468"/>
      <c r="BB96" s="470"/>
      <c r="BC96" s="470"/>
      <c r="BD96" s="470"/>
      <c r="BE96" s="133"/>
      <c r="BF96" s="133"/>
      <c r="BG96" s="483"/>
      <c r="DA96" s="484"/>
      <c r="DB96" s="484"/>
      <c r="DC96" s="485"/>
      <c r="DD96" s="486"/>
      <c r="DE96" s="486"/>
      <c r="DF96" s="486"/>
      <c r="DG96" s="486"/>
      <c r="DH96" s="486"/>
      <c r="DI96" s="486"/>
      <c r="DJ96" s="486"/>
      <c r="DK96" s="486"/>
      <c r="DL96" s="486"/>
      <c r="DM96" s="486"/>
      <c r="DN96" s="486"/>
      <c r="DO96" s="486"/>
      <c r="DP96" s="486"/>
      <c r="DQ96" s="486"/>
      <c r="DR96" s="486"/>
    </row>
    <row r="97" spans="1:237" s="273" customFormat="1">
      <c r="A97" s="482"/>
      <c r="B97" s="482"/>
      <c r="C97" s="477"/>
      <c r="D97" s="483"/>
      <c r="E97" s="475"/>
      <c r="F97" s="475"/>
      <c r="G97" s="475"/>
      <c r="H97" s="1891"/>
      <c r="I97" s="483"/>
      <c r="J97" s="475"/>
      <c r="K97" s="475"/>
      <c r="L97" s="475"/>
      <c r="M97" s="1891"/>
      <c r="N97" s="483"/>
      <c r="R97" s="1891"/>
      <c r="S97" s="483"/>
      <c r="W97" s="1891"/>
      <c r="X97" s="478"/>
      <c r="Y97" s="475"/>
      <c r="Z97" s="475"/>
      <c r="AB97" s="483"/>
      <c r="AC97" s="483"/>
      <c r="AD97" s="475"/>
      <c r="AE97" s="475"/>
      <c r="AF97" s="483"/>
      <c r="AG97" s="475"/>
      <c r="AH97" s="475"/>
      <c r="AI97" s="483"/>
      <c r="AJ97" s="475"/>
      <c r="AK97" s="475"/>
      <c r="AL97" s="483"/>
      <c r="AM97" s="475"/>
      <c r="AN97" s="475"/>
      <c r="AO97" s="483"/>
      <c r="AP97" s="475"/>
      <c r="AQ97" s="475"/>
      <c r="AR97" s="475"/>
      <c r="AU97" s="483"/>
      <c r="AV97" s="475"/>
      <c r="AW97" s="475"/>
      <c r="AX97" s="475"/>
      <c r="AZ97" s="133"/>
      <c r="BA97" s="468"/>
      <c r="BB97" s="470"/>
      <c r="BC97" s="470"/>
      <c r="BD97" s="470"/>
      <c r="BE97" s="133"/>
      <c r="BF97" s="133"/>
      <c r="BG97" s="483"/>
      <c r="DA97" s="484"/>
      <c r="DB97" s="484"/>
      <c r="DC97" s="485"/>
      <c r="DD97" s="486"/>
      <c r="DE97" s="486"/>
      <c r="DF97" s="486"/>
      <c r="DG97" s="486"/>
      <c r="DH97" s="486"/>
      <c r="DI97" s="486"/>
      <c r="DJ97" s="486"/>
      <c r="DK97" s="486"/>
      <c r="DL97" s="486"/>
      <c r="DM97" s="486"/>
      <c r="DN97" s="486"/>
      <c r="DO97" s="486"/>
      <c r="DP97" s="486"/>
      <c r="DQ97" s="486"/>
      <c r="DR97" s="486"/>
    </row>
    <row r="98" spans="1:237" s="273" customFormat="1" ht="13.5" customHeight="1">
      <c r="A98" s="482"/>
      <c r="B98" s="482"/>
      <c r="C98" s="477"/>
      <c r="D98" s="483"/>
      <c r="E98" s="475"/>
      <c r="F98" s="475"/>
      <c r="G98" s="475"/>
      <c r="H98" s="1891"/>
      <c r="I98" s="483"/>
      <c r="J98" s="475"/>
      <c r="K98" s="475"/>
      <c r="L98" s="475"/>
      <c r="M98" s="1891"/>
      <c r="N98" s="483"/>
      <c r="R98" s="1891"/>
      <c r="S98" s="483"/>
      <c r="W98" s="1891"/>
      <c r="X98" s="478"/>
      <c r="Y98" s="475"/>
      <c r="Z98" s="475"/>
      <c r="AB98" s="483"/>
      <c r="AC98" s="483"/>
      <c r="AD98" s="475"/>
      <c r="AE98" s="475"/>
      <c r="AF98" s="483"/>
      <c r="AG98" s="475"/>
      <c r="AH98" s="475"/>
      <c r="AI98" s="483"/>
      <c r="AJ98" s="475"/>
      <c r="AK98" s="475"/>
      <c r="AL98" s="483"/>
      <c r="AM98" s="475"/>
      <c r="AN98" s="475"/>
      <c r="AO98" s="483"/>
      <c r="AP98" s="475"/>
      <c r="AQ98" s="475"/>
      <c r="AR98" s="475"/>
      <c r="AU98" s="483"/>
      <c r="AV98" s="475"/>
      <c r="AW98" s="475"/>
      <c r="AX98" s="475"/>
      <c r="AZ98" s="133"/>
      <c r="BA98" s="468"/>
      <c r="BB98" s="470"/>
      <c r="BC98" s="470"/>
      <c r="BD98" s="470"/>
      <c r="BE98" s="133"/>
      <c r="BF98" s="133"/>
      <c r="BG98" s="483"/>
      <c r="DA98" s="484"/>
      <c r="DB98" s="484"/>
      <c r="DC98" s="485"/>
      <c r="DD98" s="486"/>
      <c r="DE98" s="486"/>
      <c r="DF98" s="486"/>
      <c r="DG98" s="486"/>
      <c r="DH98" s="486"/>
      <c r="DI98" s="486"/>
      <c r="DJ98" s="486"/>
      <c r="DK98" s="486"/>
      <c r="DL98" s="486"/>
      <c r="DM98" s="486"/>
      <c r="DN98" s="486"/>
      <c r="DO98" s="486"/>
      <c r="DP98" s="486"/>
      <c r="DQ98" s="486"/>
      <c r="DR98" s="486"/>
    </row>
    <row r="99" spans="1:237" s="273" customFormat="1">
      <c r="A99" s="482"/>
      <c r="B99" s="482"/>
      <c r="C99" s="477"/>
      <c r="D99" s="483"/>
      <c r="E99" s="475"/>
      <c r="F99" s="475"/>
      <c r="G99" s="475"/>
      <c r="H99" s="1891"/>
      <c r="I99" s="483"/>
      <c r="J99" s="475"/>
      <c r="K99" s="475"/>
      <c r="L99" s="475"/>
      <c r="M99" s="1891"/>
      <c r="N99" s="483"/>
      <c r="R99" s="1891"/>
      <c r="S99" s="483"/>
      <c r="W99" s="1891"/>
      <c r="X99" s="478"/>
      <c r="Y99" s="475"/>
      <c r="Z99" s="475"/>
      <c r="AB99" s="483"/>
      <c r="AC99" s="483"/>
      <c r="AD99" s="475"/>
      <c r="AE99" s="475"/>
      <c r="AF99" s="483"/>
      <c r="AG99" s="475"/>
      <c r="AH99" s="475"/>
      <c r="AI99" s="483"/>
      <c r="AJ99" s="475"/>
      <c r="AK99" s="475"/>
      <c r="AL99" s="483"/>
      <c r="AM99" s="475"/>
      <c r="AN99" s="475"/>
      <c r="AO99" s="483"/>
      <c r="AP99" s="475"/>
      <c r="AQ99" s="475"/>
      <c r="AR99" s="475"/>
      <c r="AU99" s="483"/>
      <c r="AV99" s="475"/>
      <c r="AW99" s="475"/>
      <c r="AX99" s="475"/>
      <c r="AZ99" s="133"/>
      <c r="BA99" s="468"/>
      <c r="BB99" s="470"/>
      <c r="BC99" s="470"/>
      <c r="BD99" s="470"/>
      <c r="BE99" s="133"/>
      <c r="BF99" s="133"/>
      <c r="BG99" s="483"/>
      <c r="DA99" s="484"/>
      <c r="DB99" s="484"/>
      <c r="DC99" s="485"/>
      <c r="DD99" s="486"/>
      <c r="DE99" s="486"/>
      <c r="DF99" s="486"/>
      <c r="DG99" s="486"/>
      <c r="DH99" s="486"/>
      <c r="DI99" s="486"/>
      <c r="DJ99" s="486"/>
      <c r="DK99" s="486"/>
      <c r="DL99" s="486"/>
      <c r="DM99" s="486"/>
      <c r="DN99" s="486"/>
      <c r="DO99" s="486"/>
      <c r="DP99" s="486"/>
      <c r="DQ99" s="486"/>
      <c r="DR99" s="486"/>
    </row>
    <row r="100" spans="1:237" s="1896" customFormat="1" ht="14.25" customHeight="1">
      <c r="A100" s="142"/>
      <c r="B100" s="142"/>
      <c r="C100" s="1892"/>
      <c r="D100" s="1893"/>
      <c r="E100" s="1894"/>
      <c r="F100" s="1894"/>
      <c r="G100" s="1894"/>
      <c r="H100" s="1895"/>
      <c r="I100" s="1893"/>
      <c r="J100" s="1894"/>
      <c r="K100" s="1894"/>
      <c r="L100" s="1894"/>
      <c r="M100" s="1895"/>
      <c r="N100" s="1893"/>
      <c r="R100" s="1895"/>
      <c r="S100" s="1893"/>
      <c r="W100" s="1895"/>
      <c r="X100" s="1893"/>
      <c r="Y100" s="1894"/>
      <c r="Z100" s="1894"/>
      <c r="AB100" s="1893"/>
      <c r="AC100" s="1893"/>
      <c r="AD100" s="1894"/>
      <c r="AE100" s="1894"/>
      <c r="AF100" s="1893"/>
      <c r="AG100" s="1894"/>
      <c r="AH100" s="1894"/>
      <c r="AI100" s="1893"/>
      <c r="AJ100" s="1894"/>
      <c r="AK100" s="1894"/>
      <c r="AL100" s="1893"/>
      <c r="AM100" s="1894"/>
      <c r="AN100" s="1894"/>
      <c r="AO100" s="1893"/>
      <c r="AP100" s="1894"/>
      <c r="AQ100" s="1894"/>
      <c r="AR100" s="1894"/>
      <c r="AU100" s="1893"/>
      <c r="AV100" s="1894"/>
      <c r="AW100" s="1894"/>
      <c r="AX100" s="1894"/>
      <c r="BA100" s="1893"/>
      <c r="BB100" s="1894"/>
      <c r="BC100" s="1894"/>
      <c r="BD100" s="1894"/>
      <c r="BG100" s="1893"/>
      <c r="DA100" s="1897"/>
      <c r="DB100" s="1897"/>
      <c r="DC100" s="1898"/>
      <c r="DD100" s="806"/>
      <c r="DE100" s="806"/>
      <c r="DF100" s="806"/>
      <c r="DG100" s="806"/>
      <c r="DH100" s="806"/>
      <c r="DI100" s="806"/>
      <c r="DJ100" s="806"/>
      <c r="DK100" s="806"/>
      <c r="DL100" s="806"/>
      <c r="DM100" s="806"/>
      <c r="DN100" s="806"/>
      <c r="DO100" s="806"/>
      <c r="DP100" s="806"/>
      <c r="DQ100" s="806"/>
      <c r="DR100" s="806"/>
    </row>
    <row r="101" spans="1:237" s="1902" customFormat="1" ht="21" hidden="1" customHeight="1">
      <c r="A101" s="1899"/>
      <c r="B101" s="1899"/>
      <c r="C101" s="1899"/>
      <c r="D101" s="1900" t="s">
        <v>569</v>
      </c>
      <c r="E101" s="1900"/>
      <c r="F101" s="1900"/>
      <c r="G101" s="1900"/>
      <c r="H101" s="1901"/>
      <c r="I101" s="1900"/>
      <c r="J101" s="1900"/>
      <c r="K101" s="1900"/>
      <c r="L101" s="1900"/>
      <c r="M101" s="1901"/>
      <c r="N101" s="1900"/>
      <c r="R101" s="1901"/>
      <c r="S101" s="1900"/>
      <c r="V101" s="1900"/>
      <c r="W101" s="1901"/>
      <c r="X101" s="1900"/>
      <c r="Y101" s="1903"/>
      <c r="Z101" s="1903"/>
      <c r="AA101" s="1900"/>
      <c r="AB101" s="1903"/>
      <c r="AC101" s="1903"/>
      <c r="AD101" s="1903"/>
      <c r="AE101" s="1903"/>
      <c r="AF101" s="1903"/>
      <c r="AG101" s="1903"/>
      <c r="AH101" s="1903"/>
      <c r="AI101" s="1903"/>
      <c r="AJ101" s="1903"/>
      <c r="AK101" s="1903"/>
      <c r="AL101" s="1903"/>
      <c r="AM101" s="1903"/>
      <c r="AN101" s="1903"/>
      <c r="AO101" s="1903"/>
      <c r="AP101" s="1903"/>
      <c r="AQ101" s="1903"/>
      <c r="AR101" s="1903"/>
      <c r="AS101" s="1903"/>
      <c r="AT101" s="1904"/>
      <c r="AU101" s="1904"/>
      <c r="AV101" s="1903"/>
      <c r="AW101" s="1903"/>
      <c r="AX101" s="1903"/>
      <c r="AY101" s="1903"/>
      <c r="AZ101" s="1904"/>
      <c r="BA101" s="1904"/>
      <c r="BB101" s="1903"/>
      <c r="BC101" s="1903"/>
      <c r="BD101" s="1903"/>
      <c r="BE101" s="1903"/>
      <c r="BF101" s="1904"/>
      <c r="BG101" s="1904"/>
    </row>
    <row r="102" spans="1:237" s="45" customFormat="1" ht="14.25" hidden="1" customHeight="1">
      <c r="C102" s="1905"/>
      <c r="D102" s="1905"/>
      <c r="E102" s="1906"/>
      <c r="F102" s="1907"/>
      <c r="G102" s="1907"/>
      <c r="H102" s="1907"/>
      <c r="I102" s="1905"/>
      <c r="J102" s="1907"/>
      <c r="K102" s="1906"/>
      <c r="L102" s="1907"/>
      <c r="M102" s="1907"/>
      <c r="N102" s="1905"/>
      <c r="R102" s="1907"/>
      <c r="S102" s="1905"/>
      <c r="T102" s="1908"/>
      <c r="U102" s="1908"/>
      <c r="V102" s="1907"/>
      <c r="W102" s="1907"/>
      <c r="X102" s="1905"/>
      <c r="Y102" s="1909"/>
      <c r="Z102" s="1909"/>
      <c r="AA102" s="1907"/>
      <c r="AB102" s="1909"/>
      <c r="AC102" s="142"/>
      <c r="AD102" s="142"/>
      <c r="AE102" s="142"/>
      <c r="AF102" s="142"/>
      <c r="AG102" s="142"/>
      <c r="AH102" s="142"/>
      <c r="AI102" s="142"/>
      <c r="AJ102" s="142"/>
      <c r="AK102" s="142"/>
      <c r="AL102" s="142"/>
      <c r="AM102" s="142"/>
      <c r="AN102" s="482"/>
      <c r="AO102" s="142"/>
      <c r="AP102" s="142"/>
      <c r="AQ102" s="142"/>
      <c r="AR102" s="142"/>
      <c r="AS102" s="142"/>
      <c r="AV102" s="142"/>
      <c r="AW102" s="142"/>
      <c r="AX102" s="142"/>
      <c r="AY102" s="142"/>
      <c r="BB102" s="142"/>
      <c r="BC102" s="142"/>
      <c r="BD102" s="142"/>
      <c r="BE102" s="142"/>
      <c r="BX102" s="55"/>
      <c r="BY102" s="55"/>
      <c r="BZ102" s="55"/>
      <c r="CA102" s="55"/>
      <c r="CB102" s="55"/>
      <c r="CC102" s="55"/>
      <c r="CD102" s="55"/>
      <c r="CE102" s="55"/>
      <c r="CF102" s="55"/>
      <c r="CG102" s="55"/>
      <c r="CH102" s="55"/>
      <c r="CI102" s="55"/>
      <c r="CJ102" s="55"/>
      <c r="CK102" s="55"/>
      <c r="CL102" s="55"/>
      <c r="CM102" s="55"/>
      <c r="CN102" s="55"/>
      <c r="CO102" s="55"/>
      <c r="CP102" s="55"/>
      <c r="CQ102" s="55"/>
      <c r="CR102" s="55"/>
      <c r="CS102" s="55"/>
      <c r="CT102" s="55"/>
      <c r="CU102" s="55"/>
      <c r="CV102" s="55"/>
      <c r="CW102" s="55"/>
      <c r="CX102" s="55"/>
      <c r="CY102" s="55"/>
      <c r="CZ102" s="55"/>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c r="ER102" s="55"/>
      <c r="ES102" s="55"/>
      <c r="ET102" s="55"/>
      <c r="EU102" s="55"/>
      <c r="EV102" s="55"/>
      <c r="EW102" s="55"/>
      <c r="EX102" s="55"/>
      <c r="EY102" s="55"/>
      <c r="EZ102" s="55"/>
      <c r="FA102" s="55"/>
      <c r="FB102" s="55"/>
      <c r="FC102" s="55"/>
      <c r="FD102" s="55"/>
      <c r="FE102" s="55"/>
      <c r="FF102" s="55"/>
      <c r="FG102" s="55"/>
      <c r="FH102" s="55"/>
      <c r="FI102" s="55"/>
      <c r="FJ102" s="55"/>
      <c r="FK102" s="55"/>
      <c r="FL102" s="55"/>
      <c r="FM102" s="55"/>
      <c r="FN102" s="55"/>
      <c r="FO102" s="55"/>
      <c r="FP102" s="55"/>
      <c r="FQ102" s="55"/>
      <c r="FR102" s="55"/>
    </row>
    <row r="103" spans="1:237" s="37" customFormat="1" ht="14.25" hidden="1" customHeight="1">
      <c r="B103" s="62" t="str">
        <f ca="1">RIGHT(Basisdaten!C15,2)</f>
        <v>26</v>
      </c>
      <c r="D103" s="935">
        <v>1</v>
      </c>
      <c r="E103" s="1916">
        <f>D103+1</f>
        <v>2</v>
      </c>
      <c r="F103" s="1916">
        <f t="shared" ref="F103:AD103" si="2">E103+1</f>
        <v>3</v>
      </c>
      <c r="G103" s="1916">
        <f t="shared" si="2"/>
        <v>4</v>
      </c>
      <c r="H103" s="1916">
        <f t="shared" si="2"/>
        <v>5</v>
      </c>
      <c r="I103" s="935">
        <f t="shared" si="2"/>
        <v>6</v>
      </c>
      <c r="J103" s="1916">
        <f t="shared" si="2"/>
        <v>7</v>
      </c>
      <c r="K103" s="1916">
        <f t="shared" si="2"/>
        <v>8</v>
      </c>
      <c r="L103" s="1916">
        <f t="shared" si="2"/>
        <v>9</v>
      </c>
      <c r="M103" s="1916">
        <f>L103+1</f>
        <v>10</v>
      </c>
      <c r="N103" s="935">
        <f t="shared" si="2"/>
        <v>11</v>
      </c>
      <c r="O103" s="1916">
        <f t="shared" si="2"/>
        <v>12</v>
      </c>
      <c r="P103" s="1916">
        <f t="shared" si="2"/>
        <v>13</v>
      </c>
      <c r="Q103" s="1916">
        <f t="shared" si="2"/>
        <v>14</v>
      </c>
      <c r="R103" s="1916">
        <f t="shared" si="2"/>
        <v>15</v>
      </c>
      <c r="S103" s="935">
        <f t="shared" si="2"/>
        <v>16</v>
      </c>
      <c r="T103" s="1916">
        <f t="shared" si="2"/>
        <v>17</v>
      </c>
      <c r="U103" s="1916">
        <f t="shared" si="2"/>
        <v>18</v>
      </c>
      <c r="V103" s="1916">
        <f t="shared" si="2"/>
        <v>19</v>
      </c>
      <c r="W103" s="1916">
        <f t="shared" si="2"/>
        <v>20</v>
      </c>
      <c r="X103" s="935">
        <f t="shared" si="2"/>
        <v>21</v>
      </c>
      <c r="Y103" s="1916">
        <f t="shared" si="2"/>
        <v>22</v>
      </c>
      <c r="Z103" s="1917">
        <f t="shared" si="2"/>
        <v>23</v>
      </c>
      <c r="AA103" s="1917">
        <f t="shared" si="2"/>
        <v>24</v>
      </c>
      <c r="AB103" s="1918">
        <f t="shared" si="2"/>
        <v>25</v>
      </c>
      <c r="AC103" s="1916">
        <f t="shared" si="2"/>
        <v>26</v>
      </c>
      <c r="AD103" s="1916">
        <f t="shared" si="2"/>
        <v>27</v>
      </c>
      <c r="AE103" s="1916">
        <f t="shared" ref="AE103:BJ103" si="3">AD103+1</f>
        <v>28</v>
      </c>
      <c r="AF103" s="1916">
        <f t="shared" si="3"/>
        <v>29</v>
      </c>
      <c r="AG103" s="1916">
        <f t="shared" si="3"/>
        <v>30</v>
      </c>
      <c r="AH103" s="1916">
        <f t="shared" si="3"/>
        <v>31</v>
      </c>
      <c r="AI103" s="1916">
        <f t="shared" si="3"/>
        <v>32</v>
      </c>
      <c r="AJ103" s="1916">
        <f t="shared" si="3"/>
        <v>33</v>
      </c>
      <c r="AK103" s="1916">
        <f t="shared" si="3"/>
        <v>34</v>
      </c>
      <c r="AL103" s="1916">
        <f t="shared" si="3"/>
        <v>35</v>
      </c>
      <c r="AM103" s="1916">
        <f t="shared" si="3"/>
        <v>36</v>
      </c>
      <c r="AN103" s="1954">
        <f t="shared" si="3"/>
        <v>37</v>
      </c>
      <c r="AO103" s="1916">
        <f t="shared" si="3"/>
        <v>38</v>
      </c>
      <c r="AP103" s="1916">
        <f t="shared" si="3"/>
        <v>39</v>
      </c>
      <c r="AQ103" s="1916">
        <f t="shared" si="3"/>
        <v>40</v>
      </c>
      <c r="AR103" s="1916">
        <f t="shared" si="3"/>
        <v>41</v>
      </c>
      <c r="AS103" s="1916">
        <f t="shared" si="3"/>
        <v>42</v>
      </c>
      <c r="AT103" s="1916">
        <f t="shared" si="3"/>
        <v>43</v>
      </c>
      <c r="AU103" s="1916">
        <f t="shared" si="3"/>
        <v>44</v>
      </c>
      <c r="AV103" s="1916">
        <f t="shared" si="3"/>
        <v>45</v>
      </c>
      <c r="AW103" s="1916">
        <f t="shared" si="3"/>
        <v>46</v>
      </c>
      <c r="AX103" s="1916">
        <f t="shared" si="3"/>
        <v>47</v>
      </c>
      <c r="AY103" s="1916">
        <f t="shared" si="3"/>
        <v>48</v>
      </c>
      <c r="AZ103" s="1916">
        <f t="shared" si="3"/>
        <v>49</v>
      </c>
      <c r="BA103" s="1916">
        <f t="shared" si="3"/>
        <v>50</v>
      </c>
      <c r="BB103" s="1916">
        <f t="shared" si="3"/>
        <v>51</v>
      </c>
      <c r="BC103" s="1916">
        <f t="shared" si="3"/>
        <v>52</v>
      </c>
      <c r="BD103" s="1916">
        <f t="shared" si="3"/>
        <v>53</v>
      </c>
      <c r="BE103" s="1916">
        <f t="shared" si="3"/>
        <v>54</v>
      </c>
      <c r="BF103" s="1916">
        <f t="shared" si="3"/>
        <v>55</v>
      </c>
      <c r="BG103" s="1916">
        <f t="shared" si="3"/>
        <v>56</v>
      </c>
      <c r="BH103" s="1916">
        <f t="shared" si="3"/>
        <v>57</v>
      </c>
      <c r="BI103" s="1916">
        <f t="shared" si="3"/>
        <v>58</v>
      </c>
      <c r="BJ103" s="1916">
        <f t="shared" si="3"/>
        <v>59</v>
      </c>
      <c r="BK103" s="1916">
        <f t="shared" ref="BK103:BW103" si="4">BJ103+1</f>
        <v>60</v>
      </c>
      <c r="BL103" s="1916">
        <f t="shared" si="4"/>
        <v>61</v>
      </c>
      <c r="BM103" s="1916">
        <f t="shared" si="4"/>
        <v>62</v>
      </c>
      <c r="BN103" s="1916">
        <f t="shared" si="4"/>
        <v>63</v>
      </c>
      <c r="BO103" s="1916">
        <f t="shared" si="4"/>
        <v>64</v>
      </c>
      <c r="BP103" s="1916">
        <f t="shared" si="4"/>
        <v>65</v>
      </c>
      <c r="BQ103" s="1916">
        <f t="shared" si="4"/>
        <v>66</v>
      </c>
      <c r="BR103" s="1916">
        <f t="shared" si="4"/>
        <v>67</v>
      </c>
      <c r="BS103" s="1916">
        <f t="shared" si="4"/>
        <v>68</v>
      </c>
      <c r="BT103" s="1916">
        <f t="shared" si="4"/>
        <v>69</v>
      </c>
      <c r="BU103" s="1916">
        <f t="shared" si="4"/>
        <v>70</v>
      </c>
      <c r="BV103" s="1916">
        <f t="shared" si="4"/>
        <v>71</v>
      </c>
      <c r="BW103" s="1917">
        <f t="shared" si="4"/>
        <v>72</v>
      </c>
      <c r="BX103" s="469"/>
      <c r="BY103" s="1919"/>
      <c r="BZ103" s="1919"/>
      <c r="CA103" s="1919"/>
      <c r="CB103" s="1919"/>
      <c r="CC103" s="1919"/>
      <c r="CD103" s="1919"/>
      <c r="CE103" s="1919"/>
      <c r="CF103" s="1919"/>
      <c r="CG103" s="1919"/>
      <c r="CH103" s="1919"/>
      <c r="CI103" s="1919"/>
      <c r="CJ103" s="1919"/>
      <c r="CK103" s="1919"/>
      <c r="CL103" s="1919"/>
      <c r="CM103" s="1919"/>
      <c r="CN103" s="1919"/>
      <c r="CO103" s="1919"/>
      <c r="CP103" s="1919"/>
      <c r="CQ103" s="1919"/>
      <c r="CR103" s="1919"/>
      <c r="CS103" s="1919"/>
      <c r="CT103" s="1919"/>
      <c r="CU103" s="1919"/>
      <c r="CV103" s="1919"/>
      <c r="CW103" s="1919"/>
      <c r="CX103" s="1919"/>
      <c r="CY103" s="1919"/>
      <c r="CZ103" s="1919"/>
      <c r="DA103" s="1919"/>
      <c r="DB103" s="1919"/>
      <c r="DC103" s="1919"/>
      <c r="DD103" s="1919"/>
      <c r="DE103" s="1919"/>
      <c r="DF103" s="1919"/>
      <c r="DG103" s="1919"/>
      <c r="DH103" s="1919"/>
      <c r="DI103" s="1919"/>
      <c r="DJ103" s="1919"/>
      <c r="DK103" s="1919"/>
      <c r="DL103" s="1919"/>
      <c r="DM103" s="1919"/>
      <c r="DN103" s="1919"/>
      <c r="DO103" s="1919"/>
      <c r="DP103" s="1919"/>
      <c r="DQ103" s="1919"/>
      <c r="DR103" s="1919"/>
      <c r="DS103" s="1919"/>
      <c r="DT103" s="1919"/>
      <c r="DU103" s="1919"/>
      <c r="DV103" s="1919"/>
      <c r="DW103" s="1919"/>
      <c r="DX103" s="1919"/>
      <c r="DY103" s="1919"/>
      <c r="DZ103" s="1919"/>
      <c r="EA103" s="1919"/>
      <c r="EB103" s="1919"/>
      <c r="EC103" s="1919"/>
      <c r="ED103" s="1919"/>
      <c r="EE103" s="1919"/>
      <c r="EF103" s="1919"/>
      <c r="EG103" s="1919"/>
      <c r="EH103" s="1919"/>
      <c r="EI103" s="1919"/>
      <c r="EJ103" s="1919"/>
      <c r="EK103" s="1919"/>
      <c r="EL103" s="1919"/>
      <c r="EM103" s="1919"/>
      <c r="EN103" s="1919"/>
      <c r="EO103" s="1919"/>
      <c r="EP103" s="1919"/>
      <c r="EQ103" s="1919"/>
      <c r="ER103" s="1919"/>
      <c r="ES103" s="1919"/>
      <c r="ET103" s="1919"/>
      <c r="EU103" s="1919"/>
      <c r="EV103" s="1919"/>
      <c r="EW103" s="1919"/>
      <c r="EX103" s="1919"/>
      <c r="EY103" s="1919"/>
      <c r="EZ103" s="1919"/>
      <c r="FA103" s="1919"/>
      <c r="FB103" s="1919"/>
      <c r="FC103" s="1919"/>
      <c r="FD103" s="1919"/>
      <c r="FE103" s="1919"/>
      <c r="FF103" s="1919"/>
      <c r="FG103" s="1919"/>
      <c r="FH103" s="1919"/>
      <c r="FI103" s="1919"/>
      <c r="FJ103" s="1919"/>
      <c r="FK103" s="1919"/>
      <c r="FL103" s="1919"/>
      <c r="FM103" s="1919"/>
      <c r="FN103" s="1919"/>
      <c r="FO103" s="1919"/>
      <c r="FP103" s="1919"/>
      <c r="FQ103" s="1919"/>
      <c r="FR103" s="1919"/>
      <c r="FS103" s="1920"/>
      <c r="FT103" s="1921"/>
      <c r="FU103" s="1920"/>
      <c r="FV103" s="1921"/>
      <c r="FW103" s="1920"/>
      <c r="FX103" s="1921"/>
      <c r="FY103" s="1920"/>
      <c r="FZ103" s="1921"/>
      <c r="GA103" s="1920"/>
      <c r="GB103" s="1921"/>
      <c r="GC103" s="1920"/>
      <c r="GD103" s="1921"/>
      <c r="GE103" s="1920"/>
      <c r="GF103" s="1921"/>
      <c r="GG103" s="1920"/>
      <c r="GH103" s="1921"/>
      <c r="GI103" s="1920"/>
      <c r="GJ103" s="1921"/>
      <c r="GK103" s="1920"/>
      <c r="GL103" s="1921"/>
      <c r="GM103" s="1920"/>
      <c r="GN103" s="1921"/>
      <c r="GO103" s="1920"/>
      <c r="GP103" s="1921"/>
      <c r="GQ103" s="1920"/>
      <c r="GR103" s="1921"/>
      <c r="GS103" s="1920"/>
      <c r="GT103" s="1921"/>
      <c r="GU103" s="1920"/>
      <c r="GV103" s="1921"/>
      <c r="GW103" s="1920"/>
      <c r="GX103" s="1921"/>
      <c r="GY103" s="1920"/>
      <c r="GZ103" s="1921"/>
      <c r="HA103" s="1920"/>
      <c r="HB103" s="1921"/>
      <c r="HC103" s="1920"/>
      <c r="HD103" s="1921"/>
      <c r="HE103" s="1920"/>
      <c r="HF103" s="1921"/>
      <c r="HG103" s="1920"/>
      <c r="HH103" s="1921"/>
      <c r="HI103" s="1920"/>
      <c r="HJ103" s="1921"/>
      <c r="HK103" s="1920"/>
      <c r="HL103" s="1921"/>
      <c r="HM103" s="1920"/>
      <c r="HN103" s="1921"/>
      <c r="HO103" s="1920"/>
      <c r="HP103" s="1921"/>
      <c r="HQ103" s="1920"/>
      <c r="HR103" s="1921"/>
      <c r="HS103" s="1920"/>
      <c r="HT103" s="1921"/>
      <c r="HU103" s="1920"/>
      <c r="HV103" s="1921"/>
      <c r="HW103" s="1920"/>
      <c r="HX103" s="1921"/>
      <c r="HY103" s="1920"/>
      <c r="HZ103" s="1921"/>
      <c r="IA103" s="1920"/>
      <c r="IB103" s="1921"/>
      <c r="IC103" s="1920"/>
    </row>
    <row r="104" spans="1:237" s="37" customFormat="1" ht="14.25" hidden="1" customHeight="1">
      <c r="B104" s="37" t="s">
        <v>570</v>
      </c>
      <c r="D104" s="1922">
        <f t="shared" ref="D104:AF104" si="5">IF($F5=D103,$E5,0)</f>
        <v>0</v>
      </c>
      <c r="E104" s="1922">
        <f t="shared" si="5"/>
        <v>0</v>
      </c>
      <c r="F104" s="1922">
        <f t="shared" si="5"/>
        <v>0</v>
      </c>
      <c r="G104" s="1922">
        <f t="shared" si="5"/>
        <v>0</v>
      </c>
      <c r="H104" s="1922">
        <f t="shared" si="5"/>
        <v>0</v>
      </c>
      <c r="I104" s="1922">
        <f t="shared" si="5"/>
        <v>0</v>
      </c>
      <c r="J104" s="1922">
        <f t="shared" si="5"/>
        <v>0</v>
      </c>
      <c r="K104" s="1922">
        <f t="shared" si="5"/>
        <v>0</v>
      </c>
      <c r="L104" s="1922">
        <f t="shared" si="5"/>
        <v>0</v>
      </c>
      <c r="M104" s="1922">
        <f t="shared" si="5"/>
        <v>0</v>
      </c>
      <c r="N104" s="1922">
        <f t="shared" si="5"/>
        <v>0</v>
      </c>
      <c r="O104" s="1922">
        <f t="shared" si="5"/>
        <v>0</v>
      </c>
      <c r="P104" s="1922">
        <f t="shared" si="5"/>
        <v>0</v>
      </c>
      <c r="Q104" s="1922">
        <f t="shared" si="5"/>
        <v>0</v>
      </c>
      <c r="R104" s="1923">
        <f t="shared" si="5"/>
        <v>0</v>
      </c>
      <c r="S104" s="1922">
        <f t="shared" si="5"/>
        <v>0</v>
      </c>
      <c r="T104" s="1922">
        <f t="shared" si="5"/>
        <v>0</v>
      </c>
      <c r="U104" s="1922">
        <f t="shared" si="5"/>
        <v>0</v>
      </c>
      <c r="V104" s="1922">
        <f t="shared" si="5"/>
        <v>0</v>
      </c>
      <c r="W104" s="1922">
        <f t="shared" si="5"/>
        <v>0</v>
      </c>
      <c r="X104" s="1922">
        <f t="shared" si="5"/>
        <v>0</v>
      </c>
      <c r="Y104" s="1922">
        <f t="shared" si="5"/>
        <v>0</v>
      </c>
      <c r="Z104" s="1924">
        <f t="shared" si="5"/>
        <v>0</v>
      </c>
      <c r="AA104" s="1924">
        <f t="shared" si="5"/>
        <v>0</v>
      </c>
      <c r="AB104" s="1925">
        <f t="shared" si="5"/>
        <v>0</v>
      </c>
      <c r="AC104" s="1922">
        <f t="shared" si="5"/>
        <v>0</v>
      </c>
      <c r="AD104" s="1922">
        <f t="shared" si="5"/>
        <v>0</v>
      </c>
      <c r="AE104" s="1922">
        <f t="shared" si="5"/>
        <v>0</v>
      </c>
      <c r="AF104" s="1922">
        <f t="shared" si="5"/>
        <v>0</v>
      </c>
      <c r="AG104" s="1922">
        <f>IF($F5=AG103,$E5,0)</f>
        <v>0</v>
      </c>
      <c r="AH104" s="1922">
        <f>IF($F5=AH103,$E5,0)</f>
        <v>0</v>
      </c>
      <c r="AI104" s="1922">
        <f>IF($F5=AI103,$E5,0)</f>
        <v>0</v>
      </c>
      <c r="AJ104" s="1922">
        <f t="shared" ref="AJ104:AN104" si="6">IF($F5=AJ103,$E5,0)</f>
        <v>0</v>
      </c>
      <c r="AK104" s="1922">
        <f t="shared" si="6"/>
        <v>0</v>
      </c>
      <c r="AL104" s="1922">
        <f t="shared" si="6"/>
        <v>0</v>
      </c>
      <c r="AM104" s="1922">
        <f t="shared" si="6"/>
        <v>0</v>
      </c>
      <c r="AN104" s="1955">
        <f t="shared" si="6"/>
        <v>0</v>
      </c>
      <c r="AO104" s="1922">
        <f t="shared" ref="AO104:BS104" si="7">IF($F5=AO103,$E5,0)</f>
        <v>0</v>
      </c>
      <c r="AP104" s="1922">
        <f t="shared" si="7"/>
        <v>0</v>
      </c>
      <c r="AQ104" s="1922">
        <f t="shared" si="7"/>
        <v>0</v>
      </c>
      <c r="AR104" s="1922">
        <f t="shared" si="7"/>
        <v>0</v>
      </c>
      <c r="AS104" s="1922">
        <f t="shared" si="7"/>
        <v>0</v>
      </c>
      <c r="AT104" s="1922">
        <f t="shared" si="7"/>
        <v>0</v>
      </c>
      <c r="AU104" s="1922">
        <f t="shared" si="7"/>
        <v>0</v>
      </c>
      <c r="AV104" s="1922">
        <f t="shared" si="7"/>
        <v>0</v>
      </c>
      <c r="AW104" s="1922">
        <f t="shared" si="7"/>
        <v>0</v>
      </c>
      <c r="AX104" s="1922">
        <f t="shared" si="7"/>
        <v>0</v>
      </c>
      <c r="AY104" s="1922">
        <f t="shared" si="7"/>
        <v>0</v>
      </c>
      <c r="AZ104" s="1922">
        <f t="shared" si="7"/>
        <v>0</v>
      </c>
      <c r="BA104" s="1922">
        <f t="shared" si="7"/>
        <v>0</v>
      </c>
      <c r="BB104" s="1922">
        <f t="shared" si="7"/>
        <v>0</v>
      </c>
      <c r="BC104" s="1922">
        <f t="shared" si="7"/>
        <v>0</v>
      </c>
      <c r="BD104" s="1922">
        <f t="shared" si="7"/>
        <v>0</v>
      </c>
      <c r="BE104" s="1922">
        <f t="shared" si="7"/>
        <v>0</v>
      </c>
      <c r="BF104" s="1922">
        <f t="shared" si="7"/>
        <v>0</v>
      </c>
      <c r="BG104" s="1922">
        <f t="shared" si="7"/>
        <v>0</v>
      </c>
      <c r="BH104" s="1922">
        <f t="shared" si="7"/>
        <v>0</v>
      </c>
      <c r="BI104" s="1922">
        <f t="shared" si="7"/>
        <v>0</v>
      </c>
      <c r="BJ104" s="1922">
        <f t="shared" si="7"/>
        <v>0</v>
      </c>
      <c r="BK104" s="1922">
        <f t="shared" si="7"/>
        <v>0</v>
      </c>
      <c r="BL104" s="1922">
        <f t="shared" si="7"/>
        <v>0</v>
      </c>
      <c r="BM104" s="1922">
        <f t="shared" si="7"/>
        <v>0</v>
      </c>
      <c r="BN104" s="1922">
        <f t="shared" si="7"/>
        <v>0</v>
      </c>
      <c r="BO104" s="1922">
        <f t="shared" si="7"/>
        <v>0</v>
      </c>
      <c r="BP104" s="1922">
        <f t="shared" si="7"/>
        <v>0</v>
      </c>
      <c r="BQ104" s="1922">
        <f t="shared" si="7"/>
        <v>0</v>
      </c>
      <c r="BR104" s="1922">
        <f t="shared" si="7"/>
        <v>0</v>
      </c>
      <c r="BS104" s="1922">
        <f t="shared" si="7"/>
        <v>0</v>
      </c>
      <c r="BT104" s="1922">
        <f t="shared" ref="BT104:BW104" si="8">IF($F5=BT103,$E5,0)</f>
        <v>0</v>
      </c>
      <c r="BU104" s="1922">
        <f t="shared" si="8"/>
        <v>0</v>
      </c>
      <c r="BV104" s="1922">
        <f t="shared" si="8"/>
        <v>0</v>
      </c>
      <c r="BW104" s="1924">
        <f t="shared" si="8"/>
        <v>0</v>
      </c>
      <c r="BX104" s="1926"/>
      <c r="BY104" s="1926"/>
      <c r="BZ104" s="1926"/>
      <c r="CA104" s="1926"/>
      <c r="CB104" s="1926"/>
      <c r="CC104" s="1926"/>
      <c r="CD104" s="1926"/>
      <c r="CE104" s="1926"/>
      <c r="CF104" s="1926"/>
      <c r="CG104" s="1926"/>
      <c r="CH104" s="1926"/>
      <c r="CI104" s="1926"/>
      <c r="CJ104" s="1926"/>
      <c r="CK104" s="1926"/>
      <c r="CL104" s="1926"/>
      <c r="CM104" s="1926"/>
      <c r="CN104" s="1926"/>
      <c r="CO104" s="1926"/>
      <c r="CP104" s="1926"/>
      <c r="CQ104" s="1926"/>
      <c r="CR104" s="1926"/>
      <c r="CS104" s="1926"/>
      <c r="CT104" s="1926"/>
      <c r="CU104" s="1926"/>
      <c r="CV104" s="1926"/>
      <c r="CW104" s="1926"/>
      <c r="CX104" s="1926"/>
      <c r="CY104" s="1926"/>
      <c r="CZ104" s="1926"/>
      <c r="DA104" s="1926"/>
      <c r="DB104" s="1926"/>
      <c r="DC104" s="1926"/>
      <c r="DD104" s="1926"/>
      <c r="DE104" s="1926"/>
      <c r="DF104" s="1926"/>
      <c r="DG104" s="1926"/>
      <c r="DH104" s="1926"/>
      <c r="DI104" s="1926"/>
      <c r="DJ104" s="1926"/>
      <c r="DK104" s="1926"/>
      <c r="DL104" s="1926"/>
      <c r="DM104" s="1926"/>
      <c r="DN104" s="1926"/>
      <c r="DO104" s="1926"/>
      <c r="DP104" s="1926"/>
      <c r="DQ104" s="1926"/>
      <c r="DR104" s="1926"/>
      <c r="DS104" s="1926"/>
      <c r="DT104" s="1926"/>
      <c r="DU104" s="1926"/>
      <c r="DV104" s="1926"/>
      <c r="DW104" s="1926"/>
      <c r="DX104" s="1926"/>
      <c r="DY104" s="1926"/>
      <c r="DZ104" s="1926"/>
      <c r="EA104" s="1926"/>
      <c r="EB104" s="1926"/>
      <c r="EC104" s="1926"/>
      <c r="ED104" s="1926"/>
      <c r="EE104" s="1926"/>
      <c r="EF104" s="1926"/>
      <c r="EG104" s="1926"/>
      <c r="EH104" s="1926"/>
      <c r="EI104" s="1926"/>
      <c r="EJ104" s="1926"/>
      <c r="EK104" s="1926"/>
      <c r="EL104" s="1926"/>
      <c r="EM104" s="1926"/>
      <c r="EN104" s="1926"/>
      <c r="EO104" s="1926"/>
      <c r="EP104" s="1926"/>
      <c r="EQ104" s="1926"/>
      <c r="ER104" s="1926"/>
      <c r="ES104" s="1926"/>
      <c r="ET104" s="1926"/>
      <c r="EU104" s="1926"/>
      <c r="EV104" s="1926"/>
      <c r="EW104" s="1926"/>
      <c r="EX104" s="1926"/>
      <c r="EY104" s="1926"/>
      <c r="EZ104" s="1926"/>
      <c r="FA104" s="1926"/>
      <c r="FB104" s="1926"/>
      <c r="FC104" s="1926"/>
      <c r="FD104" s="1926"/>
      <c r="FE104" s="1926"/>
      <c r="FF104" s="1926"/>
      <c r="FG104" s="1926"/>
      <c r="FH104" s="1926"/>
      <c r="FI104" s="1926"/>
      <c r="FJ104" s="1926"/>
      <c r="FK104" s="1926"/>
      <c r="FL104" s="1926"/>
      <c r="FM104" s="1926"/>
      <c r="FN104" s="1926"/>
      <c r="FO104" s="1926"/>
      <c r="FP104" s="1926"/>
      <c r="FQ104" s="1926"/>
      <c r="FR104" s="1926"/>
    </row>
    <row r="105" spans="1:237" s="37" customFormat="1" ht="14.25" hidden="1" customHeight="1">
      <c r="B105" s="1921" t="s">
        <v>571</v>
      </c>
      <c r="D105" s="1922">
        <f t="shared" ref="D105:AI105" si="9">IF($E5=D$104,1,IF(C105&gt;0,IF(C105&gt;=$G5*12,0,C105+1),0))</f>
        <v>1</v>
      </c>
      <c r="E105" s="1922">
        <f t="shared" si="9"/>
        <v>1</v>
      </c>
      <c r="F105" s="1922">
        <f t="shared" si="9"/>
        <v>1</v>
      </c>
      <c r="G105" s="1922">
        <f t="shared" si="9"/>
        <v>1</v>
      </c>
      <c r="H105" s="1922">
        <f t="shared" si="9"/>
        <v>1</v>
      </c>
      <c r="I105" s="1922">
        <f t="shared" si="9"/>
        <v>1</v>
      </c>
      <c r="J105" s="1922">
        <f t="shared" si="9"/>
        <v>1</v>
      </c>
      <c r="K105" s="1922">
        <f t="shared" si="9"/>
        <v>1</v>
      </c>
      <c r="L105" s="1922">
        <f t="shared" si="9"/>
        <v>1</v>
      </c>
      <c r="M105" s="1922">
        <f t="shared" si="9"/>
        <v>1</v>
      </c>
      <c r="N105" s="1922">
        <f t="shared" si="9"/>
        <v>1</v>
      </c>
      <c r="O105" s="1922">
        <f t="shared" si="9"/>
        <v>1</v>
      </c>
      <c r="P105" s="1922">
        <f t="shared" si="9"/>
        <v>1</v>
      </c>
      <c r="Q105" s="1922">
        <f t="shared" si="9"/>
        <v>1</v>
      </c>
      <c r="R105" s="1922">
        <f t="shared" si="9"/>
        <v>1</v>
      </c>
      <c r="S105" s="1922">
        <f t="shared" si="9"/>
        <v>1</v>
      </c>
      <c r="T105" s="1922">
        <f t="shared" si="9"/>
        <v>1</v>
      </c>
      <c r="U105" s="1922">
        <f t="shared" si="9"/>
        <v>1</v>
      </c>
      <c r="V105" s="1922">
        <f t="shared" si="9"/>
        <v>1</v>
      </c>
      <c r="W105" s="1922">
        <f t="shared" si="9"/>
        <v>1</v>
      </c>
      <c r="X105" s="1922">
        <f t="shared" si="9"/>
        <v>1</v>
      </c>
      <c r="Y105" s="1922">
        <f t="shared" si="9"/>
        <v>1</v>
      </c>
      <c r="Z105" s="1922">
        <f t="shared" si="9"/>
        <v>1</v>
      </c>
      <c r="AA105" s="1922">
        <f t="shared" si="9"/>
        <v>1</v>
      </c>
      <c r="AB105" s="1922">
        <f t="shared" si="9"/>
        <v>1</v>
      </c>
      <c r="AC105" s="1922">
        <f t="shared" si="9"/>
        <v>1</v>
      </c>
      <c r="AD105" s="1922">
        <f t="shared" si="9"/>
        <v>1</v>
      </c>
      <c r="AE105" s="1922">
        <f t="shared" si="9"/>
        <v>1</v>
      </c>
      <c r="AF105" s="1922">
        <f t="shared" si="9"/>
        <v>1</v>
      </c>
      <c r="AG105" s="1922">
        <f t="shared" si="9"/>
        <v>1</v>
      </c>
      <c r="AH105" s="1922">
        <f t="shared" si="9"/>
        <v>1</v>
      </c>
      <c r="AI105" s="1922">
        <f t="shared" si="9"/>
        <v>1</v>
      </c>
      <c r="AJ105" s="1922">
        <f t="shared" ref="AJ105:BO105" si="10">IF($E5=AJ$104,1,IF(AI105&gt;0,IF(AI105&gt;=$G5*12,0,AI105+1),0))</f>
        <v>1</v>
      </c>
      <c r="AK105" s="1922">
        <f t="shared" si="10"/>
        <v>1</v>
      </c>
      <c r="AL105" s="1922">
        <f t="shared" si="10"/>
        <v>1</v>
      </c>
      <c r="AM105" s="1922">
        <f t="shared" si="10"/>
        <v>1</v>
      </c>
      <c r="AN105" s="1955">
        <f t="shared" si="10"/>
        <v>1</v>
      </c>
      <c r="AO105" s="1922">
        <f t="shared" si="10"/>
        <v>1</v>
      </c>
      <c r="AP105" s="1922">
        <f t="shared" si="10"/>
        <v>1</v>
      </c>
      <c r="AQ105" s="1922">
        <f t="shared" si="10"/>
        <v>1</v>
      </c>
      <c r="AR105" s="1922">
        <f t="shared" si="10"/>
        <v>1</v>
      </c>
      <c r="AS105" s="1922">
        <f t="shared" si="10"/>
        <v>1</v>
      </c>
      <c r="AT105" s="1922">
        <f t="shared" si="10"/>
        <v>1</v>
      </c>
      <c r="AU105" s="1922">
        <f t="shared" si="10"/>
        <v>1</v>
      </c>
      <c r="AV105" s="1922">
        <f t="shared" si="10"/>
        <v>1</v>
      </c>
      <c r="AW105" s="1922">
        <f t="shared" si="10"/>
        <v>1</v>
      </c>
      <c r="AX105" s="1922">
        <f t="shared" si="10"/>
        <v>1</v>
      </c>
      <c r="AY105" s="1922">
        <f t="shared" si="10"/>
        <v>1</v>
      </c>
      <c r="AZ105" s="1922">
        <f t="shared" si="10"/>
        <v>1</v>
      </c>
      <c r="BA105" s="1922">
        <f t="shared" si="10"/>
        <v>1</v>
      </c>
      <c r="BB105" s="1922">
        <f t="shared" si="10"/>
        <v>1</v>
      </c>
      <c r="BC105" s="1922">
        <f t="shared" si="10"/>
        <v>1</v>
      </c>
      <c r="BD105" s="1922">
        <f t="shared" si="10"/>
        <v>1</v>
      </c>
      <c r="BE105" s="1922">
        <f t="shared" si="10"/>
        <v>1</v>
      </c>
      <c r="BF105" s="1922">
        <f t="shared" si="10"/>
        <v>1</v>
      </c>
      <c r="BG105" s="1922">
        <f t="shared" si="10"/>
        <v>1</v>
      </c>
      <c r="BH105" s="1922">
        <f t="shared" si="10"/>
        <v>1</v>
      </c>
      <c r="BI105" s="1922">
        <f t="shared" si="10"/>
        <v>1</v>
      </c>
      <c r="BJ105" s="1922">
        <f t="shared" si="10"/>
        <v>1</v>
      </c>
      <c r="BK105" s="1922">
        <f t="shared" si="10"/>
        <v>1</v>
      </c>
      <c r="BL105" s="1922">
        <f t="shared" si="10"/>
        <v>1</v>
      </c>
      <c r="BM105" s="1922">
        <f t="shared" si="10"/>
        <v>1</v>
      </c>
      <c r="BN105" s="1922">
        <f t="shared" si="10"/>
        <v>1</v>
      </c>
      <c r="BO105" s="1922">
        <f t="shared" si="10"/>
        <v>1</v>
      </c>
      <c r="BP105" s="1922">
        <f t="shared" ref="BP105:BW105" si="11">IF($E5=BP$104,1,IF(BO105&gt;0,IF(BO105&gt;=$G5*12,0,BO105+1),0))</f>
        <v>1</v>
      </c>
      <c r="BQ105" s="1922">
        <f t="shared" si="11"/>
        <v>1</v>
      </c>
      <c r="BR105" s="1922">
        <f t="shared" si="11"/>
        <v>1</v>
      </c>
      <c r="BS105" s="1922">
        <f t="shared" si="11"/>
        <v>1</v>
      </c>
      <c r="BT105" s="1922">
        <f t="shared" si="11"/>
        <v>1</v>
      </c>
      <c r="BU105" s="1922">
        <f t="shared" si="11"/>
        <v>1</v>
      </c>
      <c r="BV105" s="1922">
        <f t="shared" si="11"/>
        <v>1</v>
      </c>
      <c r="BW105" s="1924">
        <f t="shared" si="11"/>
        <v>1</v>
      </c>
      <c r="BX105" s="1926"/>
      <c r="BY105" s="1926"/>
      <c r="BZ105" s="1926"/>
      <c r="CA105" s="1926"/>
      <c r="CB105" s="1926"/>
      <c r="CC105" s="1926"/>
      <c r="CD105" s="1926"/>
      <c r="CE105" s="1926"/>
      <c r="CF105" s="1926"/>
      <c r="CG105" s="1926"/>
      <c r="CH105" s="1926"/>
      <c r="CI105" s="1926"/>
      <c r="CJ105" s="1926"/>
      <c r="CK105" s="1926"/>
      <c r="CL105" s="1926"/>
      <c r="CM105" s="1926"/>
      <c r="CN105" s="1926"/>
      <c r="CO105" s="1926"/>
      <c r="CP105" s="1926"/>
      <c r="CQ105" s="1926"/>
      <c r="CR105" s="1926"/>
      <c r="CS105" s="1926"/>
      <c r="CT105" s="1926"/>
      <c r="CU105" s="1926"/>
      <c r="CV105" s="1926"/>
      <c r="CW105" s="1926"/>
      <c r="CX105" s="1926"/>
      <c r="CY105" s="1926"/>
      <c r="CZ105" s="1926"/>
      <c r="DA105" s="1926"/>
      <c r="DB105" s="1926"/>
      <c r="DC105" s="1926"/>
      <c r="DD105" s="1926"/>
      <c r="DE105" s="1926"/>
      <c r="DF105" s="1926"/>
      <c r="DG105" s="1926"/>
      <c r="DH105" s="1926"/>
      <c r="DI105" s="1926"/>
      <c r="DJ105" s="1926"/>
      <c r="DK105" s="1926"/>
      <c r="DL105" s="1926"/>
      <c r="DM105" s="1926"/>
      <c r="DN105" s="1926"/>
      <c r="DO105" s="1926"/>
      <c r="DP105" s="1926"/>
      <c r="DQ105" s="1926"/>
      <c r="DR105" s="1926"/>
      <c r="DS105" s="1926"/>
      <c r="DT105" s="1926"/>
      <c r="DU105" s="1926"/>
      <c r="DV105" s="1926"/>
      <c r="DW105" s="1926"/>
      <c r="DX105" s="1926"/>
      <c r="DY105" s="1926"/>
      <c r="DZ105" s="1926"/>
      <c r="EA105" s="1926"/>
      <c r="EB105" s="1926"/>
      <c r="EC105" s="1926"/>
      <c r="ED105" s="1926"/>
      <c r="EE105" s="1926"/>
      <c r="EF105" s="1926"/>
      <c r="EG105" s="1926"/>
      <c r="EH105" s="1926"/>
      <c r="EI105" s="1926"/>
      <c r="EJ105" s="1926"/>
      <c r="EK105" s="1926"/>
      <c r="EL105" s="1926"/>
      <c r="EM105" s="1926"/>
      <c r="EN105" s="1926"/>
      <c r="EO105" s="1926"/>
      <c r="EP105" s="1926"/>
      <c r="EQ105" s="1926"/>
      <c r="ER105" s="1926"/>
      <c r="ES105" s="1926"/>
      <c r="ET105" s="1926"/>
      <c r="EU105" s="1926"/>
      <c r="EV105" s="1926"/>
      <c r="EW105" s="1926"/>
      <c r="EX105" s="1926"/>
      <c r="EY105" s="1926"/>
      <c r="EZ105" s="1926"/>
      <c r="FA105" s="1926"/>
      <c r="FB105" s="1926"/>
      <c r="FC105" s="1926"/>
      <c r="FD105" s="1926"/>
      <c r="FE105" s="1926"/>
      <c r="FF105" s="1926"/>
      <c r="FG105" s="1926"/>
      <c r="FH105" s="1926"/>
      <c r="FI105" s="1926"/>
      <c r="FJ105" s="1926"/>
      <c r="FK105" s="1926"/>
      <c r="FL105" s="1926"/>
      <c r="FM105" s="1926"/>
      <c r="FN105" s="1926"/>
      <c r="FO105" s="1926"/>
      <c r="FP105" s="1926"/>
      <c r="FQ105" s="1926"/>
      <c r="FR105" s="1926"/>
    </row>
    <row r="106" spans="1:237" s="37" customFormat="1" ht="14.25" hidden="1" customHeight="1">
      <c r="B106" s="37" t="s">
        <v>572</v>
      </c>
      <c r="D106" s="1922">
        <f t="shared" ref="D106:AG106" si="12">IF(D105&lt;&gt;0,IF($E5=0,0,$E5/($G5*12)),0)</f>
        <v>0</v>
      </c>
      <c r="E106" s="1922">
        <f t="shared" si="12"/>
        <v>0</v>
      </c>
      <c r="F106" s="1922">
        <f t="shared" si="12"/>
        <v>0</v>
      </c>
      <c r="G106" s="1922">
        <f t="shared" si="12"/>
        <v>0</v>
      </c>
      <c r="H106" s="1922">
        <f t="shared" si="12"/>
        <v>0</v>
      </c>
      <c r="I106" s="1922">
        <f t="shared" si="12"/>
        <v>0</v>
      </c>
      <c r="J106" s="1922">
        <f t="shared" si="12"/>
        <v>0</v>
      </c>
      <c r="K106" s="1922">
        <f t="shared" si="12"/>
        <v>0</v>
      </c>
      <c r="L106" s="1922">
        <f>IF(L105&lt;&gt;0,IF($E5=0,0,$E5/($G5*12)),0)</f>
        <v>0</v>
      </c>
      <c r="M106" s="1922">
        <f t="shared" si="12"/>
        <v>0</v>
      </c>
      <c r="N106" s="1922">
        <f t="shared" si="12"/>
        <v>0</v>
      </c>
      <c r="O106" s="1922">
        <f t="shared" si="12"/>
        <v>0</v>
      </c>
      <c r="P106" s="1922">
        <f t="shared" si="12"/>
        <v>0</v>
      </c>
      <c r="Q106" s="1922">
        <f t="shared" si="12"/>
        <v>0</v>
      </c>
      <c r="R106" s="1922">
        <f t="shared" si="12"/>
        <v>0</v>
      </c>
      <c r="S106" s="1922">
        <f t="shared" si="12"/>
        <v>0</v>
      </c>
      <c r="T106" s="1922">
        <f t="shared" si="12"/>
        <v>0</v>
      </c>
      <c r="U106" s="1922">
        <f t="shared" si="12"/>
        <v>0</v>
      </c>
      <c r="V106" s="1922">
        <f t="shared" si="12"/>
        <v>0</v>
      </c>
      <c r="W106" s="1922">
        <f t="shared" si="12"/>
        <v>0</v>
      </c>
      <c r="X106" s="1922">
        <f t="shared" si="12"/>
        <v>0</v>
      </c>
      <c r="Y106" s="1922">
        <f t="shared" si="12"/>
        <v>0</v>
      </c>
      <c r="Z106" s="1924">
        <f t="shared" si="12"/>
        <v>0</v>
      </c>
      <c r="AA106" s="1924">
        <f t="shared" si="12"/>
        <v>0</v>
      </c>
      <c r="AB106" s="1925">
        <f t="shared" si="12"/>
        <v>0</v>
      </c>
      <c r="AC106" s="1922">
        <f t="shared" si="12"/>
        <v>0</v>
      </c>
      <c r="AD106" s="1922">
        <f t="shared" si="12"/>
        <v>0</v>
      </c>
      <c r="AE106" s="1922">
        <f t="shared" si="12"/>
        <v>0</v>
      </c>
      <c r="AF106" s="1922">
        <f t="shared" si="12"/>
        <v>0</v>
      </c>
      <c r="AG106" s="1922">
        <f t="shared" si="12"/>
        <v>0</v>
      </c>
      <c r="AH106" s="1922">
        <f>IF(AH105&lt;&gt;0,IF($E5=0,0,$E5/($G5*12)),0)</f>
        <v>0</v>
      </c>
      <c r="AI106" s="1922">
        <f>IF(AI105&lt;&gt;0,IF($E5=0,0,$E5/($G5*12)),0)</f>
        <v>0</v>
      </c>
      <c r="AJ106" s="1922">
        <f t="shared" ref="AJ106:AM106" si="13">IF(AJ105&lt;&gt;0,IF($E5=0,0,$E5/($G5*12)),0)</f>
        <v>0</v>
      </c>
      <c r="AK106" s="1922">
        <f t="shared" si="13"/>
        <v>0</v>
      </c>
      <c r="AL106" s="1922">
        <f t="shared" si="13"/>
        <v>0</v>
      </c>
      <c r="AM106" s="1922">
        <f t="shared" si="13"/>
        <v>0</v>
      </c>
      <c r="AN106" s="1955">
        <f t="shared" ref="AN106:BS106" si="14">IF(AN105&lt;&gt;0,IF($E5=0,0,$E5/($G5*12)),0)</f>
        <v>0</v>
      </c>
      <c r="AO106" s="1922">
        <f t="shared" si="14"/>
        <v>0</v>
      </c>
      <c r="AP106" s="1922">
        <f t="shared" si="14"/>
        <v>0</v>
      </c>
      <c r="AQ106" s="1922">
        <f t="shared" si="14"/>
        <v>0</v>
      </c>
      <c r="AR106" s="1922">
        <f t="shared" si="14"/>
        <v>0</v>
      </c>
      <c r="AS106" s="1922">
        <f t="shared" si="14"/>
        <v>0</v>
      </c>
      <c r="AT106" s="1922">
        <f t="shared" si="14"/>
        <v>0</v>
      </c>
      <c r="AU106" s="1922">
        <f t="shared" si="14"/>
        <v>0</v>
      </c>
      <c r="AV106" s="1922">
        <f t="shared" si="14"/>
        <v>0</v>
      </c>
      <c r="AW106" s="1922">
        <f t="shared" si="14"/>
        <v>0</v>
      </c>
      <c r="AX106" s="1922">
        <f t="shared" si="14"/>
        <v>0</v>
      </c>
      <c r="AY106" s="1922">
        <f t="shared" si="14"/>
        <v>0</v>
      </c>
      <c r="AZ106" s="1922">
        <f t="shared" si="14"/>
        <v>0</v>
      </c>
      <c r="BA106" s="1922">
        <f t="shared" si="14"/>
        <v>0</v>
      </c>
      <c r="BB106" s="1922">
        <f t="shared" si="14"/>
        <v>0</v>
      </c>
      <c r="BC106" s="1922">
        <f t="shared" si="14"/>
        <v>0</v>
      </c>
      <c r="BD106" s="1922">
        <f t="shared" si="14"/>
        <v>0</v>
      </c>
      <c r="BE106" s="1922">
        <f t="shared" si="14"/>
        <v>0</v>
      </c>
      <c r="BF106" s="1922">
        <f t="shared" si="14"/>
        <v>0</v>
      </c>
      <c r="BG106" s="1922">
        <f t="shared" si="14"/>
        <v>0</v>
      </c>
      <c r="BH106" s="1922">
        <f t="shared" si="14"/>
        <v>0</v>
      </c>
      <c r="BI106" s="1922">
        <f t="shared" si="14"/>
        <v>0</v>
      </c>
      <c r="BJ106" s="1922">
        <f t="shared" si="14"/>
        <v>0</v>
      </c>
      <c r="BK106" s="1922">
        <f t="shared" si="14"/>
        <v>0</v>
      </c>
      <c r="BL106" s="1922">
        <f t="shared" si="14"/>
        <v>0</v>
      </c>
      <c r="BM106" s="1922">
        <f t="shared" si="14"/>
        <v>0</v>
      </c>
      <c r="BN106" s="1922">
        <f t="shared" si="14"/>
        <v>0</v>
      </c>
      <c r="BO106" s="1922">
        <f t="shared" si="14"/>
        <v>0</v>
      </c>
      <c r="BP106" s="1922">
        <f t="shared" si="14"/>
        <v>0</v>
      </c>
      <c r="BQ106" s="1922">
        <f t="shared" si="14"/>
        <v>0</v>
      </c>
      <c r="BR106" s="1922">
        <f t="shared" si="14"/>
        <v>0</v>
      </c>
      <c r="BS106" s="1922">
        <f t="shared" si="14"/>
        <v>0</v>
      </c>
      <c r="BT106" s="1922">
        <f t="shared" ref="BT106:BW106" si="15">IF(BT105&lt;&gt;0,IF($E5=0,0,$E5/($G5*12)),0)</f>
        <v>0</v>
      </c>
      <c r="BU106" s="1922">
        <f t="shared" si="15"/>
        <v>0</v>
      </c>
      <c r="BV106" s="1922">
        <f t="shared" si="15"/>
        <v>0</v>
      </c>
      <c r="BW106" s="1924">
        <f t="shared" si="15"/>
        <v>0</v>
      </c>
      <c r="BX106" s="1926"/>
      <c r="BY106" s="1926"/>
      <c r="BZ106" s="1926"/>
      <c r="CA106" s="1926"/>
      <c r="CB106" s="1926"/>
      <c r="CC106" s="1926"/>
      <c r="CD106" s="1926"/>
      <c r="CE106" s="1926"/>
      <c r="CF106" s="1926"/>
      <c r="CG106" s="1926"/>
      <c r="CH106" s="1926"/>
      <c r="CI106" s="1926"/>
      <c r="CJ106" s="1926"/>
      <c r="CK106" s="1926"/>
      <c r="CL106" s="1926"/>
      <c r="CM106" s="1926"/>
      <c r="CN106" s="1926"/>
      <c r="CO106" s="1926"/>
      <c r="CP106" s="1926"/>
      <c r="CQ106" s="1926"/>
      <c r="CR106" s="1926"/>
      <c r="CS106" s="1926"/>
      <c r="CT106" s="1926"/>
      <c r="CU106" s="1926"/>
      <c r="CV106" s="1926"/>
      <c r="CW106" s="1926"/>
      <c r="CX106" s="1926"/>
      <c r="CY106" s="1926"/>
      <c r="CZ106" s="1926"/>
      <c r="DA106" s="1926"/>
      <c r="DB106" s="1926"/>
      <c r="DC106" s="1926"/>
      <c r="DD106" s="1926"/>
      <c r="DE106" s="1926"/>
      <c r="DF106" s="1926"/>
      <c r="DG106" s="1926"/>
      <c r="DH106" s="1926"/>
      <c r="DI106" s="1926"/>
      <c r="DJ106" s="1926"/>
      <c r="DK106" s="1926"/>
      <c r="DL106" s="1926"/>
      <c r="DM106" s="1926"/>
      <c r="DN106" s="1926"/>
      <c r="DO106" s="1926"/>
      <c r="DP106" s="1926"/>
      <c r="DQ106" s="1926"/>
      <c r="DR106" s="1926"/>
      <c r="DS106" s="1926"/>
      <c r="DT106" s="1926"/>
      <c r="DU106" s="1926"/>
      <c r="DV106" s="1926"/>
      <c r="DW106" s="1926"/>
      <c r="DX106" s="1926"/>
      <c r="DY106" s="1926"/>
      <c r="DZ106" s="1926"/>
      <c r="EA106" s="1926"/>
      <c r="EB106" s="1926"/>
      <c r="EC106" s="1926"/>
      <c r="ED106" s="1926"/>
      <c r="EE106" s="1926"/>
      <c r="EF106" s="1926"/>
      <c r="EG106" s="1926"/>
      <c r="EH106" s="1926"/>
      <c r="EI106" s="1926"/>
      <c r="EJ106" s="1926"/>
      <c r="EK106" s="1926"/>
      <c r="EL106" s="1926"/>
      <c r="EM106" s="1926"/>
      <c r="EN106" s="1926"/>
      <c r="EO106" s="1926"/>
      <c r="EP106" s="1926"/>
      <c r="EQ106" s="1926"/>
      <c r="ER106" s="1926"/>
      <c r="ES106" s="1926"/>
      <c r="ET106" s="1926"/>
      <c r="EU106" s="1926"/>
      <c r="EV106" s="1926"/>
      <c r="EW106" s="1926"/>
      <c r="EX106" s="1926"/>
      <c r="EY106" s="1926"/>
      <c r="EZ106" s="1926"/>
      <c r="FA106" s="1926"/>
      <c r="FB106" s="1926"/>
      <c r="FC106" s="1926"/>
      <c r="FD106" s="1926"/>
      <c r="FE106" s="1926"/>
      <c r="FF106" s="1926"/>
      <c r="FG106" s="1926"/>
      <c r="FH106" s="1926"/>
      <c r="FI106" s="1926"/>
      <c r="FJ106" s="1926"/>
      <c r="FK106" s="1926"/>
      <c r="FL106" s="1926"/>
      <c r="FM106" s="1926"/>
      <c r="FN106" s="1926"/>
      <c r="FO106" s="1926"/>
      <c r="FP106" s="1926"/>
      <c r="FQ106" s="1926"/>
      <c r="FR106" s="1926"/>
    </row>
    <row r="107" spans="1:237" s="37" customFormat="1" ht="14.25" hidden="1" customHeight="1">
      <c r="B107" s="37" t="s">
        <v>570</v>
      </c>
      <c r="D107" s="1922">
        <f t="shared" ref="D107:AI107" si="16">IF($F6=D$103,$E6,0)</f>
        <v>0</v>
      </c>
      <c r="E107" s="1922">
        <f t="shared" si="16"/>
        <v>0</v>
      </c>
      <c r="F107" s="1922">
        <f t="shared" si="16"/>
        <v>0</v>
      </c>
      <c r="G107" s="1922">
        <f t="shared" si="16"/>
        <v>0</v>
      </c>
      <c r="H107" s="1922">
        <f t="shared" si="16"/>
        <v>0</v>
      </c>
      <c r="I107" s="1922">
        <f t="shared" si="16"/>
        <v>0</v>
      </c>
      <c r="J107" s="1922">
        <f t="shared" si="16"/>
        <v>0</v>
      </c>
      <c r="K107" s="1922">
        <f t="shared" si="16"/>
        <v>0</v>
      </c>
      <c r="L107" s="1922">
        <f t="shared" si="16"/>
        <v>0</v>
      </c>
      <c r="M107" s="1922">
        <f t="shared" si="16"/>
        <v>0</v>
      </c>
      <c r="N107" s="1922">
        <f t="shared" si="16"/>
        <v>0</v>
      </c>
      <c r="O107" s="1922">
        <f t="shared" si="16"/>
        <v>0</v>
      </c>
      <c r="P107" s="1922">
        <f t="shared" si="16"/>
        <v>0</v>
      </c>
      <c r="Q107" s="1922">
        <f t="shared" si="16"/>
        <v>0</v>
      </c>
      <c r="R107" s="1922">
        <f t="shared" si="16"/>
        <v>0</v>
      </c>
      <c r="S107" s="1922">
        <f t="shared" si="16"/>
        <v>0</v>
      </c>
      <c r="T107" s="1922">
        <f t="shared" si="16"/>
        <v>0</v>
      </c>
      <c r="U107" s="1922">
        <f t="shared" si="16"/>
        <v>0</v>
      </c>
      <c r="V107" s="1922">
        <f t="shared" si="16"/>
        <v>0</v>
      </c>
      <c r="W107" s="1922">
        <f t="shared" si="16"/>
        <v>0</v>
      </c>
      <c r="X107" s="1922">
        <f t="shared" si="16"/>
        <v>0</v>
      </c>
      <c r="Y107" s="1922">
        <f t="shared" si="16"/>
        <v>0</v>
      </c>
      <c r="Z107" s="1922">
        <f t="shared" si="16"/>
        <v>0</v>
      </c>
      <c r="AA107" s="1922">
        <f t="shared" si="16"/>
        <v>0</v>
      </c>
      <c r="AB107" s="1922">
        <f t="shared" si="16"/>
        <v>0</v>
      </c>
      <c r="AC107" s="1922">
        <f t="shared" si="16"/>
        <v>0</v>
      </c>
      <c r="AD107" s="1922">
        <f t="shared" si="16"/>
        <v>0</v>
      </c>
      <c r="AE107" s="1922">
        <f t="shared" si="16"/>
        <v>0</v>
      </c>
      <c r="AF107" s="1922">
        <f t="shared" si="16"/>
        <v>0</v>
      </c>
      <c r="AG107" s="1922">
        <f t="shared" si="16"/>
        <v>0</v>
      </c>
      <c r="AH107" s="1922">
        <f t="shared" si="16"/>
        <v>0</v>
      </c>
      <c r="AI107" s="1922">
        <f t="shared" si="16"/>
        <v>0</v>
      </c>
      <c r="AJ107" s="1922">
        <f t="shared" ref="AJ107:BO107" si="17">IF($F6=AJ$103,$E6,0)</f>
        <v>0</v>
      </c>
      <c r="AK107" s="1922">
        <f t="shared" si="17"/>
        <v>0</v>
      </c>
      <c r="AL107" s="1922">
        <f t="shared" si="17"/>
        <v>0</v>
      </c>
      <c r="AM107" s="1922">
        <f t="shared" si="17"/>
        <v>0</v>
      </c>
      <c r="AN107" s="1955">
        <f t="shared" si="17"/>
        <v>0</v>
      </c>
      <c r="AO107" s="1922">
        <f t="shared" si="17"/>
        <v>0</v>
      </c>
      <c r="AP107" s="1922">
        <f t="shared" si="17"/>
        <v>0</v>
      </c>
      <c r="AQ107" s="1922">
        <f t="shared" si="17"/>
        <v>0</v>
      </c>
      <c r="AR107" s="1922">
        <f t="shared" si="17"/>
        <v>0</v>
      </c>
      <c r="AS107" s="1922">
        <f t="shared" si="17"/>
        <v>0</v>
      </c>
      <c r="AT107" s="1922">
        <f t="shared" si="17"/>
        <v>0</v>
      </c>
      <c r="AU107" s="1922">
        <f t="shared" si="17"/>
        <v>0</v>
      </c>
      <c r="AV107" s="1922">
        <f t="shared" si="17"/>
        <v>0</v>
      </c>
      <c r="AW107" s="1922">
        <f t="shared" si="17"/>
        <v>0</v>
      </c>
      <c r="AX107" s="1922">
        <f t="shared" si="17"/>
        <v>0</v>
      </c>
      <c r="AY107" s="1922">
        <f t="shared" si="17"/>
        <v>0</v>
      </c>
      <c r="AZ107" s="1922">
        <f t="shared" si="17"/>
        <v>0</v>
      </c>
      <c r="BA107" s="1922">
        <f t="shared" si="17"/>
        <v>0</v>
      </c>
      <c r="BB107" s="1922">
        <f t="shared" si="17"/>
        <v>0</v>
      </c>
      <c r="BC107" s="1922">
        <f t="shared" si="17"/>
        <v>0</v>
      </c>
      <c r="BD107" s="1922">
        <f t="shared" si="17"/>
        <v>0</v>
      </c>
      <c r="BE107" s="1922">
        <f t="shared" si="17"/>
        <v>0</v>
      </c>
      <c r="BF107" s="1922">
        <f t="shared" si="17"/>
        <v>0</v>
      </c>
      <c r="BG107" s="1922">
        <f t="shared" si="17"/>
        <v>0</v>
      </c>
      <c r="BH107" s="1922">
        <f t="shared" si="17"/>
        <v>0</v>
      </c>
      <c r="BI107" s="1922">
        <f t="shared" si="17"/>
        <v>0</v>
      </c>
      <c r="BJ107" s="1922">
        <f t="shared" si="17"/>
        <v>0</v>
      </c>
      <c r="BK107" s="1922">
        <f t="shared" si="17"/>
        <v>0</v>
      </c>
      <c r="BL107" s="1922">
        <f t="shared" si="17"/>
        <v>0</v>
      </c>
      <c r="BM107" s="1922">
        <f t="shared" si="17"/>
        <v>0</v>
      </c>
      <c r="BN107" s="1922">
        <f t="shared" si="17"/>
        <v>0</v>
      </c>
      <c r="BO107" s="1922">
        <f t="shared" si="17"/>
        <v>0</v>
      </c>
      <c r="BP107" s="1922">
        <f t="shared" ref="BP107:BW107" si="18">IF($F6=BP$103,$E6,0)</f>
        <v>0</v>
      </c>
      <c r="BQ107" s="1922">
        <f t="shared" si="18"/>
        <v>0</v>
      </c>
      <c r="BR107" s="1922">
        <f t="shared" si="18"/>
        <v>0</v>
      </c>
      <c r="BS107" s="1922">
        <f t="shared" si="18"/>
        <v>0</v>
      </c>
      <c r="BT107" s="1922">
        <f t="shared" si="18"/>
        <v>0</v>
      </c>
      <c r="BU107" s="1922">
        <f t="shared" si="18"/>
        <v>0</v>
      </c>
      <c r="BV107" s="1922">
        <f t="shared" si="18"/>
        <v>0</v>
      </c>
      <c r="BW107" s="1924">
        <f t="shared" si="18"/>
        <v>0</v>
      </c>
      <c r="BX107" s="1926"/>
      <c r="BY107" s="1926"/>
      <c r="BZ107" s="1926"/>
      <c r="CA107" s="1926"/>
      <c r="CB107" s="1926"/>
      <c r="CC107" s="1926"/>
      <c r="CD107" s="1926"/>
      <c r="CE107" s="1926"/>
      <c r="CF107" s="1926"/>
      <c r="CG107" s="1926"/>
      <c r="CH107" s="1926"/>
      <c r="CI107" s="1926"/>
      <c r="CJ107" s="1926"/>
      <c r="CK107" s="1926"/>
      <c r="CL107" s="1926"/>
      <c r="CM107" s="1926"/>
      <c r="CN107" s="1926"/>
      <c r="CO107" s="1926"/>
      <c r="CP107" s="1926"/>
      <c r="CQ107" s="1926"/>
      <c r="CR107" s="1926"/>
      <c r="CS107" s="1926"/>
      <c r="CT107" s="1926"/>
      <c r="CU107" s="1926"/>
      <c r="CV107" s="1926"/>
      <c r="CW107" s="1926"/>
      <c r="CX107" s="1926"/>
      <c r="CY107" s="1926"/>
      <c r="CZ107" s="1926"/>
      <c r="DA107" s="1926"/>
      <c r="DB107" s="1926"/>
      <c r="DC107" s="1926"/>
      <c r="DD107" s="1926"/>
      <c r="DE107" s="1926"/>
      <c r="DF107" s="1926"/>
      <c r="DG107" s="1926"/>
      <c r="DH107" s="1926"/>
      <c r="DI107" s="1926"/>
      <c r="DJ107" s="1926"/>
      <c r="DK107" s="1926"/>
      <c r="DL107" s="1926"/>
      <c r="DM107" s="1926"/>
      <c r="DN107" s="1926"/>
      <c r="DO107" s="1926"/>
      <c r="DP107" s="1926"/>
      <c r="DQ107" s="1926"/>
      <c r="DR107" s="1926"/>
      <c r="DS107" s="1926"/>
      <c r="DT107" s="1926"/>
      <c r="DU107" s="1926"/>
      <c r="DV107" s="1926"/>
      <c r="DW107" s="1926"/>
      <c r="DX107" s="1926"/>
      <c r="DY107" s="1926"/>
      <c r="DZ107" s="1926"/>
      <c r="EA107" s="1926"/>
      <c r="EB107" s="1926"/>
      <c r="EC107" s="1926"/>
      <c r="ED107" s="1926"/>
      <c r="EE107" s="1926"/>
      <c r="EF107" s="1926"/>
      <c r="EG107" s="1926"/>
      <c r="EH107" s="1926"/>
      <c r="EI107" s="1926"/>
      <c r="EJ107" s="1926"/>
      <c r="EK107" s="1926"/>
      <c r="EL107" s="1926"/>
      <c r="EM107" s="1926"/>
      <c r="EN107" s="1926"/>
      <c r="EO107" s="1926"/>
      <c r="EP107" s="1926"/>
      <c r="EQ107" s="1926"/>
      <c r="ER107" s="1926"/>
      <c r="ES107" s="1926"/>
      <c r="ET107" s="1926"/>
      <c r="EU107" s="1926"/>
      <c r="EV107" s="1926"/>
      <c r="EW107" s="1926"/>
      <c r="EX107" s="1926"/>
      <c r="EY107" s="1926"/>
      <c r="EZ107" s="1926"/>
      <c r="FA107" s="1926"/>
      <c r="FB107" s="1926"/>
      <c r="FC107" s="1926"/>
      <c r="FD107" s="1926"/>
      <c r="FE107" s="1926"/>
      <c r="FF107" s="1926"/>
      <c r="FG107" s="1926"/>
      <c r="FH107" s="1926"/>
      <c r="FI107" s="1926"/>
      <c r="FJ107" s="1926"/>
      <c r="FK107" s="1926"/>
      <c r="FL107" s="1926"/>
      <c r="FM107" s="1926"/>
      <c r="FN107" s="1926"/>
      <c r="FO107" s="1926"/>
      <c r="FP107" s="1926"/>
      <c r="FQ107" s="1926"/>
      <c r="FR107" s="1926"/>
    </row>
    <row r="108" spans="1:237" s="37" customFormat="1" ht="14.25" hidden="1" customHeight="1">
      <c r="B108" s="1921" t="s">
        <v>571</v>
      </c>
      <c r="D108" s="1922">
        <f t="shared" ref="D108:AI108" si="19">IF($E6=D$107,1,IF(C108&gt;0,IF(C108&gt;=$G6*12,0,C108+1),0))</f>
        <v>1</v>
      </c>
      <c r="E108" s="1922">
        <f t="shared" si="19"/>
        <v>1</v>
      </c>
      <c r="F108" s="1922">
        <f t="shared" si="19"/>
        <v>1</v>
      </c>
      <c r="G108" s="1922">
        <f t="shared" si="19"/>
        <v>1</v>
      </c>
      <c r="H108" s="1922">
        <f t="shared" si="19"/>
        <v>1</v>
      </c>
      <c r="I108" s="1922">
        <f t="shared" si="19"/>
        <v>1</v>
      </c>
      <c r="J108" s="1922">
        <f t="shared" si="19"/>
        <v>1</v>
      </c>
      <c r="K108" s="1922">
        <f t="shared" si="19"/>
        <v>1</v>
      </c>
      <c r="L108" s="1922">
        <f t="shared" si="19"/>
        <v>1</v>
      </c>
      <c r="M108" s="1922">
        <f t="shared" si="19"/>
        <v>1</v>
      </c>
      <c r="N108" s="1922">
        <f t="shared" si="19"/>
        <v>1</v>
      </c>
      <c r="O108" s="1922">
        <f t="shared" si="19"/>
        <v>1</v>
      </c>
      <c r="P108" s="1922">
        <f t="shared" si="19"/>
        <v>1</v>
      </c>
      <c r="Q108" s="1922">
        <f t="shared" si="19"/>
        <v>1</v>
      </c>
      <c r="R108" s="1922">
        <f t="shared" si="19"/>
        <v>1</v>
      </c>
      <c r="S108" s="1922">
        <f t="shared" si="19"/>
        <v>1</v>
      </c>
      <c r="T108" s="1922">
        <f t="shared" si="19"/>
        <v>1</v>
      </c>
      <c r="U108" s="1922">
        <f t="shared" si="19"/>
        <v>1</v>
      </c>
      <c r="V108" s="1922">
        <f t="shared" si="19"/>
        <v>1</v>
      </c>
      <c r="W108" s="1922">
        <f t="shared" si="19"/>
        <v>1</v>
      </c>
      <c r="X108" s="1922">
        <f t="shared" si="19"/>
        <v>1</v>
      </c>
      <c r="Y108" s="1922">
        <f t="shared" si="19"/>
        <v>1</v>
      </c>
      <c r="Z108" s="1922">
        <f t="shared" si="19"/>
        <v>1</v>
      </c>
      <c r="AA108" s="1922">
        <f t="shared" si="19"/>
        <v>1</v>
      </c>
      <c r="AB108" s="1922">
        <f t="shared" si="19"/>
        <v>1</v>
      </c>
      <c r="AC108" s="1922">
        <f t="shared" si="19"/>
        <v>1</v>
      </c>
      <c r="AD108" s="1922">
        <f t="shared" si="19"/>
        <v>1</v>
      </c>
      <c r="AE108" s="1922">
        <f t="shared" si="19"/>
        <v>1</v>
      </c>
      <c r="AF108" s="1922">
        <f t="shared" si="19"/>
        <v>1</v>
      </c>
      <c r="AG108" s="1922">
        <f t="shared" si="19"/>
        <v>1</v>
      </c>
      <c r="AH108" s="1922">
        <f t="shared" si="19"/>
        <v>1</v>
      </c>
      <c r="AI108" s="1922">
        <f t="shared" si="19"/>
        <v>1</v>
      </c>
      <c r="AJ108" s="1922">
        <f t="shared" ref="AJ108:BO108" si="20">IF($E6=AJ$107,1,IF(AI108&gt;0,IF(AI108&gt;=$G6*12,0,AI108+1),0))</f>
        <v>1</v>
      </c>
      <c r="AK108" s="1922">
        <f t="shared" si="20"/>
        <v>1</v>
      </c>
      <c r="AL108" s="1922">
        <f t="shared" si="20"/>
        <v>1</v>
      </c>
      <c r="AM108" s="1922">
        <f t="shared" si="20"/>
        <v>1</v>
      </c>
      <c r="AN108" s="1955">
        <f t="shared" si="20"/>
        <v>1</v>
      </c>
      <c r="AO108" s="1922">
        <f t="shared" si="20"/>
        <v>1</v>
      </c>
      <c r="AP108" s="1922">
        <f t="shared" si="20"/>
        <v>1</v>
      </c>
      <c r="AQ108" s="1922">
        <f t="shared" si="20"/>
        <v>1</v>
      </c>
      <c r="AR108" s="1922">
        <f t="shared" si="20"/>
        <v>1</v>
      </c>
      <c r="AS108" s="1922">
        <f t="shared" si="20"/>
        <v>1</v>
      </c>
      <c r="AT108" s="1922">
        <f t="shared" si="20"/>
        <v>1</v>
      </c>
      <c r="AU108" s="1922">
        <f t="shared" si="20"/>
        <v>1</v>
      </c>
      <c r="AV108" s="1922">
        <f t="shared" si="20"/>
        <v>1</v>
      </c>
      <c r="AW108" s="1922">
        <f t="shared" si="20"/>
        <v>1</v>
      </c>
      <c r="AX108" s="1922">
        <f t="shared" si="20"/>
        <v>1</v>
      </c>
      <c r="AY108" s="1922">
        <f t="shared" si="20"/>
        <v>1</v>
      </c>
      <c r="AZ108" s="1922">
        <f t="shared" si="20"/>
        <v>1</v>
      </c>
      <c r="BA108" s="1922">
        <f t="shared" si="20"/>
        <v>1</v>
      </c>
      <c r="BB108" s="1922">
        <f t="shared" si="20"/>
        <v>1</v>
      </c>
      <c r="BC108" s="1922">
        <f t="shared" si="20"/>
        <v>1</v>
      </c>
      <c r="BD108" s="1922">
        <f t="shared" si="20"/>
        <v>1</v>
      </c>
      <c r="BE108" s="1922">
        <f t="shared" si="20"/>
        <v>1</v>
      </c>
      <c r="BF108" s="1922">
        <f t="shared" si="20"/>
        <v>1</v>
      </c>
      <c r="BG108" s="1922">
        <f t="shared" si="20"/>
        <v>1</v>
      </c>
      <c r="BH108" s="1922">
        <f t="shared" si="20"/>
        <v>1</v>
      </c>
      <c r="BI108" s="1922">
        <f t="shared" si="20"/>
        <v>1</v>
      </c>
      <c r="BJ108" s="1922">
        <f t="shared" si="20"/>
        <v>1</v>
      </c>
      <c r="BK108" s="1922">
        <f t="shared" si="20"/>
        <v>1</v>
      </c>
      <c r="BL108" s="1922">
        <f t="shared" si="20"/>
        <v>1</v>
      </c>
      <c r="BM108" s="1922">
        <f t="shared" si="20"/>
        <v>1</v>
      </c>
      <c r="BN108" s="1922">
        <f t="shared" si="20"/>
        <v>1</v>
      </c>
      <c r="BO108" s="1922">
        <f t="shared" si="20"/>
        <v>1</v>
      </c>
      <c r="BP108" s="1922">
        <f t="shared" ref="BP108:BW108" si="21">IF($E6=BP$107,1,IF(BO108&gt;0,IF(BO108&gt;=$G6*12,0,BO108+1),0))</f>
        <v>1</v>
      </c>
      <c r="BQ108" s="1922">
        <f t="shared" si="21"/>
        <v>1</v>
      </c>
      <c r="BR108" s="1922">
        <f t="shared" si="21"/>
        <v>1</v>
      </c>
      <c r="BS108" s="1922">
        <f t="shared" si="21"/>
        <v>1</v>
      </c>
      <c r="BT108" s="1922">
        <f t="shared" si="21"/>
        <v>1</v>
      </c>
      <c r="BU108" s="1922">
        <f t="shared" si="21"/>
        <v>1</v>
      </c>
      <c r="BV108" s="1922">
        <f t="shared" si="21"/>
        <v>1</v>
      </c>
      <c r="BW108" s="1924">
        <f t="shared" si="21"/>
        <v>1</v>
      </c>
      <c r="BX108" s="1926"/>
      <c r="BY108" s="1926"/>
      <c r="BZ108" s="1926"/>
      <c r="CA108" s="1926"/>
      <c r="CB108" s="1926"/>
      <c r="CC108" s="1926"/>
      <c r="CD108" s="1926"/>
      <c r="CE108" s="1926"/>
      <c r="CF108" s="1926"/>
      <c r="CG108" s="1926"/>
      <c r="CH108" s="1926"/>
      <c r="CI108" s="1926"/>
      <c r="CJ108" s="1926"/>
      <c r="CK108" s="1926"/>
      <c r="CL108" s="1926"/>
      <c r="CM108" s="1926"/>
      <c r="CN108" s="1926"/>
      <c r="CO108" s="1926"/>
      <c r="CP108" s="1926"/>
      <c r="CQ108" s="1926"/>
      <c r="CR108" s="1926"/>
      <c r="CS108" s="1926"/>
      <c r="CT108" s="1926"/>
      <c r="CU108" s="1926"/>
      <c r="CV108" s="1926"/>
      <c r="CW108" s="1926"/>
      <c r="CX108" s="1926"/>
      <c r="CY108" s="1926"/>
      <c r="CZ108" s="1926"/>
      <c r="DA108" s="1926"/>
      <c r="DB108" s="1926"/>
      <c r="DC108" s="1926"/>
      <c r="DD108" s="1926"/>
      <c r="DE108" s="1926"/>
      <c r="DF108" s="1926"/>
      <c r="DG108" s="1926"/>
      <c r="DH108" s="1926"/>
      <c r="DI108" s="1926"/>
      <c r="DJ108" s="1926"/>
      <c r="DK108" s="1926"/>
      <c r="DL108" s="1926"/>
      <c r="DM108" s="1926"/>
      <c r="DN108" s="1926"/>
      <c r="DO108" s="1926"/>
      <c r="DP108" s="1926"/>
      <c r="DQ108" s="1926"/>
      <c r="DR108" s="1926"/>
      <c r="DS108" s="1926"/>
      <c r="DT108" s="1926"/>
      <c r="DU108" s="1926"/>
      <c r="DV108" s="1926"/>
      <c r="DW108" s="1926"/>
      <c r="DX108" s="1926"/>
      <c r="DY108" s="1926"/>
      <c r="DZ108" s="1926"/>
      <c r="EA108" s="1926"/>
      <c r="EB108" s="1926"/>
      <c r="EC108" s="1926"/>
      <c r="ED108" s="1926"/>
      <c r="EE108" s="1926"/>
      <c r="EF108" s="1926"/>
      <c r="EG108" s="1926"/>
      <c r="EH108" s="1926"/>
      <c r="EI108" s="1926"/>
      <c r="EJ108" s="1926"/>
      <c r="EK108" s="1926"/>
      <c r="EL108" s="1926"/>
      <c r="EM108" s="1926"/>
      <c r="EN108" s="1926"/>
      <c r="EO108" s="1926"/>
      <c r="EP108" s="1926"/>
      <c r="EQ108" s="1926"/>
      <c r="ER108" s="1926"/>
      <c r="ES108" s="1926"/>
      <c r="ET108" s="1926"/>
      <c r="EU108" s="1926"/>
      <c r="EV108" s="1926"/>
      <c r="EW108" s="1926"/>
      <c r="EX108" s="1926"/>
      <c r="EY108" s="1926"/>
      <c r="EZ108" s="1926"/>
      <c r="FA108" s="1926"/>
      <c r="FB108" s="1926"/>
      <c r="FC108" s="1926"/>
      <c r="FD108" s="1926"/>
      <c r="FE108" s="1926"/>
      <c r="FF108" s="1926"/>
      <c r="FG108" s="1926"/>
      <c r="FH108" s="1926"/>
      <c r="FI108" s="1926"/>
      <c r="FJ108" s="1926"/>
      <c r="FK108" s="1926"/>
      <c r="FL108" s="1926"/>
      <c r="FM108" s="1926"/>
      <c r="FN108" s="1926"/>
      <c r="FO108" s="1926"/>
      <c r="FP108" s="1926"/>
      <c r="FQ108" s="1926"/>
      <c r="FR108" s="1926"/>
    </row>
    <row r="109" spans="1:237" s="37" customFormat="1" ht="14.25" hidden="1" customHeight="1">
      <c r="B109" s="37" t="s">
        <v>572</v>
      </c>
      <c r="D109" s="1922">
        <f t="shared" ref="D109:AA109" si="22">IF(D108&lt;&gt;0,IF($E6=0,0,$E6/($G6*12)),0)</f>
        <v>0</v>
      </c>
      <c r="E109" s="1922">
        <f t="shared" si="22"/>
        <v>0</v>
      </c>
      <c r="F109" s="1922">
        <f t="shared" si="22"/>
        <v>0</v>
      </c>
      <c r="G109" s="1922">
        <f t="shared" si="22"/>
        <v>0</v>
      </c>
      <c r="H109" s="1922">
        <f t="shared" si="22"/>
        <v>0</v>
      </c>
      <c r="I109" s="1922">
        <f t="shared" si="22"/>
        <v>0</v>
      </c>
      <c r="J109" s="1922">
        <f t="shared" si="22"/>
        <v>0</v>
      </c>
      <c r="K109" s="1922">
        <f t="shared" si="22"/>
        <v>0</v>
      </c>
      <c r="L109" s="1922">
        <f t="shared" si="22"/>
        <v>0</v>
      </c>
      <c r="M109" s="1922">
        <f t="shared" si="22"/>
        <v>0</v>
      </c>
      <c r="N109" s="1922">
        <f t="shared" si="22"/>
        <v>0</v>
      </c>
      <c r="O109" s="1922">
        <f t="shared" si="22"/>
        <v>0</v>
      </c>
      <c r="P109" s="1922">
        <f t="shared" si="22"/>
        <v>0</v>
      </c>
      <c r="Q109" s="1922">
        <f t="shared" si="22"/>
        <v>0</v>
      </c>
      <c r="R109" s="1922">
        <f t="shared" si="22"/>
        <v>0</v>
      </c>
      <c r="S109" s="1922">
        <f t="shared" si="22"/>
        <v>0</v>
      </c>
      <c r="T109" s="1922">
        <f t="shared" si="22"/>
        <v>0</v>
      </c>
      <c r="U109" s="1922">
        <f t="shared" si="22"/>
        <v>0</v>
      </c>
      <c r="V109" s="1922">
        <f t="shared" si="22"/>
        <v>0</v>
      </c>
      <c r="W109" s="1922">
        <f t="shared" si="22"/>
        <v>0</v>
      </c>
      <c r="X109" s="1922">
        <f t="shared" si="22"/>
        <v>0</v>
      </c>
      <c r="Y109" s="1922">
        <f t="shared" si="22"/>
        <v>0</v>
      </c>
      <c r="Z109" s="1924">
        <f t="shared" si="22"/>
        <v>0</v>
      </c>
      <c r="AA109" s="1924">
        <f t="shared" si="22"/>
        <v>0</v>
      </c>
      <c r="AB109" s="1925">
        <f>IF(AB108&lt;&gt;0,IF($E6=0,0,$E6/($G6*12)),0)</f>
        <v>0</v>
      </c>
      <c r="AC109" s="1925">
        <f t="shared" ref="AC109:AF109" si="23">IF(AC108&lt;&gt;0,IF($E6=0,0,$E6/($G6*12)),0)</f>
        <v>0</v>
      </c>
      <c r="AD109" s="1925">
        <f t="shared" si="23"/>
        <v>0</v>
      </c>
      <c r="AE109" s="1925">
        <f t="shared" si="23"/>
        <v>0</v>
      </c>
      <c r="AF109" s="1925">
        <f t="shared" si="23"/>
        <v>0</v>
      </c>
      <c r="AG109" s="1922">
        <f>IF(AG108&lt;&gt;0,IF($E6=0,0,$E6/($G6*12)),0)</f>
        <v>0</v>
      </c>
      <c r="AH109" s="1922">
        <f>IF(AH108&lt;&gt;0,IF($E6=0,0,$E6/($G6*12)),0)</f>
        <v>0</v>
      </c>
      <c r="AI109" s="1922">
        <f>IF(AI108&lt;&gt;0,IF($E6=0,0,$E6/($G6*12)),0)</f>
        <v>0</v>
      </c>
      <c r="AJ109" s="1922">
        <f t="shared" ref="AJ109:AM109" si="24">IF(AJ108&lt;&gt;0,IF($E6=0,0,$E6/($G6*12)),0)</f>
        <v>0</v>
      </c>
      <c r="AK109" s="1922">
        <f t="shared" si="24"/>
        <v>0</v>
      </c>
      <c r="AL109" s="1922">
        <f t="shared" si="24"/>
        <v>0</v>
      </c>
      <c r="AM109" s="1922">
        <f t="shared" si="24"/>
        <v>0</v>
      </c>
      <c r="AN109" s="1955">
        <f t="shared" ref="AN109:BS109" si="25">IF(AN108&lt;&gt;0,IF($E6=0,0,$E6/($G6*12)),0)</f>
        <v>0</v>
      </c>
      <c r="AO109" s="1922">
        <f t="shared" si="25"/>
        <v>0</v>
      </c>
      <c r="AP109" s="1922">
        <f t="shared" si="25"/>
        <v>0</v>
      </c>
      <c r="AQ109" s="1922">
        <f t="shared" si="25"/>
        <v>0</v>
      </c>
      <c r="AR109" s="1922">
        <f t="shared" si="25"/>
        <v>0</v>
      </c>
      <c r="AS109" s="1922">
        <f t="shared" si="25"/>
        <v>0</v>
      </c>
      <c r="AT109" s="1922">
        <f t="shared" si="25"/>
        <v>0</v>
      </c>
      <c r="AU109" s="1922">
        <f t="shared" si="25"/>
        <v>0</v>
      </c>
      <c r="AV109" s="1922">
        <f t="shared" si="25"/>
        <v>0</v>
      </c>
      <c r="AW109" s="1922">
        <f t="shared" si="25"/>
        <v>0</v>
      </c>
      <c r="AX109" s="1922">
        <f t="shared" si="25"/>
        <v>0</v>
      </c>
      <c r="AY109" s="1922">
        <f t="shared" si="25"/>
        <v>0</v>
      </c>
      <c r="AZ109" s="1922">
        <f t="shared" si="25"/>
        <v>0</v>
      </c>
      <c r="BA109" s="1922">
        <f t="shared" si="25"/>
        <v>0</v>
      </c>
      <c r="BB109" s="1922">
        <f t="shared" si="25"/>
        <v>0</v>
      </c>
      <c r="BC109" s="1922">
        <f t="shared" si="25"/>
        <v>0</v>
      </c>
      <c r="BD109" s="1922">
        <f t="shared" si="25"/>
        <v>0</v>
      </c>
      <c r="BE109" s="1922">
        <f t="shared" si="25"/>
        <v>0</v>
      </c>
      <c r="BF109" s="1922">
        <f t="shared" si="25"/>
        <v>0</v>
      </c>
      <c r="BG109" s="1922">
        <f t="shared" si="25"/>
        <v>0</v>
      </c>
      <c r="BH109" s="1922">
        <f t="shared" si="25"/>
        <v>0</v>
      </c>
      <c r="BI109" s="1922">
        <f t="shared" si="25"/>
        <v>0</v>
      </c>
      <c r="BJ109" s="1922">
        <f t="shared" si="25"/>
        <v>0</v>
      </c>
      <c r="BK109" s="1922">
        <f t="shared" si="25"/>
        <v>0</v>
      </c>
      <c r="BL109" s="1922">
        <f t="shared" si="25"/>
        <v>0</v>
      </c>
      <c r="BM109" s="1922">
        <f t="shared" si="25"/>
        <v>0</v>
      </c>
      <c r="BN109" s="1922">
        <f t="shared" si="25"/>
        <v>0</v>
      </c>
      <c r="BO109" s="1922">
        <f t="shared" si="25"/>
        <v>0</v>
      </c>
      <c r="BP109" s="1922">
        <f t="shared" si="25"/>
        <v>0</v>
      </c>
      <c r="BQ109" s="1922">
        <f t="shared" si="25"/>
        <v>0</v>
      </c>
      <c r="BR109" s="1922">
        <f t="shared" si="25"/>
        <v>0</v>
      </c>
      <c r="BS109" s="1922">
        <f t="shared" si="25"/>
        <v>0</v>
      </c>
      <c r="BT109" s="1922">
        <f t="shared" ref="BT109:BW109" si="26">IF(BT108&lt;&gt;0,IF($E6=0,0,$E6/($G6*12)),0)</f>
        <v>0</v>
      </c>
      <c r="BU109" s="1922">
        <f t="shared" si="26"/>
        <v>0</v>
      </c>
      <c r="BV109" s="1922">
        <f t="shared" si="26"/>
        <v>0</v>
      </c>
      <c r="BW109" s="1924">
        <f t="shared" si="26"/>
        <v>0</v>
      </c>
      <c r="BX109" s="1926"/>
      <c r="BY109" s="1926"/>
      <c r="BZ109" s="1926"/>
      <c r="CA109" s="1926"/>
      <c r="CB109" s="1926"/>
      <c r="CC109" s="1926"/>
      <c r="CD109" s="1926"/>
      <c r="CE109" s="1926"/>
      <c r="CF109" s="1926"/>
      <c r="CG109" s="1926"/>
      <c r="CH109" s="1926"/>
      <c r="CI109" s="1926"/>
      <c r="CJ109" s="1926"/>
      <c r="CK109" s="1926"/>
      <c r="CL109" s="1926"/>
      <c r="CM109" s="1926"/>
      <c r="CN109" s="1926"/>
      <c r="CO109" s="1926"/>
      <c r="CP109" s="1926"/>
      <c r="CQ109" s="1926"/>
      <c r="CR109" s="1926"/>
      <c r="CS109" s="1926"/>
      <c r="CT109" s="1926"/>
      <c r="CU109" s="1926"/>
      <c r="CV109" s="1926"/>
      <c r="CW109" s="1926"/>
      <c r="CX109" s="1926"/>
      <c r="CY109" s="1926"/>
      <c r="CZ109" s="1926"/>
      <c r="DA109" s="1926"/>
      <c r="DB109" s="1926"/>
      <c r="DC109" s="1926"/>
      <c r="DD109" s="1926"/>
      <c r="DE109" s="1926"/>
      <c r="DF109" s="1926"/>
      <c r="DG109" s="1926"/>
      <c r="DH109" s="1926"/>
      <c r="DI109" s="1926"/>
      <c r="DJ109" s="1926"/>
      <c r="DK109" s="1926"/>
      <c r="DL109" s="1926"/>
      <c r="DM109" s="1926"/>
      <c r="DN109" s="1926"/>
      <c r="DO109" s="1926"/>
      <c r="DP109" s="1926"/>
      <c r="DQ109" s="1926"/>
      <c r="DR109" s="1926"/>
      <c r="DS109" s="1926"/>
      <c r="DT109" s="1926"/>
      <c r="DU109" s="1926"/>
      <c r="DV109" s="1926"/>
      <c r="DW109" s="1926"/>
      <c r="DX109" s="1926"/>
      <c r="DY109" s="1926"/>
      <c r="DZ109" s="1926"/>
      <c r="EA109" s="1926"/>
      <c r="EB109" s="1926"/>
      <c r="EC109" s="1926"/>
      <c r="ED109" s="1926"/>
      <c r="EE109" s="1926"/>
      <c r="EF109" s="1926"/>
      <c r="EG109" s="1926"/>
      <c r="EH109" s="1926"/>
      <c r="EI109" s="1926"/>
      <c r="EJ109" s="1926"/>
      <c r="EK109" s="1926"/>
      <c r="EL109" s="1926"/>
      <c r="EM109" s="1926"/>
      <c r="EN109" s="1926"/>
      <c r="EO109" s="1926"/>
      <c r="EP109" s="1926"/>
      <c r="EQ109" s="1926"/>
      <c r="ER109" s="1926"/>
      <c r="ES109" s="1926"/>
      <c r="ET109" s="1926"/>
      <c r="EU109" s="1926"/>
      <c r="EV109" s="1926"/>
      <c r="EW109" s="1926"/>
      <c r="EX109" s="1926"/>
      <c r="EY109" s="1926"/>
      <c r="EZ109" s="1926"/>
      <c r="FA109" s="1926"/>
      <c r="FB109" s="1926"/>
      <c r="FC109" s="1926"/>
      <c r="FD109" s="1926"/>
      <c r="FE109" s="1926"/>
      <c r="FF109" s="1926"/>
      <c r="FG109" s="1926"/>
      <c r="FH109" s="1926"/>
      <c r="FI109" s="1926"/>
      <c r="FJ109" s="1926"/>
      <c r="FK109" s="1926"/>
      <c r="FL109" s="1926"/>
      <c r="FM109" s="1926"/>
      <c r="FN109" s="1926"/>
      <c r="FO109" s="1926"/>
      <c r="FP109" s="1926"/>
      <c r="FQ109" s="1926"/>
      <c r="FR109" s="1926"/>
    </row>
    <row r="110" spans="1:237" s="37" customFormat="1" ht="14.25" hidden="1" customHeight="1">
      <c r="B110" s="37" t="s">
        <v>570</v>
      </c>
      <c r="D110" s="1922">
        <f t="shared" ref="D110:AF110" si="27">IF($F7=D$103,$E7,0)</f>
        <v>0</v>
      </c>
      <c r="E110" s="1922">
        <f t="shared" si="27"/>
        <v>0</v>
      </c>
      <c r="F110" s="1922">
        <f t="shared" si="27"/>
        <v>0</v>
      </c>
      <c r="G110" s="1922">
        <f t="shared" si="27"/>
        <v>0</v>
      </c>
      <c r="H110" s="1922">
        <f t="shared" si="27"/>
        <v>0</v>
      </c>
      <c r="I110" s="1922">
        <f t="shared" si="27"/>
        <v>0</v>
      </c>
      <c r="J110" s="1922">
        <f t="shared" si="27"/>
        <v>0</v>
      </c>
      <c r="K110" s="1922">
        <f t="shared" si="27"/>
        <v>0</v>
      </c>
      <c r="L110" s="1922">
        <f t="shared" si="27"/>
        <v>0</v>
      </c>
      <c r="M110" s="1922">
        <f t="shared" si="27"/>
        <v>0</v>
      </c>
      <c r="N110" s="1922">
        <f t="shared" si="27"/>
        <v>0</v>
      </c>
      <c r="O110" s="1922">
        <f t="shared" si="27"/>
        <v>0</v>
      </c>
      <c r="P110" s="1922">
        <f t="shared" si="27"/>
        <v>0</v>
      </c>
      <c r="Q110" s="1922">
        <f t="shared" si="27"/>
        <v>0</v>
      </c>
      <c r="R110" s="1923">
        <f t="shared" si="27"/>
        <v>0</v>
      </c>
      <c r="S110" s="1922">
        <f t="shared" si="27"/>
        <v>0</v>
      </c>
      <c r="T110" s="1922">
        <f t="shared" si="27"/>
        <v>0</v>
      </c>
      <c r="U110" s="1922">
        <f t="shared" si="27"/>
        <v>0</v>
      </c>
      <c r="V110" s="1922">
        <f t="shared" si="27"/>
        <v>0</v>
      </c>
      <c r="W110" s="1922">
        <f t="shared" si="27"/>
        <v>0</v>
      </c>
      <c r="X110" s="1922">
        <f t="shared" si="27"/>
        <v>0</v>
      </c>
      <c r="Y110" s="1922">
        <f t="shared" si="27"/>
        <v>0</v>
      </c>
      <c r="Z110" s="1924">
        <f t="shared" si="27"/>
        <v>0</v>
      </c>
      <c r="AA110" s="1924">
        <f t="shared" si="27"/>
        <v>0</v>
      </c>
      <c r="AB110" s="1925">
        <f t="shared" si="27"/>
        <v>0</v>
      </c>
      <c r="AC110" s="1922">
        <f t="shared" si="27"/>
        <v>0</v>
      </c>
      <c r="AD110" s="1922">
        <f t="shared" si="27"/>
        <v>0</v>
      </c>
      <c r="AE110" s="1922">
        <f t="shared" si="27"/>
        <v>0</v>
      </c>
      <c r="AF110" s="1922">
        <f t="shared" si="27"/>
        <v>0</v>
      </c>
      <c r="AG110" s="1922">
        <f>IF($F7=AG$103,$E7,0)</f>
        <v>0</v>
      </c>
      <c r="AH110" s="1922">
        <f>IF($F7=AH$103,$E7,0)</f>
        <v>0</v>
      </c>
      <c r="AI110" s="1922">
        <f>IF($F7=AI$103,$E7,0)</f>
        <v>0</v>
      </c>
      <c r="AJ110" s="1922">
        <f t="shared" ref="AJ110:AM110" si="28">IF($F7=AJ$103,$E7,0)</f>
        <v>0</v>
      </c>
      <c r="AK110" s="1922">
        <f t="shared" si="28"/>
        <v>0</v>
      </c>
      <c r="AL110" s="1922">
        <f t="shared" si="28"/>
        <v>0</v>
      </c>
      <c r="AM110" s="1922">
        <f t="shared" si="28"/>
        <v>0</v>
      </c>
      <c r="AN110" s="1955">
        <f t="shared" ref="AN110:BS110" si="29">IF($F7=AN$103,$E7,0)</f>
        <v>0</v>
      </c>
      <c r="AO110" s="1922">
        <f t="shared" si="29"/>
        <v>0</v>
      </c>
      <c r="AP110" s="1922">
        <f t="shared" si="29"/>
        <v>0</v>
      </c>
      <c r="AQ110" s="1922">
        <f t="shared" si="29"/>
        <v>0</v>
      </c>
      <c r="AR110" s="1922">
        <f t="shared" si="29"/>
        <v>0</v>
      </c>
      <c r="AS110" s="1922">
        <f t="shared" si="29"/>
        <v>0</v>
      </c>
      <c r="AT110" s="1922">
        <f t="shared" si="29"/>
        <v>0</v>
      </c>
      <c r="AU110" s="1922">
        <f t="shared" si="29"/>
        <v>0</v>
      </c>
      <c r="AV110" s="1922">
        <f t="shared" si="29"/>
        <v>0</v>
      </c>
      <c r="AW110" s="1922">
        <f t="shared" si="29"/>
        <v>0</v>
      </c>
      <c r="AX110" s="1922">
        <f t="shared" si="29"/>
        <v>0</v>
      </c>
      <c r="AY110" s="1922">
        <f t="shared" si="29"/>
        <v>0</v>
      </c>
      <c r="AZ110" s="1922">
        <f t="shared" si="29"/>
        <v>0</v>
      </c>
      <c r="BA110" s="1922">
        <f t="shared" si="29"/>
        <v>0</v>
      </c>
      <c r="BB110" s="1922">
        <f t="shared" si="29"/>
        <v>0</v>
      </c>
      <c r="BC110" s="1922">
        <f t="shared" si="29"/>
        <v>0</v>
      </c>
      <c r="BD110" s="1922">
        <f t="shared" si="29"/>
        <v>0</v>
      </c>
      <c r="BE110" s="1922">
        <f t="shared" si="29"/>
        <v>0</v>
      </c>
      <c r="BF110" s="1922">
        <f t="shared" si="29"/>
        <v>0</v>
      </c>
      <c r="BG110" s="1922">
        <f t="shared" si="29"/>
        <v>0</v>
      </c>
      <c r="BH110" s="1922">
        <f t="shared" si="29"/>
        <v>0</v>
      </c>
      <c r="BI110" s="1922">
        <f t="shared" si="29"/>
        <v>0</v>
      </c>
      <c r="BJ110" s="1922">
        <f t="shared" si="29"/>
        <v>0</v>
      </c>
      <c r="BK110" s="1922">
        <f t="shared" si="29"/>
        <v>0</v>
      </c>
      <c r="BL110" s="1922">
        <f t="shared" si="29"/>
        <v>0</v>
      </c>
      <c r="BM110" s="1922">
        <f t="shared" si="29"/>
        <v>0</v>
      </c>
      <c r="BN110" s="1922">
        <f t="shared" si="29"/>
        <v>0</v>
      </c>
      <c r="BO110" s="1922">
        <f t="shared" si="29"/>
        <v>0</v>
      </c>
      <c r="BP110" s="1922">
        <f t="shared" si="29"/>
        <v>0</v>
      </c>
      <c r="BQ110" s="1922">
        <f t="shared" si="29"/>
        <v>0</v>
      </c>
      <c r="BR110" s="1922">
        <f t="shared" si="29"/>
        <v>0</v>
      </c>
      <c r="BS110" s="1922">
        <f t="shared" si="29"/>
        <v>0</v>
      </c>
      <c r="BT110" s="1922">
        <f t="shared" ref="BT110:BW110" si="30">IF($F7=BT$103,$E7,0)</f>
        <v>0</v>
      </c>
      <c r="BU110" s="1922">
        <f t="shared" si="30"/>
        <v>0</v>
      </c>
      <c r="BV110" s="1922">
        <f t="shared" si="30"/>
        <v>0</v>
      </c>
      <c r="BW110" s="1924">
        <f t="shared" si="30"/>
        <v>0</v>
      </c>
      <c r="BX110" s="1926"/>
      <c r="BY110" s="1926"/>
      <c r="BZ110" s="1926"/>
      <c r="CA110" s="1926"/>
      <c r="CB110" s="1926"/>
      <c r="CC110" s="1926"/>
      <c r="CD110" s="1926"/>
      <c r="CE110" s="1926"/>
      <c r="CF110" s="1926"/>
      <c r="CG110" s="1926"/>
      <c r="CH110" s="1926"/>
      <c r="CI110" s="1926"/>
      <c r="CJ110" s="1926"/>
      <c r="CK110" s="1926"/>
      <c r="CL110" s="1926"/>
      <c r="CM110" s="1926"/>
      <c r="CN110" s="1926"/>
      <c r="CO110" s="1926"/>
      <c r="CP110" s="1926"/>
      <c r="CQ110" s="1926"/>
      <c r="CR110" s="1926"/>
      <c r="CS110" s="1926"/>
      <c r="CT110" s="1926"/>
      <c r="CU110" s="1926"/>
      <c r="CV110" s="1926"/>
      <c r="CW110" s="1926"/>
      <c r="CX110" s="1926"/>
      <c r="CY110" s="1926"/>
      <c r="CZ110" s="1926"/>
      <c r="DA110" s="1926"/>
      <c r="DB110" s="1926"/>
      <c r="DC110" s="1926"/>
      <c r="DD110" s="1926"/>
      <c r="DE110" s="1926"/>
      <c r="DF110" s="1926"/>
      <c r="DG110" s="1926"/>
      <c r="DH110" s="1926"/>
      <c r="DI110" s="1926"/>
      <c r="DJ110" s="1926"/>
      <c r="DK110" s="1926"/>
      <c r="DL110" s="1926"/>
      <c r="DM110" s="1926"/>
      <c r="DN110" s="1926"/>
      <c r="DO110" s="1926"/>
      <c r="DP110" s="1926"/>
      <c r="DQ110" s="1926"/>
      <c r="DR110" s="1926"/>
      <c r="DS110" s="1926"/>
      <c r="DT110" s="1926"/>
      <c r="DU110" s="1926"/>
      <c r="DV110" s="1926"/>
      <c r="DW110" s="1926"/>
      <c r="DX110" s="1926"/>
      <c r="DY110" s="1926"/>
      <c r="DZ110" s="1926"/>
      <c r="EA110" s="1926"/>
      <c r="EB110" s="1926"/>
      <c r="EC110" s="1926"/>
      <c r="ED110" s="1926"/>
      <c r="EE110" s="1926"/>
      <c r="EF110" s="1926"/>
      <c r="EG110" s="1926"/>
      <c r="EH110" s="1926"/>
      <c r="EI110" s="1926"/>
      <c r="EJ110" s="1926"/>
      <c r="EK110" s="1926"/>
      <c r="EL110" s="1926"/>
      <c r="EM110" s="1926"/>
      <c r="EN110" s="1926"/>
      <c r="EO110" s="1926"/>
      <c r="EP110" s="1926"/>
      <c r="EQ110" s="1926"/>
      <c r="ER110" s="1926"/>
      <c r="ES110" s="1926"/>
      <c r="ET110" s="1926"/>
      <c r="EU110" s="1926"/>
      <c r="EV110" s="1926"/>
      <c r="EW110" s="1926"/>
      <c r="EX110" s="1926"/>
      <c r="EY110" s="1926"/>
      <c r="EZ110" s="1926"/>
      <c r="FA110" s="1926"/>
      <c r="FB110" s="1926"/>
      <c r="FC110" s="1926"/>
      <c r="FD110" s="1926"/>
      <c r="FE110" s="1926"/>
      <c r="FF110" s="1926"/>
      <c r="FG110" s="1926"/>
      <c r="FH110" s="1926"/>
      <c r="FI110" s="1926"/>
      <c r="FJ110" s="1926"/>
      <c r="FK110" s="1926"/>
      <c r="FL110" s="1926"/>
      <c r="FM110" s="1926"/>
      <c r="FN110" s="1926"/>
      <c r="FO110" s="1926"/>
      <c r="FP110" s="1926"/>
      <c r="FQ110" s="1926"/>
      <c r="FR110" s="1926"/>
    </row>
    <row r="111" spans="1:237" s="37" customFormat="1" ht="14.25" hidden="1" customHeight="1">
      <c r="B111" s="1921" t="s">
        <v>571</v>
      </c>
      <c r="D111" s="1922">
        <f t="shared" ref="D111:AI111" si="31">IF($E7=D$110,1,IF(C111&gt;0,IF(C111&gt;=$G7*12,0,C111+1),0))</f>
        <v>1</v>
      </c>
      <c r="E111" s="1922">
        <f t="shared" si="31"/>
        <v>1</v>
      </c>
      <c r="F111" s="1922">
        <f t="shared" si="31"/>
        <v>1</v>
      </c>
      <c r="G111" s="1922">
        <f t="shared" si="31"/>
        <v>1</v>
      </c>
      <c r="H111" s="1922">
        <f t="shared" si="31"/>
        <v>1</v>
      </c>
      <c r="I111" s="1922">
        <f t="shared" si="31"/>
        <v>1</v>
      </c>
      <c r="J111" s="1922">
        <f t="shared" si="31"/>
        <v>1</v>
      </c>
      <c r="K111" s="1922">
        <f t="shared" si="31"/>
        <v>1</v>
      </c>
      <c r="L111" s="1922">
        <f t="shared" si="31"/>
        <v>1</v>
      </c>
      <c r="M111" s="1922">
        <f t="shared" si="31"/>
        <v>1</v>
      </c>
      <c r="N111" s="1922">
        <f t="shared" si="31"/>
        <v>1</v>
      </c>
      <c r="O111" s="1922">
        <f t="shared" si="31"/>
        <v>1</v>
      </c>
      <c r="P111" s="1922">
        <f t="shared" si="31"/>
        <v>1</v>
      </c>
      <c r="Q111" s="1922">
        <f t="shared" si="31"/>
        <v>1</v>
      </c>
      <c r="R111" s="1922">
        <f t="shared" si="31"/>
        <v>1</v>
      </c>
      <c r="S111" s="1922">
        <f t="shared" si="31"/>
        <v>1</v>
      </c>
      <c r="T111" s="1922">
        <f t="shared" si="31"/>
        <v>1</v>
      </c>
      <c r="U111" s="1922">
        <f t="shared" si="31"/>
        <v>1</v>
      </c>
      <c r="V111" s="1922">
        <f t="shared" si="31"/>
        <v>1</v>
      </c>
      <c r="W111" s="1922">
        <f t="shared" si="31"/>
        <v>1</v>
      </c>
      <c r="X111" s="1922">
        <f t="shared" si="31"/>
        <v>1</v>
      </c>
      <c r="Y111" s="1922">
        <f t="shared" si="31"/>
        <v>1</v>
      </c>
      <c r="Z111" s="1922">
        <f t="shared" si="31"/>
        <v>1</v>
      </c>
      <c r="AA111" s="1922">
        <f t="shared" si="31"/>
        <v>1</v>
      </c>
      <c r="AB111" s="1922">
        <f t="shared" si="31"/>
        <v>1</v>
      </c>
      <c r="AC111" s="1922">
        <f t="shared" si="31"/>
        <v>1</v>
      </c>
      <c r="AD111" s="1922">
        <f t="shared" si="31"/>
        <v>1</v>
      </c>
      <c r="AE111" s="1922">
        <f t="shared" si="31"/>
        <v>1</v>
      </c>
      <c r="AF111" s="1922">
        <f t="shared" si="31"/>
        <v>1</v>
      </c>
      <c r="AG111" s="1922">
        <f t="shared" si="31"/>
        <v>1</v>
      </c>
      <c r="AH111" s="1922">
        <f t="shared" si="31"/>
        <v>1</v>
      </c>
      <c r="AI111" s="1922">
        <f t="shared" si="31"/>
        <v>1</v>
      </c>
      <c r="AJ111" s="1922">
        <f t="shared" ref="AJ111:BO111" si="32">IF($E7=AJ$110,1,IF(AI111&gt;0,IF(AI111&gt;=$G7*12,0,AI111+1),0))</f>
        <v>1</v>
      </c>
      <c r="AK111" s="1922">
        <f t="shared" si="32"/>
        <v>1</v>
      </c>
      <c r="AL111" s="1922">
        <f t="shared" si="32"/>
        <v>1</v>
      </c>
      <c r="AM111" s="1922">
        <f t="shared" si="32"/>
        <v>1</v>
      </c>
      <c r="AN111" s="1955">
        <f t="shared" si="32"/>
        <v>1</v>
      </c>
      <c r="AO111" s="1922">
        <f t="shared" si="32"/>
        <v>1</v>
      </c>
      <c r="AP111" s="1922">
        <f t="shared" si="32"/>
        <v>1</v>
      </c>
      <c r="AQ111" s="1922">
        <f t="shared" si="32"/>
        <v>1</v>
      </c>
      <c r="AR111" s="1922">
        <f t="shared" si="32"/>
        <v>1</v>
      </c>
      <c r="AS111" s="1922">
        <f t="shared" si="32"/>
        <v>1</v>
      </c>
      <c r="AT111" s="1922">
        <f t="shared" si="32"/>
        <v>1</v>
      </c>
      <c r="AU111" s="1922">
        <f t="shared" si="32"/>
        <v>1</v>
      </c>
      <c r="AV111" s="1922">
        <f t="shared" si="32"/>
        <v>1</v>
      </c>
      <c r="AW111" s="1922">
        <f t="shared" si="32"/>
        <v>1</v>
      </c>
      <c r="AX111" s="1922">
        <f t="shared" si="32"/>
        <v>1</v>
      </c>
      <c r="AY111" s="1922">
        <f t="shared" si="32"/>
        <v>1</v>
      </c>
      <c r="AZ111" s="1922">
        <f t="shared" si="32"/>
        <v>1</v>
      </c>
      <c r="BA111" s="1922">
        <f t="shared" si="32"/>
        <v>1</v>
      </c>
      <c r="BB111" s="1922">
        <f t="shared" si="32"/>
        <v>1</v>
      </c>
      <c r="BC111" s="1922">
        <f t="shared" si="32"/>
        <v>1</v>
      </c>
      <c r="BD111" s="1922">
        <f t="shared" si="32"/>
        <v>1</v>
      </c>
      <c r="BE111" s="1922">
        <f t="shared" si="32"/>
        <v>1</v>
      </c>
      <c r="BF111" s="1922">
        <f t="shared" si="32"/>
        <v>1</v>
      </c>
      <c r="BG111" s="1922">
        <f t="shared" si="32"/>
        <v>1</v>
      </c>
      <c r="BH111" s="1922">
        <f t="shared" si="32"/>
        <v>1</v>
      </c>
      <c r="BI111" s="1922">
        <f t="shared" si="32"/>
        <v>1</v>
      </c>
      <c r="BJ111" s="1922">
        <f t="shared" si="32"/>
        <v>1</v>
      </c>
      <c r="BK111" s="1922">
        <f t="shared" si="32"/>
        <v>1</v>
      </c>
      <c r="BL111" s="1922">
        <f t="shared" si="32"/>
        <v>1</v>
      </c>
      <c r="BM111" s="1922">
        <f t="shared" si="32"/>
        <v>1</v>
      </c>
      <c r="BN111" s="1922">
        <f t="shared" si="32"/>
        <v>1</v>
      </c>
      <c r="BO111" s="1922">
        <f t="shared" si="32"/>
        <v>1</v>
      </c>
      <c r="BP111" s="1922">
        <f t="shared" ref="BP111:BW111" si="33">IF($E7=BP$110,1,IF(BO111&gt;0,IF(BO111&gt;=$G7*12,0,BO111+1),0))</f>
        <v>1</v>
      </c>
      <c r="BQ111" s="1922">
        <f t="shared" si="33"/>
        <v>1</v>
      </c>
      <c r="BR111" s="1922">
        <f t="shared" si="33"/>
        <v>1</v>
      </c>
      <c r="BS111" s="1922">
        <f t="shared" si="33"/>
        <v>1</v>
      </c>
      <c r="BT111" s="1922">
        <f t="shared" si="33"/>
        <v>1</v>
      </c>
      <c r="BU111" s="1922">
        <f t="shared" si="33"/>
        <v>1</v>
      </c>
      <c r="BV111" s="1922">
        <f t="shared" si="33"/>
        <v>1</v>
      </c>
      <c r="BW111" s="1924">
        <f t="shared" si="33"/>
        <v>1</v>
      </c>
      <c r="BX111" s="1926"/>
      <c r="BY111" s="1926"/>
      <c r="BZ111" s="1926"/>
      <c r="CA111" s="1926"/>
      <c r="CB111" s="1926"/>
      <c r="CC111" s="1926"/>
      <c r="CD111" s="1926"/>
      <c r="CE111" s="1926"/>
      <c r="CF111" s="1926"/>
      <c r="CG111" s="1926"/>
      <c r="CH111" s="1926"/>
      <c r="CI111" s="1926"/>
      <c r="CJ111" s="1926"/>
      <c r="CK111" s="1926"/>
      <c r="CL111" s="1926"/>
      <c r="CM111" s="1926"/>
      <c r="CN111" s="1926"/>
      <c r="CO111" s="1926"/>
      <c r="CP111" s="1926"/>
      <c r="CQ111" s="1926"/>
      <c r="CR111" s="1926"/>
      <c r="CS111" s="1926"/>
      <c r="CT111" s="1926"/>
      <c r="CU111" s="1926"/>
      <c r="CV111" s="1926"/>
      <c r="CW111" s="1926"/>
      <c r="CX111" s="1926"/>
      <c r="CY111" s="1926"/>
      <c r="CZ111" s="1926"/>
      <c r="DA111" s="1926"/>
      <c r="DB111" s="1926"/>
      <c r="DC111" s="1926"/>
      <c r="DD111" s="1926"/>
      <c r="DE111" s="1926"/>
      <c r="DF111" s="1926"/>
      <c r="DG111" s="1926"/>
      <c r="DH111" s="1926"/>
      <c r="DI111" s="1926"/>
      <c r="DJ111" s="1926"/>
      <c r="DK111" s="1926"/>
      <c r="DL111" s="1926"/>
      <c r="DM111" s="1926"/>
      <c r="DN111" s="1926"/>
      <c r="DO111" s="1926"/>
      <c r="DP111" s="1926"/>
      <c r="DQ111" s="1926"/>
      <c r="DR111" s="1926"/>
      <c r="DS111" s="1926"/>
      <c r="DT111" s="1926"/>
      <c r="DU111" s="1926"/>
      <c r="DV111" s="1926"/>
      <c r="DW111" s="1926"/>
      <c r="DX111" s="1926"/>
      <c r="DY111" s="1926"/>
      <c r="DZ111" s="1926"/>
      <c r="EA111" s="1926"/>
      <c r="EB111" s="1926"/>
      <c r="EC111" s="1926"/>
      <c r="ED111" s="1926"/>
      <c r="EE111" s="1926"/>
      <c r="EF111" s="1926"/>
      <c r="EG111" s="1926"/>
      <c r="EH111" s="1926"/>
      <c r="EI111" s="1926"/>
      <c r="EJ111" s="1926"/>
      <c r="EK111" s="1926"/>
      <c r="EL111" s="1926"/>
      <c r="EM111" s="1926"/>
      <c r="EN111" s="1926"/>
      <c r="EO111" s="1926"/>
      <c r="EP111" s="1926"/>
      <c r="EQ111" s="1926"/>
      <c r="ER111" s="1926"/>
      <c r="ES111" s="1926"/>
      <c r="ET111" s="1926"/>
      <c r="EU111" s="1926"/>
      <c r="EV111" s="1926"/>
      <c r="EW111" s="1926"/>
      <c r="EX111" s="1926"/>
      <c r="EY111" s="1926"/>
      <c r="EZ111" s="1926"/>
      <c r="FA111" s="1926"/>
      <c r="FB111" s="1926"/>
      <c r="FC111" s="1926"/>
      <c r="FD111" s="1926"/>
      <c r="FE111" s="1926"/>
      <c r="FF111" s="1926"/>
      <c r="FG111" s="1926"/>
      <c r="FH111" s="1926"/>
      <c r="FI111" s="1926"/>
      <c r="FJ111" s="1926"/>
      <c r="FK111" s="1926"/>
      <c r="FL111" s="1926"/>
      <c r="FM111" s="1926"/>
      <c r="FN111" s="1926"/>
      <c r="FO111" s="1926"/>
      <c r="FP111" s="1926"/>
      <c r="FQ111" s="1926"/>
      <c r="FR111" s="1926"/>
    </row>
    <row r="112" spans="1:237" s="37" customFormat="1" ht="14.25" hidden="1" customHeight="1">
      <c r="B112" s="37" t="s">
        <v>572</v>
      </c>
      <c r="D112" s="1922">
        <f t="shared" ref="D112:AF112" si="34">IF(D111&lt;&gt;0,IF($E7=0,0,$E7/($G7*12)),0)</f>
        <v>0</v>
      </c>
      <c r="E112" s="1922">
        <f t="shared" si="34"/>
        <v>0</v>
      </c>
      <c r="F112" s="1922">
        <f t="shared" si="34"/>
        <v>0</v>
      </c>
      <c r="G112" s="1922">
        <f t="shared" si="34"/>
        <v>0</v>
      </c>
      <c r="H112" s="1922">
        <f t="shared" si="34"/>
        <v>0</v>
      </c>
      <c r="I112" s="1922">
        <f t="shared" si="34"/>
        <v>0</v>
      </c>
      <c r="J112" s="1922">
        <f t="shared" si="34"/>
        <v>0</v>
      </c>
      <c r="K112" s="1922">
        <f t="shared" si="34"/>
        <v>0</v>
      </c>
      <c r="L112" s="1922">
        <f t="shared" si="34"/>
        <v>0</v>
      </c>
      <c r="M112" s="1922">
        <f t="shared" si="34"/>
        <v>0</v>
      </c>
      <c r="N112" s="1922">
        <f t="shared" si="34"/>
        <v>0</v>
      </c>
      <c r="O112" s="1922">
        <f t="shared" si="34"/>
        <v>0</v>
      </c>
      <c r="P112" s="1922">
        <f t="shared" si="34"/>
        <v>0</v>
      </c>
      <c r="Q112" s="1922">
        <f t="shared" si="34"/>
        <v>0</v>
      </c>
      <c r="R112" s="1922">
        <f t="shared" si="34"/>
        <v>0</v>
      </c>
      <c r="S112" s="1922">
        <f t="shared" si="34"/>
        <v>0</v>
      </c>
      <c r="T112" s="1922">
        <f t="shared" si="34"/>
        <v>0</v>
      </c>
      <c r="U112" s="1922">
        <f t="shared" si="34"/>
        <v>0</v>
      </c>
      <c r="V112" s="1922">
        <f t="shared" si="34"/>
        <v>0</v>
      </c>
      <c r="W112" s="1922">
        <f t="shared" si="34"/>
        <v>0</v>
      </c>
      <c r="X112" s="1922">
        <f t="shared" si="34"/>
        <v>0</v>
      </c>
      <c r="Y112" s="1922">
        <f t="shared" si="34"/>
        <v>0</v>
      </c>
      <c r="Z112" s="1924">
        <f t="shared" si="34"/>
        <v>0</v>
      </c>
      <c r="AA112" s="1924">
        <f t="shared" si="34"/>
        <v>0</v>
      </c>
      <c r="AB112" s="1925">
        <f t="shared" si="34"/>
        <v>0</v>
      </c>
      <c r="AC112" s="1922">
        <f t="shared" si="34"/>
        <v>0</v>
      </c>
      <c r="AD112" s="1922">
        <f t="shared" si="34"/>
        <v>0</v>
      </c>
      <c r="AE112" s="1922">
        <f t="shared" si="34"/>
        <v>0</v>
      </c>
      <c r="AF112" s="1922">
        <f t="shared" si="34"/>
        <v>0</v>
      </c>
      <c r="AG112" s="1922">
        <f>IF(AG111&lt;&gt;0,IF($E7=0,0,$E7/($G7*12)),0)</f>
        <v>0</v>
      </c>
      <c r="AH112" s="1922">
        <f>IF(AH111&lt;&gt;0,IF($E7=0,0,$E7/($G7*12)),0)</f>
        <v>0</v>
      </c>
      <c r="AI112" s="1922">
        <f>IF(AI111&lt;&gt;0,IF($E7=0,0,$E7/($G7*12)),0)</f>
        <v>0</v>
      </c>
      <c r="AJ112" s="1922">
        <f t="shared" ref="AJ112:AN112" si="35">IF(AJ111&lt;&gt;0,IF($E7=0,0,$E7/($G7*12)),0)</f>
        <v>0</v>
      </c>
      <c r="AK112" s="1922">
        <f t="shared" si="35"/>
        <v>0</v>
      </c>
      <c r="AL112" s="1922">
        <f t="shared" si="35"/>
        <v>0</v>
      </c>
      <c r="AM112" s="1922">
        <f t="shared" si="35"/>
        <v>0</v>
      </c>
      <c r="AN112" s="1955">
        <f t="shared" si="35"/>
        <v>0</v>
      </c>
      <c r="AO112" s="1922">
        <f t="shared" ref="AO112:BS112" si="36">IF(AO111&lt;&gt;0,IF($E7=0,0,$E7/($G7*12)),0)</f>
        <v>0</v>
      </c>
      <c r="AP112" s="1922">
        <f t="shared" si="36"/>
        <v>0</v>
      </c>
      <c r="AQ112" s="1922">
        <f t="shared" si="36"/>
        <v>0</v>
      </c>
      <c r="AR112" s="1922">
        <f t="shared" si="36"/>
        <v>0</v>
      </c>
      <c r="AS112" s="1922">
        <f t="shared" si="36"/>
        <v>0</v>
      </c>
      <c r="AT112" s="1922">
        <f t="shared" si="36"/>
        <v>0</v>
      </c>
      <c r="AU112" s="1922">
        <f t="shared" si="36"/>
        <v>0</v>
      </c>
      <c r="AV112" s="1922">
        <f t="shared" si="36"/>
        <v>0</v>
      </c>
      <c r="AW112" s="1922">
        <f t="shared" si="36"/>
        <v>0</v>
      </c>
      <c r="AX112" s="1922">
        <f t="shared" si="36"/>
        <v>0</v>
      </c>
      <c r="AY112" s="1922">
        <f t="shared" si="36"/>
        <v>0</v>
      </c>
      <c r="AZ112" s="1922">
        <f t="shared" si="36"/>
        <v>0</v>
      </c>
      <c r="BA112" s="1922">
        <f t="shared" si="36"/>
        <v>0</v>
      </c>
      <c r="BB112" s="1922">
        <f t="shared" si="36"/>
        <v>0</v>
      </c>
      <c r="BC112" s="1922">
        <f t="shared" si="36"/>
        <v>0</v>
      </c>
      <c r="BD112" s="1922">
        <f t="shared" si="36"/>
        <v>0</v>
      </c>
      <c r="BE112" s="1922">
        <f t="shared" si="36"/>
        <v>0</v>
      </c>
      <c r="BF112" s="1922">
        <f t="shared" si="36"/>
        <v>0</v>
      </c>
      <c r="BG112" s="1922">
        <f t="shared" si="36"/>
        <v>0</v>
      </c>
      <c r="BH112" s="1922">
        <f t="shared" si="36"/>
        <v>0</v>
      </c>
      <c r="BI112" s="1922">
        <f t="shared" si="36"/>
        <v>0</v>
      </c>
      <c r="BJ112" s="1922">
        <f t="shared" si="36"/>
        <v>0</v>
      </c>
      <c r="BK112" s="1922">
        <f t="shared" si="36"/>
        <v>0</v>
      </c>
      <c r="BL112" s="1922">
        <f t="shared" si="36"/>
        <v>0</v>
      </c>
      <c r="BM112" s="1922">
        <f t="shared" si="36"/>
        <v>0</v>
      </c>
      <c r="BN112" s="1922">
        <f t="shared" si="36"/>
        <v>0</v>
      </c>
      <c r="BO112" s="1922">
        <f t="shared" si="36"/>
        <v>0</v>
      </c>
      <c r="BP112" s="1922">
        <f t="shared" si="36"/>
        <v>0</v>
      </c>
      <c r="BQ112" s="1922">
        <f t="shared" si="36"/>
        <v>0</v>
      </c>
      <c r="BR112" s="1922">
        <f t="shared" si="36"/>
        <v>0</v>
      </c>
      <c r="BS112" s="1922">
        <f t="shared" si="36"/>
        <v>0</v>
      </c>
      <c r="BT112" s="1922">
        <f t="shared" ref="BT112:BW112" si="37">IF(BT111&lt;&gt;0,IF($E7=0,0,$E7/($G7*12)),0)</f>
        <v>0</v>
      </c>
      <c r="BU112" s="1922">
        <f t="shared" si="37"/>
        <v>0</v>
      </c>
      <c r="BV112" s="1922">
        <f t="shared" si="37"/>
        <v>0</v>
      </c>
      <c r="BW112" s="1924">
        <f t="shared" si="37"/>
        <v>0</v>
      </c>
      <c r="BX112" s="1926"/>
      <c r="BY112" s="1926"/>
      <c r="BZ112" s="1926"/>
      <c r="CA112" s="1926"/>
      <c r="CB112" s="1926"/>
      <c r="CC112" s="1926"/>
      <c r="CD112" s="1926"/>
      <c r="CE112" s="1926"/>
      <c r="CF112" s="1926"/>
      <c r="CG112" s="1926"/>
      <c r="CH112" s="1926"/>
      <c r="CI112" s="1926"/>
      <c r="CJ112" s="1926"/>
      <c r="CK112" s="1926"/>
      <c r="CL112" s="1926"/>
      <c r="CM112" s="1926"/>
      <c r="CN112" s="1926"/>
      <c r="CO112" s="1926"/>
      <c r="CP112" s="1926"/>
      <c r="CQ112" s="1926"/>
      <c r="CR112" s="1926"/>
      <c r="CS112" s="1926"/>
      <c r="CT112" s="1926"/>
      <c r="CU112" s="1926"/>
      <c r="CV112" s="1926"/>
      <c r="CW112" s="1926"/>
      <c r="CX112" s="1926"/>
      <c r="CY112" s="1926"/>
      <c r="CZ112" s="1926"/>
      <c r="DA112" s="1926"/>
      <c r="DB112" s="1926"/>
      <c r="DC112" s="1926"/>
      <c r="DD112" s="1926"/>
      <c r="DE112" s="1926"/>
      <c r="DF112" s="1926"/>
      <c r="DG112" s="1926"/>
      <c r="DH112" s="1926"/>
      <c r="DI112" s="1926"/>
      <c r="DJ112" s="1926"/>
      <c r="DK112" s="1926"/>
      <c r="DL112" s="1926"/>
      <c r="DM112" s="1926"/>
      <c r="DN112" s="1926"/>
      <c r="DO112" s="1926"/>
      <c r="DP112" s="1926"/>
      <c r="DQ112" s="1926"/>
      <c r="DR112" s="1926"/>
      <c r="DS112" s="1926"/>
      <c r="DT112" s="1926"/>
      <c r="DU112" s="1926"/>
      <c r="DV112" s="1926"/>
      <c r="DW112" s="1926"/>
      <c r="DX112" s="1926"/>
      <c r="DY112" s="1926"/>
      <c r="DZ112" s="1926"/>
      <c r="EA112" s="1926"/>
      <c r="EB112" s="1926"/>
      <c r="EC112" s="1926"/>
      <c r="ED112" s="1926"/>
      <c r="EE112" s="1926"/>
      <c r="EF112" s="1926"/>
      <c r="EG112" s="1926"/>
      <c r="EH112" s="1926"/>
      <c r="EI112" s="1926"/>
      <c r="EJ112" s="1926"/>
      <c r="EK112" s="1926"/>
      <c r="EL112" s="1926"/>
      <c r="EM112" s="1926"/>
      <c r="EN112" s="1926"/>
      <c r="EO112" s="1926"/>
      <c r="EP112" s="1926"/>
      <c r="EQ112" s="1926"/>
      <c r="ER112" s="1926"/>
      <c r="ES112" s="1926"/>
      <c r="ET112" s="1926"/>
      <c r="EU112" s="1926"/>
      <c r="EV112" s="1926"/>
      <c r="EW112" s="1926"/>
      <c r="EX112" s="1926"/>
      <c r="EY112" s="1926"/>
      <c r="EZ112" s="1926"/>
      <c r="FA112" s="1926"/>
      <c r="FB112" s="1926"/>
      <c r="FC112" s="1926"/>
      <c r="FD112" s="1926"/>
      <c r="FE112" s="1926"/>
      <c r="FF112" s="1926"/>
      <c r="FG112" s="1926"/>
      <c r="FH112" s="1926"/>
      <c r="FI112" s="1926"/>
      <c r="FJ112" s="1926"/>
      <c r="FK112" s="1926"/>
      <c r="FL112" s="1926"/>
      <c r="FM112" s="1926"/>
      <c r="FN112" s="1926"/>
      <c r="FO112" s="1926"/>
      <c r="FP112" s="1926"/>
      <c r="FQ112" s="1926"/>
      <c r="FR112" s="1926"/>
    </row>
    <row r="113" spans="2:237" s="37" customFormat="1" ht="14.25" hidden="1" customHeight="1">
      <c r="B113" s="37" t="s">
        <v>570</v>
      </c>
      <c r="D113" s="1922">
        <f t="shared" ref="D113:AI113" si="38">IF($F8=D$103,$E8,0)</f>
        <v>0</v>
      </c>
      <c r="E113" s="1922">
        <f t="shared" si="38"/>
        <v>0</v>
      </c>
      <c r="F113" s="1922">
        <f t="shared" si="38"/>
        <v>0</v>
      </c>
      <c r="G113" s="1922">
        <f t="shared" si="38"/>
        <v>0</v>
      </c>
      <c r="H113" s="1922">
        <f t="shared" si="38"/>
        <v>0</v>
      </c>
      <c r="I113" s="1922">
        <f t="shared" si="38"/>
        <v>0</v>
      </c>
      <c r="J113" s="1922">
        <f t="shared" si="38"/>
        <v>0</v>
      </c>
      <c r="K113" s="1922">
        <f t="shared" si="38"/>
        <v>0</v>
      </c>
      <c r="L113" s="1922">
        <f t="shared" si="38"/>
        <v>0</v>
      </c>
      <c r="M113" s="1922">
        <f t="shared" si="38"/>
        <v>0</v>
      </c>
      <c r="N113" s="1922">
        <f t="shared" si="38"/>
        <v>0</v>
      </c>
      <c r="O113" s="1922">
        <f t="shared" si="38"/>
        <v>0</v>
      </c>
      <c r="P113" s="1922">
        <f t="shared" si="38"/>
        <v>0</v>
      </c>
      <c r="Q113" s="1922">
        <f t="shared" si="38"/>
        <v>0</v>
      </c>
      <c r="R113" s="1922">
        <f t="shared" si="38"/>
        <v>0</v>
      </c>
      <c r="S113" s="1922">
        <f t="shared" si="38"/>
        <v>0</v>
      </c>
      <c r="T113" s="1922">
        <f t="shared" si="38"/>
        <v>0</v>
      </c>
      <c r="U113" s="1922">
        <f t="shared" si="38"/>
        <v>0</v>
      </c>
      <c r="V113" s="1922">
        <f t="shared" si="38"/>
        <v>0</v>
      </c>
      <c r="W113" s="1922">
        <f t="shared" si="38"/>
        <v>0</v>
      </c>
      <c r="X113" s="1922">
        <f t="shared" si="38"/>
        <v>0</v>
      </c>
      <c r="Y113" s="1922">
        <f t="shared" si="38"/>
        <v>0</v>
      </c>
      <c r="Z113" s="1922">
        <f t="shared" si="38"/>
        <v>0</v>
      </c>
      <c r="AA113" s="1922">
        <f t="shared" si="38"/>
        <v>0</v>
      </c>
      <c r="AB113" s="1922">
        <f t="shared" si="38"/>
        <v>0</v>
      </c>
      <c r="AC113" s="1922">
        <f t="shared" si="38"/>
        <v>0</v>
      </c>
      <c r="AD113" s="1922">
        <f t="shared" si="38"/>
        <v>0</v>
      </c>
      <c r="AE113" s="1922">
        <f t="shared" si="38"/>
        <v>0</v>
      </c>
      <c r="AF113" s="1922">
        <f t="shared" si="38"/>
        <v>0</v>
      </c>
      <c r="AG113" s="1922">
        <f t="shared" si="38"/>
        <v>0</v>
      </c>
      <c r="AH113" s="1922">
        <f t="shared" si="38"/>
        <v>0</v>
      </c>
      <c r="AI113" s="1922">
        <f t="shared" si="38"/>
        <v>0</v>
      </c>
      <c r="AJ113" s="1922">
        <f t="shared" ref="AJ113:BO113" si="39">IF($F8=AJ$103,$E8,0)</f>
        <v>0</v>
      </c>
      <c r="AK113" s="1922">
        <f t="shared" si="39"/>
        <v>0</v>
      </c>
      <c r="AL113" s="1922">
        <f t="shared" si="39"/>
        <v>0</v>
      </c>
      <c r="AM113" s="1922">
        <f t="shared" si="39"/>
        <v>0</v>
      </c>
      <c r="AN113" s="1955">
        <f t="shared" si="39"/>
        <v>0</v>
      </c>
      <c r="AO113" s="1922">
        <f t="shared" si="39"/>
        <v>0</v>
      </c>
      <c r="AP113" s="1922">
        <f t="shared" si="39"/>
        <v>0</v>
      </c>
      <c r="AQ113" s="1922">
        <f t="shared" si="39"/>
        <v>0</v>
      </c>
      <c r="AR113" s="1922">
        <f t="shared" si="39"/>
        <v>0</v>
      </c>
      <c r="AS113" s="1922">
        <f t="shared" si="39"/>
        <v>0</v>
      </c>
      <c r="AT113" s="1922">
        <f t="shared" si="39"/>
        <v>0</v>
      </c>
      <c r="AU113" s="1922">
        <f t="shared" si="39"/>
        <v>0</v>
      </c>
      <c r="AV113" s="1922">
        <f t="shared" si="39"/>
        <v>0</v>
      </c>
      <c r="AW113" s="1922">
        <f t="shared" si="39"/>
        <v>0</v>
      </c>
      <c r="AX113" s="1922">
        <f t="shared" si="39"/>
        <v>0</v>
      </c>
      <c r="AY113" s="1922">
        <f t="shared" si="39"/>
        <v>0</v>
      </c>
      <c r="AZ113" s="1922">
        <f t="shared" si="39"/>
        <v>0</v>
      </c>
      <c r="BA113" s="1922">
        <f t="shared" si="39"/>
        <v>0</v>
      </c>
      <c r="BB113" s="1922">
        <f t="shared" si="39"/>
        <v>0</v>
      </c>
      <c r="BC113" s="1922">
        <f t="shared" si="39"/>
        <v>0</v>
      </c>
      <c r="BD113" s="1922">
        <f t="shared" si="39"/>
        <v>0</v>
      </c>
      <c r="BE113" s="1922">
        <f t="shared" si="39"/>
        <v>0</v>
      </c>
      <c r="BF113" s="1922">
        <f t="shared" si="39"/>
        <v>0</v>
      </c>
      <c r="BG113" s="1922">
        <f t="shared" si="39"/>
        <v>0</v>
      </c>
      <c r="BH113" s="1922">
        <f t="shared" si="39"/>
        <v>0</v>
      </c>
      <c r="BI113" s="1922">
        <f t="shared" si="39"/>
        <v>0</v>
      </c>
      <c r="BJ113" s="1922">
        <f t="shared" si="39"/>
        <v>0</v>
      </c>
      <c r="BK113" s="1922">
        <f t="shared" si="39"/>
        <v>0</v>
      </c>
      <c r="BL113" s="1922">
        <f t="shared" si="39"/>
        <v>0</v>
      </c>
      <c r="BM113" s="1922">
        <f t="shared" si="39"/>
        <v>0</v>
      </c>
      <c r="BN113" s="1922">
        <f t="shared" si="39"/>
        <v>0</v>
      </c>
      <c r="BO113" s="1922">
        <f t="shared" si="39"/>
        <v>0</v>
      </c>
      <c r="BP113" s="1922">
        <f t="shared" ref="BP113:BW113" si="40">IF($F8=BP$103,$E8,0)</f>
        <v>0</v>
      </c>
      <c r="BQ113" s="1922">
        <f t="shared" si="40"/>
        <v>0</v>
      </c>
      <c r="BR113" s="1922">
        <f t="shared" si="40"/>
        <v>0</v>
      </c>
      <c r="BS113" s="1922">
        <f t="shared" si="40"/>
        <v>0</v>
      </c>
      <c r="BT113" s="1922">
        <f t="shared" si="40"/>
        <v>0</v>
      </c>
      <c r="BU113" s="1922">
        <f t="shared" si="40"/>
        <v>0</v>
      </c>
      <c r="BV113" s="1922">
        <f t="shared" si="40"/>
        <v>0</v>
      </c>
      <c r="BW113" s="1924">
        <f t="shared" si="40"/>
        <v>0</v>
      </c>
      <c r="BX113" s="1926"/>
      <c r="BY113" s="1926"/>
      <c r="BZ113" s="1926"/>
      <c r="CA113" s="1926"/>
      <c r="CB113" s="1926"/>
      <c r="CC113" s="1926"/>
      <c r="CD113" s="1926"/>
      <c r="CE113" s="1926"/>
      <c r="CF113" s="1926"/>
      <c r="CG113" s="1926"/>
      <c r="CH113" s="1926"/>
      <c r="CI113" s="1926"/>
      <c r="CJ113" s="1926"/>
      <c r="CK113" s="1926"/>
      <c r="CL113" s="1926"/>
      <c r="CM113" s="1926"/>
      <c r="CN113" s="1926"/>
      <c r="CO113" s="1926"/>
      <c r="CP113" s="1926"/>
      <c r="CQ113" s="1926"/>
      <c r="CR113" s="1926"/>
      <c r="CS113" s="1926"/>
      <c r="CT113" s="1926"/>
      <c r="CU113" s="1926"/>
      <c r="CV113" s="1926"/>
      <c r="CW113" s="1926"/>
      <c r="CX113" s="1926"/>
      <c r="CY113" s="1926"/>
      <c r="CZ113" s="1926"/>
      <c r="DA113" s="1926"/>
      <c r="DB113" s="1926"/>
      <c r="DC113" s="1926"/>
      <c r="DD113" s="1926"/>
      <c r="DE113" s="1926"/>
      <c r="DF113" s="1926"/>
      <c r="DG113" s="1926"/>
      <c r="DH113" s="1926"/>
      <c r="DI113" s="1926"/>
      <c r="DJ113" s="1926"/>
      <c r="DK113" s="1926"/>
      <c r="DL113" s="1926"/>
      <c r="DM113" s="1926"/>
      <c r="DN113" s="1926"/>
      <c r="DO113" s="1926"/>
      <c r="DP113" s="1926"/>
      <c r="DQ113" s="1926"/>
      <c r="DR113" s="1926"/>
      <c r="DS113" s="1926"/>
      <c r="DT113" s="1926"/>
      <c r="DU113" s="1926"/>
      <c r="DV113" s="1926"/>
      <c r="DW113" s="1926"/>
      <c r="DX113" s="1926"/>
      <c r="DY113" s="1926"/>
      <c r="DZ113" s="1926"/>
      <c r="EA113" s="1926"/>
      <c r="EB113" s="1926"/>
      <c r="EC113" s="1926"/>
      <c r="ED113" s="1926"/>
      <c r="EE113" s="1926"/>
      <c r="EF113" s="1926"/>
      <c r="EG113" s="1926"/>
      <c r="EH113" s="1926"/>
      <c r="EI113" s="1926"/>
      <c r="EJ113" s="1926"/>
      <c r="EK113" s="1926"/>
      <c r="EL113" s="1926"/>
      <c r="EM113" s="1926"/>
      <c r="EN113" s="1926"/>
      <c r="EO113" s="1926"/>
      <c r="EP113" s="1926"/>
      <c r="EQ113" s="1926"/>
      <c r="ER113" s="1926"/>
      <c r="ES113" s="1926"/>
      <c r="ET113" s="1926"/>
      <c r="EU113" s="1926"/>
      <c r="EV113" s="1926"/>
      <c r="EW113" s="1926"/>
      <c r="EX113" s="1926"/>
      <c r="EY113" s="1926"/>
      <c r="EZ113" s="1926"/>
      <c r="FA113" s="1926"/>
      <c r="FB113" s="1926"/>
      <c r="FC113" s="1926"/>
      <c r="FD113" s="1926"/>
      <c r="FE113" s="1926"/>
      <c r="FF113" s="1926"/>
      <c r="FG113" s="1926"/>
      <c r="FH113" s="1926"/>
      <c r="FI113" s="1926"/>
      <c r="FJ113" s="1926"/>
      <c r="FK113" s="1926"/>
      <c r="FL113" s="1926"/>
      <c r="FM113" s="1926"/>
      <c r="FN113" s="1926"/>
      <c r="FO113" s="1926"/>
      <c r="FP113" s="1926"/>
      <c r="FQ113" s="1926"/>
      <c r="FR113" s="1926"/>
    </row>
    <row r="114" spans="2:237" s="37" customFormat="1" ht="14.25" hidden="1" customHeight="1">
      <c r="B114" s="1921" t="s">
        <v>571</v>
      </c>
      <c r="D114" s="1922">
        <f t="shared" ref="D114:AI114" si="41">IF($E8=D$113,1,IF(C114&gt;0,IF(C114&gt;=$G8*12,0,C114+1),0))</f>
        <v>1</v>
      </c>
      <c r="E114" s="1922">
        <f t="shared" si="41"/>
        <v>1</v>
      </c>
      <c r="F114" s="1922">
        <f t="shared" si="41"/>
        <v>1</v>
      </c>
      <c r="G114" s="1922">
        <f t="shared" si="41"/>
        <v>1</v>
      </c>
      <c r="H114" s="1922">
        <f t="shared" si="41"/>
        <v>1</v>
      </c>
      <c r="I114" s="1922">
        <f t="shared" si="41"/>
        <v>1</v>
      </c>
      <c r="J114" s="1922">
        <f t="shared" si="41"/>
        <v>1</v>
      </c>
      <c r="K114" s="1922">
        <f t="shared" si="41"/>
        <v>1</v>
      </c>
      <c r="L114" s="1922">
        <f t="shared" si="41"/>
        <v>1</v>
      </c>
      <c r="M114" s="1922">
        <f t="shared" si="41"/>
        <v>1</v>
      </c>
      <c r="N114" s="1922">
        <f t="shared" si="41"/>
        <v>1</v>
      </c>
      <c r="O114" s="1922">
        <f t="shared" si="41"/>
        <v>1</v>
      </c>
      <c r="P114" s="1922">
        <f t="shared" si="41"/>
        <v>1</v>
      </c>
      <c r="Q114" s="1922">
        <f t="shared" si="41"/>
        <v>1</v>
      </c>
      <c r="R114" s="1922">
        <f t="shared" si="41"/>
        <v>1</v>
      </c>
      <c r="S114" s="1922">
        <f t="shared" si="41"/>
        <v>1</v>
      </c>
      <c r="T114" s="1922">
        <f t="shared" si="41"/>
        <v>1</v>
      </c>
      <c r="U114" s="1922">
        <f t="shared" si="41"/>
        <v>1</v>
      </c>
      <c r="V114" s="1922">
        <f t="shared" si="41"/>
        <v>1</v>
      </c>
      <c r="W114" s="1922">
        <f t="shared" si="41"/>
        <v>1</v>
      </c>
      <c r="X114" s="1922">
        <f t="shared" si="41"/>
        <v>1</v>
      </c>
      <c r="Y114" s="1922">
        <f t="shared" si="41"/>
        <v>1</v>
      </c>
      <c r="Z114" s="1922">
        <f t="shared" si="41"/>
        <v>1</v>
      </c>
      <c r="AA114" s="1922">
        <f t="shared" si="41"/>
        <v>1</v>
      </c>
      <c r="AB114" s="1922">
        <f t="shared" si="41"/>
        <v>1</v>
      </c>
      <c r="AC114" s="1922">
        <f t="shared" si="41"/>
        <v>1</v>
      </c>
      <c r="AD114" s="1922">
        <f t="shared" si="41"/>
        <v>1</v>
      </c>
      <c r="AE114" s="1922">
        <f t="shared" si="41"/>
        <v>1</v>
      </c>
      <c r="AF114" s="1922">
        <f t="shared" si="41"/>
        <v>1</v>
      </c>
      <c r="AG114" s="1922">
        <f t="shared" si="41"/>
        <v>1</v>
      </c>
      <c r="AH114" s="1922">
        <f t="shared" si="41"/>
        <v>1</v>
      </c>
      <c r="AI114" s="1922">
        <f t="shared" si="41"/>
        <v>1</v>
      </c>
      <c r="AJ114" s="1922">
        <f t="shared" ref="AJ114:BO114" si="42">IF($E8=AJ$113,1,IF(AI114&gt;0,IF(AI114&gt;=$G8*12,0,AI114+1),0))</f>
        <v>1</v>
      </c>
      <c r="AK114" s="1922">
        <f t="shared" si="42"/>
        <v>1</v>
      </c>
      <c r="AL114" s="1922">
        <f t="shared" si="42"/>
        <v>1</v>
      </c>
      <c r="AM114" s="1922">
        <f t="shared" si="42"/>
        <v>1</v>
      </c>
      <c r="AN114" s="1955">
        <f t="shared" si="42"/>
        <v>1</v>
      </c>
      <c r="AO114" s="1922">
        <f t="shared" si="42"/>
        <v>1</v>
      </c>
      <c r="AP114" s="1922">
        <f t="shared" si="42"/>
        <v>1</v>
      </c>
      <c r="AQ114" s="1922">
        <f t="shared" si="42"/>
        <v>1</v>
      </c>
      <c r="AR114" s="1922">
        <f t="shared" si="42"/>
        <v>1</v>
      </c>
      <c r="AS114" s="1922">
        <f t="shared" si="42"/>
        <v>1</v>
      </c>
      <c r="AT114" s="1922">
        <f t="shared" si="42"/>
        <v>1</v>
      </c>
      <c r="AU114" s="1922">
        <f t="shared" si="42"/>
        <v>1</v>
      </c>
      <c r="AV114" s="1922">
        <f t="shared" si="42"/>
        <v>1</v>
      </c>
      <c r="AW114" s="1922">
        <f t="shared" si="42"/>
        <v>1</v>
      </c>
      <c r="AX114" s="1922">
        <f t="shared" si="42"/>
        <v>1</v>
      </c>
      <c r="AY114" s="1922">
        <f t="shared" si="42"/>
        <v>1</v>
      </c>
      <c r="AZ114" s="1922">
        <f t="shared" si="42"/>
        <v>1</v>
      </c>
      <c r="BA114" s="1922">
        <f t="shared" si="42"/>
        <v>1</v>
      </c>
      <c r="BB114" s="1922">
        <f t="shared" si="42"/>
        <v>1</v>
      </c>
      <c r="BC114" s="1922">
        <f t="shared" si="42"/>
        <v>1</v>
      </c>
      <c r="BD114" s="1922">
        <f t="shared" si="42"/>
        <v>1</v>
      </c>
      <c r="BE114" s="1922">
        <f t="shared" si="42"/>
        <v>1</v>
      </c>
      <c r="BF114" s="1922">
        <f t="shared" si="42"/>
        <v>1</v>
      </c>
      <c r="BG114" s="1922">
        <f t="shared" si="42"/>
        <v>1</v>
      </c>
      <c r="BH114" s="1922">
        <f t="shared" si="42"/>
        <v>1</v>
      </c>
      <c r="BI114" s="1922">
        <f t="shared" si="42"/>
        <v>1</v>
      </c>
      <c r="BJ114" s="1922">
        <f t="shared" si="42"/>
        <v>1</v>
      </c>
      <c r="BK114" s="1922">
        <f t="shared" si="42"/>
        <v>1</v>
      </c>
      <c r="BL114" s="1922">
        <f t="shared" si="42"/>
        <v>1</v>
      </c>
      <c r="BM114" s="1922">
        <f t="shared" si="42"/>
        <v>1</v>
      </c>
      <c r="BN114" s="1922">
        <f t="shared" si="42"/>
        <v>1</v>
      </c>
      <c r="BO114" s="1922">
        <f t="shared" si="42"/>
        <v>1</v>
      </c>
      <c r="BP114" s="1922">
        <f t="shared" ref="BP114:BW114" si="43">IF($E8=BP$113,1,IF(BO114&gt;0,IF(BO114&gt;=$G8*12,0,BO114+1),0))</f>
        <v>1</v>
      </c>
      <c r="BQ114" s="1922">
        <f t="shared" si="43"/>
        <v>1</v>
      </c>
      <c r="BR114" s="1922">
        <f t="shared" si="43"/>
        <v>1</v>
      </c>
      <c r="BS114" s="1922">
        <f t="shared" si="43"/>
        <v>1</v>
      </c>
      <c r="BT114" s="1922">
        <f t="shared" si="43"/>
        <v>1</v>
      </c>
      <c r="BU114" s="1922">
        <f t="shared" si="43"/>
        <v>1</v>
      </c>
      <c r="BV114" s="1922">
        <f t="shared" si="43"/>
        <v>1</v>
      </c>
      <c r="BW114" s="1924">
        <f t="shared" si="43"/>
        <v>1</v>
      </c>
      <c r="BX114" s="1926"/>
      <c r="BY114" s="1926"/>
      <c r="BZ114" s="1926"/>
      <c r="CA114" s="1926"/>
      <c r="CB114" s="1926"/>
      <c r="CC114" s="1926"/>
      <c r="CD114" s="1926"/>
      <c r="CE114" s="1926"/>
      <c r="CF114" s="1926"/>
      <c r="CG114" s="1926"/>
      <c r="CH114" s="1926"/>
      <c r="CI114" s="1926"/>
      <c r="CJ114" s="1926"/>
      <c r="CK114" s="1926"/>
      <c r="CL114" s="1926"/>
      <c r="CM114" s="1926"/>
      <c r="CN114" s="1926"/>
      <c r="CO114" s="1926"/>
      <c r="CP114" s="1926"/>
      <c r="CQ114" s="1926"/>
      <c r="CR114" s="1926"/>
      <c r="CS114" s="1926"/>
      <c r="CT114" s="1926"/>
      <c r="CU114" s="1926"/>
      <c r="CV114" s="1926"/>
      <c r="CW114" s="1926"/>
      <c r="CX114" s="1926"/>
      <c r="CY114" s="1926"/>
      <c r="CZ114" s="1926"/>
      <c r="DA114" s="1926"/>
      <c r="DB114" s="1926"/>
      <c r="DC114" s="1926"/>
      <c r="DD114" s="1926"/>
      <c r="DE114" s="1926"/>
      <c r="DF114" s="1926"/>
      <c r="DG114" s="1926"/>
      <c r="DH114" s="1926"/>
      <c r="DI114" s="1926"/>
      <c r="DJ114" s="1926"/>
      <c r="DK114" s="1926"/>
      <c r="DL114" s="1926"/>
      <c r="DM114" s="1926"/>
      <c r="DN114" s="1926"/>
      <c r="DO114" s="1926"/>
      <c r="DP114" s="1926"/>
      <c r="DQ114" s="1926"/>
      <c r="DR114" s="1926"/>
      <c r="DS114" s="1926"/>
      <c r="DT114" s="1926"/>
      <c r="DU114" s="1926"/>
      <c r="DV114" s="1926"/>
      <c r="DW114" s="1926"/>
      <c r="DX114" s="1926"/>
      <c r="DY114" s="1926"/>
      <c r="DZ114" s="1926"/>
      <c r="EA114" s="1926"/>
      <c r="EB114" s="1926"/>
      <c r="EC114" s="1926"/>
      <c r="ED114" s="1926"/>
      <c r="EE114" s="1926"/>
      <c r="EF114" s="1926"/>
      <c r="EG114" s="1926"/>
      <c r="EH114" s="1926"/>
      <c r="EI114" s="1926"/>
      <c r="EJ114" s="1926"/>
      <c r="EK114" s="1926"/>
      <c r="EL114" s="1926"/>
      <c r="EM114" s="1926"/>
      <c r="EN114" s="1926"/>
      <c r="EO114" s="1926"/>
      <c r="EP114" s="1926"/>
      <c r="EQ114" s="1926"/>
      <c r="ER114" s="1926"/>
      <c r="ES114" s="1926"/>
      <c r="ET114" s="1926"/>
      <c r="EU114" s="1926"/>
      <c r="EV114" s="1926"/>
      <c r="EW114" s="1926"/>
      <c r="EX114" s="1926"/>
      <c r="EY114" s="1926"/>
      <c r="EZ114" s="1926"/>
      <c r="FA114" s="1926"/>
      <c r="FB114" s="1926"/>
      <c r="FC114" s="1926"/>
      <c r="FD114" s="1926"/>
      <c r="FE114" s="1926"/>
      <c r="FF114" s="1926"/>
      <c r="FG114" s="1926"/>
      <c r="FH114" s="1926"/>
      <c r="FI114" s="1926"/>
      <c r="FJ114" s="1926"/>
      <c r="FK114" s="1926"/>
      <c r="FL114" s="1926"/>
      <c r="FM114" s="1926"/>
      <c r="FN114" s="1926"/>
      <c r="FO114" s="1926"/>
      <c r="FP114" s="1926"/>
      <c r="FQ114" s="1926"/>
      <c r="FR114" s="1926"/>
    </row>
    <row r="115" spans="2:237" s="37" customFormat="1" ht="14.25" hidden="1" customHeight="1">
      <c r="B115" s="37" t="s">
        <v>572</v>
      </c>
      <c r="D115" s="1922">
        <f t="shared" ref="D115:AI115" si="44">IF(D114&lt;&gt;0,IF($E8=0,0,$E8/($G8*12)),0)</f>
        <v>0</v>
      </c>
      <c r="E115" s="1922">
        <f t="shared" si="44"/>
        <v>0</v>
      </c>
      <c r="F115" s="1922">
        <f t="shared" si="44"/>
        <v>0</v>
      </c>
      <c r="G115" s="1922">
        <f t="shared" si="44"/>
        <v>0</v>
      </c>
      <c r="H115" s="1922">
        <f t="shared" si="44"/>
        <v>0</v>
      </c>
      <c r="I115" s="1922">
        <f t="shared" si="44"/>
        <v>0</v>
      </c>
      <c r="J115" s="1922">
        <f t="shared" si="44"/>
        <v>0</v>
      </c>
      <c r="K115" s="1922">
        <f t="shared" si="44"/>
        <v>0</v>
      </c>
      <c r="L115" s="1922">
        <f t="shared" si="44"/>
        <v>0</v>
      </c>
      <c r="M115" s="1922">
        <f t="shared" si="44"/>
        <v>0</v>
      </c>
      <c r="N115" s="1922">
        <f t="shared" si="44"/>
        <v>0</v>
      </c>
      <c r="O115" s="1922">
        <f t="shared" si="44"/>
        <v>0</v>
      </c>
      <c r="P115" s="1922">
        <f t="shared" si="44"/>
        <v>0</v>
      </c>
      <c r="Q115" s="1922">
        <f t="shared" si="44"/>
        <v>0</v>
      </c>
      <c r="R115" s="1922">
        <f t="shared" si="44"/>
        <v>0</v>
      </c>
      <c r="S115" s="1922">
        <f t="shared" si="44"/>
        <v>0</v>
      </c>
      <c r="T115" s="1922">
        <f t="shared" si="44"/>
        <v>0</v>
      </c>
      <c r="U115" s="1922">
        <f t="shared" si="44"/>
        <v>0</v>
      </c>
      <c r="V115" s="1922">
        <f t="shared" si="44"/>
        <v>0</v>
      </c>
      <c r="W115" s="1922">
        <f t="shared" si="44"/>
        <v>0</v>
      </c>
      <c r="X115" s="1922">
        <f t="shared" si="44"/>
        <v>0</v>
      </c>
      <c r="Y115" s="1922">
        <f t="shared" si="44"/>
        <v>0</v>
      </c>
      <c r="Z115" s="1922">
        <f t="shared" si="44"/>
        <v>0</v>
      </c>
      <c r="AA115" s="1922">
        <f t="shared" si="44"/>
        <v>0</v>
      </c>
      <c r="AB115" s="1922">
        <f t="shared" si="44"/>
        <v>0</v>
      </c>
      <c r="AC115" s="1922">
        <f t="shared" si="44"/>
        <v>0</v>
      </c>
      <c r="AD115" s="1922">
        <f t="shared" si="44"/>
        <v>0</v>
      </c>
      <c r="AE115" s="1922">
        <f t="shared" si="44"/>
        <v>0</v>
      </c>
      <c r="AF115" s="1922">
        <f t="shared" si="44"/>
        <v>0</v>
      </c>
      <c r="AG115" s="1922">
        <f t="shared" si="44"/>
        <v>0</v>
      </c>
      <c r="AH115" s="1922">
        <f t="shared" si="44"/>
        <v>0</v>
      </c>
      <c r="AI115" s="1922">
        <f t="shared" si="44"/>
        <v>0</v>
      </c>
      <c r="AJ115" s="1922">
        <f t="shared" ref="AJ115:BO115" si="45">IF(AJ114&lt;&gt;0,IF($E8=0,0,$E8/($G8*12)),0)</f>
        <v>0</v>
      </c>
      <c r="AK115" s="1922">
        <f t="shared" si="45"/>
        <v>0</v>
      </c>
      <c r="AL115" s="1922">
        <f t="shared" si="45"/>
        <v>0</v>
      </c>
      <c r="AM115" s="1922">
        <f t="shared" si="45"/>
        <v>0</v>
      </c>
      <c r="AN115" s="1955">
        <f t="shared" si="45"/>
        <v>0</v>
      </c>
      <c r="AO115" s="1922">
        <f t="shared" si="45"/>
        <v>0</v>
      </c>
      <c r="AP115" s="1922">
        <f t="shared" si="45"/>
        <v>0</v>
      </c>
      <c r="AQ115" s="1922">
        <f t="shared" si="45"/>
        <v>0</v>
      </c>
      <c r="AR115" s="1922">
        <f t="shared" si="45"/>
        <v>0</v>
      </c>
      <c r="AS115" s="1922">
        <f t="shared" si="45"/>
        <v>0</v>
      </c>
      <c r="AT115" s="1922">
        <f t="shared" si="45"/>
        <v>0</v>
      </c>
      <c r="AU115" s="1922">
        <f t="shared" si="45"/>
        <v>0</v>
      </c>
      <c r="AV115" s="1922">
        <f t="shared" si="45"/>
        <v>0</v>
      </c>
      <c r="AW115" s="1922">
        <f t="shared" si="45"/>
        <v>0</v>
      </c>
      <c r="AX115" s="1922">
        <f t="shared" si="45"/>
        <v>0</v>
      </c>
      <c r="AY115" s="1922">
        <f t="shared" si="45"/>
        <v>0</v>
      </c>
      <c r="AZ115" s="1922">
        <f t="shared" si="45"/>
        <v>0</v>
      </c>
      <c r="BA115" s="1922">
        <f t="shared" si="45"/>
        <v>0</v>
      </c>
      <c r="BB115" s="1922">
        <f t="shared" si="45"/>
        <v>0</v>
      </c>
      <c r="BC115" s="1922">
        <f t="shared" si="45"/>
        <v>0</v>
      </c>
      <c r="BD115" s="1922">
        <f t="shared" si="45"/>
        <v>0</v>
      </c>
      <c r="BE115" s="1922">
        <f t="shared" si="45"/>
        <v>0</v>
      </c>
      <c r="BF115" s="1922">
        <f t="shared" si="45"/>
        <v>0</v>
      </c>
      <c r="BG115" s="1922">
        <f t="shared" si="45"/>
        <v>0</v>
      </c>
      <c r="BH115" s="1922">
        <f t="shared" si="45"/>
        <v>0</v>
      </c>
      <c r="BI115" s="1922">
        <f t="shared" si="45"/>
        <v>0</v>
      </c>
      <c r="BJ115" s="1922">
        <f t="shared" si="45"/>
        <v>0</v>
      </c>
      <c r="BK115" s="1922">
        <f t="shared" si="45"/>
        <v>0</v>
      </c>
      <c r="BL115" s="1922">
        <f t="shared" si="45"/>
        <v>0</v>
      </c>
      <c r="BM115" s="1922">
        <f t="shared" si="45"/>
        <v>0</v>
      </c>
      <c r="BN115" s="1922">
        <f t="shared" si="45"/>
        <v>0</v>
      </c>
      <c r="BO115" s="1922">
        <f t="shared" si="45"/>
        <v>0</v>
      </c>
      <c r="BP115" s="1922">
        <f t="shared" ref="BP115:BW115" si="46">IF(BP114&lt;&gt;0,IF($E8=0,0,$E8/($G8*12)),0)</f>
        <v>0</v>
      </c>
      <c r="BQ115" s="1922">
        <f t="shared" si="46"/>
        <v>0</v>
      </c>
      <c r="BR115" s="1922">
        <f t="shared" si="46"/>
        <v>0</v>
      </c>
      <c r="BS115" s="1922">
        <f t="shared" si="46"/>
        <v>0</v>
      </c>
      <c r="BT115" s="1922">
        <f t="shared" si="46"/>
        <v>0</v>
      </c>
      <c r="BU115" s="1922">
        <f t="shared" si="46"/>
        <v>0</v>
      </c>
      <c r="BV115" s="1922">
        <f t="shared" si="46"/>
        <v>0</v>
      </c>
      <c r="BW115" s="1924">
        <f t="shared" si="46"/>
        <v>0</v>
      </c>
      <c r="BX115" s="1926"/>
      <c r="BY115" s="1926"/>
      <c r="BZ115" s="1926"/>
      <c r="CA115" s="1926"/>
      <c r="CB115" s="1926"/>
      <c r="CC115" s="1926"/>
      <c r="CD115" s="1926"/>
      <c r="CE115" s="1926"/>
      <c r="CF115" s="1926"/>
      <c r="CG115" s="1926"/>
      <c r="CH115" s="1926"/>
      <c r="CI115" s="1926"/>
      <c r="CJ115" s="1926"/>
      <c r="CK115" s="1926"/>
      <c r="CL115" s="1926"/>
      <c r="CM115" s="1926"/>
      <c r="CN115" s="1926"/>
      <c r="CO115" s="1926"/>
      <c r="CP115" s="1926"/>
      <c r="CQ115" s="1926"/>
      <c r="CR115" s="1926"/>
      <c r="CS115" s="1926"/>
      <c r="CT115" s="1926"/>
      <c r="CU115" s="1926"/>
      <c r="CV115" s="1926"/>
      <c r="CW115" s="1926"/>
      <c r="CX115" s="1926"/>
      <c r="CY115" s="1926"/>
      <c r="CZ115" s="1926"/>
      <c r="DA115" s="1926"/>
      <c r="DB115" s="1926"/>
      <c r="DC115" s="1926"/>
      <c r="DD115" s="1926"/>
      <c r="DE115" s="1926"/>
      <c r="DF115" s="1926"/>
      <c r="DG115" s="1926"/>
      <c r="DH115" s="1926"/>
      <c r="DI115" s="1926"/>
      <c r="DJ115" s="1926"/>
      <c r="DK115" s="1926"/>
      <c r="DL115" s="1926"/>
      <c r="DM115" s="1926"/>
      <c r="DN115" s="1926"/>
      <c r="DO115" s="1926"/>
      <c r="DP115" s="1926"/>
      <c r="DQ115" s="1926"/>
      <c r="DR115" s="1926"/>
      <c r="DS115" s="1926"/>
      <c r="DT115" s="1926"/>
      <c r="DU115" s="1926"/>
      <c r="DV115" s="1926"/>
      <c r="DW115" s="1926"/>
      <c r="DX115" s="1926"/>
      <c r="DY115" s="1926"/>
      <c r="DZ115" s="1926"/>
      <c r="EA115" s="1926"/>
      <c r="EB115" s="1926"/>
      <c r="EC115" s="1926"/>
      <c r="ED115" s="1926"/>
      <c r="EE115" s="1926"/>
      <c r="EF115" s="1926"/>
      <c r="EG115" s="1926"/>
      <c r="EH115" s="1926"/>
      <c r="EI115" s="1926"/>
      <c r="EJ115" s="1926"/>
      <c r="EK115" s="1926"/>
      <c r="EL115" s="1926"/>
      <c r="EM115" s="1926"/>
      <c r="EN115" s="1926"/>
      <c r="EO115" s="1926"/>
      <c r="EP115" s="1926"/>
      <c r="EQ115" s="1926"/>
      <c r="ER115" s="1926"/>
      <c r="ES115" s="1926"/>
      <c r="ET115" s="1926"/>
      <c r="EU115" s="1926"/>
      <c r="EV115" s="1926"/>
      <c r="EW115" s="1926"/>
      <c r="EX115" s="1926"/>
      <c r="EY115" s="1926"/>
      <c r="EZ115" s="1926"/>
      <c r="FA115" s="1926"/>
      <c r="FB115" s="1926"/>
      <c r="FC115" s="1926"/>
      <c r="FD115" s="1926"/>
      <c r="FE115" s="1926"/>
      <c r="FF115" s="1926"/>
      <c r="FG115" s="1926"/>
      <c r="FH115" s="1926"/>
      <c r="FI115" s="1926"/>
      <c r="FJ115" s="1926"/>
      <c r="FK115" s="1926"/>
      <c r="FL115" s="1926"/>
      <c r="FM115" s="1926"/>
      <c r="FN115" s="1926"/>
      <c r="FO115" s="1926"/>
      <c r="FP115" s="1926"/>
      <c r="FQ115" s="1926"/>
      <c r="FR115" s="1926"/>
    </row>
    <row r="116" spans="2:237" s="37" customFormat="1" ht="14.25" hidden="1" customHeight="1">
      <c r="B116" s="37" t="s">
        <v>570</v>
      </c>
      <c r="D116" s="1922">
        <f t="shared" ref="D116:AI116" si="47">IF($F9=D$103,$E9,0)</f>
        <v>0</v>
      </c>
      <c r="E116" s="1922">
        <f t="shared" si="47"/>
        <v>0</v>
      </c>
      <c r="F116" s="1922">
        <f t="shared" si="47"/>
        <v>0</v>
      </c>
      <c r="G116" s="1922">
        <f t="shared" si="47"/>
        <v>0</v>
      </c>
      <c r="H116" s="1922">
        <f t="shared" si="47"/>
        <v>0</v>
      </c>
      <c r="I116" s="1922">
        <f t="shared" si="47"/>
        <v>0</v>
      </c>
      <c r="J116" s="1922">
        <f t="shared" si="47"/>
        <v>0</v>
      </c>
      <c r="K116" s="1922">
        <f t="shared" si="47"/>
        <v>0</v>
      </c>
      <c r="L116" s="1922">
        <f t="shared" si="47"/>
        <v>0</v>
      </c>
      <c r="M116" s="1922">
        <f t="shared" si="47"/>
        <v>0</v>
      </c>
      <c r="N116" s="1922">
        <f t="shared" si="47"/>
        <v>0</v>
      </c>
      <c r="O116" s="1922">
        <f t="shared" si="47"/>
        <v>0</v>
      </c>
      <c r="P116" s="1922">
        <f t="shared" si="47"/>
        <v>0</v>
      </c>
      <c r="Q116" s="1922">
        <f t="shared" si="47"/>
        <v>0</v>
      </c>
      <c r="R116" s="1922">
        <f t="shared" si="47"/>
        <v>0</v>
      </c>
      <c r="S116" s="1922">
        <f t="shared" si="47"/>
        <v>0</v>
      </c>
      <c r="T116" s="1922">
        <f t="shared" si="47"/>
        <v>0</v>
      </c>
      <c r="U116" s="1922">
        <f t="shared" si="47"/>
        <v>0</v>
      </c>
      <c r="V116" s="1922">
        <f t="shared" si="47"/>
        <v>0</v>
      </c>
      <c r="W116" s="1922">
        <f t="shared" si="47"/>
        <v>0</v>
      </c>
      <c r="X116" s="1922">
        <f t="shared" si="47"/>
        <v>0</v>
      </c>
      <c r="Y116" s="1922">
        <f t="shared" si="47"/>
        <v>0</v>
      </c>
      <c r="Z116" s="1922">
        <f t="shared" si="47"/>
        <v>0</v>
      </c>
      <c r="AA116" s="1922">
        <f t="shared" si="47"/>
        <v>0</v>
      </c>
      <c r="AB116" s="1922">
        <f t="shared" si="47"/>
        <v>0</v>
      </c>
      <c r="AC116" s="1922">
        <f t="shared" si="47"/>
        <v>0</v>
      </c>
      <c r="AD116" s="1922">
        <f t="shared" si="47"/>
        <v>0</v>
      </c>
      <c r="AE116" s="1922">
        <f t="shared" si="47"/>
        <v>0</v>
      </c>
      <c r="AF116" s="1922">
        <f t="shared" si="47"/>
        <v>0</v>
      </c>
      <c r="AG116" s="1922">
        <f t="shared" si="47"/>
        <v>0</v>
      </c>
      <c r="AH116" s="1922">
        <f t="shared" si="47"/>
        <v>0</v>
      </c>
      <c r="AI116" s="1922">
        <f t="shared" si="47"/>
        <v>0</v>
      </c>
      <c r="AJ116" s="1922">
        <f t="shared" ref="AJ116:BO116" si="48">IF($F9=AJ$103,$E9,0)</f>
        <v>0</v>
      </c>
      <c r="AK116" s="1922">
        <f t="shared" si="48"/>
        <v>0</v>
      </c>
      <c r="AL116" s="1922">
        <f t="shared" si="48"/>
        <v>0</v>
      </c>
      <c r="AM116" s="1922">
        <f t="shared" si="48"/>
        <v>0</v>
      </c>
      <c r="AN116" s="1955">
        <f t="shared" si="48"/>
        <v>0</v>
      </c>
      <c r="AO116" s="1922">
        <f t="shared" si="48"/>
        <v>0</v>
      </c>
      <c r="AP116" s="1922">
        <f t="shared" si="48"/>
        <v>0</v>
      </c>
      <c r="AQ116" s="1922">
        <f t="shared" si="48"/>
        <v>0</v>
      </c>
      <c r="AR116" s="1922">
        <f t="shared" si="48"/>
        <v>0</v>
      </c>
      <c r="AS116" s="1922">
        <f t="shared" si="48"/>
        <v>0</v>
      </c>
      <c r="AT116" s="1922">
        <f t="shared" si="48"/>
        <v>0</v>
      </c>
      <c r="AU116" s="1922">
        <f t="shared" si="48"/>
        <v>0</v>
      </c>
      <c r="AV116" s="1922">
        <f t="shared" si="48"/>
        <v>0</v>
      </c>
      <c r="AW116" s="1922">
        <f t="shared" si="48"/>
        <v>0</v>
      </c>
      <c r="AX116" s="1922">
        <f t="shared" si="48"/>
        <v>0</v>
      </c>
      <c r="AY116" s="1922">
        <f t="shared" si="48"/>
        <v>0</v>
      </c>
      <c r="AZ116" s="1922">
        <f t="shared" si="48"/>
        <v>0</v>
      </c>
      <c r="BA116" s="1922">
        <f t="shared" si="48"/>
        <v>0</v>
      </c>
      <c r="BB116" s="1922">
        <f t="shared" si="48"/>
        <v>0</v>
      </c>
      <c r="BC116" s="1922">
        <f t="shared" si="48"/>
        <v>0</v>
      </c>
      <c r="BD116" s="1922">
        <f t="shared" si="48"/>
        <v>0</v>
      </c>
      <c r="BE116" s="1922">
        <f t="shared" si="48"/>
        <v>0</v>
      </c>
      <c r="BF116" s="1922">
        <f t="shared" si="48"/>
        <v>0</v>
      </c>
      <c r="BG116" s="1922">
        <f t="shared" si="48"/>
        <v>0</v>
      </c>
      <c r="BH116" s="1922">
        <f t="shared" si="48"/>
        <v>0</v>
      </c>
      <c r="BI116" s="1922">
        <f t="shared" si="48"/>
        <v>0</v>
      </c>
      <c r="BJ116" s="1922">
        <f t="shared" si="48"/>
        <v>0</v>
      </c>
      <c r="BK116" s="1922">
        <f t="shared" si="48"/>
        <v>0</v>
      </c>
      <c r="BL116" s="1922">
        <f t="shared" si="48"/>
        <v>0</v>
      </c>
      <c r="BM116" s="1922">
        <f t="shared" si="48"/>
        <v>0</v>
      </c>
      <c r="BN116" s="1922">
        <f t="shared" si="48"/>
        <v>0</v>
      </c>
      <c r="BO116" s="1922">
        <f t="shared" si="48"/>
        <v>0</v>
      </c>
      <c r="BP116" s="1922">
        <f t="shared" ref="BP116:BW116" si="49">IF($F9=BP$103,$E9,0)</f>
        <v>0</v>
      </c>
      <c r="BQ116" s="1922">
        <f t="shared" si="49"/>
        <v>0</v>
      </c>
      <c r="BR116" s="1922">
        <f t="shared" si="49"/>
        <v>0</v>
      </c>
      <c r="BS116" s="1922">
        <f t="shared" si="49"/>
        <v>0</v>
      </c>
      <c r="BT116" s="1922">
        <f t="shared" si="49"/>
        <v>0</v>
      </c>
      <c r="BU116" s="1922">
        <f t="shared" si="49"/>
        <v>0</v>
      </c>
      <c r="BV116" s="1922">
        <f t="shared" si="49"/>
        <v>0</v>
      </c>
      <c r="BW116" s="1924">
        <f t="shared" si="49"/>
        <v>0</v>
      </c>
      <c r="BX116" s="1926"/>
      <c r="BY116" s="1926"/>
      <c r="BZ116" s="1926"/>
      <c r="CA116" s="1926"/>
      <c r="CB116" s="1926"/>
      <c r="CC116" s="1926"/>
      <c r="CD116" s="1926"/>
      <c r="CE116" s="1926"/>
      <c r="CF116" s="1926"/>
      <c r="CG116" s="1926"/>
      <c r="CH116" s="1926"/>
      <c r="CI116" s="1926"/>
      <c r="CJ116" s="1926"/>
      <c r="CK116" s="1926"/>
      <c r="CL116" s="1926"/>
      <c r="CM116" s="1926"/>
      <c r="CN116" s="1926"/>
      <c r="CO116" s="1926"/>
      <c r="CP116" s="1926"/>
      <c r="CQ116" s="1926"/>
      <c r="CR116" s="1926"/>
      <c r="CS116" s="1926"/>
      <c r="CT116" s="1926"/>
      <c r="CU116" s="1926"/>
      <c r="CV116" s="1926"/>
      <c r="CW116" s="1926"/>
      <c r="CX116" s="1926"/>
      <c r="CY116" s="1926"/>
      <c r="CZ116" s="1926"/>
      <c r="DA116" s="1926"/>
      <c r="DB116" s="1926"/>
      <c r="DC116" s="1926"/>
      <c r="DD116" s="1926"/>
      <c r="DE116" s="1926"/>
      <c r="DF116" s="1926"/>
      <c r="DG116" s="1926"/>
      <c r="DH116" s="1926"/>
      <c r="DI116" s="1926"/>
      <c r="DJ116" s="1926"/>
      <c r="DK116" s="1926"/>
      <c r="DL116" s="1926"/>
      <c r="DM116" s="1926"/>
      <c r="DN116" s="1926"/>
      <c r="DO116" s="1926"/>
      <c r="DP116" s="1926"/>
      <c r="DQ116" s="1926"/>
      <c r="DR116" s="1926"/>
      <c r="DS116" s="1926"/>
      <c r="DT116" s="1926"/>
      <c r="DU116" s="1926"/>
      <c r="DV116" s="1926"/>
      <c r="DW116" s="1926"/>
      <c r="DX116" s="1926"/>
      <c r="DY116" s="1926"/>
      <c r="DZ116" s="1926"/>
      <c r="EA116" s="1926"/>
      <c r="EB116" s="1926"/>
      <c r="EC116" s="1926"/>
      <c r="ED116" s="1926"/>
      <c r="EE116" s="1926"/>
      <c r="EF116" s="1926"/>
      <c r="EG116" s="1926"/>
      <c r="EH116" s="1926"/>
      <c r="EI116" s="1926"/>
      <c r="EJ116" s="1926"/>
      <c r="EK116" s="1926"/>
      <c r="EL116" s="1926"/>
      <c r="EM116" s="1926"/>
      <c r="EN116" s="1926"/>
      <c r="EO116" s="1926"/>
      <c r="EP116" s="1926"/>
      <c r="EQ116" s="1926"/>
      <c r="ER116" s="1926"/>
      <c r="ES116" s="1926"/>
      <c r="ET116" s="1926"/>
      <c r="EU116" s="1926"/>
      <c r="EV116" s="1926"/>
      <c r="EW116" s="1926"/>
      <c r="EX116" s="1926"/>
      <c r="EY116" s="1926"/>
      <c r="EZ116" s="1926"/>
      <c r="FA116" s="1926"/>
      <c r="FB116" s="1926"/>
      <c r="FC116" s="1926"/>
      <c r="FD116" s="1926"/>
      <c r="FE116" s="1926"/>
      <c r="FF116" s="1926"/>
      <c r="FG116" s="1926"/>
      <c r="FH116" s="1926"/>
      <c r="FI116" s="1926"/>
      <c r="FJ116" s="1926"/>
      <c r="FK116" s="1926"/>
      <c r="FL116" s="1926"/>
      <c r="FM116" s="1926"/>
      <c r="FN116" s="1926"/>
      <c r="FO116" s="1926"/>
      <c r="FP116" s="1926"/>
      <c r="FQ116" s="1926"/>
      <c r="FR116" s="1926"/>
    </row>
    <row r="117" spans="2:237" s="37" customFormat="1" ht="14.25" hidden="1" customHeight="1">
      <c r="B117" s="1921" t="s">
        <v>571</v>
      </c>
      <c r="D117" s="1922">
        <f t="shared" ref="D117:AI117" si="50">IF($E9=D$116,1,IF(C117&gt;0,IF(C117&gt;=$G9*12,0,C117+1),0))</f>
        <v>1</v>
      </c>
      <c r="E117" s="1922">
        <f t="shared" si="50"/>
        <v>1</v>
      </c>
      <c r="F117" s="1922">
        <f t="shared" si="50"/>
        <v>1</v>
      </c>
      <c r="G117" s="1922">
        <f t="shared" si="50"/>
        <v>1</v>
      </c>
      <c r="H117" s="1922">
        <f t="shared" si="50"/>
        <v>1</v>
      </c>
      <c r="I117" s="1922">
        <f t="shared" si="50"/>
        <v>1</v>
      </c>
      <c r="J117" s="1922">
        <f t="shared" si="50"/>
        <v>1</v>
      </c>
      <c r="K117" s="1922">
        <f t="shared" si="50"/>
        <v>1</v>
      </c>
      <c r="L117" s="1922">
        <f t="shared" si="50"/>
        <v>1</v>
      </c>
      <c r="M117" s="1922">
        <f t="shared" si="50"/>
        <v>1</v>
      </c>
      <c r="N117" s="1922">
        <f t="shared" si="50"/>
        <v>1</v>
      </c>
      <c r="O117" s="1922">
        <f t="shared" si="50"/>
        <v>1</v>
      </c>
      <c r="P117" s="1922">
        <f t="shared" si="50"/>
        <v>1</v>
      </c>
      <c r="Q117" s="1922">
        <f t="shared" si="50"/>
        <v>1</v>
      </c>
      <c r="R117" s="1922">
        <f t="shared" si="50"/>
        <v>1</v>
      </c>
      <c r="S117" s="1922">
        <f t="shared" si="50"/>
        <v>1</v>
      </c>
      <c r="T117" s="1922">
        <f t="shared" si="50"/>
        <v>1</v>
      </c>
      <c r="U117" s="1922">
        <f t="shared" si="50"/>
        <v>1</v>
      </c>
      <c r="V117" s="1922">
        <f t="shared" si="50"/>
        <v>1</v>
      </c>
      <c r="W117" s="1922">
        <f t="shared" si="50"/>
        <v>1</v>
      </c>
      <c r="X117" s="1922">
        <f t="shared" si="50"/>
        <v>1</v>
      </c>
      <c r="Y117" s="1922">
        <f t="shared" si="50"/>
        <v>1</v>
      </c>
      <c r="Z117" s="1922">
        <f t="shared" si="50"/>
        <v>1</v>
      </c>
      <c r="AA117" s="1922">
        <f t="shared" si="50"/>
        <v>1</v>
      </c>
      <c r="AB117" s="1922">
        <f t="shared" si="50"/>
        <v>1</v>
      </c>
      <c r="AC117" s="1922">
        <f t="shared" si="50"/>
        <v>1</v>
      </c>
      <c r="AD117" s="1922">
        <f t="shared" si="50"/>
        <v>1</v>
      </c>
      <c r="AE117" s="1922">
        <f t="shared" si="50"/>
        <v>1</v>
      </c>
      <c r="AF117" s="1922">
        <f t="shared" si="50"/>
        <v>1</v>
      </c>
      <c r="AG117" s="1922">
        <f t="shared" si="50"/>
        <v>1</v>
      </c>
      <c r="AH117" s="1922">
        <f t="shared" si="50"/>
        <v>1</v>
      </c>
      <c r="AI117" s="1922">
        <f t="shared" si="50"/>
        <v>1</v>
      </c>
      <c r="AJ117" s="1922">
        <f t="shared" ref="AJ117:BO117" si="51">IF($E9=AJ$116,1,IF(AI117&gt;0,IF(AI117&gt;=$G9*12,0,AI117+1),0))</f>
        <v>1</v>
      </c>
      <c r="AK117" s="1922">
        <f t="shared" si="51"/>
        <v>1</v>
      </c>
      <c r="AL117" s="1922">
        <f t="shared" si="51"/>
        <v>1</v>
      </c>
      <c r="AM117" s="1922">
        <f t="shared" si="51"/>
        <v>1</v>
      </c>
      <c r="AN117" s="1955">
        <f t="shared" si="51"/>
        <v>1</v>
      </c>
      <c r="AO117" s="1922">
        <f t="shared" si="51"/>
        <v>1</v>
      </c>
      <c r="AP117" s="1922">
        <f t="shared" si="51"/>
        <v>1</v>
      </c>
      <c r="AQ117" s="1922">
        <f t="shared" si="51"/>
        <v>1</v>
      </c>
      <c r="AR117" s="1922">
        <f t="shared" si="51"/>
        <v>1</v>
      </c>
      <c r="AS117" s="1922">
        <f t="shared" si="51"/>
        <v>1</v>
      </c>
      <c r="AT117" s="1922">
        <f t="shared" si="51"/>
        <v>1</v>
      </c>
      <c r="AU117" s="1922">
        <f t="shared" si="51"/>
        <v>1</v>
      </c>
      <c r="AV117" s="1922">
        <f t="shared" si="51"/>
        <v>1</v>
      </c>
      <c r="AW117" s="1922">
        <f t="shared" si="51"/>
        <v>1</v>
      </c>
      <c r="AX117" s="1922">
        <f t="shared" si="51"/>
        <v>1</v>
      </c>
      <c r="AY117" s="1922">
        <f t="shared" si="51"/>
        <v>1</v>
      </c>
      <c r="AZ117" s="1922">
        <f t="shared" si="51"/>
        <v>1</v>
      </c>
      <c r="BA117" s="1922">
        <f t="shared" si="51"/>
        <v>1</v>
      </c>
      <c r="BB117" s="1922">
        <f t="shared" si="51"/>
        <v>1</v>
      </c>
      <c r="BC117" s="1922">
        <f t="shared" si="51"/>
        <v>1</v>
      </c>
      <c r="BD117" s="1922">
        <f t="shared" si="51"/>
        <v>1</v>
      </c>
      <c r="BE117" s="1922">
        <f t="shared" si="51"/>
        <v>1</v>
      </c>
      <c r="BF117" s="1922">
        <f t="shared" si="51"/>
        <v>1</v>
      </c>
      <c r="BG117" s="1922">
        <f t="shared" si="51"/>
        <v>1</v>
      </c>
      <c r="BH117" s="1922">
        <f t="shared" si="51"/>
        <v>1</v>
      </c>
      <c r="BI117" s="1922">
        <f t="shared" si="51"/>
        <v>1</v>
      </c>
      <c r="BJ117" s="1922">
        <f t="shared" si="51"/>
        <v>1</v>
      </c>
      <c r="BK117" s="1922">
        <f t="shared" si="51"/>
        <v>1</v>
      </c>
      <c r="BL117" s="1922">
        <f t="shared" si="51"/>
        <v>1</v>
      </c>
      <c r="BM117" s="1922">
        <f t="shared" si="51"/>
        <v>1</v>
      </c>
      <c r="BN117" s="1922">
        <f t="shared" si="51"/>
        <v>1</v>
      </c>
      <c r="BO117" s="1922">
        <f t="shared" si="51"/>
        <v>1</v>
      </c>
      <c r="BP117" s="1922">
        <f t="shared" ref="BP117:BW117" si="52">IF($E9=BP$116,1,IF(BO117&gt;0,IF(BO117&gt;=$G9*12,0,BO117+1),0))</f>
        <v>1</v>
      </c>
      <c r="BQ117" s="1922">
        <f t="shared" si="52"/>
        <v>1</v>
      </c>
      <c r="BR117" s="1922">
        <f t="shared" si="52"/>
        <v>1</v>
      </c>
      <c r="BS117" s="1922">
        <f t="shared" si="52"/>
        <v>1</v>
      </c>
      <c r="BT117" s="1922">
        <f t="shared" si="52"/>
        <v>1</v>
      </c>
      <c r="BU117" s="1922">
        <f t="shared" si="52"/>
        <v>1</v>
      </c>
      <c r="BV117" s="1922">
        <f t="shared" si="52"/>
        <v>1</v>
      </c>
      <c r="BW117" s="1924">
        <f t="shared" si="52"/>
        <v>1</v>
      </c>
      <c r="BX117" s="1926"/>
      <c r="BY117" s="1926"/>
      <c r="BZ117" s="1926"/>
      <c r="CA117" s="1926"/>
      <c r="CB117" s="1926"/>
      <c r="CC117" s="1926"/>
      <c r="CD117" s="1926"/>
      <c r="CE117" s="1926"/>
      <c r="CF117" s="1926"/>
      <c r="CG117" s="1926"/>
      <c r="CH117" s="1926"/>
      <c r="CI117" s="1926"/>
      <c r="CJ117" s="1926"/>
      <c r="CK117" s="1926"/>
      <c r="CL117" s="1926"/>
      <c r="CM117" s="1926"/>
      <c r="CN117" s="1926"/>
      <c r="CO117" s="1926"/>
      <c r="CP117" s="1926"/>
      <c r="CQ117" s="1926"/>
      <c r="CR117" s="1926"/>
      <c r="CS117" s="1926"/>
      <c r="CT117" s="1926"/>
      <c r="CU117" s="1926"/>
      <c r="CV117" s="1926"/>
      <c r="CW117" s="1926"/>
      <c r="CX117" s="1926"/>
      <c r="CY117" s="1926"/>
      <c r="CZ117" s="1926"/>
      <c r="DA117" s="1926"/>
      <c r="DB117" s="1926"/>
      <c r="DC117" s="1926"/>
      <c r="DD117" s="1926"/>
      <c r="DE117" s="1926"/>
      <c r="DF117" s="1926"/>
      <c r="DG117" s="1926"/>
      <c r="DH117" s="1926"/>
      <c r="DI117" s="1926"/>
      <c r="DJ117" s="1926"/>
      <c r="DK117" s="1926"/>
      <c r="DL117" s="1926"/>
      <c r="DM117" s="1926"/>
      <c r="DN117" s="1926"/>
      <c r="DO117" s="1926"/>
      <c r="DP117" s="1926"/>
      <c r="DQ117" s="1926"/>
      <c r="DR117" s="1926"/>
      <c r="DS117" s="1926"/>
      <c r="DT117" s="1926"/>
      <c r="DU117" s="1926"/>
      <c r="DV117" s="1926"/>
      <c r="DW117" s="1926"/>
      <c r="DX117" s="1926"/>
      <c r="DY117" s="1926"/>
      <c r="DZ117" s="1926"/>
      <c r="EA117" s="1926"/>
      <c r="EB117" s="1926"/>
      <c r="EC117" s="1926"/>
      <c r="ED117" s="1926"/>
      <c r="EE117" s="1926"/>
      <c r="EF117" s="1926"/>
      <c r="EG117" s="1926"/>
      <c r="EH117" s="1926"/>
      <c r="EI117" s="1926"/>
      <c r="EJ117" s="1926"/>
      <c r="EK117" s="1926"/>
      <c r="EL117" s="1926"/>
      <c r="EM117" s="1926"/>
      <c r="EN117" s="1926"/>
      <c r="EO117" s="1926"/>
      <c r="EP117" s="1926"/>
      <c r="EQ117" s="1926"/>
      <c r="ER117" s="1926"/>
      <c r="ES117" s="1926"/>
      <c r="ET117" s="1926"/>
      <c r="EU117" s="1926"/>
      <c r="EV117" s="1926"/>
      <c r="EW117" s="1926"/>
      <c r="EX117" s="1926"/>
      <c r="EY117" s="1926"/>
      <c r="EZ117" s="1926"/>
      <c r="FA117" s="1926"/>
      <c r="FB117" s="1926"/>
      <c r="FC117" s="1926"/>
      <c r="FD117" s="1926"/>
      <c r="FE117" s="1926"/>
      <c r="FF117" s="1926"/>
      <c r="FG117" s="1926"/>
      <c r="FH117" s="1926"/>
      <c r="FI117" s="1926"/>
      <c r="FJ117" s="1926"/>
      <c r="FK117" s="1926"/>
      <c r="FL117" s="1926"/>
      <c r="FM117" s="1926"/>
      <c r="FN117" s="1926"/>
      <c r="FO117" s="1926"/>
      <c r="FP117" s="1926"/>
      <c r="FQ117" s="1926"/>
      <c r="FR117" s="1926"/>
    </row>
    <row r="118" spans="2:237" s="37" customFormat="1" ht="14.25" hidden="1" customHeight="1">
      <c r="B118" s="37" t="s">
        <v>572</v>
      </c>
      <c r="D118" s="1922">
        <f t="shared" ref="D118:AI118" si="53">IF(D117&lt;&gt;0,IF($E9=0,0,$E9/($G9*12)),0)</f>
        <v>0</v>
      </c>
      <c r="E118" s="1922">
        <f t="shared" si="53"/>
        <v>0</v>
      </c>
      <c r="F118" s="1922">
        <f t="shared" si="53"/>
        <v>0</v>
      </c>
      <c r="G118" s="1922">
        <f t="shared" si="53"/>
        <v>0</v>
      </c>
      <c r="H118" s="1922">
        <f t="shared" si="53"/>
        <v>0</v>
      </c>
      <c r="I118" s="1922">
        <f t="shared" si="53"/>
        <v>0</v>
      </c>
      <c r="J118" s="1922">
        <f t="shared" si="53"/>
        <v>0</v>
      </c>
      <c r="K118" s="1922">
        <f t="shared" si="53"/>
        <v>0</v>
      </c>
      <c r="L118" s="1922">
        <f t="shared" si="53"/>
        <v>0</v>
      </c>
      <c r="M118" s="1922">
        <f t="shared" si="53"/>
        <v>0</v>
      </c>
      <c r="N118" s="1922">
        <f t="shared" si="53"/>
        <v>0</v>
      </c>
      <c r="O118" s="1922">
        <f t="shared" si="53"/>
        <v>0</v>
      </c>
      <c r="P118" s="1922">
        <f t="shared" si="53"/>
        <v>0</v>
      </c>
      <c r="Q118" s="1922">
        <f t="shared" si="53"/>
        <v>0</v>
      </c>
      <c r="R118" s="1922">
        <f t="shared" si="53"/>
        <v>0</v>
      </c>
      <c r="S118" s="1922">
        <f t="shared" si="53"/>
        <v>0</v>
      </c>
      <c r="T118" s="1922">
        <f t="shared" si="53"/>
        <v>0</v>
      </c>
      <c r="U118" s="1922">
        <f t="shared" si="53"/>
        <v>0</v>
      </c>
      <c r="V118" s="1922">
        <f t="shared" si="53"/>
        <v>0</v>
      </c>
      <c r="W118" s="1922">
        <f t="shared" si="53"/>
        <v>0</v>
      </c>
      <c r="X118" s="1922">
        <f t="shared" si="53"/>
        <v>0</v>
      </c>
      <c r="Y118" s="1922">
        <f t="shared" si="53"/>
        <v>0</v>
      </c>
      <c r="Z118" s="1922">
        <f t="shared" si="53"/>
        <v>0</v>
      </c>
      <c r="AA118" s="1922">
        <f t="shared" si="53"/>
        <v>0</v>
      </c>
      <c r="AB118" s="1922">
        <f t="shared" si="53"/>
        <v>0</v>
      </c>
      <c r="AC118" s="1922">
        <f t="shared" si="53"/>
        <v>0</v>
      </c>
      <c r="AD118" s="1922">
        <f t="shared" si="53"/>
        <v>0</v>
      </c>
      <c r="AE118" s="1922">
        <f t="shared" si="53"/>
        <v>0</v>
      </c>
      <c r="AF118" s="1922">
        <f t="shared" si="53"/>
        <v>0</v>
      </c>
      <c r="AG118" s="1922">
        <f t="shared" si="53"/>
        <v>0</v>
      </c>
      <c r="AH118" s="1922">
        <f t="shared" si="53"/>
        <v>0</v>
      </c>
      <c r="AI118" s="1922">
        <f t="shared" si="53"/>
        <v>0</v>
      </c>
      <c r="AJ118" s="1922">
        <f t="shared" ref="AJ118:BO118" si="54">IF(AJ117&lt;&gt;0,IF($E9=0,0,$E9/($G9*12)),0)</f>
        <v>0</v>
      </c>
      <c r="AK118" s="1922">
        <f t="shared" si="54"/>
        <v>0</v>
      </c>
      <c r="AL118" s="1922">
        <f t="shared" si="54"/>
        <v>0</v>
      </c>
      <c r="AM118" s="1922">
        <f t="shared" si="54"/>
        <v>0</v>
      </c>
      <c r="AN118" s="1955">
        <f t="shared" si="54"/>
        <v>0</v>
      </c>
      <c r="AO118" s="1922">
        <f t="shared" si="54"/>
        <v>0</v>
      </c>
      <c r="AP118" s="1922">
        <f t="shared" si="54"/>
        <v>0</v>
      </c>
      <c r="AQ118" s="1922">
        <f t="shared" si="54"/>
        <v>0</v>
      </c>
      <c r="AR118" s="1922">
        <f t="shared" si="54"/>
        <v>0</v>
      </c>
      <c r="AS118" s="1922">
        <f t="shared" si="54"/>
        <v>0</v>
      </c>
      <c r="AT118" s="1922">
        <f t="shared" si="54"/>
        <v>0</v>
      </c>
      <c r="AU118" s="1922">
        <f t="shared" si="54"/>
        <v>0</v>
      </c>
      <c r="AV118" s="1922">
        <f t="shared" si="54"/>
        <v>0</v>
      </c>
      <c r="AW118" s="1922">
        <f t="shared" si="54"/>
        <v>0</v>
      </c>
      <c r="AX118" s="1922">
        <f t="shared" si="54"/>
        <v>0</v>
      </c>
      <c r="AY118" s="1922">
        <f t="shared" si="54"/>
        <v>0</v>
      </c>
      <c r="AZ118" s="1922">
        <f t="shared" si="54"/>
        <v>0</v>
      </c>
      <c r="BA118" s="1922">
        <f t="shared" si="54"/>
        <v>0</v>
      </c>
      <c r="BB118" s="1922">
        <f t="shared" si="54"/>
        <v>0</v>
      </c>
      <c r="BC118" s="1922">
        <f t="shared" si="54"/>
        <v>0</v>
      </c>
      <c r="BD118" s="1922">
        <f t="shared" si="54"/>
        <v>0</v>
      </c>
      <c r="BE118" s="1922">
        <f t="shared" si="54"/>
        <v>0</v>
      </c>
      <c r="BF118" s="1922">
        <f t="shared" si="54"/>
        <v>0</v>
      </c>
      <c r="BG118" s="1922">
        <f t="shared" si="54"/>
        <v>0</v>
      </c>
      <c r="BH118" s="1922">
        <f t="shared" si="54"/>
        <v>0</v>
      </c>
      <c r="BI118" s="1922">
        <f t="shared" si="54"/>
        <v>0</v>
      </c>
      <c r="BJ118" s="1922">
        <f t="shared" si="54"/>
        <v>0</v>
      </c>
      <c r="BK118" s="1922">
        <f t="shared" si="54"/>
        <v>0</v>
      </c>
      <c r="BL118" s="1922">
        <f t="shared" si="54"/>
        <v>0</v>
      </c>
      <c r="BM118" s="1922">
        <f t="shared" si="54"/>
        <v>0</v>
      </c>
      <c r="BN118" s="1922">
        <f t="shared" si="54"/>
        <v>0</v>
      </c>
      <c r="BO118" s="1922">
        <f t="shared" si="54"/>
        <v>0</v>
      </c>
      <c r="BP118" s="1922">
        <f t="shared" ref="BP118:BW118" si="55">IF(BP117&lt;&gt;0,IF($E9=0,0,$E9/($G9*12)),0)</f>
        <v>0</v>
      </c>
      <c r="BQ118" s="1922">
        <f t="shared" si="55"/>
        <v>0</v>
      </c>
      <c r="BR118" s="1922">
        <f t="shared" si="55"/>
        <v>0</v>
      </c>
      <c r="BS118" s="1922">
        <f t="shared" si="55"/>
        <v>0</v>
      </c>
      <c r="BT118" s="1922">
        <f t="shared" si="55"/>
        <v>0</v>
      </c>
      <c r="BU118" s="1922">
        <f t="shared" si="55"/>
        <v>0</v>
      </c>
      <c r="BV118" s="1922">
        <f t="shared" si="55"/>
        <v>0</v>
      </c>
      <c r="BW118" s="1924">
        <f t="shared" si="55"/>
        <v>0</v>
      </c>
      <c r="BX118" s="1926"/>
      <c r="BY118" s="1926"/>
      <c r="BZ118" s="1926"/>
      <c r="CA118" s="1926"/>
      <c r="CB118" s="1926"/>
      <c r="CC118" s="1926"/>
      <c r="CD118" s="1926"/>
      <c r="CE118" s="1926"/>
      <c r="CF118" s="1926"/>
      <c r="CG118" s="1926"/>
      <c r="CH118" s="1926"/>
      <c r="CI118" s="1926"/>
      <c r="CJ118" s="1926"/>
      <c r="CK118" s="1926"/>
      <c r="CL118" s="1926"/>
      <c r="CM118" s="1926"/>
      <c r="CN118" s="1926"/>
      <c r="CO118" s="1926"/>
      <c r="CP118" s="1926"/>
      <c r="CQ118" s="1926"/>
      <c r="CR118" s="1926"/>
      <c r="CS118" s="1926"/>
      <c r="CT118" s="1926"/>
      <c r="CU118" s="1926"/>
      <c r="CV118" s="1926"/>
      <c r="CW118" s="1926"/>
      <c r="CX118" s="1926"/>
      <c r="CY118" s="1926"/>
      <c r="CZ118" s="1926"/>
      <c r="DA118" s="1926"/>
      <c r="DB118" s="1926"/>
      <c r="DC118" s="1926"/>
      <c r="DD118" s="1926"/>
      <c r="DE118" s="1926"/>
      <c r="DF118" s="1926"/>
      <c r="DG118" s="1926"/>
      <c r="DH118" s="1926"/>
      <c r="DI118" s="1926"/>
      <c r="DJ118" s="1926"/>
      <c r="DK118" s="1926"/>
      <c r="DL118" s="1926"/>
      <c r="DM118" s="1926"/>
      <c r="DN118" s="1926"/>
      <c r="DO118" s="1926"/>
      <c r="DP118" s="1926"/>
      <c r="DQ118" s="1926"/>
      <c r="DR118" s="1926"/>
      <c r="DS118" s="1926"/>
      <c r="DT118" s="1926"/>
      <c r="DU118" s="1926"/>
      <c r="DV118" s="1926"/>
      <c r="DW118" s="1926"/>
      <c r="DX118" s="1926"/>
      <c r="DY118" s="1926"/>
      <c r="DZ118" s="1926"/>
      <c r="EA118" s="1926"/>
      <c r="EB118" s="1926"/>
      <c r="EC118" s="1926"/>
      <c r="ED118" s="1926"/>
      <c r="EE118" s="1926"/>
      <c r="EF118" s="1926"/>
      <c r="EG118" s="1926"/>
      <c r="EH118" s="1926"/>
      <c r="EI118" s="1926"/>
      <c r="EJ118" s="1926"/>
      <c r="EK118" s="1926"/>
      <c r="EL118" s="1926"/>
      <c r="EM118" s="1926"/>
      <c r="EN118" s="1926"/>
      <c r="EO118" s="1926"/>
      <c r="EP118" s="1926"/>
      <c r="EQ118" s="1926"/>
      <c r="ER118" s="1926"/>
      <c r="ES118" s="1926"/>
      <c r="ET118" s="1926"/>
      <c r="EU118" s="1926"/>
      <c r="EV118" s="1926"/>
      <c r="EW118" s="1926"/>
      <c r="EX118" s="1926"/>
      <c r="EY118" s="1926"/>
      <c r="EZ118" s="1926"/>
      <c r="FA118" s="1926"/>
      <c r="FB118" s="1926"/>
      <c r="FC118" s="1926"/>
      <c r="FD118" s="1926"/>
      <c r="FE118" s="1926"/>
      <c r="FF118" s="1926"/>
      <c r="FG118" s="1926"/>
      <c r="FH118" s="1926"/>
      <c r="FI118" s="1926"/>
      <c r="FJ118" s="1926"/>
      <c r="FK118" s="1926"/>
      <c r="FL118" s="1926"/>
      <c r="FM118" s="1926"/>
      <c r="FN118" s="1926"/>
      <c r="FO118" s="1926"/>
      <c r="FP118" s="1926"/>
      <c r="FQ118" s="1926"/>
      <c r="FR118" s="1926"/>
    </row>
    <row r="119" spans="2:237" s="37" customFormat="1" ht="14.25" hidden="1" customHeight="1">
      <c r="B119" s="37" t="s">
        <v>573</v>
      </c>
      <c r="D119" s="1922">
        <f>E10</f>
        <v>0</v>
      </c>
      <c r="E119" s="1922">
        <f t="shared" ref="E119:AF119" si="56">IF($F10=E$103,$E10,0)</f>
        <v>0</v>
      </c>
      <c r="F119" s="1922">
        <f t="shared" si="56"/>
        <v>0</v>
      </c>
      <c r="G119" s="1922">
        <f t="shared" si="56"/>
        <v>0</v>
      </c>
      <c r="H119" s="1922">
        <f t="shared" si="56"/>
        <v>0</v>
      </c>
      <c r="I119" s="1922">
        <f t="shared" si="56"/>
        <v>0</v>
      </c>
      <c r="J119" s="1922">
        <f t="shared" si="56"/>
        <v>0</v>
      </c>
      <c r="K119" s="1922">
        <f t="shared" si="56"/>
        <v>0</v>
      </c>
      <c r="L119" s="1922">
        <f t="shared" si="56"/>
        <v>0</v>
      </c>
      <c r="M119" s="1922">
        <f t="shared" si="56"/>
        <v>0</v>
      </c>
      <c r="N119" s="1922">
        <f t="shared" si="56"/>
        <v>0</v>
      </c>
      <c r="O119" s="1922">
        <f t="shared" si="56"/>
        <v>0</v>
      </c>
      <c r="P119" s="1922">
        <f t="shared" si="56"/>
        <v>0</v>
      </c>
      <c r="Q119" s="1922">
        <f t="shared" si="56"/>
        <v>0</v>
      </c>
      <c r="R119" s="1923">
        <f t="shared" si="56"/>
        <v>0</v>
      </c>
      <c r="S119" s="1922">
        <f t="shared" si="56"/>
        <v>0</v>
      </c>
      <c r="T119" s="1922">
        <f t="shared" si="56"/>
        <v>0</v>
      </c>
      <c r="U119" s="1922">
        <f t="shared" si="56"/>
        <v>0</v>
      </c>
      <c r="V119" s="1922">
        <f t="shared" si="56"/>
        <v>0</v>
      </c>
      <c r="W119" s="1922">
        <f t="shared" si="56"/>
        <v>0</v>
      </c>
      <c r="X119" s="1922">
        <f t="shared" si="56"/>
        <v>0</v>
      </c>
      <c r="Y119" s="1922">
        <f t="shared" si="56"/>
        <v>0</v>
      </c>
      <c r="Z119" s="1924">
        <f t="shared" si="56"/>
        <v>0</v>
      </c>
      <c r="AA119" s="1924">
        <f t="shared" si="56"/>
        <v>0</v>
      </c>
      <c r="AB119" s="1925">
        <f t="shared" si="56"/>
        <v>0</v>
      </c>
      <c r="AC119" s="1922">
        <f t="shared" si="56"/>
        <v>0</v>
      </c>
      <c r="AD119" s="1922">
        <f t="shared" si="56"/>
        <v>0</v>
      </c>
      <c r="AE119" s="1922">
        <f t="shared" si="56"/>
        <v>0</v>
      </c>
      <c r="AF119" s="1922">
        <f t="shared" si="56"/>
        <v>0</v>
      </c>
      <c r="AG119" s="1922">
        <f>IF($F10=AG$103,$E10,0)</f>
        <v>0</v>
      </c>
      <c r="AH119" s="1922">
        <f>IF($F10=AH$103,$E10,0)</f>
        <v>0</v>
      </c>
      <c r="AI119" s="1922">
        <f>IF($F10=AI$103,$E10,0)</f>
        <v>0</v>
      </c>
      <c r="AJ119" s="1922">
        <f t="shared" ref="AJ119:AW119" si="57">IF($F10=AJ$103,$E10,0)</f>
        <v>0</v>
      </c>
      <c r="AK119" s="1922">
        <f t="shared" si="57"/>
        <v>0</v>
      </c>
      <c r="AL119" s="1922">
        <f t="shared" si="57"/>
        <v>0</v>
      </c>
      <c r="AM119" s="1922">
        <f t="shared" si="57"/>
        <v>0</v>
      </c>
      <c r="AN119" s="1955">
        <f t="shared" si="57"/>
        <v>0</v>
      </c>
      <c r="AO119" s="1922">
        <f t="shared" si="57"/>
        <v>0</v>
      </c>
      <c r="AP119" s="1922">
        <f t="shared" si="57"/>
        <v>0</v>
      </c>
      <c r="AQ119" s="1922">
        <f t="shared" si="57"/>
        <v>0</v>
      </c>
      <c r="AR119" s="1922">
        <f t="shared" si="57"/>
        <v>0</v>
      </c>
      <c r="AS119" s="1922">
        <f t="shared" si="57"/>
        <v>0</v>
      </c>
      <c r="AT119" s="1922">
        <f t="shared" si="57"/>
        <v>0</v>
      </c>
      <c r="AU119" s="1922">
        <f t="shared" si="57"/>
        <v>0</v>
      </c>
      <c r="AV119" s="1922">
        <f t="shared" si="57"/>
        <v>0</v>
      </c>
      <c r="AW119" s="1922">
        <f t="shared" si="57"/>
        <v>0</v>
      </c>
      <c r="AX119" s="1922">
        <f t="shared" ref="AX119:BS119" si="58">IF($F10=AX$103,$E10,0)</f>
        <v>0</v>
      </c>
      <c r="AY119" s="1922">
        <f t="shared" si="58"/>
        <v>0</v>
      </c>
      <c r="AZ119" s="1922">
        <f t="shared" si="58"/>
        <v>0</v>
      </c>
      <c r="BA119" s="1922">
        <f t="shared" si="58"/>
        <v>0</v>
      </c>
      <c r="BB119" s="1922">
        <f t="shared" si="58"/>
        <v>0</v>
      </c>
      <c r="BC119" s="1922">
        <f t="shared" si="58"/>
        <v>0</v>
      </c>
      <c r="BD119" s="1922">
        <f t="shared" si="58"/>
        <v>0</v>
      </c>
      <c r="BE119" s="1922">
        <f t="shared" si="58"/>
        <v>0</v>
      </c>
      <c r="BF119" s="1922">
        <f t="shared" si="58"/>
        <v>0</v>
      </c>
      <c r="BG119" s="1922">
        <f t="shared" si="58"/>
        <v>0</v>
      </c>
      <c r="BH119" s="1922">
        <f t="shared" si="58"/>
        <v>0</v>
      </c>
      <c r="BI119" s="1922">
        <f t="shared" si="58"/>
        <v>0</v>
      </c>
      <c r="BJ119" s="1922">
        <f t="shared" si="58"/>
        <v>0</v>
      </c>
      <c r="BK119" s="1922">
        <f t="shared" si="58"/>
        <v>0</v>
      </c>
      <c r="BL119" s="1922">
        <f t="shared" si="58"/>
        <v>0</v>
      </c>
      <c r="BM119" s="1922">
        <f t="shared" si="58"/>
        <v>0</v>
      </c>
      <c r="BN119" s="1922">
        <f t="shared" si="58"/>
        <v>0</v>
      </c>
      <c r="BO119" s="1922">
        <f t="shared" si="58"/>
        <v>0</v>
      </c>
      <c r="BP119" s="1922">
        <f t="shared" si="58"/>
        <v>0</v>
      </c>
      <c r="BQ119" s="1922">
        <f t="shared" si="58"/>
        <v>0</v>
      </c>
      <c r="BR119" s="1922">
        <f t="shared" si="58"/>
        <v>0</v>
      </c>
      <c r="BS119" s="1922">
        <f t="shared" si="58"/>
        <v>0</v>
      </c>
      <c r="BT119" s="1922">
        <f t="shared" ref="BT119:BW119" si="59">IF($F10=BT$103,$E10,0)</f>
        <v>0</v>
      </c>
      <c r="BU119" s="1922">
        <f t="shared" si="59"/>
        <v>0</v>
      </c>
      <c r="BV119" s="1922">
        <f t="shared" si="59"/>
        <v>0</v>
      </c>
      <c r="BW119" s="1924">
        <f t="shared" si="59"/>
        <v>0</v>
      </c>
      <c r="BX119" s="1926"/>
      <c r="BY119" s="1926"/>
      <c r="BZ119" s="1926"/>
      <c r="CA119" s="1926"/>
      <c r="CB119" s="1926"/>
      <c r="CC119" s="1926"/>
      <c r="CD119" s="1926"/>
      <c r="CE119" s="1926"/>
      <c r="CF119" s="1926"/>
      <c r="CG119" s="1926"/>
      <c r="CH119" s="1926"/>
      <c r="CI119" s="1926"/>
      <c r="CJ119" s="1926"/>
      <c r="CK119" s="1926"/>
      <c r="CL119" s="1926"/>
      <c r="CM119" s="1926"/>
      <c r="CN119" s="1926"/>
      <c r="CO119" s="1926"/>
      <c r="CP119" s="1926"/>
      <c r="CQ119" s="1926"/>
      <c r="CR119" s="1926"/>
      <c r="CS119" s="1926"/>
      <c r="CT119" s="1926"/>
      <c r="CU119" s="1926"/>
      <c r="CV119" s="1926"/>
      <c r="CW119" s="1926"/>
      <c r="CX119" s="1926"/>
      <c r="CY119" s="1926"/>
      <c r="CZ119" s="1926"/>
      <c r="DA119" s="1926"/>
      <c r="DB119" s="1926"/>
      <c r="DC119" s="1926"/>
      <c r="DD119" s="1926"/>
      <c r="DE119" s="1926"/>
      <c r="DF119" s="1926"/>
      <c r="DG119" s="1926"/>
      <c r="DH119" s="1926"/>
      <c r="DI119" s="1926"/>
      <c r="DJ119" s="1926"/>
      <c r="DK119" s="1926"/>
      <c r="DL119" s="1926"/>
      <c r="DM119" s="1926"/>
      <c r="DN119" s="1926"/>
      <c r="DO119" s="1926"/>
      <c r="DP119" s="1926"/>
      <c r="DQ119" s="1926"/>
      <c r="DR119" s="1926"/>
      <c r="DS119" s="1926"/>
      <c r="DT119" s="1926"/>
      <c r="DU119" s="1926"/>
      <c r="DV119" s="1926"/>
      <c r="DW119" s="1926"/>
      <c r="DX119" s="1926"/>
      <c r="DY119" s="1926"/>
      <c r="DZ119" s="1926"/>
      <c r="EA119" s="1926"/>
      <c r="EB119" s="1926"/>
      <c r="EC119" s="1926"/>
      <c r="ED119" s="1926"/>
      <c r="EE119" s="1926"/>
      <c r="EF119" s="1926"/>
      <c r="EG119" s="1926"/>
      <c r="EH119" s="1926"/>
      <c r="EI119" s="1926"/>
      <c r="EJ119" s="1926"/>
      <c r="EK119" s="1926"/>
      <c r="EL119" s="1926"/>
      <c r="EM119" s="1926"/>
      <c r="EN119" s="1926"/>
      <c r="EO119" s="1926"/>
      <c r="EP119" s="1926"/>
      <c r="EQ119" s="1926"/>
      <c r="ER119" s="1926"/>
      <c r="ES119" s="1926"/>
      <c r="ET119" s="1926"/>
      <c r="EU119" s="1926"/>
      <c r="EV119" s="1926"/>
      <c r="EW119" s="1926"/>
      <c r="EX119" s="1926"/>
      <c r="EY119" s="1926"/>
      <c r="EZ119" s="1926"/>
      <c r="FA119" s="1926"/>
      <c r="FB119" s="1926"/>
      <c r="FC119" s="1926"/>
      <c r="FD119" s="1926"/>
      <c r="FE119" s="1926"/>
      <c r="FF119" s="1926"/>
      <c r="FG119" s="1926"/>
      <c r="FH119" s="1926"/>
      <c r="FI119" s="1926"/>
      <c r="FJ119" s="1926"/>
      <c r="FK119" s="1926"/>
      <c r="FL119" s="1926"/>
      <c r="FM119" s="1926"/>
      <c r="FN119" s="1926"/>
      <c r="FO119" s="1926"/>
      <c r="FP119" s="1926"/>
      <c r="FQ119" s="1926"/>
      <c r="FR119" s="1926"/>
    </row>
    <row r="120" spans="2:237" s="37" customFormat="1" ht="14.25" hidden="1" customHeight="1">
      <c r="B120" s="1921" t="s">
        <v>571</v>
      </c>
      <c r="D120" s="1922">
        <f>IF($F10=D$103,1,IF(#REF!&gt;0,IF(#REF!&gt;=$G10*12,0,#REF!+ 1),0))</f>
        <v>1</v>
      </c>
      <c r="E120" s="1922">
        <f t="shared" ref="E120:AJ120" si="60">IF($F10=E$103,1,IF(D120&gt;0,IF(D120&gt;=$G10*12,0, D120+1),0))</f>
        <v>2</v>
      </c>
      <c r="F120" s="1922">
        <f t="shared" si="60"/>
        <v>3</v>
      </c>
      <c r="G120" s="1922">
        <f t="shared" si="60"/>
        <v>4</v>
      </c>
      <c r="H120" s="1922">
        <f t="shared" si="60"/>
        <v>5</v>
      </c>
      <c r="I120" s="1922">
        <f t="shared" si="60"/>
        <v>6</v>
      </c>
      <c r="J120" s="1922">
        <f t="shared" si="60"/>
        <v>7</v>
      </c>
      <c r="K120" s="1922">
        <f t="shared" si="60"/>
        <v>8</v>
      </c>
      <c r="L120" s="1922">
        <f t="shared" si="60"/>
        <v>9</v>
      </c>
      <c r="M120" s="1922">
        <f t="shared" si="60"/>
        <v>10</v>
      </c>
      <c r="N120" s="1922">
        <f t="shared" si="60"/>
        <v>11</v>
      </c>
      <c r="O120" s="1922">
        <f t="shared" si="60"/>
        <v>12</v>
      </c>
      <c r="P120" s="1922">
        <f t="shared" si="60"/>
        <v>13</v>
      </c>
      <c r="Q120" s="1922">
        <f t="shared" si="60"/>
        <v>14</v>
      </c>
      <c r="R120" s="1927">
        <f t="shared" si="60"/>
        <v>15</v>
      </c>
      <c r="S120" s="1922">
        <f t="shared" si="60"/>
        <v>16</v>
      </c>
      <c r="T120" s="1922">
        <f t="shared" si="60"/>
        <v>17</v>
      </c>
      <c r="U120" s="1922">
        <f t="shared" si="60"/>
        <v>18</v>
      </c>
      <c r="V120" s="1922">
        <f t="shared" si="60"/>
        <v>19</v>
      </c>
      <c r="W120" s="1922">
        <f t="shared" si="60"/>
        <v>20</v>
      </c>
      <c r="X120" s="1922">
        <f t="shared" si="60"/>
        <v>21</v>
      </c>
      <c r="Y120" s="1922">
        <f t="shared" si="60"/>
        <v>22</v>
      </c>
      <c r="Z120" s="1924">
        <f t="shared" si="60"/>
        <v>23</v>
      </c>
      <c r="AA120" s="1924">
        <f t="shared" si="60"/>
        <v>24</v>
      </c>
      <c r="AB120" s="1925">
        <f t="shared" si="60"/>
        <v>25</v>
      </c>
      <c r="AC120" s="1922">
        <f t="shared" si="60"/>
        <v>26</v>
      </c>
      <c r="AD120" s="1922">
        <f t="shared" si="60"/>
        <v>27</v>
      </c>
      <c r="AE120" s="1922">
        <f t="shared" si="60"/>
        <v>28</v>
      </c>
      <c r="AF120" s="1922">
        <f t="shared" si="60"/>
        <v>29</v>
      </c>
      <c r="AG120" s="1922">
        <f t="shared" si="60"/>
        <v>30</v>
      </c>
      <c r="AH120" s="1922">
        <f t="shared" si="60"/>
        <v>31</v>
      </c>
      <c r="AI120" s="1922">
        <f t="shared" si="60"/>
        <v>32</v>
      </c>
      <c r="AJ120" s="1922">
        <f t="shared" si="60"/>
        <v>33</v>
      </c>
      <c r="AK120" s="1922">
        <f t="shared" ref="AK120:BP120" si="61">IF($F10=AK$103,1,IF(AJ120&gt;0,IF(AJ120&gt;=$G10*12,0, AJ120+1),0))</f>
        <v>34</v>
      </c>
      <c r="AL120" s="1922">
        <f t="shared" si="61"/>
        <v>35</v>
      </c>
      <c r="AM120" s="1922">
        <f t="shared" si="61"/>
        <v>36</v>
      </c>
      <c r="AN120" s="1955">
        <f t="shared" si="61"/>
        <v>37</v>
      </c>
      <c r="AO120" s="1922">
        <f t="shared" si="61"/>
        <v>38</v>
      </c>
      <c r="AP120" s="1922">
        <f t="shared" si="61"/>
        <v>39</v>
      </c>
      <c r="AQ120" s="1922">
        <f t="shared" si="61"/>
        <v>40</v>
      </c>
      <c r="AR120" s="1922">
        <f t="shared" si="61"/>
        <v>41</v>
      </c>
      <c r="AS120" s="1922">
        <f t="shared" si="61"/>
        <v>42</v>
      </c>
      <c r="AT120" s="1922">
        <f t="shared" si="61"/>
        <v>43</v>
      </c>
      <c r="AU120" s="1922">
        <f t="shared" si="61"/>
        <v>44</v>
      </c>
      <c r="AV120" s="1922">
        <f t="shared" si="61"/>
        <v>45</v>
      </c>
      <c r="AW120" s="1922">
        <f t="shared" si="61"/>
        <v>46</v>
      </c>
      <c r="AX120" s="1922">
        <f t="shared" si="61"/>
        <v>47</v>
      </c>
      <c r="AY120" s="1922">
        <f t="shared" si="61"/>
        <v>48</v>
      </c>
      <c r="AZ120" s="1922">
        <f t="shared" si="61"/>
        <v>49</v>
      </c>
      <c r="BA120" s="1922">
        <f t="shared" si="61"/>
        <v>50</v>
      </c>
      <c r="BB120" s="1922">
        <f t="shared" si="61"/>
        <v>51</v>
      </c>
      <c r="BC120" s="1922">
        <f t="shared" si="61"/>
        <v>52</v>
      </c>
      <c r="BD120" s="1922">
        <f t="shared" si="61"/>
        <v>53</v>
      </c>
      <c r="BE120" s="1922">
        <f t="shared" si="61"/>
        <v>54</v>
      </c>
      <c r="BF120" s="1922">
        <f t="shared" si="61"/>
        <v>55</v>
      </c>
      <c r="BG120" s="1922">
        <f t="shared" si="61"/>
        <v>56</v>
      </c>
      <c r="BH120" s="1922">
        <f t="shared" si="61"/>
        <v>57</v>
      </c>
      <c r="BI120" s="1922">
        <f t="shared" si="61"/>
        <v>58</v>
      </c>
      <c r="BJ120" s="1922">
        <f t="shared" si="61"/>
        <v>59</v>
      </c>
      <c r="BK120" s="1922">
        <f t="shared" si="61"/>
        <v>60</v>
      </c>
      <c r="BL120" s="1922">
        <f t="shared" si="61"/>
        <v>0</v>
      </c>
      <c r="BM120" s="1922">
        <f t="shared" si="61"/>
        <v>0</v>
      </c>
      <c r="BN120" s="1922">
        <f t="shared" si="61"/>
        <v>0</v>
      </c>
      <c r="BO120" s="1922">
        <f t="shared" si="61"/>
        <v>0</v>
      </c>
      <c r="BP120" s="1922">
        <f t="shared" si="61"/>
        <v>0</v>
      </c>
      <c r="BQ120" s="1922">
        <f t="shared" ref="BQ120:BW120" si="62">IF($F10=BQ$103,1,IF(BP120&gt;0,IF(BP120&gt;=$G10*12,0, BP120+1),0))</f>
        <v>0</v>
      </c>
      <c r="BR120" s="1922">
        <f t="shared" si="62"/>
        <v>0</v>
      </c>
      <c r="BS120" s="1922">
        <f t="shared" si="62"/>
        <v>0</v>
      </c>
      <c r="BT120" s="1922">
        <f t="shared" si="62"/>
        <v>0</v>
      </c>
      <c r="BU120" s="1922">
        <f t="shared" si="62"/>
        <v>0</v>
      </c>
      <c r="BV120" s="1922">
        <f t="shared" si="62"/>
        <v>0</v>
      </c>
      <c r="BW120" s="1924">
        <f t="shared" si="62"/>
        <v>0</v>
      </c>
      <c r="BX120" s="1926"/>
      <c r="BY120" s="1926"/>
      <c r="BZ120" s="1926"/>
      <c r="CA120" s="1926"/>
      <c r="CB120" s="1926"/>
      <c r="CC120" s="1926"/>
      <c r="CD120" s="1926"/>
      <c r="CE120" s="1926"/>
      <c r="CF120" s="1926"/>
      <c r="CG120" s="1926"/>
      <c r="CH120" s="1926"/>
      <c r="CI120" s="1926"/>
      <c r="CJ120" s="1926"/>
      <c r="CK120" s="1926"/>
      <c r="CL120" s="1926"/>
      <c r="CM120" s="1926"/>
      <c r="CN120" s="1926"/>
      <c r="CO120" s="1926"/>
      <c r="CP120" s="1926"/>
      <c r="CQ120" s="1926"/>
      <c r="CR120" s="1926"/>
      <c r="CS120" s="1926"/>
      <c r="CT120" s="1926"/>
      <c r="CU120" s="1926"/>
      <c r="CV120" s="1926"/>
      <c r="CW120" s="1926"/>
      <c r="CX120" s="1926"/>
      <c r="CY120" s="1926"/>
      <c r="CZ120" s="1926"/>
      <c r="DA120" s="1926"/>
      <c r="DB120" s="1926"/>
      <c r="DC120" s="1926"/>
      <c r="DD120" s="1926"/>
      <c r="DE120" s="1926"/>
      <c r="DF120" s="1926"/>
      <c r="DG120" s="1926"/>
      <c r="DH120" s="1926"/>
      <c r="DI120" s="1926"/>
      <c r="DJ120" s="1926"/>
      <c r="DK120" s="1926"/>
      <c r="DL120" s="1926"/>
      <c r="DM120" s="1926"/>
      <c r="DN120" s="1926"/>
      <c r="DO120" s="1926"/>
      <c r="DP120" s="1926"/>
      <c r="DQ120" s="1926"/>
      <c r="DR120" s="1926"/>
      <c r="DS120" s="1926"/>
      <c r="DT120" s="1926"/>
      <c r="DU120" s="1926"/>
      <c r="DV120" s="1926"/>
      <c r="DW120" s="1926"/>
      <c r="DX120" s="1926"/>
      <c r="DY120" s="1926"/>
      <c r="DZ120" s="1926"/>
      <c r="EA120" s="1926"/>
      <c r="EB120" s="1926"/>
      <c r="EC120" s="1926"/>
      <c r="ED120" s="1926"/>
      <c r="EE120" s="1926"/>
      <c r="EF120" s="1926"/>
      <c r="EG120" s="1926"/>
      <c r="EH120" s="1926"/>
      <c r="EI120" s="1926"/>
      <c r="EJ120" s="1926"/>
      <c r="EK120" s="1926"/>
      <c r="EL120" s="1926"/>
      <c r="EM120" s="1926"/>
      <c r="EN120" s="1926"/>
      <c r="EO120" s="1926"/>
      <c r="EP120" s="1926"/>
      <c r="EQ120" s="1926"/>
      <c r="ER120" s="1926"/>
      <c r="ES120" s="1926"/>
      <c r="ET120" s="1926"/>
      <c r="EU120" s="1926"/>
      <c r="EV120" s="1926"/>
      <c r="EW120" s="1926"/>
      <c r="EX120" s="1926"/>
      <c r="EY120" s="1926"/>
      <c r="EZ120" s="1926"/>
      <c r="FA120" s="1926"/>
      <c r="FB120" s="1926"/>
      <c r="FC120" s="1926"/>
      <c r="FD120" s="1926"/>
      <c r="FE120" s="1926"/>
      <c r="FF120" s="1926"/>
      <c r="FG120" s="1926"/>
      <c r="FH120" s="1926"/>
      <c r="FI120" s="1926"/>
      <c r="FJ120" s="1926"/>
      <c r="FK120" s="1926"/>
      <c r="FL120" s="1926"/>
      <c r="FM120" s="1926"/>
      <c r="FN120" s="1926"/>
      <c r="FO120" s="1926"/>
      <c r="FP120" s="1926"/>
      <c r="FQ120" s="1926"/>
      <c r="FR120" s="1926"/>
    </row>
    <row r="121" spans="2:237" s="37" customFormat="1" ht="14.25" hidden="1" customHeight="1">
      <c r="B121" s="37" t="s">
        <v>572</v>
      </c>
      <c r="D121" s="1922">
        <f t="shared" ref="D121:AI121" si="63">IF(D120&lt;&gt;0,IF($E10=0,0,$E10/($G10*12)),0)</f>
        <v>0</v>
      </c>
      <c r="E121" s="1922">
        <f t="shared" si="63"/>
        <v>0</v>
      </c>
      <c r="F121" s="1922">
        <f t="shared" si="63"/>
        <v>0</v>
      </c>
      <c r="G121" s="1922">
        <f t="shared" si="63"/>
        <v>0</v>
      </c>
      <c r="H121" s="1922">
        <f t="shared" si="63"/>
        <v>0</v>
      </c>
      <c r="I121" s="1922">
        <f t="shared" si="63"/>
        <v>0</v>
      </c>
      <c r="J121" s="1922">
        <f t="shared" si="63"/>
        <v>0</v>
      </c>
      <c r="K121" s="1922">
        <f t="shared" si="63"/>
        <v>0</v>
      </c>
      <c r="L121" s="1922">
        <f t="shared" si="63"/>
        <v>0</v>
      </c>
      <c r="M121" s="1922">
        <f t="shared" si="63"/>
        <v>0</v>
      </c>
      <c r="N121" s="1922">
        <f t="shared" si="63"/>
        <v>0</v>
      </c>
      <c r="O121" s="1922">
        <f t="shared" si="63"/>
        <v>0</v>
      </c>
      <c r="P121" s="1922">
        <f t="shared" si="63"/>
        <v>0</v>
      </c>
      <c r="Q121" s="1922">
        <f t="shared" si="63"/>
        <v>0</v>
      </c>
      <c r="R121" s="1922">
        <f t="shared" si="63"/>
        <v>0</v>
      </c>
      <c r="S121" s="1922">
        <f t="shared" si="63"/>
        <v>0</v>
      </c>
      <c r="T121" s="1922">
        <f t="shared" si="63"/>
        <v>0</v>
      </c>
      <c r="U121" s="1922">
        <f t="shared" si="63"/>
        <v>0</v>
      </c>
      <c r="V121" s="1922">
        <f t="shared" si="63"/>
        <v>0</v>
      </c>
      <c r="W121" s="1922">
        <f t="shared" si="63"/>
        <v>0</v>
      </c>
      <c r="X121" s="1922">
        <f t="shared" si="63"/>
        <v>0</v>
      </c>
      <c r="Y121" s="1922">
        <f t="shared" si="63"/>
        <v>0</v>
      </c>
      <c r="Z121" s="1922">
        <f t="shared" si="63"/>
        <v>0</v>
      </c>
      <c r="AA121" s="1922">
        <f t="shared" si="63"/>
        <v>0</v>
      </c>
      <c r="AB121" s="1922">
        <f t="shared" si="63"/>
        <v>0</v>
      </c>
      <c r="AC121" s="1922">
        <f t="shared" si="63"/>
        <v>0</v>
      </c>
      <c r="AD121" s="1922">
        <f t="shared" si="63"/>
        <v>0</v>
      </c>
      <c r="AE121" s="1922">
        <f t="shared" si="63"/>
        <v>0</v>
      </c>
      <c r="AF121" s="1922">
        <f t="shared" si="63"/>
        <v>0</v>
      </c>
      <c r="AG121" s="1922">
        <f t="shared" si="63"/>
        <v>0</v>
      </c>
      <c r="AH121" s="1922">
        <f t="shared" si="63"/>
        <v>0</v>
      </c>
      <c r="AI121" s="1922">
        <f t="shared" si="63"/>
        <v>0</v>
      </c>
      <c r="AJ121" s="1922">
        <f t="shared" ref="AJ121:BO121" si="64">IF(AJ120&lt;&gt;0,IF($E10=0,0,$E10/($G10*12)),0)</f>
        <v>0</v>
      </c>
      <c r="AK121" s="1922">
        <f t="shared" si="64"/>
        <v>0</v>
      </c>
      <c r="AL121" s="1922">
        <f t="shared" si="64"/>
        <v>0</v>
      </c>
      <c r="AM121" s="1922">
        <f t="shared" si="64"/>
        <v>0</v>
      </c>
      <c r="AN121" s="1955">
        <f t="shared" si="64"/>
        <v>0</v>
      </c>
      <c r="AO121" s="1922">
        <f t="shared" si="64"/>
        <v>0</v>
      </c>
      <c r="AP121" s="1922">
        <f t="shared" si="64"/>
        <v>0</v>
      </c>
      <c r="AQ121" s="1922">
        <f t="shared" si="64"/>
        <v>0</v>
      </c>
      <c r="AR121" s="1922">
        <f t="shared" si="64"/>
        <v>0</v>
      </c>
      <c r="AS121" s="1922">
        <f t="shared" si="64"/>
        <v>0</v>
      </c>
      <c r="AT121" s="1922">
        <f t="shared" si="64"/>
        <v>0</v>
      </c>
      <c r="AU121" s="1922">
        <f t="shared" si="64"/>
        <v>0</v>
      </c>
      <c r="AV121" s="1922">
        <f t="shared" si="64"/>
        <v>0</v>
      </c>
      <c r="AW121" s="1922">
        <f t="shared" si="64"/>
        <v>0</v>
      </c>
      <c r="AX121" s="1922">
        <f t="shared" si="64"/>
        <v>0</v>
      </c>
      <c r="AY121" s="1922">
        <f t="shared" si="64"/>
        <v>0</v>
      </c>
      <c r="AZ121" s="1922">
        <f t="shared" si="64"/>
        <v>0</v>
      </c>
      <c r="BA121" s="1922">
        <f t="shared" si="64"/>
        <v>0</v>
      </c>
      <c r="BB121" s="1922">
        <f t="shared" si="64"/>
        <v>0</v>
      </c>
      <c r="BC121" s="1922">
        <f t="shared" si="64"/>
        <v>0</v>
      </c>
      <c r="BD121" s="1922">
        <f t="shared" si="64"/>
        <v>0</v>
      </c>
      <c r="BE121" s="1922">
        <f t="shared" si="64"/>
        <v>0</v>
      </c>
      <c r="BF121" s="1922">
        <f t="shared" si="64"/>
        <v>0</v>
      </c>
      <c r="BG121" s="1922">
        <f t="shared" si="64"/>
        <v>0</v>
      </c>
      <c r="BH121" s="1922">
        <f t="shared" si="64"/>
        <v>0</v>
      </c>
      <c r="BI121" s="1922">
        <f t="shared" si="64"/>
        <v>0</v>
      </c>
      <c r="BJ121" s="1922">
        <f t="shared" si="64"/>
        <v>0</v>
      </c>
      <c r="BK121" s="1922">
        <f t="shared" si="64"/>
        <v>0</v>
      </c>
      <c r="BL121" s="1922">
        <f t="shared" si="64"/>
        <v>0</v>
      </c>
      <c r="BM121" s="1922">
        <f t="shared" si="64"/>
        <v>0</v>
      </c>
      <c r="BN121" s="1922">
        <f t="shared" si="64"/>
        <v>0</v>
      </c>
      <c r="BO121" s="1922">
        <f t="shared" si="64"/>
        <v>0</v>
      </c>
      <c r="BP121" s="1922">
        <f t="shared" ref="BP121:BW121" si="65">IF(BP120&lt;&gt;0,IF($E10=0,0,$E10/($G10*12)),0)</f>
        <v>0</v>
      </c>
      <c r="BQ121" s="1922">
        <f t="shared" si="65"/>
        <v>0</v>
      </c>
      <c r="BR121" s="1922">
        <f t="shared" si="65"/>
        <v>0</v>
      </c>
      <c r="BS121" s="1922">
        <f t="shared" si="65"/>
        <v>0</v>
      </c>
      <c r="BT121" s="1922">
        <f t="shared" si="65"/>
        <v>0</v>
      </c>
      <c r="BU121" s="1922">
        <f t="shared" si="65"/>
        <v>0</v>
      </c>
      <c r="BV121" s="1922">
        <f t="shared" si="65"/>
        <v>0</v>
      </c>
      <c r="BW121" s="1924">
        <f t="shared" si="65"/>
        <v>0</v>
      </c>
      <c r="BX121" s="1926"/>
      <c r="BY121" s="1926"/>
      <c r="BZ121" s="1926"/>
      <c r="CA121" s="1926"/>
      <c r="CB121" s="1926"/>
      <c r="CC121" s="1926"/>
      <c r="CD121" s="1926"/>
      <c r="CE121" s="1926"/>
      <c r="CF121" s="1926"/>
      <c r="CG121" s="1926"/>
      <c r="CH121" s="1926"/>
      <c r="CI121" s="1926"/>
      <c r="CJ121" s="1926"/>
      <c r="CK121" s="1926"/>
      <c r="CL121" s="1926"/>
      <c r="CM121" s="1926"/>
      <c r="CN121" s="1926"/>
      <c r="CO121" s="1926"/>
      <c r="CP121" s="1926"/>
      <c r="CQ121" s="1926"/>
      <c r="CR121" s="1926"/>
      <c r="CS121" s="1926"/>
      <c r="CT121" s="1926"/>
      <c r="CU121" s="1926"/>
      <c r="CV121" s="1926"/>
      <c r="CW121" s="1926"/>
      <c r="CX121" s="1926"/>
      <c r="CY121" s="1926"/>
      <c r="CZ121" s="1926"/>
      <c r="DA121" s="1926"/>
      <c r="DB121" s="1926"/>
      <c r="DC121" s="1926"/>
      <c r="DD121" s="1926"/>
      <c r="DE121" s="1926"/>
      <c r="DF121" s="1926"/>
      <c r="DG121" s="1926"/>
      <c r="DH121" s="1926"/>
      <c r="DI121" s="1926"/>
      <c r="DJ121" s="1926"/>
      <c r="DK121" s="1926"/>
      <c r="DL121" s="1926"/>
      <c r="DM121" s="1926"/>
      <c r="DN121" s="1926"/>
      <c r="DO121" s="1926"/>
      <c r="DP121" s="1926"/>
      <c r="DQ121" s="1926"/>
      <c r="DR121" s="1926"/>
      <c r="DS121" s="1926"/>
      <c r="DT121" s="1926"/>
      <c r="DU121" s="1926"/>
      <c r="DV121" s="1926"/>
      <c r="DW121" s="1926"/>
      <c r="DX121" s="1926"/>
      <c r="DY121" s="1926"/>
      <c r="DZ121" s="1926"/>
      <c r="EA121" s="1926"/>
      <c r="EB121" s="1926"/>
      <c r="EC121" s="1926"/>
      <c r="ED121" s="1926"/>
      <c r="EE121" s="1926"/>
      <c r="EF121" s="1926"/>
      <c r="EG121" s="1926"/>
      <c r="EH121" s="1926"/>
      <c r="EI121" s="1926"/>
      <c r="EJ121" s="1926"/>
      <c r="EK121" s="1926"/>
      <c r="EL121" s="1926"/>
      <c r="EM121" s="1926"/>
      <c r="EN121" s="1926"/>
      <c r="EO121" s="1926"/>
      <c r="EP121" s="1926"/>
      <c r="EQ121" s="1926"/>
      <c r="ER121" s="1926"/>
      <c r="ES121" s="1926"/>
      <c r="ET121" s="1926"/>
      <c r="EU121" s="1926"/>
      <c r="EV121" s="1926"/>
      <c r="EW121" s="1926"/>
      <c r="EX121" s="1926"/>
      <c r="EY121" s="1926"/>
      <c r="EZ121" s="1926"/>
      <c r="FA121" s="1926"/>
      <c r="FB121" s="1926"/>
      <c r="FC121" s="1926"/>
      <c r="FD121" s="1926"/>
      <c r="FE121" s="1926"/>
      <c r="FF121" s="1926"/>
      <c r="FG121" s="1926"/>
      <c r="FH121" s="1926"/>
      <c r="FI121" s="1926"/>
      <c r="FJ121" s="1926"/>
      <c r="FK121" s="1926"/>
      <c r="FL121" s="1926"/>
      <c r="FM121" s="1926"/>
      <c r="FN121" s="1926"/>
      <c r="FO121" s="1926"/>
      <c r="FP121" s="1926"/>
      <c r="FQ121" s="1926"/>
      <c r="FR121" s="1926"/>
    </row>
    <row r="122" spans="2:237" s="37" customFormat="1" ht="14.25" hidden="1" customHeight="1">
      <c r="B122" s="62" t="str">
        <f>B104</f>
        <v>Invest</v>
      </c>
      <c r="D122" s="1922">
        <f>D104+D107+D110+D113+D116</f>
        <v>0</v>
      </c>
      <c r="E122" s="1922">
        <f t="shared" ref="E122:BP122" si="66">E104+E107+E110+E113+E116</f>
        <v>0</v>
      </c>
      <c r="F122" s="1922">
        <f t="shared" si="66"/>
        <v>0</v>
      </c>
      <c r="G122" s="1922">
        <f t="shared" si="66"/>
        <v>0</v>
      </c>
      <c r="H122" s="1922">
        <f t="shared" si="66"/>
        <v>0</v>
      </c>
      <c r="I122" s="1922">
        <f t="shared" si="66"/>
        <v>0</v>
      </c>
      <c r="J122" s="1922">
        <f t="shared" si="66"/>
        <v>0</v>
      </c>
      <c r="K122" s="1922">
        <f t="shared" si="66"/>
        <v>0</v>
      </c>
      <c r="L122" s="1922">
        <f t="shared" si="66"/>
        <v>0</v>
      </c>
      <c r="M122" s="1922">
        <f t="shared" si="66"/>
        <v>0</v>
      </c>
      <c r="N122" s="1922">
        <f t="shared" si="66"/>
        <v>0</v>
      </c>
      <c r="O122" s="1922">
        <f t="shared" si="66"/>
        <v>0</v>
      </c>
      <c r="P122" s="1922">
        <f t="shared" si="66"/>
        <v>0</v>
      </c>
      <c r="Q122" s="1922">
        <f t="shared" si="66"/>
        <v>0</v>
      </c>
      <c r="R122" s="1922">
        <f t="shared" si="66"/>
        <v>0</v>
      </c>
      <c r="S122" s="1922">
        <f t="shared" si="66"/>
        <v>0</v>
      </c>
      <c r="T122" s="1922">
        <f t="shared" si="66"/>
        <v>0</v>
      </c>
      <c r="U122" s="1922">
        <f t="shared" si="66"/>
        <v>0</v>
      </c>
      <c r="V122" s="1922">
        <f t="shared" si="66"/>
        <v>0</v>
      </c>
      <c r="W122" s="1922">
        <f t="shared" si="66"/>
        <v>0</v>
      </c>
      <c r="X122" s="1922">
        <f t="shared" si="66"/>
        <v>0</v>
      </c>
      <c r="Y122" s="1922">
        <f t="shared" si="66"/>
        <v>0</v>
      </c>
      <c r="Z122" s="1922">
        <f t="shared" si="66"/>
        <v>0</v>
      </c>
      <c r="AA122" s="1922">
        <f t="shared" si="66"/>
        <v>0</v>
      </c>
      <c r="AB122" s="1922">
        <f t="shared" si="66"/>
        <v>0</v>
      </c>
      <c r="AC122" s="1922">
        <f t="shared" si="66"/>
        <v>0</v>
      </c>
      <c r="AD122" s="1922">
        <f t="shared" si="66"/>
        <v>0</v>
      </c>
      <c r="AE122" s="1922">
        <f t="shared" si="66"/>
        <v>0</v>
      </c>
      <c r="AF122" s="1922">
        <f t="shared" si="66"/>
        <v>0</v>
      </c>
      <c r="AG122" s="1922">
        <f t="shared" si="66"/>
        <v>0</v>
      </c>
      <c r="AH122" s="1922">
        <f t="shared" si="66"/>
        <v>0</v>
      </c>
      <c r="AI122" s="1922">
        <f t="shared" si="66"/>
        <v>0</v>
      </c>
      <c r="AJ122" s="1922">
        <f t="shared" si="66"/>
        <v>0</v>
      </c>
      <c r="AK122" s="1922">
        <f t="shared" si="66"/>
        <v>0</v>
      </c>
      <c r="AL122" s="1922">
        <f t="shared" si="66"/>
        <v>0</v>
      </c>
      <c r="AM122" s="1922">
        <f t="shared" si="66"/>
        <v>0</v>
      </c>
      <c r="AN122" s="1955">
        <f t="shared" si="66"/>
        <v>0</v>
      </c>
      <c r="AO122" s="1922">
        <f t="shared" si="66"/>
        <v>0</v>
      </c>
      <c r="AP122" s="1922">
        <f t="shared" si="66"/>
        <v>0</v>
      </c>
      <c r="AQ122" s="1922">
        <f t="shared" si="66"/>
        <v>0</v>
      </c>
      <c r="AR122" s="1922">
        <f t="shared" si="66"/>
        <v>0</v>
      </c>
      <c r="AS122" s="1922">
        <f t="shared" si="66"/>
        <v>0</v>
      </c>
      <c r="AT122" s="1922">
        <f t="shared" si="66"/>
        <v>0</v>
      </c>
      <c r="AU122" s="1922">
        <f t="shared" si="66"/>
        <v>0</v>
      </c>
      <c r="AV122" s="1922">
        <f t="shared" si="66"/>
        <v>0</v>
      </c>
      <c r="AW122" s="1922">
        <f t="shared" si="66"/>
        <v>0</v>
      </c>
      <c r="AX122" s="1922">
        <f t="shared" si="66"/>
        <v>0</v>
      </c>
      <c r="AY122" s="1922">
        <f t="shared" si="66"/>
        <v>0</v>
      </c>
      <c r="AZ122" s="1922">
        <f t="shared" si="66"/>
        <v>0</v>
      </c>
      <c r="BA122" s="1922">
        <f t="shared" si="66"/>
        <v>0</v>
      </c>
      <c r="BB122" s="1922">
        <f t="shared" si="66"/>
        <v>0</v>
      </c>
      <c r="BC122" s="1922">
        <f t="shared" si="66"/>
        <v>0</v>
      </c>
      <c r="BD122" s="1922">
        <f t="shared" si="66"/>
        <v>0</v>
      </c>
      <c r="BE122" s="1922">
        <f t="shared" si="66"/>
        <v>0</v>
      </c>
      <c r="BF122" s="1922">
        <f t="shared" si="66"/>
        <v>0</v>
      </c>
      <c r="BG122" s="1922">
        <f t="shared" si="66"/>
        <v>0</v>
      </c>
      <c r="BH122" s="1922">
        <f t="shared" si="66"/>
        <v>0</v>
      </c>
      <c r="BI122" s="1922">
        <f t="shared" si="66"/>
        <v>0</v>
      </c>
      <c r="BJ122" s="1922">
        <f t="shared" si="66"/>
        <v>0</v>
      </c>
      <c r="BK122" s="1922">
        <f t="shared" si="66"/>
        <v>0</v>
      </c>
      <c r="BL122" s="1922">
        <f t="shared" si="66"/>
        <v>0</v>
      </c>
      <c r="BM122" s="1922">
        <f t="shared" si="66"/>
        <v>0</v>
      </c>
      <c r="BN122" s="1922">
        <f t="shared" si="66"/>
        <v>0</v>
      </c>
      <c r="BO122" s="1922">
        <f t="shared" si="66"/>
        <v>0</v>
      </c>
      <c r="BP122" s="1922">
        <f t="shared" si="66"/>
        <v>0</v>
      </c>
      <c r="BQ122" s="1922">
        <f t="shared" ref="BQ122:BW122" si="67">BQ104+BQ107+BQ110+BQ113+BQ116</f>
        <v>0</v>
      </c>
      <c r="BR122" s="1922">
        <f t="shared" si="67"/>
        <v>0</v>
      </c>
      <c r="BS122" s="1922">
        <f t="shared" si="67"/>
        <v>0</v>
      </c>
      <c r="BT122" s="1922">
        <f t="shared" si="67"/>
        <v>0</v>
      </c>
      <c r="BU122" s="1922">
        <f t="shared" si="67"/>
        <v>0</v>
      </c>
      <c r="BV122" s="1922">
        <f t="shared" si="67"/>
        <v>0</v>
      </c>
      <c r="BW122" s="1924">
        <f t="shared" si="67"/>
        <v>0</v>
      </c>
      <c r="BX122" s="1926"/>
      <c r="BY122" s="1926"/>
      <c r="BZ122" s="1926"/>
      <c r="CA122" s="1926"/>
      <c r="CB122" s="1926"/>
      <c r="CC122" s="1926"/>
      <c r="CD122" s="1926"/>
      <c r="CE122" s="1926"/>
      <c r="CF122" s="1926"/>
      <c r="CG122" s="1926"/>
      <c r="CH122" s="1926"/>
      <c r="CI122" s="1926"/>
      <c r="CJ122" s="1926"/>
      <c r="CK122" s="1926"/>
      <c r="CL122" s="1926"/>
      <c r="CM122" s="1926"/>
      <c r="CN122" s="1926"/>
      <c r="CO122" s="1926"/>
      <c r="CP122" s="1926"/>
      <c r="CQ122" s="1926"/>
      <c r="CR122" s="1926"/>
      <c r="CS122" s="1926"/>
      <c r="CT122" s="1926"/>
      <c r="CU122" s="1926"/>
      <c r="CV122" s="1926"/>
      <c r="CW122" s="1926"/>
      <c r="CX122" s="1926"/>
      <c r="CY122" s="1926"/>
      <c r="CZ122" s="1926"/>
      <c r="DA122" s="1926"/>
      <c r="DB122" s="1926"/>
      <c r="DC122" s="1926"/>
      <c r="DD122" s="1926"/>
      <c r="DE122" s="1926"/>
      <c r="DF122" s="1926"/>
      <c r="DG122" s="1926"/>
      <c r="DH122" s="1926"/>
      <c r="DI122" s="1926"/>
      <c r="DJ122" s="1926"/>
      <c r="DK122" s="1926"/>
      <c r="DL122" s="1926"/>
      <c r="DM122" s="1926"/>
      <c r="DN122" s="1926"/>
      <c r="DO122" s="1926"/>
      <c r="DP122" s="1926"/>
      <c r="DQ122" s="1926"/>
      <c r="DR122" s="1926"/>
      <c r="DS122" s="1926"/>
      <c r="DT122" s="1926"/>
      <c r="DU122" s="1926"/>
      <c r="DV122" s="1926"/>
      <c r="DW122" s="1926"/>
      <c r="DX122" s="1926"/>
      <c r="DY122" s="1926"/>
      <c r="DZ122" s="1926"/>
      <c r="EA122" s="1926"/>
      <c r="EB122" s="1926"/>
      <c r="EC122" s="1926"/>
      <c r="ED122" s="1926"/>
      <c r="EE122" s="1926"/>
      <c r="EF122" s="1926"/>
      <c r="EG122" s="1926"/>
      <c r="EH122" s="1926"/>
      <c r="EI122" s="1926"/>
      <c r="EJ122" s="1926"/>
      <c r="EK122" s="1926"/>
      <c r="EL122" s="1926"/>
      <c r="EM122" s="1926"/>
      <c r="EN122" s="1926"/>
      <c r="EO122" s="1926"/>
      <c r="EP122" s="1926"/>
      <c r="EQ122" s="1926"/>
      <c r="ER122" s="1926"/>
      <c r="ES122" s="1926"/>
      <c r="ET122" s="1926"/>
      <c r="EU122" s="1926"/>
      <c r="EV122" s="1926"/>
      <c r="EW122" s="1926"/>
      <c r="EX122" s="1926"/>
      <c r="EY122" s="1926"/>
      <c r="EZ122" s="1926"/>
      <c r="FA122" s="1926"/>
      <c r="FB122" s="1926"/>
      <c r="FC122" s="1926"/>
      <c r="FD122" s="1926"/>
      <c r="FE122" s="1926"/>
      <c r="FF122" s="1926"/>
      <c r="FG122" s="1926"/>
      <c r="FH122" s="1926"/>
      <c r="FI122" s="1926"/>
      <c r="FJ122" s="1926"/>
      <c r="FK122" s="1926"/>
      <c r="FL122" s="1926"/>
      <c r="FM122" s="1926"/>
      <c r="FN122" s="1926"/>
      <c r="FO122" s="1926"/>
      <c r="FP122" s="1926"/>
      <c r="FQ122" s="1926"/>
      <c r="FR122" s="1926"/>
    </row>
    <row r="123" spans="2:237" s="37" customFormat="1" ht="14.25" hidden="1" customHeight="1">
      <c r="D123" s="1921"/>
      <c r="E123" s="1921"/>
      <c r="F123" s="1921"/>
      <c r="G123" s="1921"/>
      <c r="H123" s="140"/>
      <c r="I123" s="1921"/>
      <c r="J123" s="1921"/>
      <c r="K123" s="1921"/>
      <c r="L123" s="1921"/>
      <c r="M123" s="140"/>
      <c r="N123" s="1921"/>
      <c r="O123" s="1921"/>
      <c r="P123" s="1921"/>
      <c r="Q123" s="1921"/>
      <c r="R123" s="140"/>
      <c r="S123" s="1921"/>
      <c r="T123" s="1921"/>
      <c r="U123" s="1921"/>
      <c r="V123" s="1921"/>
      <c r="W123" s="1921"/>
      <c r="X123" s="1921"/>
      <c r="Y123" s="1921"/>
      <c r="Z123" s="1921"/>
      <c r="AA123" s="1921"/>
      <c r="AB123" s="1921"/>
      <c r="AC123" s="1921"/>
      <c r="AD123" s="1921"/>
      <c r="AE123" s="1921"/>
      <c r="AF123" s="1921"/>
      <c r="AG123" s="1921"/>
      <c r="AH123" s="1921"/>
      <c r="AI123" s="1921"/>
      <c r="AJ123" s="1921"/>
      <c r="AK123" s="1921"/>
      <c r="AL123" s="1921"/>
      <c r="AM123" s="1921"/>
      <c r="AN123" s="1956"/>
      <c r="AO123" s="1921"/>
      <c r="AP123" s="1921"/>
      <c r="AQ123" s="1921"/>
      <c r="AR123" s="1921"/>
      <c r="AS123" s="1921"/>
      <c r="AT123" s="1921"/>
      <c r="AU123" s="1921"/>
      <c r="AV123" s="1921"/>
      <c r="AW123" s="1921"/>
      <c r="AX123" s="1921"/>
      <c r="AY123" s="1921"/>
      <c r="AZ123" s="1921"/>
      <c r="BA123" s="1921"/>
      <c r="BB123" s="1921"/>
      <c r="BC123" s="1921"/>
      <c r="BD123" s="1921"/>
      <c r="BE123" s="1921"/>
      <c r="BF123" s="1921"/>
      <c r="BG123" s="1921"/>
      <c r="BH123" s="1921"/>
      <c r="BI123" s="1921"/>
      <c r="BJ123" s="1921"/>
      <c r="BK123" s="1921"/>
      <c r="BL123" s="1921"/>
      <c r="BM123" s="1921"/>
      <c r="BN123" s="1921"/>
      <c r="BO123" s="1921"/>
      <c r="BP123" s="1921"/>
      <c r="BQ123" s="1921"/>
      <c r="BR123" s="1921"/>
      <c r="BS123" s="1921"/>
      <c r="BT123" s="1921"/>
      <c r="BU123" s="1921"/>
      <c r="BV123" s="1921"/>
      <c r="BW123" s="1921"/>
      <c r="BX123" s="141"/>
      <c r="BY123" s="141"/>
      <c r="BZ123" s="141"/>
      <c r="CA123" s="141"/>
      <c r="CB123" s="141"/>
      <c r="CC123" s="141"/>
      <c r="CD123" s="141"/>
      <c r="CE123" s="141"/>
      <c r="CF123" s="141"/>
      <c r="CG123" s="141"/>
      <c r="CH123" s="141"/>
      <c r="CI123" s="141"/>
      <c r="CJ123" s="141"/>
      <c r="CK123" s="141"/>
      <c r="CL123" s="141"/>
      <c r="CM123" s="141"/>
      <c r="CN123" s="141"/>
      <c r="CO123" s="141"/>
      <c r="CP123" s="141"/>
      <c r="CQ123" s="141"/>
      <c r="CR123" s="141"/>
      <c r="CS123" s="141"/>
      <c r="CT123" s="141"/>
      <c r="CU123" s="141"/>
      <c r="CV123" s="141"/>
      <c r="CW123" s="141"/>
      <c r="CX123" s="141"/>
      <c r="CY123" s="141"/>
      <c r="CZ123" s="141"/>
      <c r="DA123" s="141"/>
      <c r="DB123" s="141"/>
      <c r="DC123" s="141"/>
      <c r="DD123" s="141"/>
      <c r="DE123" s="141"/>
      <c r="DF123" s="141"/>
      <c r="DG123" s="141"/>
      <c r="DH123" s="141"/>
      <c r="DI123" s="141"/>
      <c r="DJ123" s="141"/>
      <c r="DK123" s="141"/>
      <c r="DL123" s="141"/>
      <c r="DM123" s="141"/>
      <c r="DN123" s="141"/>
      <c r="DO123" s="141"/>
      <c r="DP123" s="141"/>
      <c r="DQ123" s="141"/>
      <c r="DR123" s="141"/>
      <c r="DS123" s="141"/>
      <c r="DT123" s="141"/>
      <c r="DU123" s="141"/>
      <c r="DV123" s="141"/>
      <c r="DW123" s="141"/>
      <c r="DX123" s="141"/>
      <c r="DY123" s="141"/>
      <c r="DZ123" s="141"/>
      <c r="EA123" s="141"/>
      <c r="EB123" s="141"/>
      <c r="EC123" s="141"/>
      <c r="ED123" s="141"/>
      <c r="EE123" s="141"/>
      <c r="EF123" s="141"/>
      <c r="EG123" s="141"/>
      <c r="EH123" s="141"/>
      <c r="EI123" s="141"/>
      <c r="EJ123" s="141"/>
      <c r="EK123" s="141"/>
      <c r="EL123" s="141"/>
      <c r="EM123" s="141"/>
      <c r="EN123" s="141"/>
      <c r="EO123" s="141"/>
      <c r="EP123" s="141"/>
      <c r="EQ123" s="141"/>
      <c r="ER123" s="141"/>
      <c r="ES123" s="141"/>
      <c r="ET123" s="141"/>
      <c r="EU123" s="141"/>
      <c r="EV123" s="141"/>
      <c r="EW123" s="141"/>
      <c r="EX123" s="141"/>
      <c r="EY123" s="141"/>
      <c r="EZ123" s="141"/>
      <c r="FA123" s="141"/>
      <c r="FB123" s="141"/>
      <c r="FC123" s="141"/>
      <c r="FD123" s="141"/>
      <c r="FE123" s="141"/>
      <c r="FF123" s="141"/>
      <c r="FG123" s="141"/>
      <c r="FH123" s="141"/>
      <c r="FI123" s="141"/>
      <c r="FJ123" s="141"/>
      <c r="FK123" s="141"/>
      <c r="FL123" s="141"/>
      <c r="FM123" s="141"/>
      <c r="FN123" s="141"/>
      <c r="FO123" s="141"/>
      <c r="FP123" s="141"/>
      <c r="FQ123" s="141"/>
      <c r="FR123" s="141"/>
    </row>
    <row r="124" spans="2:237" s="37" customFormat="1" ht="14.25" hidden="1" customHeight="1">
      <c r="C124" s="62">
        <f ca="1">B103+1</f>
        <v>27</v>
      </c>
      <c r="H124" s="53"/>
      <c r="M124" s="53"/>
      <c r="O124" s="1916" t="s">
        <v>450</v>
      </c>
      <c r="P124" s="1916">
        <v>1</v>
      </c>
      <c r="Q124" s="1916">
        <v>2</v>
      </c>
      <c r="R124" s="1916">
        <v>3</v>
      </c>
      <c r="S124" s="1916">
        <v>4</v>
      </c>
      <c r="T124" s="1916">
        <v>5</v>
      </c>
      <c r="U124" s="1916">
        <v>6</v>
      </c>
      <c r="V124" s="1916">
        <v>7</v>
      </c>
      <c r="W124" s="1916">
        <v>8</v>
      </c>
      <c r="X124" s="1916">
        <v>9</v>
      </c>
      <c r="Y124" s="1916">
        <v>10</v>
      </c>
      <c r="Z124" s="1916">
        <v>11</v>
      </c>
      <c r="AA124" s="1916">
        <v>12</v>
      </c>
      <c r="AB124" s="1916">
        <v>13</v>
      </c>
      <c r="AC124" s="1916">
        <v>14</v>
      </c>
      <c r="AD124" s="1916">
        <v>15</v>
      </c>
      <c r="AE124" s="1916">
        <v>16</v>
      </c>
      <c r="AF124" s="1916">
        <v>17</v>
      </c>
      <c r="AG124" s="1916">
        <v>18</v>
      </c>
      <c r="AH124" s="1916">
        <v>19</v>
      </c>
      <c r="AI124" s="1916">
        <v>20</v>
      </c>
      <c r="AJ124" s="1916">
        <v>21</v>
      </c>
      <c r="AK124" s="1916">
        <v>22</v>
      </c>
      <c r="AL124" s="1916">
        <v>23</v>
      </c>
      <c r="AM124" s="1916">
        <v>24</v>
      </c>
      <c r="AN124" s="1954">
        <v>25</v>
      </c>
      <c r="AO124" s="1916">
        <v>26</v>
      </c>
      <c r="AP124" s="1916">
        <v>27</v>
      </c>
      <c r="AQ124" s="1916">
        <v>28</v>
      </c>
      <c r="AR124" s="1916">
        <v>29</v>
      </c>
      <c r="AS124" s="1916">
        <v>30</v>
      </c>
      <c r="AT124" s="1916">
        <v>31</v>
      </c>
      <c r="AU124" s="1916">
        <v>32</v>
      </c>
      <c r="AV124" s="1916">
        <v>33</v>
      </c>
      <c r="AW124" s="1916">
        <v>34</v>
      </c>
      <c r="AX124" s="1916">
        <v>35</v>
      </c>
      <c r="AY124" s="1916">
        <v>36</v>
      </c>
      <c r="AZ124" s="1916">
        <v>37</v>
      </c>
      <c r="BA124" s="1916">
        <v>38</v>
      </c>
      <c r="BB124" s="1916">
        <v>39</v>
      </c>
      <c r="BC124" s="1916">
        <v>40</v>
      </c>
      <c r="BD124" s="1916">
        <v>41</v>
      </c>
      <c r="BE124" s="1916">
        <v>42</v>
      </c>
      <c r="BF124" s="1916">
        <v>43</v>
      </c>
      <c r="BG124" s="1916">
        <v>44</v>
      </c>
      <c r="BH124" s="1916">
        <v>45</v>
      </c>
      <c r="BI124" s="1916">
        <v>46</v>
      </c>
      <c r="BJ124" s="1916">
        <v>47</v>
      </c>
      <c r="BK124" s="1916">
        <v>48</v>
      </c>
      <c r="BL124" s="1916">
        <v>49</v>
      </c>
      <c r="BM124" s="1916">
        <v>50</v>
      </c>
      <c r="BN124" s="1916">
        <v>51</v>
      </c>
      <c r="BO124" s="1916">
        <v>52</v>
      </c>
      <c r="BP124" s="1916">
        <v>53</v>
      </c>
      <c r="BQ124" s="1916">
        <v>54</v>
      </c>
      <c r="BR124" s="1916">
        <v>55</v>
      </c>
      <c r="BS124" s="1916">
        <v>56</v>
      </c>
      <c r="BT124" s="1916">
        <v>57</v>
      </c>
      <c r="BU124" s="1916">
        <v>58</v>
      </c>
      <c r="BV124" s="1916">
        <v>59</v>
      </c>
      <c r="BW124" s="1917">
        <v>60</v>
      </c>
      <c r="BX124" s="1919"/>
      <c r="BY124" s="1919"/>
      <c r="BZ124" s="1919"/>
      <c r="CA124" s="1919"/>
      <c r="CB124" s="1919"/>
      <c r="CC124" s="1919"/>
      <c r="CD124" s="1919"/>
      <c r="CE124" s="1919"/>
      <c r="CF124" s="1919"/>
      <c r="CG124" s="1919"/>
      <c r="CH124" s="1919"/>
      <c r="CI124" s="1919"/>
      <c r="CJ124" s="1919"/>
      <c r="CK124" s="1919"/>
      <c r="CL124" s="1919"/>
      <c r="CM124" s="1919"/>
      <c r="CN124" s="1919"/>
      <c r="CO124" s="1919"/>
      <c r="CP124" s="1919"/>
      <c r="CQ124" s="1919"/>
      <c r="CR124" s="1919"/>
      <c r="CS124" s="1919"/>
      <c r="CT124" s="1919"/>
      <c r="CU124" s="1919"/>
      <c r="CV124" s="1919"/>
      <c r="CW124" s="1919"/>
      <c r="CX124" s="1919"/>
      <c r="CY124" s="1919"/>
      <c r="CZ124" s="1919"/>
      <c r="DA124" s="1919"/>
      <c r="DB124" s="1919"/>
      <c r="DC124" s="1919"/>
      <c r="DD124" s="1919"/>
      <c r="DE124" s="1919"/>
      <c r="DF124" s="1919"/>
      <c r="DG124" s="1919"/>
      <c r="DH124" s="1919"/>
      <c r="DI124" s="1919"/>
      <c r="DJ124" s="1919"/>
      <c r="DK124" s="1919"/>
      <c r="DL124" s="1919"/>
      <c r="DM124" s="1919"/>
      <c r="DN124" s="1919"/>
      <c r="DO124" s="1919"/>
      <c r="DP124" s="1919"/>
      <c r="DQ124" s="1919"/>
      <c r="DR124" s="1919"/>
      <c r="DS124" s="1919"/>
      <c r="DT124" s="1919"/>
      <c r="DU124" s="1919"/>
      <c r="DV124" s="1919"/>
      <c r="DW124" s="1919"/>
      <c r="DX124" s="1919"/>
      <c r="DY124" s="1919"/>
      <c r="DZ124" s="1919"/>
      <c r="EA124" s="1919"/>
      <c r="EB124" s="1919"/>
      <c r="EC124" s="1919"/>
      <c r="ED124" s="1919"/>
      <c r="EE124" s="1919"/>
      <c r="EF124" s="1919"/>
      <c r="EG124" s="1919"/>
      <c r="EH124" s="1919"/>
      <c r="EI124" s="1919"/>
      <c r="EJ124" s="1919"/>
      <c r="EK124" s="1919"/>
      <c r="EL124" s="1919"/>
      <c r="EM124" s="1919"/>
      <c r="EN124" s="1919"/>
      <c r="EO124" s="1919"/>
      <c r="EP124" s="1919"/>
      <c r="EQ124" s="1919"/>
      <c r="ER124" s="1919"/>
      <c r="ES124" s="1919"/>
      <c r="ET124" s="1919"/>
      <c r="EU124" s="1919"/>
      <c r="EV124" s="1919"/>
      <c r="EW124" s="1919"/>
      <c r="EX124" s="1919"/>
      <c r="EY124" s="1919"/>
      <c r="EZ124" s="1919"/>
      <c r="FA124" s="1919"/>
      <c r="FB124" s="1919"/>
      <c r="FC124" s="1919"/>
      <c r="FD124" s="1919"/>
      <c r="FE124" s="1919"/>
      <c r="FF124" s="1919"/>
      <c r="FG124" s="1919"/>
      <c r="FH124" s="1919"/>
      <c r="FI124" s="1919"/>
      <c r="FJ124" s="1919"/>
      <c r="FK124" s="1919"/>
      <c r="FL124" s="1919"/>
      <c r="FM124" s="1919"/>
      <c r="FN124" s="1919"/>
      <c r="FO124" s="1919"/>
      <c r="FP124" s="1919"/>
      <c r="FQ124" s="1919"/>
      <c r="FR124" s="1919"/>
      <c r="FS124" s="1920"/>
      <c r="FT124" s="1921"/>
      <c r="FU124" s="1920"/>
      <c r="FV124" s="1921"/>
      <c r="FW124" s="1920"/>
      <c r="FX124" s="1921"/>
      <c r="FY124" s="1920"/>
      <c r="FZ124" s="1921"/>
      <c r="GA124" s="1920"/>
      <c r="GB124" s="1921"/>
      <c r="GC124" s="1920"/>
      <c r="GD124" s="1921"/>
      <c r="GE124" s="1920"/>
      <c r="GF124" s="1921"/>
      <c r="GG124" s="1920"/>
      <c r="GH124" s="1921"/>
      <c r="GI124" s="1920"/>
      <c r="GJ124" s="1921"/>
      <c r="GK124" s="1920"/>
      <c r="GL124" s="1921"/>
      <c r="GM124" s="1920"/>
      <c r="GN124" s="1921"/>
      <c r="GO124" s="1920"/>
      <c r="GP124" s="1921"/>
      <c r="GQ124" s="1920"/>
      <c r="GR124" s="1921"/>
      <c r="GS124" s="1920"/>
      <c r="GT124" s="1921"/>
      <c r="GU124" s="1920"/>
      <c r="GV124" s="1921"/>
      <c r="GW124" s="1920"/>
      <c r="GX124" s="1921"/>
      <c r="GY124" s="1920"/>
      <c r="GZ124" s="1921"/>
      <c r="HA124" s="1920"/>
      <c r="HB124" s="1921"/>
      <c r="HC124" s="1920"/>
      <c r="HD124" s="1921"/>
      <c r="HE124" s="1920"/>
      <c r="HF124" s="1921"/>
      <c r="HG124" s="1920"/>
      <c r="HH124" s="1921"/>
      <c r="HI124" s="1920"/>
      <c r="HJ124" s="1921"/>
      <c r="HK124" s="1920"/>
      <c r="HL124" s="1921"/>
      <c r="HM124" s="1920"/>
      <c r="HN124" s="1921"/>
      <c r="HO124" s="1920"/>
      <c r="HP124" s="1921"/>
      <c r="HQ124" s="1920"/>
      <c r="HR124" s="1921"/>
      <c r="HS124" s="1920"/>
      <c r="HT124" s="1921"/>
      <c r="HU124" s="1920"/>
      <c r="HV124" s="1921"/>
      <c r="HW124" s="1920"/>
      <c r="HX124" s="1921"/>
      <c r="HY124" s="1920"/>
      <c r="HZ124" s="1921"/>
      <c r="IA124" s="1920"/>
      <c r="IB124" s="1921"/>
      <c r="IC124" s="1920"/>
    </row>
    <row r="125" spans="2:237" s="37" customFormat="1" ht="14.25" hidden="1" customHeight="1">
      <c r="B125" s="37" t="s">
        <v>570</v>
      </c>
      <c r="H125" s="53"/>
      <c r="M125" s="53"/>
      <c r="O125" s="1923"/>
      <c r="P125" s="1922">
        <f t="shared" ref="P125:AU125" si="68">IF($K5=P124,$J5,0)</f>
        <v>0</v>
      </c>
      <c r="Q125" s="1922">
        <f t="shared" si="68"/>
        <v>0</v>
      </c>
      <c r="R125" s="1922">
        <f t="shared" si="68"/>
        <v>0</v>
      </c>
      <c r="S125" s="1922">
        <f t="shared" si="68"/>
        <v>0</v>
      </c>
      <c r="T125" s="1922">
        <f t="shared" si="68"/>
        <v>0</v>
      </c>
      <c r="U125" s="1922">
        <f t="shared" si="68"/>
        <v>0</v>
      </c>
      <c r="V125" s="1922">
        <f t="shared" si="68"/>
        <v>0</v>
      </c>
      <c r="W125" s="1922">
        <f t="shared" si="68"/>
        <v>0</v>
      </c>
      <c r="X125" s="1922">
        <f t="shared" si="68"/>
        <v>0</v>
      </c>
      <c r="Y125" s="1922">
        <f t="shared" si="68"/>
        <v>0</v>
      </c>
      <c r="Z125" s="1922">
        <f t="shared" si="68"/>
        <v>0</v>
      </c>
      <c r="AA125" s="1922">
        <f t="shared" si="68"/>
        <v>0</v>
      </c>
      <c r="AB125" s="1922">
        <f t="shared" si="68"/>
        <v>0</v>
      </c>
      <c r="AC125" s="1922">
        <f t="shared" si="68"/>
        <v>0</v>
      </c>
      <c r="AD125" s="1922">
        <f t="shared" si="68"/>
        <v>0</v>
      </c>
      <c r="AE125" s="1922">
        <f t="shared" si="68"/>
        <v>0</v>
      </c>
      <c r="AF125" s="1922">
        <f t="shared" si="68"/>
        <v>0</v>
      </c>
      <c r="AG125" s="1922">
        <f t="shared" si="68"/>
        <v>0</v>
      </c>
      <c r="AH125" s="1922">
        <f t="shared" si="68"/>
        <v>0</v>
      </c>
      <c r="AI125" s="1922">
        <f t="shared" si="68"/>
        <v>0</v>
      </c>
      <c r="AJ125" s="1922">
        <f t="shared" si="68"/>
        <v>0</v>
      </c>
      <c r="AK125" s="1922">
        <f t="shared" si="68"/>
        <v>0</v>
      </c>
      <c r="AL125" s="1922">
        <f t="shared" si="68"/>
        <v>0</v>
      </c>
      <c r="AM125" s="1922">
        <f t="shared" si="68"/>
        <v>0</v>
      </c>
      <c r="AN125" s="1955">
        <f t="shared" si="68"/>
        <v>0</v>
      </c>
      <c r="AO125" s="1922">
        <f t="shared" si="68"/>
        <v>0</v>
      </c>
      <c r="AP125" s="1922">
        <f t="shared" si="68"/>
        <v>0</v>
      </c>
      <c r="AQ125" s="1922">
        <f t="shared" si="68"/>
        <v>0</v>
      </c>
      <c r="AR125" s="1922">
        <f t="shared" si="68"/>
        <v>0</v>
      </c>
      <c r="AS125" s="1922">
        <f t="shared" si="68"/>
        <v>0</v>
      </c>
      <c r="AT125" s="1922">
        <f t="shared" si="68"/>
        <v>0</v>
      </c>
      <c r="AU125" s="1922">
        <f t="shared" si="68"/>
        <v>0</v>
      </c>
      <c r="AV125" s="1922">
        <f t="shared" ref="AV125:BW125" si="69">IF($K5=AV124,$J5,0)</f>
        <v>0</v>
      </c>
      <c r="AW125" s="1922">
        <f t="shared" si="69"/>
        <v>0</v>
      </c>
      <c r="AX125" s="1922">
        <f t="shared" si="69"/>
        <v>0</v>
      </c>
      <c r="AY125" s="1922">
        <f t="shared" si="69"/>
        <v>0</v>
      </c>
      <c r="AZ125" s="1922">
        <f t="shared" si="69"/>
        <v>0</v>
      </c>
      <c r="BA125" s="1922">
        <f t="shared" si="69"/>
        <v>0</v>
      </c>
      <c r="BB125" s="1922">
        <f t="shared" si="69"/>
        <v>0</v>
      </c>
      <c r="BC125" s="1922">
        <f t="shared" si="69"/>
        <v>0</v>
      </c>
      <c r="BD125" s="1922">
        <f t="shared" si="69"/>
        <v>0</v>
      </c>
      <c r="BE125" s="1922">
        <f t="shared" si="69"/>
        <v>0</v>
      </c>
      <c r="BF125" s="1922">
        <f t="shared" si="69"/>
        <v>0</v>
      </c>
      <c r="BG125" s="1922">
        <f t="shared" si="69"/>
        <v>0</v>
      </c>
      <c r="BH125" s="1922">
        <f t="shared" si="69"/>
        <v>0</v>
      </c>
      <c r="BI125" s="1922">
        <f t="shared" si="69"/>
        <v>0</v>
      </c>
      <c r="BJ125" s="1922">
        <f t="shared" si="69"/>
        <v>0</v>
      </c>
      <c r="BK125" s="1922">
        <f t="shared" si="69"/>
        <v>0</v>
      </c>
      <c r="BL125" s="1922">
        <f t="shared" si="69"/>
        <v>0</v>
      </c>
      <c r="BM125" s="1922">
        <f t="shared" si="69"/>
        <v>0</v>
      </c>
      <c r="BN125" s="1922">
        <f t="shared" si="69"/>
        <v>0</v>
      </c>
      <c r="BO125" s="1922">
        <f t="shared" si="69"/>
        <v>0</v>
      </c>
      <c r="BP125" s="1922">
        <f t="shared" si="69"/>
        <v>0</v>
      </c>
      <c r="BQ125" s="1922">
        <f t="shared" si="69"/>
        <v>0</v>
      </c>
      <c r="BR125" s="1922">
        <f t="shared" si="69"/>
        <v>0</v>
      </c>
      <c r="BS125" s="1922">
        <f t="shared" si="69"/>
        <v>0</v>
      </c>
      <c r="BT125" s="1922">
        <f t="shared" si="69"/>
        <v>0</v>
      </c>
      <c r="BU125" s="1922">
        <f t="shared" si="69"/>
        <v>0</v>
      </c>
      <c r="BV125" s="1922">
        <f t="shared" si="69"/>
        <v>0</v>
      </c>
      <c r="BW125" s="1924">
        <f t="shared" si="69"/>
        <v>0</v>
      </c>
      <c r="BX125" s="1926"/>
      <c r="BY125" s="1926"/>
      <c r="BZ125" s="1926"/>
      <c r="CA125" s="1926"/>
      <c r="CB125" s="1926"/>
      <c r="CC125" s="1926"/>
      <c r="CD125" s="1926"/>
      <c r="CE125" s="1926"/>
      <c r="CF125" s="1926"/>
      <c r="CG125" s="1926"/>
      <c r="CH125" s="1926"/>
      <c r="CI125" s="1926"/>
      <c r="CJ125" s="1926"/>
      <c r="CK125" s="1926"/>
      <c r="CL125" s="1926"/>
      <c r="CM125" s="1926"/>
      <c r="CN125" s="1926"/>
      <c r="CO125" s="1926"/>
      <c r="CP125" s="1926"/>
      <c r="CQ125" s="1926"/>
      <c r="CR125" s="1926"/>
      <c r="CS125" s="1926"/>
      <c r="CT125" s="1926"/>
      <c r="CU125" s="1926"/>
      <c r="CV125" s="1926"/>
      <c r="CW125" s="1926"/>
      <c r="CX125" s="1926"/>
      <c r="CY125" s="1926"/>
      <c r="CZ125" s="1926"/>
      <c r="DA125" s="1926"/>
      <c r="DB125" s="1926"/>
      <c r="DC125" s="1926"/>
      <c r="DD125" s="1926"/>
      <c r="DE125" s="1926"/>
      <c r="DF125" s="1926"/>
      <c r="DG125" s="1926"/>
      <c r="DH125" s="1926"/>
      <c r="DI125" s="1926"/>
      <c r="DJ125" s="1926"/>
      <c r="DK125" s="1926"/>
      <c r="DL125" s="1926"/>
      <c r="DM125" s="1926"/>
      <c r="DN125" s="1926"/>
      <c r="DO125" s="1926"/>
      <c r="DP125" s="1926"/>
      <c r="DQ125" s="1926"/>
      <c r="DR125" s="1926"/>
      <c r="DS125" s="1926"/>
      <c r="DT125" s="1926"/>
      <c r="DU125" s="1926"/>
      <c r="DV125" s="1926"/>
      <c r="DW125" s="1926"/>
      <c r="DX125" s="1926"/>
      <c r="DY125" s="1926"/>
      <c r="DZ125" s="1926"/>
      <c r="EA125" s="1926"/>
      <c r="EB125" s="1926"/>
      <c r="EC125" s="1926"/>
      <c r="ED125" s="1926"/>
      <c r="EE125" s="1926"/>
      <c r="EF125" s="1926"/>
      <c r="EG125" s="1926"/>
      <c r="EH125" s="1926"/>
      <c r="EI125" s="1926"/>
      <c r="EJ125" s="1926"/>
      <c r="EK125" s="1926"/>
      <c r="EL125" s="1926"/>
      <c r="EM125" s="1926"/>
      <c r="EN125" s="1926"/>
      <c r="EO125" s="1926"/>
      <c r="EP125" s="1926"/>
      <c r="EQ125" s="1926"/>
      <c r="ER125" s="1926"/>
      <c r="ES125" s="1926"/>
      <c r="ET125" s="1926"/>
      <c r="EU125" s="1926"/>
      <c r="EV125" s="1926"/>
      <c r="EW125" s="1926"/>
      <c r="EX125" s="1926"/>
      <c r="EY125" s="1926"/>
      <c r="EZ125" s="1926"/>
      <c r="FA125" s="1926"/>
      <c r="FB125" s="1926"/>
      <c r="FC125" s="1926"/>
      <c r="FD125" s="1926"/>
      <c r="FE125" s="1926"/>
      <c r="FF125" s="1926"/>
      <c r="FG125" s="1926"/>
      <c r="FH125" s="1926"/>
      <c r="FI125" s="1926"/>
      <c r="FJ125" s="1926"/>
      <c r="FK125" s="1926"/>
      <c r="FL125" s="1926"/>
      <c r="FM125" s="1926"/>
      <c r="FN125" s="1926"/>
      <c r="FO125" s="1926"/>
      <c r="FP125" s="1926"/>
      <c r="FQ125" s="1926"/>
      <c r="FR125" s="1926"/>
    </row>
    <row r="126" spans="2:237" s="37" customFormat="1" ht="14.25" hidden="1" customHeight="1">
      <c r="B126" s="1921" t="s">
        <v>571</v>
      </c>
      <c r="H126" s="53"/>
      <c r="M126" s="53"/>
      <c r="O126" s="1923">
        <v>0</v>
      </c>
      <c r="P126" s="1922">
        <f t="shared" ref="P126:AU126" si="70">IF($J5=P$125,1,IF(O126&gt;0,IF(O126&gt;=$L5*12,0,O126+1),0))</f>
        <v>1</v>
      </c>
      <c r="Q126" s="1922">
        <f t="shared" si="70"/>
        <v>1</v>
      </c>
      <c r="R126" s="1922">
        <f t="shared" si="70"/>
        <v>1</v>
      </c>
      <c r="S126" s="1922">
        <f t="shared" si="70"/>
        <v>1</v>
      </c>
      <c r="T126" s="1922">
        <f t="shared" si="70"/>
        <v>1</v>
      </c>
      <c r="U126" s="1922">
        <f t="shared" si="70"/>
        <v>1</v>
      </c>
      <c r="V126" s="1922">
        <f t="shared" si="70"/>
        <v>1</v>
      </c>
      <c r="W126" s="1922">
        <f t="shared" si="70"/>
        <v>1</v>
      </c>
      <c r="X126" s="1922">
        <f t="shared" si="70"/>
        <v>1</v>
      </c>
      <c r="Y126" s="1922">
        <f t="shared" si="70"/>
        <v>1</v>
      </c>
      <c r="Z126" s="1922">
        <f t="shared" si="70"/>
        <v>1</v>
      </c>
      <c r="AA126" s="1922">
        <f t="shared" si="70"/>
        <v>1</v>
      </c>
      <c r="AB126" s="1922">
        <f t="shared" si="70"/>
        <v>1</v>
      </c>
      <c r="AC126" s="1922">
        <f t="shared" si="70"/>
        <v>1</v>
      </c>
      <c r="AD126" s="1922">
        <f t="shared" si="70"/>
        <v>1</v>
      </c>
      <c r="AE126" s="1922">
        <f t="shared" si="70"/>
        <v>1</v>
      </c>
      <c r="AF126" s="1922">
        <f t="shared" si="70"/>
        <v>1</v>
      </c>
      <c r="AG126" s="1922">
        <f t="shared" si="70"/>
        <v>1</v>
      </c>
      <c r="AH126" s="1922">
        <f t="shared" si="70"/>
        <v>1</v>
      </c>
      <c r="AI126" s="1922">
        <f t="shared" si="70"/>
        <v>1</v>
      </c>
      <c r="AJ126" s="1922">
        <f t="shared" si="70"/>
        <v>1</v>
      </c>
      <c r="AK126" s="1922">
        <f t="shared" si="70"/>
        <v>1</v>
      </c>
      <c r="AL126" s="1922">
        <f t="shared" si="70"/>
        <v>1</v>
      </c>
      <c r="AM126" s="1922">
        <f t="shared" si="70"/>
        <v>1</v>
      </c>
      <c r="AN126" s="1955">
        <f t="shared" si="70"/>
        <v>1</v>
      </c>
      <c r="AO126" s="1922">
        <f t="shared" si="70"/>
        <v>1</v>
      </c>
      <c r="AP126" s="1922">
        <f t="shared" si="70"/>
        <v>1</v>
      </c>
      <c r="AQ126" s="1922">
        <f t="shared" si="70"/>
        <v>1</v>
      </c>
      <c r="AR126" s="1922">
        <f t="shared" si="70"/>
        <v>1</v>
      </c>
      <c r="AS126" s="1922">
        <f t="shared" si="70"/>
        <v>1</v>
      </c>
      <c r="AT126" s="1922">
        <f t="shared" si="70"/>
        <v>1</v>
      </c>
      <c r="AU126" s="1922">
        <f t="shared" si="70"/>
        <v>1</v>
      </c>
      <c r="AV126" s="1922">
        <f t="shared" ref="AV126:BW126" si="71">IF($J5=AV$125,1,IF(AU126&gt;0,IF(AU126&gt;=$L5*12,0,AU126+1),0))</f>
        <v>1</v>
      </c>
      <c r="AW126" s="1922">
        <f t="shared" si="71"/>
        <v>1</v>
      </c>
      <c r="AX126" s="1922">
        <f t="shared" si="71"/>
        <v>1</v>
      </c>
      <c r="AY126" s="1922">
        <f t="shared" si="71"/>
        <v>1</v>
      </c>
      <c r="AZ126" s="1922">
        <f t="shared" si="71"/>
        <v>1</v>
      </c>
      <c r="BA126" s="1922">
        <f t="shared" si="71"/>
        <v>1</v>
      </c>
      <c r="BB126" s="1922">
        <f t="shared" si="71"/>
        <v>1</v>
      </c>
      <c r="BC126" s="1922">
        <f t="shared" si="71"/>
        <v>1</v>
      </c>
      <c r="BD126" s="1922">
        <f t="shared" si="71"/>
        <v>1</v>
      </c>
      <c r="BE126" s="1922">
        <f t="shared" si="71"/>
        <v>1</v>
      </c>
      <c r="BF126" s="1922">
        <f t="shared" si="71"/>
        <v>1</v>
      </c>
      <c r="BG126" s="1922">
        <f t="shared" si="71"/>
        <v>1</v>
      </c>
      <c r="BH126" s="1922">
        <f t="shared" si="71"/>
        <v>1</v>
      </c>
      <c r="BI126" s="1922">
        <f t="shared" si="71"/>
        <v>1</v>
      </c>
      <c r="BJ126" s="1922">
        <f t="shared" si="71"/>
        <v>1</v>
      </c>
      <c r="BK126" s="1922">
        <f t="shared" si="71"/>
        <v>1</v>
      </c>
      <c r="BL126" s="1922">
        <f t="shared" si="71"/>
        <v>1</v>
      </c>
      <c r="BM126" s="1922">
        <f t="shared" si="71"/>
        <v>1</v>
      </c>
      <c r="BN126" s="1922">
        <f t="shared" si="71"/>
        <v>1</v>
      </c>
      <c r="BO126" s="1922">
        <f t="shared" si="71"/>
        <v>1</v>
      </c>
      <c r="BP126" s="1922">
        <f t="shared" si="71"/>
        <v>1</v>
      </c>
      <c r="BQ126" s="1922">
        <f t="shared" si="71"/>
        <v>1</v>
      </c>
      <c r="BR126" s="1922">
        <f t="shared" si="71"/>
        <v>1</v>
      </c>
      <c r="BS126" s="1922">
        <f t="shared" si="71"/>
        <v>1</v>
      </c>
      <c r="BT126" s="1922">
        <f t="shared" si="71"/>
        <v>1</v>
      </c>
      <c r="BU126" s="1922">
        <f t="shared" si="71"/>
        <v>1</v>
      </c>
      <c r="BV126" s="1922">
        <f t="shared" si="71"/>
        <v>1</v>
      </c>
      <c r="BW126" s="1924">
        <f t="shared" si="71"/>
        <v>1</v>
      </c>
      <c r="BX126" s="1926"/>
      <c r="BY126" s="1926"/>
      <c r="BZ126" s="1926"/>
      <c r="CA126" s="1926"/>
      <c r="CB126" s="1926"/>
      <c r="CC126" s="1926"/>
      <c r="CD126" s="1926"/>
      <c r="CE126" s="1926"/>
      <c r="CF126" s="1926"/>
      <c r="CG126" s="1926"/>
      <c r="CH126" s="1926"/>
      <c r="CI126" s="1926"/>
      <c r="CJ126" s="1926"/>
      <c r="CK126" s="1926"/>
      <c r="CL126" s="1926"/>
      <c r="CM126" s="1926"/>
      <c r="CN126" s="1926"/>
      <c r="CO126" s="1926"/>
      <c r="CP126" s="1926"/>
      <c r="CQ126" s="1926"/>
      <c r="CR126" s="1926"/>
      <c r="CS126" s="1926"/>
      <c r="CT126" s="1926"/>
      <c r="CU126" s="1926"/>
      <c r="CV126" s="1926"/>
      <c r="CW126" s="1926"/>
      <c r="CX126" s="1926"/>
      <c r="CY126" s="1926"/>
      <c r="CZ126" s="1926"/>
      <c r="DA126" s="1926"/>
      <c r="DB126" s="1926"/>
      <c r="DC126" s="1926"/>
      <c r="DD126" s="1926"/>
      <c r="DE126" s="1926"/>
      <c r="DF126" s="1926"/>
      <c r="DG126" s="1926"/>
      <c r="DH126" s="1926"/>
      <c r="DI126" s="1926"/>
      <c r="DJ126" s="1926"/>
      <c r="DK126" s="1926"/>
      <c r="DL126" s="1926"/>
      <c r="DM126" s="1926"/>
      <c r="DN126" s="1926"/>
      <c r="DO126" s="1926"/>
      <c r="DP126" s="1926"/>
      <c r="DQ126" s="1926"/>
      <c r="DR126" s="1926"/>
      <c r="DS126" s="1926"/>
      <c r="DT126" s="1926"/>
      <c r="DU126" s="1926"/>
      <c r="DV126" s="1926"/>
      <c r="DW126" s="1926"/>
      <c r="DX126" s="1926"/>
      <c r="DY126" s="1926"/>
      <c r="DZ126" s="1926"/>
      <c r="EA126" s="1926"/>
      <c r="EB126" s="1926"/>
      <c r="EC126" s="1926"/>
      <c r="ED126" s="1926"/>
      <c r="EE126" s="1926"/>
      <c r="EF126" s="1926"/>
      <c r="EG126" s="1926"/>
      <c r="EH126" s="1926"/>
      <c r="EI126" s="1926"/>
      <c r="EJ126" s="1926"/>
      <c r="EK126" s="1926"/>
      <c r="EL126" s="1926"/>
      <c r="EM126" s="1926"/>
      <c r="EN126" s="1926"/>
      <c r="EO126" s="1926"/>
      <c r="EP126" s="1926"/>
      <c r="EQ126" s="1926"/>
      <c r="ER126" s="1926"/>
      <c r="ES126" s="1926"/>
      <c r="ET126" s="1926"/>
      <c r="EU126" s="1926"/>
      <c r="EV126" s="1926"/>
      <c r="EW126" s="1926"/>
      <c r="EX126" s="1926"/>
      <c r="EY126" s="1926"/>
      <c r="EZ126" s="1926"/>
      <c r="FA126" s="1926"/>
      <c r="FB126" s="1926"/>
      <c r="FC126" s="1926"/>
      <c r="FD126" s="1926"/>
      <c r="FE126" s="1926"/>
      <c r="FF126" s="1926"/>
      <c r="FG126" s="1926"/>
      <c r="FH126" s="1926"/>
      <c r="FI126" s="1926"/>
      <c r="FJ126" s="1926"/>
      <c r="FK126" s="1926"/>
      <c r="FL126" s="1926"/>
      <c r="FM126" s="1926"/>
      <c r="FN126" s="1926"/>
      <c r="FO126" s="1926"/>
      <c r="FP126" s="1926"/>
      <c r="FQ126" s="1926"/>
      <c r="FR126" s="1926"/>
    </row>
    <row r="127" spans="2:237" s="37" customFormat="1" ht="14.25" hidden="1" customHeight="1">
      <c r="B127" s="37" t="str">
        <f>B106</f>
        <v>Abschr</v>
      </c>
      <c r="H127" s="53"/>
      <c r="M127" s="53"/>
      <c r="O127" s="1923"/>
      <c r="P127" s="1922">
        <f t="shared" ref="P127:AU127" si="72">IF(P126&lt;&gt;0,IF($J5=0,0,$J5/($L5*12)),0)</f>
        <v>0</v>
      </c>
      <c r="Q127" s="1922">
        <f t="shared" si="72"/>
        <v>0</v>
      </c>
      <c r="R127" s="1922">
        <f t="shared" si="72"/>
        <v>0</v>
      </c>
      <c r="S127" s="1922">
        <f t="shared" si="72"/>
        <v>0</v>
      </c>
      <c r="T127" s="1922">
        <f t="shared" si="72"/>
        <v>0</v>
      </c>
      <c r="U127" s="1922">
        <f t="shared" si="72"/>
        <v>0</v>
      </c>
      <c r="V127" s="1922">
        <f t="shared" si="72"/>
        <v>0</v>
      </c>
      <c r="W127" s="1922">
        <f t="shared" si="72"/>
        <v>0</v>
      </c>
      <c r="X127" s="1922">
        <f t="shared" si="72"/>
        <v>0</v>
      </c>
      <c r="Y127" s="1922">
        <f t="shared" si="72"/>
        <v>0</v>
      </c>
      <c r="Z127" s="1922">
        <f t="shared" si="72"/>
        <v>0</v>
      </c>
      <c r="AA127" s="1922">
        <f t="shared" si="72"/>
        <v>0</v>
      </c>
      <c r="AB127" s="1922">
        <f t="shared" si="72"/>
        <v>0</v>
      </c>
      <c r="AC127" s="1922">
        <f t="shared" si="72"/>
        <v>0</v>
      </c>
      <c r="AD127" s="1922">
        <f t="shared" si="72"/>
        <v>0</v>
      </c>
      <c r="AE127" s="1922">
        <f t="shared" si="72"/>
        <v>0</v>
      </c>
      <c r="AF127" s="1922">
        <f t="shared" si="72"/>
        <v>0</v>
      </c>
      <c r="AG127" s="1922">
        <f t="shared" si="72"/>
        <v>0</v>
      </c>
      <c r="AH127" s="1922">
        <f t="shared" si="72"/>
        <v>0</v>
      </c>
      <c r="AI127" s="1922">
        <f t="shared" si="72"/>
        <v>0</v>
      </c>
      <c r="AJ127" s="1922">
        <f t="shared" si="72"/>
        <v>0</v>
      </c>
      <c r="AK127" s="1922">
        <f t="shared" si="72"/>
        <v>0</v>
      </c>
      <c r="AL127" s="1922">
        <f t="shared" si="72"/>
        <v>0</v>
      </c>
      <c r="AM127" s="1922">
        <f t="shared" si="72"/>
        <v>0</v>
      </c>
      <c r="AN127" s="1955">
        <f t="shared" si="72"/>
        <v>0</v>
      </c>
      <c r="AO127" s="1922">
        <f t="shared" si="72"/>
        <v>0</v>
      </c>
      <c r="AP127" s="1922">
        <f t="shared" si="72"/>
        <v>0</v>
      </c>
      <c r="AQ127" s="1922">
        <f t="shared" si="72"/>
        <v>0</v>
      </c>
      <c r="AR127" s="1922">
        <f t="shared" si="72"/>
        <v>0</v>
      </c>
      <c r="AS127" s="1922">
        <f t="shared" si="72"/>
        <v>0</v>
      </c>
      <c r="AT127" s="1922">
        <f t="shared" si="72"/>
        <v>0</v>
      </c>
      <c r="AU127" s="1922">
        <f t="shared" si="72"/>
        <v>0</v>
      </c>
      <c r="AV127" s="1922">
        <f t="shared" ref="AV127:BW127" si="73">IF(AV126&lt;&gt;0,IF($J5=0,0,$J5/($L5*12)),0)</f>
        <v>0</v>
      </c>
      <c r="AW127" s="1922">
        <f t="shared" si="73"/>
        <v>0</v>
      </c>
      <c r="AX127" s="1922">
        <f t="shared" si="73"/>
        <v>0</v>
      </c>
      <c r="AY127" s="1922">
        <f t="shared" si="73"/>
        <v>0</v>
      </c>
      <c r="AZ127" s="1922">
        <f t="shared" si="73"/>
        <v>0</v>
      </c>
      <c r="BA127" s="1922">
        <f t="shared" si="73"/>
        <v>0</v>
      </c>
      <c r="BB127" s="1922">
        <f t="shared" si="73"/>
        <v>0</v>
      </c>
      <c r="BC127" s="1922">
        <f t="shared" si="73"/>
        <v>0</v>
      </c>
      <c r="BD127" s="1922">
        <f t="shared" si="73"/>
        <v>0</v>
      </c>
      <c r="BE127" s="1922">
        <f t="shared" si="73"/>
        <v>0</v>
      </c>
      <c r="BF127" s="1922">
        <f t="shared" si="73"/>
        <v>0</v>
      </c>
      <c r="BG127" s="1922">
        <f t="shared" si="73"/>
        <v>0</v>
      </c>
      <c r="BH127" s="1922">
        <f t="shared" si="73"/>
        <v>0</v>
      </c>
      <c r="BI127" s="1922">
        <f t="shared" si="73"/>
        <v>0</v>
      </c>
      <c r="BJ127" s="1922">
        <f t="shared" si="73"/>
        <v>0</v>
      </c>
      <c r="BK127" s="1922">
        <f t="shared" si="73"/>
        <v>0</v>
      </c>
      <c r="BL127" s="1922">
        <f t="shared" si="73"/>
        <v>0</v>
      </c>
      <c r="BM127" s="1922">
        <f t="shared" si="73"/>
        <v>0</v>
      </c>
      <c r="BN127" s="1922">
        <f t="shared" si="73"/>
        <v>0</v>
      </c>
      <c r="BO127" s="1922">
        <f t="shared" si="73"/>
        <v>0</v>
      </c>
      <c r="BP127" s="1922">
        <f t="shared" si="73"/>
        <v>0</v>
      </c>
      <c r="BQ127" s="1922">
        <f t="shared" si="73"/>
        <v>0</v>
      </c>
      <c r="BR127" s="1922">
        <f t="shared" si="73"/>
        <v>0</v>
      </c>
      <c r="BS127" s="1922">
        <f t="shared" si="73"/>
        <v>0</v>
      </c>
      <c r="BT127" s="1922">
        <f t="shared" si="73"/>
        <v>0</v>
      </c>
      <c r="BU127" s="1922">
        <f t="shared" si="73"/>
        <v>0</v>
      </c>
      <c r="BV127" s="1922">
        <f t="shared" si="73"/>
        <v>0</v>
      </c>
      <c r="BW127" s="1924">
        <f t="shared" si="73"/>
        <v>0</v>
      </c>
      <c r="BX127" s="1926"/>
      <c r="BY127" s="1926"/>
      <c r="BZ127" s="1926"/>
      <c r="CA127" s="1926"/>
      <c r="CB127" s="1926"/>
      <c r="CC127" s="1926"/>
      <c r="CD127" s="1926"/>
      <c r="CE127" s="1926"/>
      <c r="CF127" s="1926"/>
      <c r="CG127" s="1926"/>
      <c r="CH127" s="1926"/>
      <c r="CI127" s="1926"/>
      <c r="CJ127" s="1926"/>
      <c r="CK127" s="1926"/>
      <c r="CL127" s="1926"/>
      <c r="CM127" s="1926"/>
      <c r="CN127" s="1926"/>
      <c r="CO127" s="1926"/>
      <c r="CP127" s="1926"/>
      <c r="CQ127" s="1926"/>
      <c r="CR127" s="1926"/>
      <c r="CS127" s="1926"/>
      <c r="CT127" s="1926"/>
      <c r="CU127" s="1926"/>
      <c r="CV127" s="1926"/>
      <c r="CW127" s="1926"/>
      <c r="CX127" s="1926"/>
      <c r="CY127" s="1926"/>
      <c r="CZ127" s="1926"/>
      <c r="DA127" s="1926"/>
      <c r="DB127" s="1926"/>
      <c r="DC127" s="1926"/>
      <c r="DD127" s="1926"/>
      <c r="DE127" s="1926"/>
      <c r="DF127" s="1926"/>
      <c r="DG127" s="1926"/>
      <c r="DH127" s="1926"/>
      <c r="DI127" s="1926"/>
      <c r="DJ127" s="1926"/>
      <c r="DK127" s="1926"/>
      <c r="DL127" s="1926"/>
      <c r="DM127" s="1926"/>
      <c r="DN127" s="1926"/>
      <c r="DO127" s="1926"/>
      <c r="DP127" s="1926"/>
      <c r="DQ127" s="1926"/>
      <c r="DR127" s="1926"/>
      <c r="DS127" s="1926"/>
      <c r="DT127" s="1926"/>
      <c r="DU127" s="1926"/>
      <c r="DV127" s="1926"/>
      <c r="DW127" s="1926"/>
      <c r="DX127" s="1926"/>
      <c r="DY127" s="1926"/>
      <c r="DZ127" s="1926"/>
      <c r="EA127" s="1926"/>
      <c r="EB127" s="1926"/>
      <c r="EC127" s="1926"/>
      <c r="ED127" s="1926"/>
      <c r="EE127" s="1926"/>
      <c r="EF127" s="1926"/>
      <c r="EG127" s="1926"/>
      <c r="EH127" s="1926"/>
      <c r="EI127" s="1926"/>
      <c r="EJ127" s="1926"/>
      <c r="EK127" s="1926"/>
      <c r="EL127" s="1926"/>
      <c r="EM127" s="1926"/>
      <c r="EN127" s="1926"/>
      <c r="EO127" s="1926"/>
      <c r="EP127" s="1926"/>
      <c r="EQ127" s="1926"/>
      <c r="ER127" s="1926"/>
      <c r="ES127" s="1926"/>
      <c r="ET127" s="1926"/>
      <c r="EU127" s="1926"/>
      <c r="EV127" s="1926"/>
      <c r="EW127" s="1926"/>
      <c r="EX127" s="1926"/>
      <c r="EY127" s="1926"/>
      <c r="EZ127" s="1926"/>
      <c r="FA127" s="1926"/>
      <c r="FB127" s="1926"/>
      <c r="FC127" s="1926"/>
      <c r="FD127" s="1926"/>
      <c r="FE127" s="1926"/>
      <c r="FF127" s="1926"/>
      <c r="FG127" s="1926"/>
      <c r="FH127" s="1926"/>
      <c r="FI127" s="1926"/>
      <c r="FJ127" s="1926"/>
      <c r="FK127" s="1926"/>
      <c r="FL127" s="1926"/>
      <c r="FM127" s="1926"/>
      <c r="FN127" s="1926"/>
      <c r="FO127" s="1926"/>
      <c r="FP127" s="1926"/>
      <c r="FQ127" s="1926"/>
      <c r="FR127" s="1926"/>
    </row>
    <row r="128" spans="2:237" s="37" customFormat="1" ht="14.25" hidden="1" customHeight="1">
      <c r="B128" s="37" t="s">
        <v>570</v>
      </c>
      <c r="H128" s="53"/>
      <c r="M128" s="53"/>
      <c r="O128" s="1923"/>
      <c r="P128" s="1922">
        <f t="shared" ref="P128:AU128" si="74">IF($K6=P124,$J6,0)</f>
        <v>0</v>
      </c>
      <c r="Q128" s="1922">
        <f t="shared" si="74"/>
        <v>0</v>
      </c>
      <c r="R128" s="1922">
        <f t="shared" si="74"/>
        <v>0</v>
      </c>
      <c r="S128" s="1922">
        <f t="shared" si="74"/>
        <v>0</v>
      </c>
      <c r="T128" s="1922">
        <f t="shared" si="74"/>
        <v>0</v>
      </c>
      <c r="U128" s="1922">
        <f t="shared" si="74"/>
        <v>0</v>
      </c>
      <c r="V128" s="1922">
        <f t="shared" si="74"/>
        <v>0</v>
      </c>
      <c r="W128" s="1922">
        <f t="shared" si="74"/>
        <v>0</v>
      </c>
      <c r="X128" s="1922">
        <f t="shared" si="74"/>
        <v>0</v>
      </c>
      <c r="Y128" s="1922">
        <f t="shared" si="74"/>
        <v>0</v>
      </c>
      <c r="Z128" s="1922">
        <f t="shared" si="74"/>
        <v>0</v>
      </c>
      <c r="AA128" s="1922">
        <f t="shared" si="74"/>
        <v>0</v>
      </c>
      <c r="AB128" s="1922">
        <f t="shared" si="74"/>
        <v>0</v>
      </c>
      <c r="AC128" s="1922">
        <f t="shared" si="74"/>
        <v>0</v>
      </c>
      <c r="AD128" s="1922">
        <f t="shared" si="74"/>
        <v>0</v>
      </c>
      <c r="AE128" s="1922">
        <f t="shared" si="74"/>
        <v>0</v>
      </c>
      <c r="AF128" s="1922">
        <f t="shared" si="74"/>
        <v>0</v>
      </c>
      <c r="AG128" s="1922">
        <f t="shared" si="74"/>
        <v>0</v>
      </c>
      <c r="AH128" s="1922">
        <f t="shared" si="74"/>
        <v>0</v>
      </c>
      <c r="AI128" s="1922">
        <f t="shared" si="74"/>
        <v>0</v>
      </c>
      <c r="AJ128" s="1922">
        <f t="shared" si="74"/>
        <v>0</v>
      </c>
      <c r="AK128" s="1922">
        <f t="shared" si="74"/>
        <v>0</v>
      </c>
      <c r="AL128" s="1922">
        <f t="shared" si="74"/>
        <v>0</v>
      </c>
      <c r="AM128" s="1922">
        <f t="shared" si="74"/>
        <v>0</v>
      </c>
      <c r="AN128" s="1955">
        <f t="shared" si="74"/>
        <v>0</v>
      </c>
      <c r="AO128" s="1922">
        <f t="shared" si="74"/>
        <v>0</v>
      </c>
      <c r="AP128" s="1922">
        <f t="shared" si="74"/>
        <v>0</v>
      </c>
      <c r="AQ128" s="1922">
        <f t="shared" si="74"/>
        <v>0</v>
      </c>
      <c r="AR128" s="1922">
        <f t="shared" si="74"/>
        <v>0</v>
      </c>
      <c r="AS128" s="1922">
        <f t="shared" si="74"/>
        <v>0</v>
      </c>
      <c r="AT128" s="1922">
        <f t="shared" si="74"/>
        <v>0</v>
      </c>
      <c r="AU128" s="1922">
        <f t="shared" si="74"/>
        <v>0</v>
      </c>
      <c r="AV128" s="1922">
        <f t="shared" ref="AV128:BW128" si="75">IF($K6=AV124,$J6,0)</f>
        <v>0</v>
      </c>
      <c r="AW128" s="1922">
        <f t="shared" si="75"/>
        <v>0</v>
      </c>
      <c r="AX128" s="1922">
        <f t="shared" si="75"/>
        <v>0</v>
      </c>
      <c r="AY128" s="1922">
        <f t="shared" si="75"/>
        <v>0</v>
      </c>
      <c r="AZ128" s="1922">
        <f t="shared" si="75"/>
        <v>0</v>
      </c>
      <c r="BA128" s="1922">
        <f t="shared" si="75"/>
        <v>0</v>
      </c>
      <c r="BB128" s="1922">
        <f t="shared" si="75"/>
        <v>0</v>
      </c>
      <c r="BC128" s="1922">
        <f t="shared" si="75"/>
        <v>0</v>
      </c>
      <c r="BD128" s="1922">
        <f t="shared" si="75"/>
        <v>0</v>
      </c>
      <c r="BE128" s="1922">
        <f t="shared" si="75"/>
        <v>0</v>
      </c>
      <c r="BF128" s="1922">
        <f t="shared" si="75"/>
        <v>0</v>
      </c>
      <c r="BG128" s="1922">
        <f t="shared" si="75"/>
        <v>0</v>
      </c>
      <c r="BH128" s="1922">
        <f t="shared" si="75"/>
        <v>0</v>
      </c>
      <c r="BI128" s="1922">
        <f t="shared" si="75"/>
        <v>0</v>
      </c>
      <c r="BJ128" s="1922">
        <f t="shared" si="75"/>
        <v>0</v>
      </c>
      <c r="BK128" s="1922">
        <f t="shared" si="75"/>
        <v>0</v>
      </c>
      <c r="BL128" s="1922">
        <f t="shared" si="75"/>
        <v>0</v>
      </c>
      <c r="BM128" s="1922">
        <f t="shared" si="75"/>
        <v>0</v>
      </c>
      <c r="BN128" s="1922">
        <f t="shared" si="75"/>
        <v>0</v>
      </c>
      <c r="BO128" s="1922">
        <f t="shared" si="75"/>
        <v>0</v>
      </c>
      <c r="BP128" s="1922">
        <f t="shared" si="75"/>
        <v>0</v>
      </c>
      <c r="BQ128" s="1922">
        <f t="shared" si="75"/>
        <v>0</v>
      </c>
      <c r="BR128" s="1922">
        <f t="shared" si="75"/>
        <v>0</v>
      </c>
      <c r="BS128" s="1922">
        <f t="shared" si="75"/>
        <v>0</v>
      </c>
      <c r="BT128" s="1922">
        <f t="shared" si="75"/>
        <v>0</v>
      </c>
      <c r="BU128" s="1922">
        <f t="shared" si="75"/>
        <v>0</v>
      </c>
      <c r="BV128" s="1922">
        <f t="shared" si="75"/>
        <v>0</v>
      </c>
      <c r="BW128" s="1924">
        <f t="shared" si="75"/>
        <v>0</v>
      </c>
      <c r="BX128" s="1926"/>
      <c r="BY128" s="1926"/>
      <c r="BZ128" s="1926"/>
      <c r="CA128" s="1926"/>
      <c r="CB128" s="1926"/>
      <c r="CC128" s="1926"/>
      <c r="CD128" s="1926"/>
      <c r="CE128" s="1926"/>
      <c r="CF128" s="1926"/>
      <c r="CG128" s="1926"/>
      <c r="CH128" s="1926"/>
      <c r="CI128" s="1926"/>
      <c r="CJ128" s="1926"/>
      <c r="CK128" s="1926"/>
      <c r="CL128" s="1926"/>
      <c r="CM128" s="1926"/>
      <c r="CN128" s="1926"/>
      <c r="CO128" s="1926"/>
      <c r="CP128" s="1926"/>
      <c r="CQ128" s="1926"/>
      <c r="CR128" s="1926"/>
      <c r="CS128" s="1926"/>
      <c r="CT128" s="1926"/>
      <c r="CU128" s="1926"/>
      <c r="CV128" s="1926"/>
      <c r="CW128" s="1926"/>
      <c r="CX128" s="1926"/>
      <c r="CY128" s="1926"/>
      <c r="CZ128" s="1926"/>
      <c r="DA128" s="1926"/>
      <c r="DB128" s="1926"/>
      <c r="DC128" s="1926"/>
      <c r="DD128" s="1926"/>
      <c r="DE128" s="1926"/>
      <c r="DF128" s="1926"/>
      <c r="DG128" s="1926"/>
      <c r="DH128" s="1926"/>
      <c r="DI128" s="1926"/>
      <c r="DJ128" s="1926"/>
      <c r="DK128" s="1926"/>
      <c r="DL128" s="1926"/>
      <c r="DM128" s="1926"/>
      <c r="DN128" s="1926"/>
      <c r="DO128" s="1926"/>
      <c r="DP128" s="1926"/>
      <c r="DQ128" s="1926"/>
      <c r="DR128" s="1926"/>
      <c r="DS128" s="1926"/>
      <c r="DT128" s="1926"/>
      <c r="DU128" s="1926"/>
      <c r="DV128" s="1926"/>
      <c r="DW128" s="1926"/>
      <c r="DX128" s="1926"/>
      <c r="DY128" s="1926"/>
      <c r="DZ128" s="1926"/>
      <c r="EA128" s="1926"/>
      <c r="EB128" s="1926"/>
      <c r="EC128" s="1926"/>
      <c r="ED128" s="1926"/>
      <c r="EE128" s="1926"/>
      <c r="EF128" s="1926"/>
      <c r="EG128" s="1926"/>
      <c r="EH128" s="1926"/>
      <c r="EI128" s="1926"/>
      <c r="EJ128" s="1926"/>
      <c r="EK128" s="1926"/>
      <c r="EL128" s="1926"/>
      <c r="EM128" s="1926"/>
      <c r="EN128" s="1926"/>
      <c r="EO128" s="1926"/>
      <c r="EP128" s="1926"/>
      <c r="EQ128" s="1926"/>
      <c r="ER128" s="1926"/>
      <c r="ES128" s="1926"/>
      <c r="ET128" s="1926"/>
      <c r="EU128" s="1926"/>
      <c r="EV128" s="1926"/>
      <c r="EW128" s="1926"/>
      <c r="EX128" s="1926"/>
      <c r="EY128" s="1926"/>
      <c r="EZ128" s="1926"/>
      <c r="FA128" s="1926"/>
      <c r="FB128" s="1926"/>
      <c r="FC128" s="1926"/>
      <c r="FD128" s="1926"/>
      <c r="FE128" s="1926"/>
      <c r="FF128" s="1926"/>
      <c r="FG128" s="1926"/>
      <c r="FH128" s="1926"/>
      <c r="FI128" s="1926"/>
      <c r="FJ128" s="1926"/>
      <c r="FK128" s="1926"/>
      <c r="FL128" s="1926"/>
      <c r="FM128" s="1926"/>
      <c r="FN128" s="1926"/>
      <c r="FO128" s="1926"/>
      <c r="FP128" s="1926"/>
      <c r="FQ128" s="1926"/>
      <c r="FR128" s="1926"/>
    </row>
    <row r="129" spans="2:174" s="37" customFormat="1" ht="14.25" hidden="1" customHeight="1">
      <c r="B129" s="1921" t="s">
        <v>571</v>
      </c>
      <c r="H129" s="53"/>
      <c r="M129" s="53"/>
      <c r="O129" s="1923">
        <v>0</v>
      </c>
      <c r="P129" s="1922">
        <f t="shared" ref="P129:AU129" si="76">IF($J6=P$128,1,IF(O129&gt;0,IF(O129&gt;=$L6*12,0,O129+1),0))</f>
        <v>1</v>
      </c>
      <c r="Q129" s="1922">
        <f t="shared" si="76"/>
        <v>1</v>
      </c>
      <c r="R129" s="1922">
        <f t="shared" si="76"/>
        <v>1</v>
      </c>
      <c r="S129" s="1922">
        <f t="shared" si="76"/>
        <v>1</v>
      </c>
      <c r="T129" s="1922">
        <f t="shared" si="76"/>
        <v>1</v>
      </c>
      <c r="U129" s="1922">
        <f t="shared" si="76"/>
        <v>1</v>
      </c>
      <c r="V129" s="1922">
        <f t="shared" si="76"/>
        <v>1</v>
      </c>
      <c r="W129" s="1922">
        <f t="shared" si="76"/>
        <v>1</v>
      </c>
      <c r="X129" s="1922">
        <f t="shared" si="76"/>
        <v>1</v>
      </c>
      <c r="Y129" s="1922">
        <f t="shared" si="76"/>
        <v>1</v>
      </c>
      <c r="Z129" s="1922">
        <f t="shared" si="76"/>
        <v>1</v>
      </c>
      <c r="AA129" s="1922">
        <f t="shared" si="76"/>
        <v>1</v>
      </c>
      <c r="AB129" s="1922">
        <f t="shared" si="76"/>
        <v>1</v>
      </c>
      <c r="AC129" s="1922">
        <f t="shared" si="76"/>
        <v>1</v>
      </c>
      <c r="AD129" s="1922">
        <f t="shared" si="76"/>
        <v>1</v>
      </c>
      <c r="AE129" s="1922">
        <f t="shared" si="76"/>
        <v>1</v>
      </c>
      <c r="AF129" s="1922">
        <f t="shared" si="76"/>
        <v>1</v>
      </c>
      <c r="AG129" s="1922">
        <f t="shared" si="76"/>
        <v>1</v>
      </c>
      <c r="AH129" s="1922">
        <f t="shared" si="76"/>
        <v>1</v>
      </c>
      <c r="AI129" s="1922">
        <f t="shared" si="76"/>
        <v>1</v>
      </c>
      <c r="AJ129" s="1922">
        <f t="shared" si="76"/>
        <v>1</v>
      </c>
      <c r="AK129" s="1922">
        <f t="shared" si="76"/>
        <v>1</v>
      </c>
      <c r="AL129" s="1922">
        <f t="shared" si="76"/>
        <v>1</v>
      </c>
      <c r="AM129" s="1922">
        <f t="shared" si="76"/>
        <v>1</v>
      </c>
      <c r="AN129" s="1955">
        <f t="shared" si="76"/>
        <v>1</v>
      </c>
      <c r="AO129" s="1922">
        <f t="shared" si="76"/>
        <v>1</v>
      </c>
      <c r="AP129" s="1922">
        <f t="shared" si="76"/>
        <v>1</v>
      </c>
      <c r="AQ129" s="1922">
        <f t="shared" si="76"/>
        <v>1</v>
      </c>
      <c r="AR129" s="1922">
        <f t="shared" si="76"/>
        <v>1</v>
      </c>
      <c r="AS129" s="1922">
        <f t="shared" si="76"/>
        <v>1</v>
      </c>
      <c r="AT129" s="1922">
        <f t="shared" si="76"/>
        <v>1</v>
      </c>
      <c r="AU129" s="1922">
        <f t="shared" si="76"/>
        <v>1</v>
      </c>
      <c r="AV129" s="1922">
        <f t="shared" ref="AV129:BW129" si="77">IF($J6=AV$128,1,IF(AU129&gt;0,IF(AU129&gt;=$L6*12,0,AU129+1),0))</f>
        <v>1</v>
      </c>
      <c r="AW129" s="1922">
        <f t="shared" si="77"/>
        <v>1</v>
      </c>
      <c r="AX129" s="1922">
        <f t="shared" si="77"/>
        <v>1</v>
      </c>
      <c r="AY129" s="1922">
        <f t="shared" si="77"/>
        <v>1</v>
      </c>
      <c r="AZ129" s="1922">
        <f t="shared" si="77"/>
        <v>1</v>
      </c>
      <c r="BA129" s="1922">
        <f t="shared" si="77"/>
        <v>1</v>
      </c>
      <c r="BB129" s="1922">
        <f t="shared" si="77"/>
        <v>1</v>
      </c>
      <c r="BC129" s="1922">
        <f t="shared" si="77"/>
        <v>1</v>
      </c>
      <c r="BD129" s="1922">
        <f t="shared" si="77"/>
        <v>1</v>
      </c>
      <c r="BE129" s="1922">
        <f t="shared" si="77"/>
        <v>1</v>
      </c>
      <c r="BF129" s="1922">
        <f t="shared" si="77"/>
        <v>1</v>
      </c>
      <c r="BG129" s="1922">
        <f t="shared" si="77"/>
        <v>1</v>
      </c>
      <c r="BH129" s="1922">
        <f t="shared" si="77"/>
        <v>1</v>
      </c>
      <c r="BI129" s="1922">
        <f t="shared" si="77"/>
        <v>1</v>
      </c>
      <c r="BJ129" s="1922">
        <f t="shared" si="77"/>
        <v>1</v>
      </c>
      <c r="BK129" s="1922">
        <f t="shared" si="77"/>
        <v>1</v>
      </c>
      <c r="BL129" s="1922">
        <f t="shared" si="77"/>
        <v>1</v>
      </c>
      <c r="BM129" s="1922">
        <f t="shared" si="77"/>
        <v>1</v>
      </c>
      <c r="BN129" s="1922">
        <f t="shared" si="77"/>
        <v>1</v>
      </c>
      <c r="BO129" s="1922">
        <f t="shared" si="77"/>
        <v>1</v>
      </c>
      <c r="BP129" s="1922">
        <f t="shared" si="77"/>
        <v>1</v>
      </c>
      <c r="BQ129" s="1922">
        <f t="shared" si="77"/>
        <v>1</v>
      </c>
      <c r="BR129" s="1922">
        <f t="shared" si="77"/>
        <v>1</v>
      </c>
      <c r="BS129" s="1922">
        <f t="shared" si="77"/>
        <v>1</v>
      </c>
      <c r="BT129" s="1922">
        <f t="shared" si="77"/>
        <v>1</v>
      </c>
      <c r="BU129" s="1922">
        <f t="shared" si="77"/>
        <v>1</v>
      </c>
      <c r="BV129" s="1922">
        <f t="shared" si="77"/>
        <v>1</v>
      </c>
      <c r="BW129" s="1924">
        <f t="shared" si="77"/>
        <v>1</v>
      </c>
      <c r="BX129" s="1926"/>
      <c r="BY129" s="1926"/>
      <c r="BZ129" s="1926"/>
      <c r="CA129" s="1926"/>
      <c r="CB129" s="1926"/>
      <c r="CC129" s="1926"/>
      <c r="CD129" s="1926"/>
      <c r="CE129" s="1926"/>
      <c r="CF129" s="1926"/>
      <c r="CG129" s="1926"/>
      <c r="CH129" s="1926"/>
      <c r="CI129" s="1926"/>
      <c r="CJ129" s="1926"/>
      <c r="CK129" s="1926"/>
      <c r="CL129" s="1926"/>
      <c r="CM129" s="1926"/>
      <c r="CN129" s="1926"/>
      <c r="CO129" s="1926"/>
      <c r="CP129" s="1926"/>
      <c r="CQ129" s="1926"/>
      <c r="CR129" s="1926"/>
      <c r="CS129" s="1926"/>
      <c r="CT129" s="1926"/>
      <c r="CU129" s="1926"/>
      <c r="CV129" s="1926"/>
      <c r="CW129" s="1926"/>
      <c r="CX129" s="1926"/>
      <c r="CY129" s="1926"/>
      <c r="CZ129" s="1926"/>
      <c r="DA129" s="1926"/>
      <c r="DB129" s="1926"/>
      <c r="DC129" s="1926"/>
      <c r="DD129" s="1926"/>
      <c r="DE129" s="1926"/>
      <c r="DF129" s="1926"/>
      <c r="DG129" s="1926"/>
      <c r="DH129" s="1926"/>
      <c r="DI129" s="1926"/>
      <c r="DJ129" s="1926"/>
      <c r="DK129" s="1926"/>
      <c r="DL129" s="1926"/>
      <c r="DM129" s="1926"/>
      <c r="DN129" s="1926"/>
      <c r="DO129" s="1926"/>
      <c r="DP129" s="1926"/>
      <c r="DQ129" s="1926"/>
      <c r="DR129" s="1926"/>
      <c r="DS129" s="1926"/>
      <c r="DT129" s="1926"/>
      <c r="DU129" s="1926"/>
      <c r="DV129" s="1926"/>
      <c r="DW129" s="1926"/>
      <c r="DX129" s="1926"/>
      <c r="DY129" s="1926"/>
      <c r="DZ129" s="1926"/>
      <c r="EA129" s="1926"/>
      <c r="EB129" s="1926"/>
      <c r="EC129" s="1926"/>
      <c r="ED129" s="1926"/>
      <c r="EE129" s="1926"/>
      <c r="EF129" s="1926"/>
      <c r="EG129" s="1926"/>
      <c r="EH129" s="1926"/>
      <c r="EI129" s="1926"/>
      <c r="EJ129" s="1926"/>
      <c r="EK129" s="1926"/>
      <c r="EL129" s="1926"/>
      <c r="EM129" s="1926"/>
      <c r="EN129" s="1926"/>
      <c r="EO129" s="1926"/>
      <c r="EP129" s="1926"/>
      <c r="EQ129" s="1926"/>
      <c r="ER129" s="1926"/>
      <c r="ES129" s="1926"/>
      <c r="ET129" s="1926"/>
      <c r="EU129" s="1926"/>
      <c r="EV129" s="1926"/>
      <c r="EW129" s="1926"/>
      <c r="EX129" s="1926"/>
      <c r="EY129" s="1926"/>
      <c r="EZ129" s="1926"/>
      <c r="FA129" s="1926"/>
      <c r="FB129" s="1926"/>
      <c r="FC129" s="1926"/>
      <c r="FD129" s="1926"/>
      <c r="FE129" s="1926"/>
      <c r="FF129" s="1926"/>
      <c r="FG129" s="1926"/>
      <c r="FH129" s="1926"/>
      <c r="FI129" s="1926"/>
      <c r="FJ129" s="1926"/>
      <c r="FK129" s="1926"/>
      <c r="FL129" s="1926"/>
      <c r="FM129" s="1926"/>
      <c r="FN129" s="1926"/>
      <c r="FO129" s="1926"/>
      <c r="FP129" s="1926"/>
      <c r="FQ129" s="1926"/>
      <c r="FR129" s="1926"/>
    </row>
    <row r="130" spans="2:174" s="37" customFormat="1" ht="14.25" hidden="1" customHeight="1">
      <c r="B130" s="37" t="s">
        <v>572</v>
      </c>
      <c r="H130" s="53"/>
      <c r="M130" s="53"/>
      <c r="O130" s="1923"/>
      <c r="P130" s="1922">
        <f t="shared" ref="P130:AU130" si="78">IF(P129&lt;&gt;0,IF($J6=0,0,$J6/($L6*12)),0)</f>
        <v>0</v>
      </c>
      <c r="Q130" s="1922">
        <f t="shared" si="78"/>
        <v>0</v>
      </c>
      <c r="R130" s="1922">
        <f t="shared" si="78"/>
        <v>0</v>
      </c>
      <c r="S130" s="1922">
        <f t="shared" si="78"/>
        <v>0</v>
      </c>
      <c r="T130" s="1922">
        <f t="shared" si="78"/>
        <v>0</v>
      </c>
      <c r="U130" s="1922">
        <f t="shared" si="78"/>
        <v>0</v>
      </c>
      <c r="V130" s="1922">
        <f t="shared" si="78"/>
        <v>0</v>
      </c>
      <c r="W130" s="1922">
        <f t="shared" si="78"/>
        <v>0</v>
      </c>
      <c r="X130" s="1922">
        <f t="shared" si="78"/>
        <v>0</v>
      </c>
      <c r="Y130" s="1922">
        <f t="shared" si="78"/>
        <v>0</v>
      </c>
      <c r="Z130" s="1922">
        <f t="shared" si="78"/>
        <v>0</v>
      </c>
      <c r="AA130" s="1922">
        <f t="shared" si="78"/>
        <v>0</v>
      </c>
      <c r="AB130" s="1922">
        <f t="shared" si="78"/>
        <v>0</v>
      </c>
      <c r="AC130" s="1922">
        <f t="shared" si="78"/>
        <v>0</v>
      </c>
      <c r="AD130" s="1922">
        <f t="shared" si="78"/>
        <v>0</v>
      </c>
      <c r="AE130" s="1922">
        <f t="shared" si="78"/>
        <v>0</v>
      </c>
      <c r="AF130" s="1922">
        <f t="shared" si="78"/>
        <v>0</v>
      </c>
      <c r="AG130" s="1922">
        <f t="shared" si="78"/>
        <v>0</v>
      </c>
      <c r="AH130" s="1922">
        <f t="shared" si="78"/>
        <v>0</v>
      </c>
      <c r="AI130" s="1922">
        <f t="shared" si="78"/>
        <v>0</v>
      </c>
      <c r="AJ130" s="1922">
        <f t="shared" si="78"/>
        <v>0</v>
      </c>
      <c r="AK130" s="1922">
        <f t="shared" si="78"/>
        <v>0</v>
      </c>
      <c r="AL130" s="1922">
        <f t="shared" si="78"/>
        <v>0</v>
      </c>
      <c r="AM130" s="1922">
        <f t="shared" si="78"/>
        <v>0</v>
      </c>
      <c r="AN130" s="1955">
        <f t="shared" si="78"/>
        <v>0</v>
      </c>
      <c r="AO130" s="1922">
        <f t="shared" si="78"/>
        <v>0</v>
      </c>
      <c r="AP130" s="1922">
        <f t="shared" si="78"/>
        <v>0</v>
      </c>
      <c r="AQ130" s="1922">
        <f t="shared" si="78"/>
        <v>0</v>
      </c>
      <c r="AR130" s="1922">
        <f t="shared" si="78"/>
        <v>0</v>
      </c>
      <c r="AS130" s="1922">
        <f t="shared" si="78"/>
        <v>0</v>
      </c>
      <c r="AT130" s="1922">
        <f t="shared" si="78"/>
        <v>0</v>
      </c>
      <c r="AU130" s="1922">
        <f t="shared" si="78"/>
        <v>0</v>
      </c>
      <c r="AV130" s="1922">
        <f t="shared" ref="AV130:BW130" si="79">IF(AV129&lt;&gt;0,IF($J6=0,0,$J6/($L6*12)),0)</f>
        <v>0</v>
      </c>
      <c r="AW130" s="1922">
        <f t="shared" si="79"/>
        <v>0</v>
      </c>
      <c r="AX130" s="1922">
        <f t="shared" si="79"/>
        <v>0</v>
      </c>
      <c r="AY130" s="1922">
        <f t="shared" si="79"/>
        <v>0</v>
      </c>
      <c r="AZ130" s="1922">
        <f t="shared" si="79"/>
        <v>0</v>
      </c>
      <c r="BA130" s="1922">
        <f t="shared" si="79"/>
        <v>0</v>
      </c>
      <c r="BB130" s="1922">
        <f t="shared" si="79"/>
        <v>0</v>
      </c>
      <c r="BC130" s="1922">
        <f t="shared" si="79"/>
        <v>0</v>
      </c>
      <c r="BD130" s="1922">
        <f t="shared" si="79"/>
        <v>0</v>
      </c>
      <c r="BE130" s="1922">
        <f t="shared" si="79"/>
        <v>0</v>
      </c>
      <c r="BF130" s="1922">
        <f t="shared" si="79"/>
        <v>0</v>
      </c>
      <c r="BG130" s="1922">
        <f t="shared" si="79"/>
        <v>0</v>
      </c>
      <c r="BH130" s="1922">
        <f t="shared" si="79"/>
        <v>0</v>
      </c>
      <c r="BI130" s="1922">
        <f t="shared" si="79"/>
        <v>0</v>
      </c>
      <c r="BJ130" s="1922">
        <f t="shared" si="79"/>
        <v>0</v>
      </c>
      <c r="BK130" s="1922">
        <f t="shared" si="79"/>
        <v>0</v>
      </c>
      <c r="BL130" s="1922">
        <f t="shared" si="79"/>
        <v>0</v>
      </c>
      <c r="BM130" s="1922">
        <f t="shared" si="79"/>
        <v>0</v>
      </c>
      <c r="BN130" s="1922">
        <f t="shared" si="79"/>
        <v>0</v>
      </c>
      <c r="BO130" s="1922">
        <f t="shared" si="79"/>
        <v>0</v>
      </c>
      <c r="BP130" s="1922">
        <f t="shared" si="79"/>
        <v>0</v>
      </c>
      <c r="BQ130" s="1922">
        <f t="shared" si="79"/>
        <v>0</v>
      </c>
      <c r="BR130" s="1922">
        <f t="shared" si="79"/>
        <v>0</v>
      </c>
      <c r="BS130" s="1922">
        <f t="shared" si="79"/>
        <v>0</v>
      </c>
      <c r="BT130" s="1922">
        <f t="shared" si="79"/>
        <v>0</v>
      </c>
      <c r="BU130" s="1922">
        <f t="shared" si="79"/>
        <v>0</v>
      </c>
      <c r="BV130" s="1922">
        <f t="shared" si="79"/>
        <v>0</v>
      </c>
      <c r="BW130" s="1924">
        <f t="shared" si="79"/>
        <v>0</v>
      </c>
      <c r="BX130" s="1926"/>
      <c r="BY130" s="1926"/>
      <c r="BZ130" s="1926"/>
      <c r="CA130" s="1926"/>
      <c r="CB130" s="1926"/>
      <c r="CC130" s="1926"/>
      <c r="CD130" s="1926"/>
      <c r="CE130" s="1926"/>
      <c r="CF130" s="1926"/>
      <c r="CG130" s="1926"/>
      <c r="CH130" s="1926"/>
      <c r="CI130" s="1926"/>
      <c r="CJ130" s="1926"/>
      <c r="CK130" s="1926"/>
      <c r="CL130" s="1926"/>
      <c r="CM130" s="1926"/>
      <c r="CN130" s="1926"/>
      <c r="CO130" s="1926"/>
      <c r="CP130" s="1926"/>
      <c r="CQ130" s="1926"/>
      <c r="CR130" s="1926"/>
      <c r="CS130" s="1926"/>
      <c r="CT130" s="1926"/>
      <c r="CU130" s="1926"/>
      <c r="CV130" s="1926"/>
      <c r="CW130" s="1926"/>
      <c r="CX130" s="1926"/>
      <c r="CY130" s="1926"/>
      <c r="CZ130" s="1926"/>
      <c r="DA130" s="1926"/>
      <c r="DB130" s="1926"/>
      <c r="DC130" s="1926"/>
      <c r="DD130" s="1926"/>
      <c r="DE130" s="1926"/>
      <c r="DF130" s="1926"/>
      <c r="DG130" s="1926"/>
      <c r="DH130" s="1926"/>
      <c r="DI130" s="1926"/>
      <c r="DJ130" s="1926"/>
      <c r="DK130" s="1926"/>
      <c r="DL130" s="1926"/>
      <c r="DM130" s="1926"/>
      <c r="DN130" s="1926"/>
      <c r="DO130" s="1926"/>
      <c r="DP130" s="1926"/>
      <c r="DQ130" s="1926"/>
      <c r="DR130" s="1926"/>
      <c r="DS130" s="1926"/>
      <c r="DT130" s="1926"/>
      <c r="DU130" s="1926"/>
      <c r="DV130" s="1926"/>
      <c r="DW130" s="1926"/>
      <c r="DX130" s="1926"/>
      <c r="DY130" s="1926"/>
      <c r="DZ130" s="1926"/>
      <c r="EA130" s="1926"/>
      <c r="EB130" s="1926"/>
      <c r="EC130" s="1926"/>
      <c r="ED130" s="1926"/>
      <c r="EE130" s="1926"/>
      <c r="EF130" s="1926"/>
      <c r="EG130" s="1926"/>
      <c r="EH130" s="1926"/>
      <c r="EI130" s="1926"/>
      <c r="EJ130" s="1926"/>
      <c r="EK130" s="1926"/>
      <c r="EL130" s="1926"/>
      <c r="EM130" s="1926"/>
      <c r="EN130" s="1926"/>
      <c r="EO130" s="1926"/>
      <c r="EP130" s="1926"/>
      <c r="EQ130" s="1926"/>
      <c r="ER130" s="1926"/>
      <c r="ES130" s="1926"/>
      <c r="ET130" s="1926"/>
      <c r="EU130" s="1926"/>
      <c r="EV130" s="1926"/>
      <c r="EW130" s="1926"/>
      <c r="EX130" s="1926"/>
      <c r="EY130" s="1926"/>
      <c r="EZ130" s="1926"/>
      <c r="FA130" s="1926"/>
      <c r="FB130" s="1926"/>
      <c r="FC130" s="1926"/>
      <c r="FD130" s="1926"/>
      <c r="FE130" s="1926"/>
      <c r="FF130" s="1926"/>
      <c r="FG130" s="1926"/>
      <c r="FH130" s="1926"/>
      <c r="FI130" s="1926"/>
      <c r="FJ130" s="1926"/>
      <c r="FK130" s="1926"/>
      <c r="FL130" s="1926"/>
      <c r="FM130" s="1926"/>
      <c r="FN130" s="1926"/>
      <c r="FO130" s="1926"/>
      <c r="FP130" s="1926"/>
      <c r="FQ130" s="1926"/>
      <c r="FR130" s="1926"/>
    </row>
    <row r="131" spans="2:174" s="37" customFormat="1" ht="14.25" hidden="1" customHeight="1">
      <c r="B131" s="37" t="s">
        <v>570</v>
      </c>
      <c r="H131" s="53"/>
      <c r="M131" s="53"/>
      <c r="O131" s="1923"/>
      <c r="P131" s="1922">
        <f t="shared" ref="P131:AU131" si="80">IF($K7=P124,$J7,0)</f>
        <v>0</v>
      </c>
      <c r="Q131" s="1922">
        <f t="shared" si="80"/>
        <v>0</v>
      </c>
      <c r="R131" s="1922">
        <f t="shared" si="80"/>
        <v>0</v>
      </c>
      <c r="S131" s="1922">
        <f t="shared" si="80"/>
        <v>0</v>
      </c>
      <c r="T131" s="1922">
        <f t="shared" si="80"/>
        <v>0</v>
      </c>
      <c r="U131" s="1922">
        <f t="shared" si="80"/>
        <v>0</v>
      </c>
      <c r="V131" s="1922">
        <f t="shared" si="80"/>
        <v>0</v>
      </c>
      <c r="W131" s="1922">
        <f t="shared" si="80"/>
        <v>0</v>
      </c>
      <c r="X131" s="1922">
        <f t="shared" si="80"/>
        <v>0</v>
      </c>
      <c r="Y131" s="1922">
        <f t="shared" si="80"/>
        <v>0</v>
      </c>
      <c r="Z131" s="1922">
        <f t="shared" si="80"/>
        <v>0</v>
      </c>
      <c r="AA131" s="1922">
        <f t="shared" si="80"/>
        <v>0</v>
      </c>
      <c r="AB131" s="1922">
        <f t="shared" si="80"/>
        <v>0</v>
      </c>
      <c r="AC131" s="1922">
        <f t="shared" si="80"/>
        <v>0</v>
      </c>
      <c r="AD131" s="1922">
        <f t="shared" si="80"/>
        <v>0</v>
      </c>
      <c r="AE131" s="1922">
        <f t="shared" si="80"/>
        <v>0</v>
      </c>
      <c r="AF131" s="1922">
        <f t="shared" si="80"/>
        <v>0</v>
      </c>
      <c r="AG131" s="1922">
        <f t="shared" si="80"/>
        <v>0</v>
      </c>
      <c r="AH131" s="1922">
        <f t="shared" si="80"/>
        <v>0</v>
      </c>
      <c r="AI131" s="1922">
        <f t="shared" si="80"/>
        <v>0</v>
      </c>
      <c r="AJ131" s="1922">
        <f t="shared" si="80"/>
        <v>0</v>
      </c>
      <c r="AK131" s="1922">
        <f t="shared" si="80"/>
        <v>0</v>
      </c>
      <c r="AL131" s="1922">
        <f t="shared" si="80"/>
        <v>0</v>
      </c>
      <c r="AM131" s="1922">
        <f t="shared" si="80"/>
        <v>0</v>
      </c>
      <c r="AN131" s="1955">
        <f t="shared" si="80"/>
        <v>0</v>
      </c>
      <c r="AO131" s="1922">
        <f t="shared" si="80"/>
        <v>0</v>
      </c>
      <c r="AP131" s="1922">
        <f t="shared" si="80"/>
        <v>0</v>
      </c>
      <c r="AQ131" s="1922">
        <f t="shared" si="80"/>
        <v>0</v>
      </c>
      <c r="AR131" s="1922">
        <f t="shared" si="80"/>
        <v>0</v>
      </c>
      <c r="AS131" s="1922">
        <f t="shared" si="80"/>
        <v>0</v>
      </c>
      <c r="AT131" s="1922">
        <f t="shared" si="80"/>
        <v>0</v>
      </c>
      <c r="AU131" s="1922">
        <f t="shared" si="80"/>
        <v>0</v>
      </c>
      <c r="AV131" s="1922">
        <f t="shared" ref="AV131:BW131" si="81">IF($K7=AV124,$J7,0)</f>
        <v>0</v>
      </c>
      <c r="AW131" s="1922">
        <f t="shared" si="81"/>
        <v>0</v>
      </c>
      <c r="AX131" s="1922">
        <f t="shared" si="81"/>
        <v>0</v>
      </c>
      <c r="AY131" s="1922">
        <f t="shared" si="81"/>
        <v>0</v>
      </c>
      <c r="AZ131" s="1922">
        <f t="shared" si="81"/>
        <v>0</v>
      </c>
      <c r="BA131" s="1922">
        <f t="shared" si="81"/>
        <v>0</v>
      </c>
      <c r="BB131" s="1922">
        <f t="shared" si="81"/>
        <v>0</v>
      </c>
      <c r="BC131" s="1922">
        <f t="shared" si="81"/>
        <v>0</v>
      </c>
      <c r="BD131" s="1922">
        <f t="shared" si="81"/>
        <v>0</v>
      </c>
      <c r="BE131" s="1922">
        <f t="shared" si="81"/>
        <v>0</v>
      </c>
      <c r="BF131" s="1922">
        <f t="shared" si="81"/>
        <v>0</v>
      </c>
      <c r="BG131" s="1922">
        <f t="shared" si="81"/>
        <v>0</v>
      </c>
      <c r="BH131" s="1922">
        <f t="shared" si="81"/>
        <v>0</v>
      </c>
      <c r="BI131" s="1922">
        <f t="shared" si="81"/>
        <v>0</v>
      </c>
      <c r="BJ131" s="1922">
        <f t="shared" si="81"/>
        <v>0</v>
      </c>
      <c r="BK131" s="1922">
        <f t="shared" si="81"/>
        <v>0</v>
      </c>
      <c r="BL131" s="1922">
        <f t="shared" si="81"/>
        <v>0</v>
      </c>
      <c r="BM131" s="1922">
        <f t="shared" si="81"/>
        <v>0</v>
      </c>
      <c r="BN131" s="1922">
        <f t="shared" si="81"/>
        <v>0</v>
      </c>
      <c r="BO131" s="1922">
        <f t="shared" si="81"/>
        <v>0</v>
      </c>
      <c r="BP131" s="1922">
        <f t="shared" si="81"/>
        <v>0</v>
      </c>
      <c r="BQ131" s="1922">
        <f t="shared" si="81"/>
        <v>0</v>
      </c>
      <c r="BR131" s="1922">
        <f t="shared" si="81"/>
        <v>0</v>
      </c>
      <c r="BS131" s="1922">
        <f t="shared" si="81"/>
        <v>0</v>
      </c>
      <c r="BT131" s="1922">
        <f t="shared" si="81"/>
        <v>0</v>
      </c>
      <c r="BU131" s="1922">
        <f t="shared" si="81"/>
        <v>0</v>
      </c>
      <c r="BV131" s="1922">
        <f t="shared" si="81"/>
        <v>0</v>
      </c>
      <c r="BW131" s="1924">
        <f t="shared" si="81"/>
        <v>0</v>
      </c>
      <c r="BX131" s="1926"/>
      <c r="BY131" s="1926"/>
      <c r="BZ131" s="1926"/>
      <c r="CA131" s="1926"/>
      <c r="CB131" s="1926"/>
      <c r="CC131" s="1926"/>
      <c r="CD131" s="1926"/>
      <c r="CE131" s="1926"/>
      <c r="CF131" s="1926"/>
      <c r="CG131" s="1926"/>
      <c r="CH131" s="1926"/>
      <c r="CI131" s="1926"/>
      <c r="CJ131" s="1926"/>
      <c r="CK131" s="1926"/>
      <c r="CL131" s="1926"/>
      <c r="CM131" s="1926"/>
      <c r="CN131" s="1926"/>
      <c r="CO131" s="1926"/>
      <c r="CP131" s="1926"/>
      <c r="CQ131" s="1926"/>
      <c r="CR131" s="1926"/>
      <c r="CS131" s="1926"/>
      <c r="CT131" s="1926"/>
      <c r="CU131" s="1926"/>
      <c r="CV131" s="1926"/>
      <c r="CW131" s="1926"/>
      <c r="CX131" s="1926"/>
      <c r="CY131" s="1926"/>
      <c r="CZ131" s="1926"/>
      <c r="DA131" s="1926"/>
      <c r="DB131" s="1926"/>
      <c r="DC131" s="1926"/>
      <c r="DD131" s="1926"/>
      <c r="DE131" s="1926"/>
      <c r="DF131" s="1926"/>
      <c r="DG131" s="1926"/>
      <c r="DH131" s="1926"/>
      <c r="DI131" s="1926"/>
      <c r="DJ131" s="1926"/>
      <c r="DK131" s="1926"/>
      <c r="DL131" s="1926"/>
      <c r="DM131" s="1926"/>
      <c r="DN131" s="1926"/>
      <c r="DO131" s="1926"/>
      <c r="DP131" s="1926"/>
      <c r="DQ131" s="1926"/>
      <c r="DR131" s="1926"/>
      <c r="DS131" s="1926"/>
      <c r="DT131" s="1926"/>
      <c r="DU131" s="1926"/>
      <c r="DV131" s="1926"/>
      <c r="DW131" s="1926"/>
      <c r="DX131" s="1926"/>
      <c r="DY131" s="1926"/>
      <c r="DZ131" s="1926"/>
      <c r="EA131" s="1926"/>
      <c r="EB131" s="1926"/>
      <c r="EC131" s="1926"/>
      <c r="ED131" s="1926"/>
      <c r="EE131" s="1926"/>
      <c r="EF131" s="1926"/>
      <c r="EG131" s="1926"/>
      <c r="EH131" s="1926"/>
      <c r="EI131" s="1926"/>
      <c r="EJ131" s="1926"/>
      <c r="EK131" s="1926"/>
      <c r="EL131" s="1926"/>
      <c r="EM131" s="1926"/>
      <c r="EN131" s="1926"/>
      <c r="EO131" s="1926"/>
      <c r="EP131" s="1926"/>
      <c r="EQ131" s="1926"/>
      <c r="ER131" s="1926"/>
      <c r="ES131" s="1926"/>
      <c r="ET131" s="1926"/>
      <c r="EU131" s="1926"/>
      <c r="EV131" s="1926"/>
      <c r="EW131" s="1926"/>
      <c r="EX131" s="1926"/>
      <c r="EY131" s="1926"/>
      <c r="EZ131" s="1926"/>
      <c r="FA131" s="1926"/>
      <c r="FB131" s="1926"/>
      <c r="FC131" s="1926"/>
      <c r="FD131" s="1926"/>
      <c r="FE131" s="1926"/>
      <c r="FF131" s="1926"/>
      <c r="FG131" s="1926"/>
      <c r="FH131" s="1926"/>
      <c r="FI131" s="1926"/>
      <c r="FJ131" s="1926"/>
      <c r="FK131" s="1926"/>
      <c r="FL131" s="1926"/>
      <c r="FM131" s="1926"/>
      <c r="FN131" s="1926"/>
      <c r="FO131" s="1926"/>
      <c r="FP131" s="1926"/>
      <c r="FQ131" s="1926"/>
      <c r="FR131" s="1926"/>
    </row>
    <row r="132" spans="2:174" s="37" customFormat="1" ht="14.25" hidden="1" customHeight="1">
      <c r="B132" s="1921" t="s">
        <v>571</v>
      </c>
      <c r="H132" s="53"/>
      <c r="M132" s="53"/>
      <c r="O132" s="1923">
        <v>0</v>
      </c>
      <c r="P132" s="1922">
        <f t="shared" ref="P132:AU132" si="82">IF($J7=P$131,1,IF(O132&gt;0,IF(O132&gt;=$L7*12,0,O132+1),0))</f>
        <v>1</v>
      </c>
      <c r="Q132" s="1922">
        <f t="shared" si="82"/>
        <v>1</v>
      </c>
      <c r="R132" s="1922">
        <f t="shared" si="82"/>
        <v>1</v>
      </c>
      <c r="S132" s="1922">
        <f t="shared" si="82"/>
        <v>1</v>
      </c>
      <c r="T132" s="1922">
        <f t="shared" si="82"/>
        <v>1</v>
      </c>
      <c r="U132" s="1922">
        <f t="shared" si="82"/>
        <v>1</v>
      </c>
      <c r="V132" s="1922">
        <f t="shared" si="82"/>
        <v>1</v>
      </c>
      <c r="W132" s="1922">
        <f t="shared" si="82"/>
        <v>1</v>
      </c>
      <c r="X132" s="1922">
        <f t="shared" si="82"/>
        <v>1</v>
      </c>
      <c r="Y132" s="1922">
        <f t="shared" si="82"/>
        <v>1</v>
      </c>
      <c r="Z132" s="1922">
        <f t="shared" si="82"/>
        <v>1</v>
      </c>
      <c r="AA132" s="1922">
        <f t="shared" si="82"/>
        <v>1</v>
      </c>
      <c r="AB132" s="1922">
        <f t="shared" si="82"/>
        <v>1</v>
      </c>
      <c r="AC132" s="1922">
        <f t="shared" si="82"/>
        <v>1</v>
      </c>
      <c r="AD132" s="1922">
        <f t="shared" si="82"/>
        <v>1</v>
      </c>
      <c r="AE132" s="1922">
        <f t="shared" si="82"/>
        <v>1</v>
      </c>
      <c r="AF132" s="1922">
        <f t="shared" si="82"/>
        <v>1</v>
      </c>
      <c r="AG132" s="1922">
        <f t="shared" si="82"/>
        <v>1</v>
      </c>
      <c r="AH132" s="1922">
        <f t="shared" si="82"/>
        <v>1</v>
      </c>
      <c r="AI132" s="1922">
        <f t="shared" si="82"/>
        <v>1</v>
      </c>
      <c r="AJ132" s="1922">
        <f t="shared" si="82"/>
        <v>1</v>
      </c>
      <c r="AK132" s="1922">
        <f t="shared" si="82"/>
        <v>1</v>
      </c>
      <c r="AL132" s="1922">
        <f t="shared" si="82"/>
        <v>1</v>
      </c>
      <c r="AM132" s="1922">
        <f t="shared" si="82"/>
        <v>1</v>
      </c>
      <c r="AN132" s="1955">
        <f t="shared" si="82"/>
        <v>1</v>
      </c>
      <c r="AO132" s="1922">
        <f t="shared" si="82"/>
        <v>1</v>
      </c>
      <c r="AP132" s="1922">
        <f t="shared" si="82"/>
        <v>1</v>
      </c>
      <c r="AQ132" s="1922">
        <f t="shared" si="82"/>
        <v>1</v>
      </c>
      <c r="AR132" s="1922">
        <f t="shared" si="82"/>
        <v>1</v>
      </c>
      <c r="AS132" s="1922">
        <f t="shared" si="82"/>
        <v>1</v>
      </c>
      <c r="AT132" s="1922">
        <f t="shared" si="82"/>
        <v>1</v>
      </c>
      <c r="AU132" s="1922">
        <f t="shared" si="82"/>
        <v>1</v>
      </c>
      <c r="AV132" s="1922">
        <f t="shared" ref="AV132:BW132" si="83">IF($J7=AV$131,1,IF(AU132&gt;0,IF(AU132&gt;=$L7*12,0,AU132+1),0))</f>
        <v>1</v>
      </c>
      <c r="AW132" s="1922">
        <f t="shared" si="83"/>
        <v>1</v>
      </c>
      <c r="AX132" s="1922">
        <f t="shared" si="83"/>
        <v>1</v>
      </c>
      <c r="AY132" s="1922">
        <f t="shared" si="83"/>
        <v>1</v>
      </c>
      <c r="AZ132" s="1922">
        <f t="shared" si="83"/>
        <v>1</v>
      </c>
      <c r="BA132" s="1922">
        <f t="shared" si="83"/>
        <v>1</v>
      </c>
      <c r="BB132" s="1922">
        <f t="shared" si="83"/>
        <v>1</v>
      </c>
      <c r="BC132" s="1922">
        <f t="shared" si="83"/>
        <v>1</v>
      </c>
      <c r="BD132" s="1922">
        <f t="shared" si="83"/>
        <v>1</v>
      </c>
      <c r="BE132" s="1922">
        <f t="shared" si="83"/>
        <v>1</v>
      </c>
      <c r="BF132" s="1922">
        <f t="shared" si="83"/>
        <v>1</v>
      </c>
      <c r="BG132" s="1922">
        <f t="shared" si="83"/>
        <v>1</v>
      </c>
      <c r="BH132" s="1922">
        <f t="shared" si="83"/>
        <v>1</v>
      </c>
      <c r="BI132" s="1922">
        <f t="shared" si="83"/>
        <v>1</v>
      </c>
      <c r="BJ132" s="1922">
        <f t="shared" si="83"/>
        <v>1</v>
      </c>
      <c r="BK132" s="1922">
        <f t="shared" si="83"/>
        <v>1</v>
      </c>
      <c r="BL132" s="1922">
        <f t="shared" si="83"/>
        <v>1</v>
      </c>
      <c r="BM132" s="1922">
        <f t="shared" si="83"/>
        <v>1</v>
      </c>
      <c r="BN132" s="1922">
        <f t="shared" si="83"/>
        <v>1</v>
      </c>
      <c r="BO132" s="1922">
        <f t="shared" si="83"/>
        <v>1</v>
      </c>
      <c r="BP132" s="1922">
        <f t="shared" si="83"/>
        <v>1</v>
      </c>
      <c r="BQ132" s="1922">
        <f t="shared" si="83"/>
        <v>1</v>
      </c>
      <c r="BR132" s="1922">
        <f t="shared" si="83"/>
        <v>1</v>
      </c>
      <c r="BS132" s="1922">
        <f t="shared" si="83"/>
        <v>1</v>
      </c>
      <c r="BT132" s="1922">
        <f t="shared" si="83"/>
        <v>1</v>
      </c>
      <c r="BU132" s="1922">
        <f t="shared" si="83"/>
        <v>1</v>
      </c>
      <c r="BV132" s="1922">
        <f t="shared" si="83"/>
        <v>1</v>
      </c>
      <c r="BW132" s="1924">
        <f t="shared" si="83"/>
        <v>1</v>
      </c>
      <c r="BX132" s="1926"/>
      <c r="BY132" s="1926"/>
      <c r="BZ132" s="1926"/>
      <c r="CA132" s="1926"/>
      <c r="CB132" s="1926"/>
      <c r="CC132" s="1926"/>
      <c r="CD132" s="1926"/>
      <c r="CE132" s="1926"/>
      <c r="CF132" s="1926"/>
      <c r="CG132" s="1926"/>
      <c r="CH132" s="1926"/>
      <c r="CI132" s="1926"/>
      <c r="CJ132" s="1926"/>
      <c r="CK132" s="1926"/>
      <c r="CL132" s="1926"/>
      <c r="CM132" s="1926"/>
      <c r="CN132" s="1926"/>
      <c r="CO132" s="1926"/>
      <c r="CP132" s="1926"/>
      <c r="CQ132" s="1926"/>
      <c r="CR132" s="1926"/>
      <c r="CS132" s="1926"/>
      <c r="CT132" s="1926"/>
      <c r="CU132" s="1926"/>
      <c r="CV132" s="1926"/>
      <c r="CW132" s="1926"/>
      <c r="CX132" s="1926"/>
      <c r="CY132" s="1926"/>
      <c r="CZ132" s="1926"/>
      <c r="DA132" s="1926"/>
      <c r="DB132" s="1926"/>
      <c r="DC132" s="1926"/>
      <c r="DD132" s="1926"/>
      <c r="DE132" s="1926"/>
      <c r="DF132" s="1926"/>
      <c r="DG132" s="1926"/>
      <c r="DH132" s="1926"/>
      <c r="DI132" s="1926"/>
      <c r="DJ132" s="1926"/>
      <c r="DK132" s="1926"/>
      <c r="DL132" s="1926"/>
      <c r="DM132" s="1926"/>
      <c r="DN132" s="1926"/>
      <c r="DO132" s="1926"/>
      <c r="DP132" s="1926"/>
      <c r="DQ132" s="1926"/>
      <c r="DR132" s="1926"/>
      <c r="DS132" s="1926"/>
      <c r="DT132" s="1926"/>
      <c r="DU132" s="1926"/>
      <c r="DV132" s="1926"/>
      <c r="DW132" s="1926"/>
      <c r="DX132" s="1926"/>
      <c r="DY132" s="1926"/>
      <c r="DZ132" s="1926"/>
      <c r="EA132" s="1926"/>
      <c r="EB132" s="1926"/>
      <c r="EC132" s="1926"/>
      <c r="ED132" s="1926"/>
      <c r="EE132" s="1926"/>
      <c r="EF132" s="1926"/>
      <c r="EG132" s="1926"/>
      <c r="EH132" s="1926"/>
      <c r="EI132" s="1926"/>
      <c r="EJ132" s="1926"/>
      <c r="EK132" s="1926"/>
      <c r="EL132" s="1926"/>
      <c r="EM132" s="1926"/>
      <c r="EN132" s="1926"/>
      <c r="EO132" s="1926"/>
      <c r="EP132" s="1926"/>
      <c r="EQ132" s="1926"/>
      <c r="ER132" s="1926"/>
      <c r="ES132" s="1926"/>
      <c r="ET132" s="1926"/>
      <c r="EU132" s="1926"/>
      <c r="EV132" s="1926"/>
      <c r="EW132" s="1926"/>
      <c r="EX132" s="1926"/>
      <c r="EY132" s="1926"/>
      <c r="EZ132" s="1926"/>
      <c r="FA132" s="1926"/>
      <c r="FB132" s="1926"/>
      <c r="FC132" s="1926"/>
      <c r="FD132" s="1926"/>
      <c r="FE132" s="1926"/>
      <c r="FF132" s="1926"/>
      <c r="FG132" s="1926"/>
      <c r="FH132" s="1926"/>
      <c r="FI132" s="1926"/>
      <c r="FJ132" s="1926"/>
      <c r="FK132" s="1926"/>
      <c r="FL132" s="1926"/>
      <c r="FM132" s="1926"/>
      <c r="FN132" s="1926"/>
      <c r="FO132" s="1926"/>
      <c r="FP132" s="1926"/>
      <c r="FQ132" s="1926"/>
      <c r="FR132" s="1926"/>
    </row>
    <row r="133" spans="2:174" s="37" customFormat="1" ht="14.25" hidden="1" customHeight="1">
      <c r="B133" s="37" t="s">
        <v>572</v>
      </c>
      <c r="H133" s="53"/>
      <c r="M133" s="53"/>
      <c r="O133" s="1923"/>
      <c r="P133" s="1922">
        <f t="shared" ref="P133:AU133" si="84">IF(P132&lt;&gt;0,IF($J7=0,0,$J7/($L7*12)),0)</f>
        <v>0</v>
      </c>
      <c r="Q133" s="1922">
        <f t="shared" si="84"/>
        <v>0</v>
      </c>
      <c r="R133" s="1922">
        <f t="shared" si="84"/>
        <v>0</v>
      </c>
      <c r="S133" s="1922">
        <f t="shared" si="84"/>
        <v>0</v>
      </c>
      <c r="T133" s="1922">
        <f t="shared" si="84"/>
        <v>0</v>
      </c>
      <c r="U133" s="1922">
        <f t="shared" si="84"/>
        <v>0</v>
      </c>
      <c r="V133" s="1922">
        <f t="shared" si="84"/>
        <v>0</v>
      </c>
      <c r="W133" s="1922">
        <f t="shared" si="84"/>
        <v>0</v>
      </c>
      <c r="X133" s="1922">
        <f t="shared" si="84"/>
        <v>0</v>
      </c>
      <c r="Y133" s="1922">
        <f t="shared" si="84"/>
        <v>0</v>
      </c>
      <c r="Z133" s="1922">
        <f t="shared" si="84"/>
        <v>0</v>
      </c>
      <c r="AA133" s="1922">
        <f t="shared" si="84"/>
        <v>0</v>
      </c>
      <c r="AB133" s="1922">
        <f t="shared" si="84"/>
        <v>0</v>
      </c>
      <c r="AC133" s="1922">
        <f t="shared" si="84"/>
        <v>0</v>
      </c>
      <c r="AD133" s="1922">
        <f t="shared" si="84"/>
        <v>0</v>
      </c>
      <c r="AE133" s="1922">
        <f t="shared" si="84"/>
        <v>0</v>
      </c>
      <c r="AF133" s="1922">
        <f t="shared" si="84"/>
        <v>0</v>
      </c>
      <c r="AG133" s="1922">
        <f t="shared" si="84"/>
        <v>0</v>
      </c>
      <c r="AH133" s="1922">
        <f t="shared" si="84"/>
        <v>0</v>
      </c>
      <c r="AI133" s="1922">
        <f t="shared" si="84"/>
        <v>0</v>
      </c>
      <c r="AJ133" s="1922">
        <f t="shared" si="84"/>
        <v>0</v>
      </c>
      <c r="AK133" s="1922">
        <f t="shared" si="84"/>
        <v>0</v>
      </c>
      <c r="AL133" s="1922">
        <f t="shared" si="84"/>
        <v>0</v>
      </c>
      <c r="AM133" s="1922">
        <f t="shared" si="84"/>
        <v>0</v>
      </c>
      <c r="AN133" s="1955">
        <f t="shared" si="84"/>
        <v>0</v>
      </c>
      <c r="AO133" s="1922">
        <f t="shared" si="84"/>
        <v>0</v>
      </c>
      <c r="AP133" s="1922">
        <f t="shared" si="84"/>
        <v>0</v>
      </c>
      <c r="AQ133" s="1922">
        <f t="shared" si="84"/>
        <v>0</v>
      </c>
      <c r="AR133" s="1922">
        <f t="shared" si="84"/>
        <v>0</v>
      </c>
      <c r="AS133" s="1922">
        <f t="shared" si="84"/>
        <v>0</v>
      </c>
      <c r="AT133" s="1922">
        <f t="shared" si="84"/>
        <v>0</v>
      </c>
      <c r="AU133" s="1922">
        <f t="shared" si="84"/>
        <v>0</v>
      </c>
      <c r="AV133" s="1922">
        <f t="shared" ref="AV133:BW133" si="85">IF(AV132&lt;&gt;0,IF($J7=0,0,$J7/($L7*12)),0)</f>
        <v>0</v>
      </c>
      <c r="AW133" s="1922">
        <f t="shared" si="85"/>
        <v>0</v>
      </c>
      <c r="AX133" s="1922">
        <f t="shared" si="85"/>
        <v>0</v>
      </c>
      <c r="AY133" s="1922">
        <f t="shared" si="85"/>
        <v>0</v>
      </c>
      <c r="AZ133" s="1922">
        <f t="shared" si="85"/>
        <v>0</v>
      </c>
      <c r="BA133" s="1922">
        <f t="shared" si="85"/>
        <v>0</v>
      </c>
      <c r="BB133" s="1922">
        <f t="shared" si="85"/>
        <v>0</v>
      </c>
      <c r="BC133" s="1922">
        <f t="shared" si="85"/>
        <v>0</v>
      </c>
      <c r="BD133" s="1922">
        <f t="shared" si="85"/>
        <v>0</v>
      </c>
      <c r="BE133" s="1922">
        <f t="shared" si="85"/>
        <v>0</v>
      </c>
      <c r="BF133" s="1922">
        <f t="shared" si="85"/>
        <v>0</v>
      </c>
      <c r="BG133" s="1922">
        <f t="shared" si="85"/>
        <v>0</v>
      </c>
      <c r="BH133" s="1922">
        <f t="shared" si="85"/>
        <v>0</v>
      </c>
      <c r="BI133" s="1922">
        <f t="shared" si="85"/>
        <v>0</v>
      </c>
      <c r="BJ133" s="1922">
        <f t="shared" si="85"/>
        <v>0</v>
      </c>
      <c r="BK133" s="1922">
        <f t="shared" si="85"/>
        <v>0</v>
      </c>
      <c r="BL133" s="1922">
        <f t="shared" si="85"/>
        <v>0</v>
      </c>
      <c r="BM133" s="1922">
        <f t="shared" si="85"/>
        <v>0</v>
      </c>
      <c r="BN133" s="1922">
        <f t="shared" si="85"/>
        <v>0</v>
      </c>
      <c r="BO133" s="1922">
        <f t="shared" si="85"/>
        <v>0</v>
      </c>
      <c r="BP133" s="1922">
        <f t="shared" si="85"/>
        <v>0</v>
      </c>
      <c r="BQ133" s="1922">
        <f t="shared" si="85"/>
        <v>0</v>
      </c>
      <c r="BR133" s="1922">
        <f t="shared" si="85"/>
        <v>0</v>
      </c>
      <c r="BS133" s="1922">
        <f t="shared" si="85"/>
        <v>0</v>
      </c>
      <c r="BT133" s="1922">
        <f t="shared" si="85"/>
        <v>0</v>
      </c>
      <c r="BU133" s="1922">
        <f t="shared" si="85"/>
        <v>0</v>
      </c>
      <c r="BV133" s="1922">
        <f t="shared" si="85"/>
        <v>0</v>
      </c>
      <c r="BW133" s="1924">
        <f t="shared" si="85"/>
        <v>0</v>
      </c>
      <c r="BX133" s="1926"/>
      <c r="BY133" s="1926"/>
      <c r="BZ133" s="1926"/>
      <c r="CA133" s="1926"/>
      <c r="CB133" s="1926"/>
      <c r="CC133" s="1926"/>
      <c r="CD133" s="1926"/>
      <c r="CE133" s="1926"/>
      <c r="CF133" s="1926"/>
      <c r="CG133" s="1926"/>
      <c r="CH133" s="1926"/>
      <c r="CI133" s="1926"/>
      <c r="CJ133" s="1926"/>
      <c r="CK133" s="1926"/>
      <c r="CL133" s="1926"/>
      <c r="CM133" s="1926"/>
      <c r="CN133" s="1926"/>
      <c r="CO133" s="1926"/>
      <c r="CP133" s="1926"/>
      <c r="CQ133" s="1926"/>
      <c r="CR133" s="1926"/>
      <c r="CS133" s="1926"/>
      <c r="CT133" s="1926"/>
      <c r="CU133" s="1926"/>
      <c r="CV133" s="1926"/>
      <c r="CW133" s="1926"/>
      <c r="CX133" s="1926"/>
      <c r="CY133" s="1926"/>
      <c r="CZ133" s="1926"/>
      <c r="DA133" s="1926"/>
      <c r="DB133" s="1926"/>
      <c r="DC133" s="1926"/>
      <c r="DD133" s="1926"/>
      <c r="DE133" s="1926"/>
      <c r="DF133" s="1926"/>
      <c r="DG133" s="1926"/>
      <c r="DH133" s="1926"/>
      <c r="DI133" s="1926"/>
      <c r="DJ133" s="1926"/>
      <c r="DK133" s="1926"/>
      <c r="DL133" s="1926"/>
      <c r="DM133" s="1926"/>
      <c r="DN133" s="1926"/>
      <c r="DO133" s="1926"/>
      <c r="DP133" s="1926"/>
      <c r="DQ133" s="1926"/>
      <c r="DR133" s="1926"/>
      <c r="DS133" s="1926"/>
      <c r="DT133" s="1926"/>
      <c r="DU133" s="1926"/>
      <c r="DV133" s="1926"/>
      <c r="DW133" s="1926"/>
      <c r="DX133" s="1926"/>
      <c r="DY133" s="1926"/>
      <c r="DZ133" s="1926"/>
      <c r="EA133" s="1926"/>
      <c r="EB133" s="1926"/>
      <c r="EC133" s="1926"/>
      <c r="ED133" s="1926"/>
      <c r="EE133" s="1926"/>
      <c r="EF133" s="1926"/>
      <c r="EG133" s="1926"/>
      <c r="EH133" s="1926"/>
      <c r="EI133" s="1926"/>
      <c r="EJ133" s="1926"/>
      <c r="EK133" s="1926"/>
      <c r="EL133" s="1926"/>
      <c r="EM133" s="1926"/>
      <c r="EN133" s="1926"/>
      <c r="EO133" s="1926"/>
      <c r="EP133" s="1926"/>
      <c r="EQ133" s="1926"/>
      <c r="ER133" s="1926"/>
      <c r="ES133" s="1926"/>
      <c r="ET133" s="1926"/>
      <c r="EU133" s="1926"/>
      <c r="EV133" s="1926"/>
      <c r="EW133" s="1926"/>
      <c r="EX133" s="1926"/>
      <c r="EY133" s="1926"/>
      <c r="EZ133" s="1926"/>
      <c r="FA133" s="1926"/>
      <c r="FB133" s="1926"/>
      <c r="FC133" s="1926"/>
      <c r="FD133" s="1926"/>
      <c r="FE133" s="1926"/>
      <c r="FF133" s="1926"/>
      <c r="FG133" s="1926"/>
      <c r="FH133" s="1926"/>
      <c r="FI133" s="1926"/>
      <c r="FJ133" s="1926"/>
      <c r="FK133" s="1926"/>
      <c r="FL133" s="1926"/>
      <c r="FM133" s="1926"/>
      <c r="FN133" s="1926"/>
      <c r="FO133" s="1926"/>
      <c r="FP133" s="1926"/>
      <c r="FQ133" s="1926"/>
      <c r="FR133" s="1926"/>
    </row>
    <row r="134" spans="2:174" s="37" customFormat="1" ht="14.25" hidden="1" customHeight="1">
      <c r="B134" s="37" t="s">
        <v>570</v>
      </c>
      <c r="H134" s="53"/>
      <c r="M134" s="53"/>
      <c r="O134" s="1923"/>
      <c r="P134" s="1922">
        <f t="shared" ref="P134:AU134" si="86">IF($K8=P124,$J8,0)</f>
        <v>0</v>
      </c>
      <c r="Q134" s="1922">
        <f t="shared" si="86"/>
        <v>0</v>
      </c>
      <c r="R134" s="1922">
        <f t="shared" si="86"/>
        <v>0</v>
      </c>
      <c r="S134" s="1922">
        <f t="shared" si="86"/>
        <v>0</v>
      </c>
      <c r="T134" s="1922">
        <f t="shared" si="86"/>
        <v>0</v>
      </c>
      <c r="U134" s="1922">
        <f t="shared" si="86"/>
        <v>0</v>
      </c>
      <c r="V134" s="1922">
        <f t="shared" si="86"/>
        <v>0</v>
      </c>
      <c r="W134" s="1922">
        <f t="shared" si="86"/>
        <v>0</v>
      </c>
      <c r="X134" s="1922">
        <f t="shared" si="86"/>
        <v>0</v>
      </c>
      <c r="Y134" s="1922">
        <f t="shared" si="86"/>
        <v>0</v>
      </c>
      <c r="Z134" s="1922">
        <f t="shared" si="86"/>
        <v>0</v>
      </c>
      <c r="AA134" s="1922">
        <f t="shared" si="86"/>
        <v>0</v>
      </c>
      <c r="AB134" s="1922">
        <f t="shared" si="86"/>
        <v>0</v>
      </c>
      <c r="AC134" s="1922">
        <f t="shared" si="86"/>
        <v>0</v>
      </c>
      <c r="AD134" s="1922">
        <f t="shared" si="86"/>
        <v>0</v>
      </c>
      <c r="AE134" s="1922">
        <f t="shared" si="86"/>
        <v>0</v>
      </c>
      <c r="AF134" s="1922">
        <f t="shared" si="86"/>
        <v>0</v>
      </c>
      <c r="AG134" s="1922">
        <f t="shared" si="86"/>
        <v>0</v>
      </c>
      <c r="AH134" s="1922">
        <f t="shared" si="86"/>
        <v>0</v>
      </c>
      <c r="AI134" s="1922">
        <f t="shared" si="86"/>
        <v>0</v>
      </c>
      <c r="AJ134" s="1922">
        <f t="shared" si="86"/>
        <v>0</v>
      </c>
      <c r="AK134" s="1922">
        <f t="shared" si="86"/>
        <v>0</v>
      </c>
      <c r="AL134" s="1922">
        <f t="shared" si="86"/>
        <v>0</v>
      </c>
      <c r="AM134" s="1922">
        <f t="shared" si="86"/>
        <v>0</v>
      </c>
      <c r="AN134" s="1955">
        <f t="shared" si="86"/>
        <v>0</v>
      </c>
      <c r="AO134" s="1922">
        <f t="shared" si="86"/>
        <v>0</v>
      </c>
      <c r="AP134" s="1922">
        <f t="shared" si="86"/>
        <v>0</v>
      </c>
      <c r="AQ134" s="1922">
        <f t="shared" si="86"/>
        <v>0</v>
      </c>
      <c r="AR134" s="1922">
        <f t="shared" si="86"/>
        <v>0</v>
      </c>
      <c r="AS134" s="1922">
        <f t="shared" si="86"/>
        <v>0</v>
      </c>
      <c r="AT134" s="1922">
        <f t="shared" si="86"/>
        <v>0</v>
      </c>
      <c r="AU134" s="1922">
        <f t="shared" si="86"/>
        <v>0</v>
      </c>
      <c r="AV134" s="1922">
        <f t="shared" ref="AV134:BW134" si="87">IF($K8=AV124,$J8,0)</f>
        <v>0</v>
      </c>
      <c r="AW134" s="1922">
        <f t="shared" si="87"/>
        <v>0</v>
      </c>
      <c r="AX134" s="1922">
        <f t="shared" si="87"/>
        <v>0</v>
      </c>
      <c r="AY134" s="1922">
        <f t="shared" si="87"/>
        <v>0</v>
      </c>
      <c r="AZ134" s="1922">
        <f t="shared" si="87"/>
        <v>0</v>
      </c>
      <c r="BA134" s="1922">
        <f t="shared" si="87"/>
        <v>0</v>
      </c>
      <c r="BB134" s="1922">
        <f t="shared" si="87"/>
        <v>0</v>
      </c>
      <c r="BC134" s="1922">
        <f t="shared" si="87"/>
        <v>0</v>
      </c>
      <c r="BD134" s="1922">
        <f t="shared" si="87"/>
        <v>0</v>
      </c>
      <c r="BE134" s="1922">
        <f t="shared" si="87"/>
        <v>0</v>
      </c>
      <c r="BF134" s="1922">
        <f t="shared" si="87"/>
        <v>0</v>
      </c>
      <c r="BG134" s="1922">
        <f t="shared" si="87"/>
        <v>0</v>
      </c>
      <c r="BH134" s="1922">
        <f t="shared" si="87"/>
        <v>0</v>
      </c>
      <c r="BI134" s="1922">
        <f t="shared" si="87"/>
        <v>0</v>
      </c>
      <c r="BJ134" s="1922">
        <f t="shared" si="87"/>
        <v>0</v>
      </c>
      <c r="BK134" s="1922">
        <f t="shared" si="87"/>
        <v>0</v>
      </c>
      <c r="BL134" s="1922">
        <f t="shared" si="87"/>
        <v>0</v>
      </c>
      <c r="BM134" s="1922">
        <f t="shared" si="87"/>
        <v>0</v>
      </c>
      <c r="BN134" s="1922">
        <f t="shared" si="87"/>
        <v>0</v>
      </c>
      <c r="BO134" s="1922">
        <f t="shared" si="87"/>
        <v>0</v>
      </c>
      <c r="BP134" s="1922">
        <f t="shared" si="87"/>
        <v>0</v>
      </c>
      <c r="BQ134" s="1922">
        <f t="shared" si="87"/>
        <v>0</v>
      </c>
      <c r="BR134" s="1922">
        <f t="shared" si="87"/>
        <v>0</v>
      </c>
      <c r="BS134" s="1922">
        <f t="shared" si="87"/>
        <v>0</v>
      </c>
      <c r="BT134" s="1922">
        <f t="shared" si="87"/>
        <v>0</v>
      </c>
      <c r="BU134" s="1922">
        <f t="shared" si="87"/>
        <v>0</v>
      </c>
      <c r="BV134" s="1922">
        <f t="shared" si="87"/>
        <v>0</v>
      </c>
      <c r="BW134" s="1924">
        <f t="shared" si="87"/>
        <v>0</v>
      </c>
      <c r="BX134" s="1926"/>
      <c r="BY134" s="1926"/>
      <c r="BZ134" s="1926"/>
      <c r="CA134" s="1926"/>
      <c r="CB134" s="1926"/>
      <c r="CC134" s="1926"/>
      <c r="CD134" s="1926"/>
      <c r="CE134" s="1926"/>
      <c r="CF134" s="1926"/>
      <c r="CG134" s="1926"/>
      <c r="CH134" s="1926"/>
      <c r="CI134" s="1926"/>
      <c r="CJ134" s="1926"/>
      <c r="CK134" s="1926"/>
      <c r="CL134" s="1926"/>
      <c r="CM134" s="1926"/>
      <c r="CN134" s="1926"/>
      <c r="CO134" s="1926"/>
      <c r="CP134" s="1926"/>
      <c r="CQ134" s="1926"/>
      <c r="CR134" s="1926"/>
      <c r="CS134" s="1926"/>
      <c r="CT134" s="1926"/>
      <c r="CU134" s="1926"/>
      <c r="CV134" s="1926"/>
      <c r="CW134" s="1926"/>
      <c r="CX134" s="1926"/>
      <c r="CY134" s="1926"/>
      <c r="CZ134" s="1926"/>
      <c r="DA134" s="1926"/>
      <c r="DB134" s="1926"/>
      <c r="DC134" s="1926"/>
      <c r="DD134" s="1926"/>
      <c r="DE134" s="1926"/>
      <c r="DF134" s="1926"/>
      <c r="DG134" s="1926"/>
      <c r="DH134" s="1926"/>
      <c r="DI134" s="1926"/>
      <c r="DJ134" s="1926"/>
      <c r="DK134" s="1926"/>
      <c r="DL134" s="1926"/>
      <c r="DM134" s="1926"/>
      <c r="DN134" s="1926"/>
      <c r="DO134" s="1926"/>
      <c r="DP134" s="1926"/>
      <c r="DQ134" s="1926"/>
      <c r="DR134" s="1926"/>
      <c r="DS134" s="1926"/>
      <c r="DT134" s="1926"/>
      <c r="DU134" s="1926"/>
      <c r="DV134" s="1926"/>
      <c r="DW134" s="1926"/>
      <c r="DX134" s="1926"/>
      <c r="DY134" s="1926"/>
      <c r="DZ134" s="1926"/>
      <c r="EA134" s="1926"/>
      <c r="EB134" s="1926"/>
      <c r="EC134" s="1926"/>
      <c r="ED134" s="1926"/>
      <c r="EE134" s="1926"/>
      <c r="EF134" s="1926"/>
      <c r="EG134" s="1926"/>
      <c r="EH134" s="1926"/>
      <c r="EI134" s="1926"/>
      <c r="EJ134" s="1926"/>
      <c r="EK134" s="1926"/>
      <c r="EL134" s="1926"/>
      <c r="EM134" s="1926"/>
      <c r="EN134" s="1926"/>
      <c r="EO134" s="1926"/>
      <c r="EP134" s="1926"/>
      <c r="EQ134" s="1926"/>
      <c r="ER134" s="1926"/>
      <c r="ES134" s="1926"/>
      <c r="ET134" s="1926"/>
      <c r="EU134" s="1926"/>
      <c r="EV134" s="1926"/>
      <c r="EW134" s="1926"/>
      <c r="EX134" s="1926"/>
      <c r="EY134" s="1926"/>
      <c r="EZ134" s="1926"/>
      <c r="FA134" s="1926"/>
      <c r="FB134" s="1926"/>
      <c r="FC134" s="1926"/>
      <c r="FD134" s="1926"/>
      <c r="FE134" s="1926"/>
      <c r="FF134" s="1926"/>
      <c r="FG134" s="1926"/>
      <c r="FH134" s="1926"/>
      <c r="FI134" s="1926"/>
      <c r="FJ134" s="1926"/>
      <c r="FK134" s="1926"/>
      <c r="FL134" s="1926"/>
      <c r="FM134" s="1926"/>
      <c r="FN134" s="1926"/>
      <c r="FO134" s="1926"/>
      <c r="FP134" s="1926"/>
      <c r="FQ134" s="1926"/>
      <c r="FR134" s="1926"/>
    </row>
    <row r="135" spans="2:174" s="37" customFormat="1" ht="14.25" hidden="1" customHeight="1">
      <c r="B135" s="1921" t="s">
        <v>571</v>
      </c>
      <c r="H135" s="53"/>
      <c r="M135" s="53"/>
      <c r="O135" s="1923">
        <v>0</v>
      </c>
      <c r="P135" s="1922">
        <f t="shared" ref="P135:AU135" si="88">IF($J8=P$134,1,IF(O135&gt;0,IF(O135&gt;=$L8*12,0,O135+1),0))</f>
        <v>1</v>
      </c>
      <c r="Q135" s="1922">
        <f t="shared" si="88"/>
        <v>1</v>
      </c>
      <c r="R135" s="1922">
        <f t="shared" si="88"/>
        <v>1</v>
      </c>
      <c r="S135" s="1922">
        <f t="shared" si="88"/>
        <v>1</v>
      </c>
      <c r="T135" s="1922">
        <f t="shared" si="88"/>
        <v>1</v>
      </c>
      <c r="U135" s="1922">
        <f t="shared" si="88"/>
        <v>1</v>
      </c>
      <c r="V135" s="1922">
        <f t="shared" si="88"/>
        <v>1</v>
      </c>
      <c r="W135" s="1922">
        <f t="shared" si="88"/>
        <v>1</v>
      </c>
      <c r="X135" s="1922">
        <f t="shared" si="88"/>
        <v>1</v>
      </c>
      <c r="Y135" s="1922">
        <f t="shared" si="88"/>
        <v>1</v>
      </c>
      <c r="Z135" s="1922">
        <f t="shared" si="88"/>
        <v>1</v>
      </c>
      <c r="AA135" s="1922">
        <f t="shared" si="88"/>
        <v>1</v>
      </c>
      <c r="AB135" s="1922">
        <f t="shared" si="88"/>
        <v>1</v>
      </c>
      <c r="AC135" s="1922">
        <f t="shared" si="88"/>
        <v>1</v>
      </c>
      <c r="AD135" s="1922">
        <f t="shared" si="88"/>
        <v>1</v>
      </c>
      <c r="AE135" s="1922">
        <f t="shared" si="88"/>
        <v>1</v>
      </c>
      <c r="AF135" s="1922">
        <f t="shared" si="88"/>
        <v>1</v>
      </c>
      <c r="AG135" s="1922">
        <f t="shared" si="88"/>
        <v>1</v>
      </c>
      <c r="AH135" s="1922">
        <f t="shared" si="88"/>
        <v>1</v>
      </c>
      <c r="AI135" s="1922">
        <f t="shared" si="88"/>
        <v>1</v>
      </c>
      <c r="AJ135" s="1922">
        <f t="shared" si="88"/>
        <v>1</v>
      </c>
      <c r="AK135" s="1922">
        <f t="shared" si="88"/>
        <v>1</v>
      </c>
      <c r="AL135" s="1922">
        <f t="shared" si="88"/>
        <v>1</v>
      </c>
      <c r="AM135" s="1922">
        <f t="shared" si="88"/>
        <v>1</v>
      </c>
      <c r="AN135" s="1955">
        <f t="shared" si="88"/>
        <v>1</v>
      </c>
      <c r="AO135" s="1922">
        <f t="shared" si="88"/>
        <v>1</v>
      </c>
      <c r="AP135" s="1922">
        <f t="shared" si="88"/>
        <v>1</v>
      </c>
      <c r="AQ135" s="1922">
        <f t="shared" si="88"/>
        <v>1</v>
      </c>
      <c r="AR135" s="1922">
        <f t="shared" si="88"/>
        <v>1</v>
      </c>
      <c r="AS135" s="1922">
        <f t="shared" si="88"/>
        <v>1</v>
      </c>
      <c r="AT135" s="1922">
        <f t="shared" si="88"/>
        <v>1</v>
      </c>
      <c r="AU135" s="1922">
        <f t="shared" si="88"/>
        <v>1</v>
      </c>
      <c r="AV135" s="1922">
        <f t="shared" ref="AV135:BW135" si="89">IF($J8=AV$134,1,IF(AU135&gt;0,IF(AU135&gt;=$L8*12,0,AU135+1),0))</f>
        <v>1</v>
      </c>
      <c r="AW135" s="1922">
        <f t="shared" si="89"/>
        <v>1</v>
      </c>
      <c r="AX135" s="1922">
        <f t="shared" si="89"/>
        <v>1</v>
      </c>
      <c r="AY135" s="1922">
        <f t="shared" si="89"/>
        <v>1</v>
      </c>
      <c r="AZ135" s="1922">
        <f t="shared" si="89"/>
        <v>1</v>
      </c>
      <c r="BA135" s="1922">
        <f t="shared" si="89"/>
        <v>1</v>
      </c>
      <c r="BB135" s="1922">
        <f t="shared" si="89"/>
        <v>1</v>
      </c>
      <c r="BC135" s="1922">
        <f t="shared" si="89"/>
        <v>1</v>
      </c>
      <c r="BD135" s="1922">
        <f t="shared" si="89"/>
        <v>1</v>
      </c>
      <c r="BE135" s="1922">
        <f t="shared" si="89"/>
        <v>1</v>
      </c>
      <c r="BF135" s="1922">
        <f t="shared" si="89"/>
        <v>1</v>
      </c>
      <c r="BG135" s="1922">
        <f t="shared" si="89"/>
        <v>1</v>
      </c>
      <c r="BH135" s="1922">
        <f t="shared" si="89"/>
        <v>1</v>
      </c>
      <c r="BI135" s="1922">
        <f t="shared" si="89"/>
        <v>1</v>
      </c>
      <c r="BJ135" s="1922">
        <f t="shared" si="89"/>
        <v>1</v>
      </c>
      <c r="BK135" s="1922">
        <f t="shared" si="89"/>
        <v>1</v>
      </c>
      <c r="BL135" s="1922">
        <f t="shared" si="89"/>
        <v>1</v>
      </c>
      <c r="BM135" s="1922">
        <f t="shared" si="89"/>
        <v>1</v>
      </c>
      <c r="BN135" s="1922">
        <f t="shared" si="89"/>
        <v>1</v>
      </c>
      <c r="BO135" s="1922">
        <f t="shared" si="89"/>
        <v>1</v>
      </c>
      <c r="BP135" s="1922">
        <f t="shared" si="89"/>
        <v>1</v>
      </c>
      <c r="BQ135" s="1922">
        <f t="shared" si="89"/>
        <v>1</v>
      </c>
      <c r="BR135" s="1922">
        <f t="shared" si="89"/>
        <v>1</v>
      </c>
      <c r="BS135" s="1922">
        <f t="shared" si="89"/>
        <v>1</v>
      </c>
      <c r="BT135" s="1922">
        <f t="shared" si="89"/>
        <v>1</v>
      </c>
      <c r="BU135" s="1922">
        <f t="shared" si="89"/>
        <v>1</v>
      </c>
      <c r="BV135" s="1922">
        <f t="shared" si="89"/>
        <v>1</v>
      </c>
      <c r="BW135" s="1924">
        <f t="shared" si="89"/>
        <v>1</v>
      </c>
      <c r="BX135" s="1926"/>
      <c r="BY135" s="1926"/>
      <c r="BZ135" s="1926"/>
      <c r="CA135" s="1926"/>
      <c r="CB135" s="1926"/>
      <c r="CC135" s="1926"/>
      <c r="CD135" s="1926"/>
      <c r="CE135" s="1926"/>
      <c r="CF135" s="1926"/>
      <c r="CG135" s="1926"/>
      <c r="CH135" s="1926"/>
      <c r="CI135" s="1926"/>
      <c r="CJ135" s="1926"/>
      <c r="CK135" s="1926"/>
      <c r="CL135" s="1926"/>
      <c r="CM135" s="1926"/>
      <c r="CN135" s="1926"/>
      <c r="CO135" s="1926"/>
      <c r="CP135" s="1926"/>
      <c r="CQ135" s="1926"/>
      <c r="CR135" s="1926"/>
      <c r="CS135" s="1926"/>
      <c r="CT135" s="1926"/>
      <c r="CU135" s="1926"/>
      <c r="CV135" s="1926"/>
      <c r="CW135" s="1926"/>
      <c r="CX135" s="1926"/>
      <c r="CY135" s="1926"/>
      <c r="CZ135" s="1926"/>
      <c r="DA135" s="1926"/>
      <c r="DB135" s="1926"/>
      <c r="DC135" s="1926"/>
      <c r="DD135" s="1926"/>
      <c r="DE135" s="1926"/>
      <c r="DF135" s="1926"/>
      <c r="DG135" s="1926"/>
      <c r="DH135" s="1926"/>
      <c r="DI135" s="1926"/>
      <c r="DJ135" s="1926"/>
      <c r="DK135" s="1926"/>
      <c r="DL135" s="1926"/>
      <c r="DM135" s="1926"/>
      <c r="DN135" s="1926"/>
      <c r="DO135" s="1926"/>
      <c r="DP135" s="1926"/>
      <c r="DQ135" s="1926"/>
      <c r="DR135" s="1926"/>
      <c r="DS135" s="1926"/>
      <c r="DT135" s="1926"/>
      <c r="DU135" s="1926"/>
      <c r="DV135" s="1926"/>
      <c r="DW135" s="1926"/>
      <c r="DX135" s="1926"/>
      <c r="DY135" s="1926"/>
      <c r="DZ135" s="1926"/>
      <c r="EA135" s="1926"/>
      <c r="EB135" s="1926"/>
      <c r="EC135" s="1926"/>
      <c r="ED135" s="1926"/>
      <c r="EE135" s="1926"/>
      <c r="EF135" s="1926"/>
      <c r="EG135" s="1926"/>
      <c r="EH135" s="1926"/>
      <c r="EI135" s="1926"/>
      <c r="EJ135" s="1926"/>
      <c r="EK135" s="1926"/>
      <c r="EL135" s="1926"/>
      <c r="EM135" s="1926"/>
      <c r="EN135" s="1926"/>
      <c r="EO135" s="1926"/>
      <c r="EP135" s="1926"/>
      <c r="EQ135" s="1926"/>
      <c r="ER135" s="1926"/>
      <c r="ES135" s="1926"/>
      <c r="ET135" s="1926"/>
      <c r="EU135" s="1926"/>
      <c r="EV135" s="1926"/>
      <c r="EW135" s="1926"/>
      <c r="EX135" s="1926"/>
      <c r="EY135" s="1926"/>
      <c r="EZ135" s="1926"/>
      <c r="FA135" s="1926"/>
      <c r="FB135" s="1926"/>
      <c r="FC135" s="1926"/>
      <c r="FD135" s="1926"/>
      <c r="FE135" s="1926"/>
      <c r="FF135" s="1926"/>
      <c r="FG135" s="1926"/>
      <c r="FH135" s="1926"/>
      <c r="FI135" s="1926"/>
      <c r="FJ135" s="1926"/>
      <c r="FK135" s="1926"/>
      <c r="FL135" s="1926"/>
      <c r="FM135" s="1926"/>
      <c r="FN135" s="1926"/>
      <c r="FO135" s="1926"/>
      <c r="FP135" s="1926"/>
      <c r="FQ135" s="1926"/>
      <c r="FR135" s="1926"/>
    </row>
    <row r="136" spans="2:174" s="37" customFormat="1" ht="14.25" hidden="1" customHeight="1">
      <c r="B136" s="37" t="s">
        <v>572</v>
      </c>
      <c r="H136" s="53"/>
      <c r="M136" s="53"/>
      <c r="O136" s="1923"/>
      <c r="P136" s="1922">
        <f t="shared" ref="P136:AU136" si="90">IF(P135&lt;&gt;0,IF($J8=0,0,$J8/($L8*12)),0)</f>
        <v>0</v>
      </c>
      <c r="Q136" s="1922">
        <f t="shared" si="90"/>
        <v>0</v>
      </c>
      <c r="R136" s="1922">
        <f t="shared" si="90"/>
        <v>0</v>
      </c>
      <c r="S136" s="1922">
        <f t="shared" si="90"/>
        <v>0</v>
      </c>
      <c r="T136" s="1922">
        <f t="shared" si="90"/>
        <v>0</v>
      </c>
      <c r="U136" s="1922">
        <f t="shared" si="90"/>
        <v>0</v>
      </c>
      <c r="V136" s="1922">
        <f t="shared" si="90"/>
        <v>0</v>
      </c>
      <c r="W136" s="1922">
        <f t="shared" si="90"/>
        <v>0</v>
      </c>
      <c r="X136" s="1922">
        <f t="shared" si="90"/>
        <v>0</v>
      </c>
      <c r="Y136" s="1922">
        <f t="shared" si="90"/>
        <v>0</v>
      </c>
      <c r="Z136" s="1922">
        <f t="shared" si="90"/>
        <v>0</v>
      </c>
      <c r="AA136" s="1922">
        <f t="shared" si="90"/>
        <v>0</v>
      </c>
      <c r="AB136" s="1922">
        <f t="shared" si="90"/>
        <v>0</v>
      </c>
      <c r="AC136" s="1922">
        <f t="shared" si="90"/>
        <v>0</v>
      </c>
      <c r="AD136" s="1922">
        <f t="shared" si="90"/>
        <v>0</v>
      </c>
      <c r="AE136" s="1922">
        <f t="shared" si="90"/>
        <v>0</v>
      </c>
      <c r="AF136" s="1922">
        <f t="shared" si="90"/>
        <v>0</v>
      </c>
      <c r="AG136" s="1922">
        <f t="shared" si="90"/>
        <v>0</v>
      </c>
      <c r="AH136" s="1922">
        <f t="shared" si="90"/>
        <v>0</v>
      </c>
      <c r="AI136" s="1922">
        <f t="shared" si="90"/>
        <v>0</v>
      </c>
      <c r="AJ136" s="1922">
        <f t="shared" si="90"/>
        <v>0</v>
      </c>
      <c r="AK136" s="1922">
        <f t="shared" si="90"/>
        <v>0</v>
      </c>
      <c r="AL136" s="1922">
        <f t="shared" si="90"/>
        <v>0</v>
      </c>
      <c r="AM136" s="1922">
        <f t="shared" si="90"/>
        <v>0</v>
      </c>
      <c r="AN136" s="1955">
        <f t="shared" si="90"/>
        <v>0</v>
      </c>
      <c r="AO136" s="1922">
        <f t="shared" si="90"/>
        <v>0</v>
      </c>
      <c r="AP136" s="1922">
        <f t="shared" si="90"/>
        <v>0</v>
      </c>
      <c r="AQ136" s="1922">
        <f t="shared" si="90"/>
        <v>0</v>
      </c>
      <c r="AR136" s="1922">
        <f t="shared" si="90"/>
        <v>0</v>
      </c>
      <c r="AS136" s="1922">
        <f t="shared" si="90"/>
        <v>0</v>
      </c>
      <c r="AT136" s="1922">
        <f t="shared" si="90"/>
        <v>0</v>
      </c>
      <c r="AU136" s="1922">
        <f t="shared" si="90"/>
        <v>0</v>
      </c>
      <c r="AV136" s="1922">
        <f t="shared" ref="AV136:BW136" si="91">IF(AV135&lt;&gt;0,IF($J8=0,0,$J8/($L8*12)),0)</f>
        <v>0</v>
      </c>
      <c r="AW136" s="1922">
        <f t="shared" si="91"/>
        <v>0</v>
      </c>
      <c r="AX136" s="1922">
        <f t="shared" si="91"/>
        <v>0</v>
      </c>
      <c r="AY136" s="1922">
        <f t="shared" si="91"/>
        <v>0</v>
      </c>
      <c r="AZ136" s="1922">
        <f t="shared" si="91"/>
        <v>0</v>
      </c>
      <c r="BA136" s="1922">
        <f t="shared" si="91"/>
        <v>0</v>
      </c>
      <c r="BB136" s="1922">
        <f t="shared" si="91"/>
        <v>0</v>
      </c>
      <c r="BC136" s="1922">
        <f t="shared" si="91"/>
        <v>0</v>
      </c>
      <c r="BD136" s="1922">
        <f t="shared" si="91"/>
        <v>0</v>
      </c>
      <c r="BE136" s="1922">
        <f t="shared" si="91"/>
        <v>0</v>
      </c>
      <c r="BF136" s="1922">
        <f t="shared" si="91"/>
        <v>0</v>
      </c>
      <c r="BG136" s="1922">
        <f t="shared" si="91"/>
        <v>0</v>
      </c>
      <c r="BH136" s="1922">
        <f t="shared" si="91"/>
        <v>0</v>
      </c>
      <c r="BI136" s="1922">
        <f t="shared" si="91"/>
        <v>0</v>
      </c>
      <c r="BJ136" s="1922">
        <f t="shared" si="91"/>
        <v>0</v>
      </c>
      <c r="BK136" s="1922">
        <f t="shared" si="91"/>
        <v>0</v>
      </c>
      <c r="BL136" s="1922">
        <f t="shared" si="91"/>
        <v>0</v>
      </c>
      <c r="BM136" s="1922">
        <f t="shared" si="91"/>
        <v>0</v>
      </c>
      <c r="BN136" s="1922">
        <f t="shared" si="91"/>
        <v>0</v>
      </c>
      <c r="BO136" s="1922">
        <f t="shared" si="91"/>
        <v>0</v>
      </c>
      <c r="BP136" s="1922">
        <f t="shared" si="91"/>
        <v>0</v>
      </c>
      <c r="BQ136" s="1922">
        <f t="shared" si="91"/>
        <v>0</v>
      </c>
      <c r="BR136" s="1922">
        <f t="shared" si="91"/>
        <v>0</v>
      </c>
      <c r="BS136" s="1922">
        <f t="shared" si="91"/>
        <v>0</v>
      </c>
      <c r="BT136" s="1922">
        <f t="shared" si="91"/>
        <v>0</v>
      </c>
      <c r="BU136" s="1922">
        <f t="shared" si="91"/>
        <v>0</v>
      </c>
      <c r="BV136" s="1922">
        <f t="shared" si="91"/>
        <v>0</v>
      </c>
      <c r="BW136" s="1924">
        <f t="shared" si="91"/>
        <v>0</v>
      </c>
      <c r="BX136" s="1926"/>
      <c r="BY136" s="1926"/>
      <c r="BZ136" s="1926"/>
      <c r="CA136" s="1926"/>
      <c r="CB136" s="1926"/>
      <c r="CC136" s="1926"/>
      <c r="CD136" s="1926"/>
      <c r="CE136" s="1926"/>
      <c r="CF136" s="1926"/>
      <c r="CG136" s="1926"/>
      <c r="CH136" s="1926"/>
      <c r="CI136" s="1926"/>
      <c r="CJ136" s="1926"/>
      <c r="CK136" s="1926"/>
      <c r="CL136" s="1926"/>
      <c r="CM136" s="1926"/>
      <c r="CN136" s="1926"/>
      <c r="CO136" s="1926"/>
      <c r="CP136" s="1926"/>
      <c r="CQ136" s="1926"/>
      <c r="CR136" s="1926"/>
      <c r="CS136" s="1926"/>
      <c r="CT136" s="1926"/>
      <c r="CU136" s="1926"/>
      <c r="CV136" s="1926"/>
      <c r="CW136" s="1926"/>
      <c r="CX136" s="1926"/>
      <c r="CY136" s="1926"/>
      <c r="CZ136" s="1926"/>
      <c r="DA136" s="1926"/>
      <c r="DB136" s="1926"/>
      <c r="DC136" s="1926"/>
      <c r="DD136" s="1926"/>
      <c r="DE136" s="1926"/>
      <c r="DF136" s="1926"/>
      <c r="DG136" s="1926"/>
      <c r="DH136" s="1926"/>
      <c r="DI136" s="1926"/>
      <c r="DJ136" s="1926"/>
      <c r="DK136" s="1926"/>
      <c r="DL136" s="1926"/>
      <c r="DM136" s="1926"/>
      <c r="DN136" s="1926"/>
      <c r="DO136" s="1926"/>
      <c r="DP136" s="1926"/>
      <c r="DQ136" s="1926"/>
      <c r="DR136" s="1926"/>
      <c r="DS136" s="1926"/>
      <c r="DT136" s="1926"/>
      <c r="DU136" s="1926"/>
      <c r="DV136" s="1926"/>
      <c r="DW136" s="1926"/>
      <c r="DX136" s="1926"/>
      <c r="DY136" s="1926"/>
      <c r="DZ136" s="1926"/>
      <c r="EA136" s="1926"/>
      <c r="EB136" s="1926"/>
      <c r="EC136" s="1926"/>
      <c r="ED136" s="1926"/>
      <c r="EE136" s="1926"/>
      <c r="EF136" s="1926"/>
      <c r="EG136" s="1926"/>
      <c r="EH136" s="1926"/>
      <c r="EI136" s="1926"/>
      <c r="EJ136" s="1926"/>
      <c r="EK136" s="1926"/>
      <c r="EL136" s="1926"/>
      <c r="EM136" s="1926"/>
      <c r="EN136" s="1926"/>
      <c r="EO136" s="1926"/>
      <c r="EP136" s="1926"/>
      <c r="EQ136" s="1926"/>
      <c r="ER136" s="1926"/>
      <c r="ES136" s="1926"/>
      <c r="ET136" s="1926"/>
      <c r="EU136" s="1926"/>
      <c r="EV136" s="1926"/>
      <c r="EW136" s="1926"/>
      <c r="EX136" s="1926"/>
      <c r="EY136" s="1926"/>
      <c r="EZ136" s="1926"/>
      <c r="FA136" s="1926"/>
      <c r="FB136" s="1926"/>
      <c r="FC136" s="1926"/>
      <c r="FD136" s="1926"/>
      <c r="FE136" s="1926"/>
      <c r="FF136" s="1926"/>
      <c r="FG136" s="1926"/>
      <c r="FH136" s="1926"/>
      <c r="FI136" s="1926"/>
      <c r="FJ136" s="1926"/>
      <c r="FK136" s="1926"/>
      <c r="FL136" s="1926"/>
      <c r="FM136" s="1926"/>
      <c r="FN136" s="1926"/>
      <c r="FO136" s="1926"/>
      <c r="FP136" s="1926"/>
      <c r="FQ136" s="1926"/>
      <c r="FR136" s="1926"/>
    </row>
    <row r="137" spans="2:174" s="37" customFormat="1" ht="14.25" hidden="1" customHeight="1">
      <c r="B137" s="37" t="s">
        <v>570</v>
      </c>
      <c r="H137" s="53"/>
      <c r="M137" s="53"/>
      <c r="O137" s="1923"/>
      <c r="P137" s="1922">
        <f t="shared" ref="P137:AU137" si="92">IF($K9=P124,$J9,0)</f>
        <v>0</v>
      </c>
      <c r="Q137" s="1922">
        <f t="shared" si="92"/>
        <v>0</v>
      </c>
      <c r="R137" s="1922">
        <f t="shared" si="92"/>
        <v>0</v>
      </c>
      <c r="S137" s="1922">
        <f t="shared" si="92"/>
        <v>0</v>
      </c>
      <c r="T137" s="1922">
        <f t="shared" si="92"/>
        <v>0</v>
      </c>
      <c r="U137" s="1922">
        <f t="shared" si="92"/>
        <v>0</v>
      </c>
      <c r="V137" s="1922">
        <f t="shared" si="92"/>
        <v>0</v>
      </c>
      <c r="W137" s="1922">
        <f t="shared" si="92"/>
        <v>0</v>
      </c>
      <c r="X137" s="1922">
        <f t="shared" si="92"/>
        <v>0</v>
      </c>
      <c r="Y137" s="1922">
        <f t="shared" si="92"/>
        <v>0</v>
      </c>
      <c r="Z137" s="1922">
        <f t="shared" si="92"/>
        <v>0</v>
      </c>
      <c r="AA137" s="1922">
        <f t="shared" si="92"/>
        <v>0</v>
      </c>
      <c r="AB137" s="1922">
        <f t="shared" si="92"/>
        <v>0</v>
      </c>
      <c r="AC137" s="1922">
        <f t="shared" si="92"/>
        <v>0</v>
      </c>
      <c r="AD137" s="1922">
        <f t="shared" si="92"/>
        <v>0</v>
      </c>
      <c r="AE137" s="1922">
        <f t="shared" si="92"/>
        <v>0</v>
      </c>
      <c r="AF137" s="1922">
        <f t="shared" si="92"/>
        <v>0</v>
      </c>
      <c r="AG137" s="1922">
        <f t="shared" si="92"/>
        <v>0</v>
      </c>
      <c r="AH137" s="1922">
        <f t="shared" si="92"/>
        <v>0</v>
      </c>
      <c r="AI137" s="1922">
        <f t="shared" si="92"/>
        <v>0</v>
      </c>
      <c r="AJ137" s="1922">
        <f t="shared" si="92"/>
        <v>0</v>
      </c>
      <c r="AK137" s="1922">
        <f t="shared" si="92"/>
        <v>0</v>
      </c>
      <c r="AL137" s="1922">
        <f t="shared" si="92"/>
        <v>0</v>
      </c>
      <c r="AM137" s="1922">
        <f t="shared" si="92"/>
        <v>0</v>
      </c>
      <c r="AN137" s="1955">
        <f t="shared" si="92"/>
        <v>0</v>
      </c>
      <c r="AO137" s="1922">
        <f t="shared" si="92"/>
        <v>0</v>
      </c>
      <c r="AP137" s="1922">
        <f t="shared" si="92"/>
        <v>0</v>
      </c>
      <c r="AQ137" s="1922">
        <f t="shared" si="92"/>
        <v>0</v>
      </c>
      <c r="AR137" s="1922">
        <f t="shared" si="92"/>
        <v>0</v>
      </c>
      <c r="AS137" s="1922">
        <f t="shared" si="92"/>
        <v>0</v>
      </c>
      <c r="AT137" s="1922">
        <f t="shared" si="92"/>
        <v>0</v>
      </c>
      <c r="AU137" s="1922">
        <f t="shared" si="92"/>
        <v>0</v>
      </c>
      <c r="AV137" s="1922">
        <f t="shared" ref="AV137:BW137" si="93">IF($K9=AV124,$J9,0)</f>
        <v>0</v>
      </c>
      <c r="AW137" s="1922">
        <f t="shared" si="93"/>
        <v>0</v>
      </c>
      <c r="AX137" s="1922">
        <f t="shared" si="93"/>
        <v>0</v>
      </c>
      <c r="AY137" s="1922">
        <f t="shared" si="93"/>
        <v>0</v>
      </c>
      <c r="AZ137" s="1922">
        <f t="shared" si="93"/>
        <v>0</v>
      </c>
      <c r="BA137" s="1922">
        <f t="shared" si="93"/>
        <v>0</v>
      </c>
      <c r="BB137" s="1922">
        <f t="shared" si="93"/>
        <v>0</v>
      </c>
      <c r="BC137" s="1922">
        <f t="shared" si="93"/>
        <v>0</v>
      </c>
      <c r="BD137" s="1922">
        <f t="shared" si="93"/>
        <v>0</v>
      </c>
      <c r="BE137" s="1922">
        <f t="shared" si="93"/>
        <v>0</v>
      </c>
      <c r="BF137" s="1922">
        <f t="shared" si="93"/>
        <v>0</v>
      </c>
      <c r="BG137" s="1922">
        <f t="shared" si="93"/>
        <v>0</v>
      </c>
      <c r="BH137" s="1922">
        <f t="shared" si="93"/>
        <v>0</v>
      </c>
      <c r="BI137" s="1922">
        <f t="shared" si="93"/>
        <v>0</v>
      </c>
      <c r="BJ137" s="1922">
        <f t="shared" si="93"/>
        <v>0</v>
      </c>
      <c r="BK137" s="1922">
        <f t="shared" si="93"/>
        <v>0</v>
      </c>
      <c r="BL137" s="1922">
        <f t="shared" si="93"/>
        <v>0</v>
      </c>
      <c r="BM137" s="1922">
        <f t="shared" si="93"/>
        <v>0</v>
      </c>
      <c r="BN137" s="1922">
        <f t="shared" si="93"/>
        <v>0</v>
      </c>
      <c r="BO137" s="1922">
        <f t="shared" si="93"/>
        <v>0</v>
      </c>
      <c r="BP137" s="1922">
        <f t="shared" si="93"/>
        <v>0</v>
      </c>
      <c r="BQ137" s="1922">
        <f t="shared" si="93"/>
        <v>0</v>
      </c>
      <c r="BR137" s="1922">
        <f t="shared" si="93"/>
        <v>0</v>
      </c>
      <c r="BS137" s="1922">
        <f t="shared" si="93"/>
        <v>0</v>
      </c>
      <c r="BT137" s="1922">
        <f t="shared" si="93"/>
        <v>0</v>
      </c>
      <c r="BU137" s="1922">
        <f t="shared" si="93"/>
        <v>0</v>
      </c>
      <c r="BV137" s="1922">
        <f t="shared" si="93"/>
        <v>0</v>
      </c>
      <c r="BW137" s="1924">
        <f t="shared" si="93"/>
        <v>0</v>
      </c>
      <c r="BX137" s="1926"/>
      <c r="BY137" s="1926"/>
      <c r="BZ137" s="1926"/>
      <c r="CA137" s="1926"/>
      <c r="CB137" s="1926"/>
      <c r="CC137" s="1926"/>
      <c r="CD137" s="1926"/>
      <c r="CE137" s="1926"/>
      <c r="CF137" s="1926"/>
      <c r="CG137" s="1926"/>
      <c r="CH137" s="1926"/>
      <c r="CI137" s="1926"/>
      <c r="CJ137" s="1926"/>
      <c r="CK137" s="1926"/>
      <c r="CL137" s="1926"/>
      <c r="CM137" s="1926"/>
      <c r="CN137" s="1926"/>
      <c r="CO137" s="1926"/>
      <c r="CP137" s="1926"/>
      <c r="CQ137" s="1926"/>
      <c r="CR137" s="1926"/>
      <c r="CS137" s="1926"/>
      <c r="CT137" s="1926"/>
      <c r="CU137" s="1926"/>
      <c r="CV137" s="1926"/>
      <c r="CW137" s="1926"/>
      <c r="CX137" s="1926"/>
      <c r="CY137" s="1926"/>
      <c r="CZ137" s="1926"/>
      <c r="DA137" s="1926"/>
      <c r="DB137" s="1926"/>
      <c r="DC137" s="1926"/>
      <c r="DD137" s="1926"/>
      <c r="DE137" s="1926"/>
      <c r="DF137" s="1926"/>
      <c r="DG137" s="1926"/>
      <c r="DH137" s="1926"/>
      <c r="DI137" s="1926"/>
      <c r="DJ137" s="1926"/>
      <c r="DK137" s="1926"/>
      <c r="DL137" s="1926"/>
      <c r="DM137" s="1926"/>
      <c r="DN137" s="1926"/>
      <c r="DO137" s="1926"/>
      <c r="DP137" s="1926"/>
      <c r="DQ137" s="1926"/>
      <c r="DR137" s="1926"/>
      <c r="DS137" s="1926"/>
      <c r="DT137" s="1926"/>
      <c r="DU137" s="1926"/>
      <c r="DV137" s="1926"/>
      <c r="DW137" s="1926"/>
      <c r="DX137" s="1926"/>
      <c r="DY137" s="1926"/>
      <c r="DZ137" s="1926"/>
      <c r="EA137" s="1926"/>
      <c r="EB137" s="1926"/>
      <c r="EC137" s="1926"/>
      <c r="ED137" s="1926"/>
      <c r="EE137" s="1926"/>
      <c r="EF137" s="1926"/>
      <c r="EG137" s="1926"/>
      <c r="EH137" s="1926"/>
      <c r="EI137" s="1926"/>
      <c r="EJ137" s="1926"/>
      <c r="EK137" s="1926"/>
      <c r="EL137" s="1926"/>
      <c r="EM137" s="1926"/>
      <c r="EN137" s="1926"/>
      <c r="EO137" s="1926"/>
      <c r="EP137" s="1926"/>
      <c r="EQ137" s="1926"/>
      <c r="ER137" s="1926"/>
      <c r="ES137" s="1926"/>
      <c r="ET137" s="1926"/>
      <c r="EU137" s="1926"/>
      <c r="EV137" s="1926"/>
      <c r="EW137" s="1926"/>
      <c r="EX137" s="1926"/>
      <c r="EY137" s="1926"/>
      <c r="EZ137" s="1926"/>
      <c r="FA137" s="1926"/>
      <c r="FB137" s="1926"/>
      <c r="FC137" s="1926"/>
      <c r="FD137" s="1926"/>
      <c r="FE137" s="1926"/>
      <c r="FF137" s="1926"/>
      <c r="FG137" s="1926"/>
      <c r="FH137" s="1926"/>
      <c r="FI137" s="1926"/>
      <c r="FJ137" s="1926"/>
      <c r="FK137" s="1926"/>
      <c r="FL137" s="1926"/>
      <c r="FM137" s="1926"/>
      <c r="FN137" s="1926"/>
      <c r="FO137" s="1926"/>
      <c r="FP137" s="1926"/>
      <c r="FQ137" s="1926"/>
      <c r="FR137" s="1926"/>
    </row>
    <row r="138" spans="2:174" s="37" customFormat="1" ht="14.25" hidden="1" customHeight="1">
      <c r="B138" s="1921" t="s">
        <v>571</v>
      </c>
      <c r="H138" s="53"/>
      <c r="M138" s="53"/>
      <c r="O138" s="1923">
        <v>0</v>
      </c>
      <c r="P138" s="1922">
        <f t="shared" ref="P138:AU138" si="94">IF($J9=P$137,1,IF(O138&gt;0,IF(O138&gt;=$L9*12,0,O138+1),0))</f>
        <v>1</v>
      </c>
      <c r="Q138" s="1922">
        <f t="shared" si="94"/>
        <v>1</v>
      </c>
      <c r="R138" s="1922">
        <f t="shared" si="94"/>
        <v>1</v>
      </c>
      <c r="S138" s="1922">
        <f t="shared" si="94"/>
        <v>1</v>
      </c>
      <c r="T138" s="1922">
        <f t="shared" si="94"/>
        <v>1</v>
      </c>
      <c r="U138" s="1922">
        <f t="shared" si="94"/>
        <v>1</v>
      </c>
      <c r="V138" s="1922">
        <f t="shared" si="94"/>
        <v>1</v>
      </c>
      <c r="W138" s="1922">
        <f t="shared" si="94"/>
        <v>1</v>
      </c>
      <c r="X138" s="1922">
        <f t="shared" si="94"/>
        <v>1</v>
      </c>
      <c r="Y138" s="1922">
        <f t="shared" si="94"/>
        <v>1</v>
      </c>
      <c r="Z138" s="1922">
        <f t="shared" si="94"/>
        <v>1</v>
      </c>
      <c r="AA138" s="1922">
        <f t="shared" si="94"/>
        <v>1</v>
      </c>
      <c r="AB138" s="1922">
        <f t="shared" si="94"/>
        <v>1</v>
      </c>
      <c r="AC138" s="1922">
        <f t="shared" si="94"/>
        <v>1</v>
      </c>
      <c r="AD138" s="1922">
        <f t="shared" si="94"/>
        <v>1</v>
      </c>
      <c r="AE138" s="1922">
        <f t="shared" si="94"/>
        <v>1</v>
      </c>
      <c r="AF138" s="1922">
        <f t="shared" si="94"/>
        <v>1</v>
      </c>
      <c r="AG138" s="1922">
        <f t="shared" si="94"/>
        <v>1</v>
      </c>
      <c r="AH138" s="1922">
        <f t="shared" si="94"/>
        <v>1</v>
      </c>
      <c r="AI138" s="1922">
        <f t="shared" si="94"/>
        <v>1</v>
      </c>
      <c r="AJ138" s="1922">
        <f t="shared" si="94"/>
        <v>1</v>
      </c>
      <c r="AK138" s="1922">
        <f t="shared" si="94"/>
        <v>1</v>
      </c>
      <c r="AL138" s="1922">
        <f t="shared" si="94"/>
        <v>1</v>
      </c>
      <c r="AM138" s="1922">
        <f t="shared" si="94"/>
        <v>1</v>
      </c>
      <c r="AN138" s="1955">
        <f t="shared" si="94"/>
        <v>1</v>
      </c>
      <c r="AO138" s="1922">
        <f t="shared" si="94"/>
        <v>1</v>
      </c>
      <c r="AP138" s="1922">
        <f t="shared" si="94"/>
        <v>1</v>
      </c>
      <c r="AQ138" s="1922">
        <f t="shared" si="94"/>
        <v>1</v>
      </c>
      <c r="AR138" s="1922">
        <f t="shared" si="94"/>
        <v>1</v>
      </c>
      <c r="AS138" s="1922">
        <f t="shared" si="94"/>
        <v>1</v>
      </c>
      <c r="AT138" s="1922">
        <f t="shared" si="94"/>
        <v>1</v>
      </c>
      <c r="AU138" s="1922">
        <f t="shared" si="94"/>
        <v>1</v>
      </c>
      <c r="AV138" s="1922">
        <f t="shared" ref="AV138:BW138" si="95">IF($J9=AV$137,1,IF(AU138&gt;0,IF(AU138&gt;=$L9*12,0,AU138+1),0))</f>
        <v>1</v>
      </c>
      <c r="AW138" s="1922">
        <f t="shared" si="95"/>
        <v>1</v>
      </c>
      <c r="AX138" s="1922">
        <f t="shared" si="95"/>
        <v>1</v>
      </c>
      <c r="AY138" s="1922">
        <f t="shared" si="95"/>
        <v>1</v>
      </c>
      <c r="AZ138" s="1922">
        <f t="shared" si="95"/>
        <v>1</v>
      </c>
      <c r="BA138" s="1922">
        <f t="shared" si="95"/>
        <v>1</v>
      </c>
      <c r="BB138" s="1922">
        <f t="shared" si="95"/>
        <v>1</v>
      </c>
      <c r="BC138" s="1922">
        <f t="shared" si="95"/>
        <v>1</v>
      </c>
      <c r="BD138" s="1922">
        <f t="shared" si="95"/>
        <v>1</v>
      </c>
      <c r="BE138" s="1922">
        <f t="shared" si="95"/>
        <v>1</v>
      </c>
      <c r="BF138" s="1922">
        <f t="shared" si="95"/>
        <v>1</v>
      </c>
      <c r="BG138" s="1922">
        <f t="shared" si="95"/>
        <v>1</v>
      </c>
      <c r="BH138" s="1922">
        <f t="shared" si="95"/>
        <v>1</v>
      </c>
      <c r="BI138" s="1922">
        <f t="shared" si="95"/>
        <v>1</v>
      </c>
      <c r="BJ138" s="1922">
        <f t="shared" si="95"/>
        <v>1</v>
      </c>
      <c r="BK138" s="1922">
        <f t="shared" si="95"/>
        <v>1</v>
      </c>
      <c r="BL138" s="1922">
        <f t="shared" si="95"/>
        <v>1</v>
      </c>
      <c r="BM138" s="1922">
        <f t="shared" si="95"/>
        <v>1</v>
      </c>
      <c r="BN138" s="1922">
        <f t="shared" si="95"/>
        <v>1</v>
      </c>
      <c r="BO138" s="1922">
        <f t="shared" si="95"/>
        <v>1</v>
      </c>
      <c r="BP138" s="1922">
        <f t="shared" si="95"/>
        <v>1</v>
      </c>
      <c r="BQ138" s="1922">
        <f t="shared" si="95"/>
        <v>1</v>
      </c>
      <c r="BR138" s="1922">
        <f t="shared" si="95"/>
        <v>1</v>
      </c>
      <c r="BS138" s="1922">
        <f t="shared" si="95"/>
        <v>1</v>
      </c>
      <c r="BT138" s="1922">
        <f t="shared" si="95"/>
        <v>1</v>
      </c>
      <c r="BU138" s="1922">
        <f t="shared" si="95"/>
        <v>1</v>
      </c>
      <c r="BV138" s="1922">
        <f t="shared" si="95"/>
        <v>1</v>
      </c>
      <c r="BW138" s="1924">
        <f t="shared" si="95"/>
        <v>1</v>
      </c>
      <c r="BX138" s="1926"/>
      <c r="BY138" s="1926"/>
      <c r="BZ138" s="1926"/>
      <c r="CA138" s="1926"/>
      <c r="CB138" s="1926"/>
      <c r="CC138" s="1926"/>
      <c r="CD138" s="1926"/>
      <c r="CE138" s="1926"/>
      <c r="CF138" s="1926"/>
      <c r="CG138" s="1926"/>
      <c r="CH138" s="1926"/>
      <c r="CI138" s="1926"/>
      <c r="CJ138" s="1926"/>
      <c r="CK138" s="1926"/>
      <c r="CL138" s="1926"/>
      <c r="CM138" s="1926"/>
      <c r="CN138" s="1926"/>
      <c r="CO138" s="1926"/>
      <c r="CP138" s="1926"/>
      <c r="CQ138" s="1926"/>
      <c r="CR138" s="1926"/>
      <c r="CS138" s="1926"/>
      <c r="CT138" s="1926"/>
      <c r="CU138" s="1926"/>
      <c r="CV138" s="1926"/>
      <c r="CW138" s="1926"/>
      <c r="CX138" s="1926"/>
      <c r="CY138" s="1926"/>
      <c r="CZ138" s="1926"/>
      <c r="DA138" s="1926"/>
      <c r="DB138" s="1926"/>
      <c r="DC138" s="1926"/>
      <c r="DD138" s="1926"/>
      <c r="DE138" s="1926"/>
      <c r="DF138" s="1926"/>
      <c r="DG138" s="1926"/>
      <c r="DH138" s="1926"/>
      <c r="DI138" s="1926"/>
      <c r="DJ138" s="1926"/>
      <c r="DK138" s="1926"/>
      <c r="DL138" s="1926"/>
      <c r="DM138" s="1926"/>
      <c r="DN138" s="1926"/>
      <c r="DO138" s="1926"/>
      <c r="DP138" s="1926"/>
      <c r="DQ138" s="1926"/>
      <c r="DR138" s="1926"/>
      <c r="DS138" s="1926"/>
      <c r="DT138" s="1926"/>
      <c r="DU138" s="1926"/>
      <c r="DV138" s="1926"/>
      <c r="DW138" s="1926"/>
      <c r="DX138" s="1926"/>
      <c r="DY138" s="1926"/>
      <c r="DZ138" s="1926"/>
      <c r="EA138" s="1926"/>
      <c r="EB138" s="1926"/>
      <c r="EC138" s="1926"/>
      <c r="ED138" s="1926"/>
      <c r="EE138" s="1926"/>
      <c r="EF138" s="1926"/>
      <c r="EG138" s="1926"/>
      <c r="EH138" s="1926"/>
      <c r="EI138" s="1926"/>
      <c r="EJ138" s="1926"/>
      <c r="EK138" s="1926"/>
      <c r="EL138" s="1926"/>
      <c r="EM138" s="1926"/>
      <c r="EN138" s="1926"/>
      <c r="EO138" s="1926"/>
      <c r="EP138" s="1926"/>
      <c r="EQ138" s="1926"/>
      <c r="ER138" s="1926"/>
      <c r="ES138" s="1926"/>
      <c r="ET138" s="1926"/>
      <c r="EU138" s="1926"/>
      <c r="EV138" s="1926"/>
      <c r="EW138" s="1926"/>
      <c r="EX138" s="1926"/>
      <c r="EY138" s="1926"/>
      <c r="EZ138" s="1926"/>
      <c r="FA138" s="1926"/>
      <c r="FB138" s="1926"/>
      <c r="FC138" s="1926"/>
      <c r="FD138" s="1926"/>
      <c r="FE138" s="1926"/>
      <c r="FF138" s="1926"/>
      <c r="FG138" s="1926"/>
      <c r="FH138" s="1926"/>
      <c r="FI138" s="1926"/>
      <c r="FJ138" s="1926"/>
      <c r="FK138" s="1926"/>
      <c r="FL138" s="1926"/>
      <c r="FM138" s="1926"/>
      <c r="FN138" s="1926"/>
      <c r="FO138" s="1926"/>
      <c r="FP138" s="1926"/>
      <c r="FQ138" s="1926"/>
      <c r="FR138" s="1926"/>
    </row>
    <row r="139" spans="2:174" s="37" customFormat="1" ht="14.25" hidden="1" customHeight="1">
      <c r="B139" s="37" t="s">
        <v>572</v>
      </c>
      <c r="H139" s="53"/>
      <c r="M139" s="53"/>
      <c r="O139" s="1923"/>
      <c r="P139" s="1922">
        <f t="shared" ref="P139:AU139" si="96">IF(P138&lt;&gt;0,IF($J9=0,0,$J9/($L9*12)),0)</f>
        <v>0</v>
      </c>
      <c r="Q139" s="1922">
        <f t="shared" si="96"/>
        <v>0</v>
      </c>
      <c r="R139" s="1922">
        <f t="shared" si="96"/>
        <v>0</v>
      </c>
      <c r="S139" s="1922">
        <f t="shared" si="96"/>
        <v>0</v>
      </c>
      <c r="T139" s="1922">
        <f t="shared" si="96"/>
        <v>0</v>
      </c>
      <c r="U139" s="1922">
        <f t="shared" si="96"/>
        <v>0</v>
      </c>
      <c r="V139" s="1922">
        <f t="shared" si="96"/>
        <v>0</v>
      </c>
      <c r="W139" s="1922">
        <f t="shared" si="96"/>
        <v>0</v>
      </c>
      <c r="X139" s="1922">
        <f t="shared" si="96"/>
        <v>0</v>
      </c>
      <c r="Y139" s="1922">
        <f t="shared" si="96"/>
        <v>0</v>
      </c>
      <c r="Z139" s="1922">
        <f t="shared" si="96"/>
        <v>0</v>
      </c>
      <c r="AA139" s="1922">
        <f t="shared" si="96"/>
        <v>0</v>
      </c>
      <c r="AB139" s="1922">
        <f t="shared" si="96"/>
        <v>0</v>
      </c>
      <c r="AC139" s="1922">
        <f t="shared" si="96"/>
        <v>0</v>
      </c>
      <c r="AD139" s="1922">
        <f t="shared" si="96"/>
        <v>0</v>
      </c>
      <c r="AE139" s="1922">
        <f t="shared" si="96"/>
        <v>0</v>
      </c>
      <c r="AF139" s="1922">
        <f t="shared" si="96"/>
        <v>0</v>
      </c>
      <c r="AG139" s="1922">
        <f t="shared" si="96"/>
        <v>0</v>
      </c>
      <c r="AH139" s="1922">
        <f t="shared" si="96"/>
        <v>0</v>
      </c>
      <c r="AI139" s="1922">
        <f t="shared" si="96"/>
        <v>0</v>
      </c>
      <c r="AJ139" s="1922">
        <f t="shared" si="96"/>
        <v>0</v>
      </c>
      <c r="AK139" s="1922">
        <f t="shared" si="96"/>
        <v>0</v>
      </c>
      <c r="AL139" s="1922">
        <f t="shared" si="96"/>
        <v>0</v>
      </c>
      <c r="AM139" s="1922">
        <f t="shared" si="96"/>
        <v>0</v>
      </c>
      <c r="AN139" s="1955">
        <f t="shared" si="96"/>
        <v>0</v>
      </c>
      <c r="AO139" s="1922">
        <f t="shared" si="96"/>
        <v>0</v>
      </c>
      <c r="AP139" s="1922">
        <f t="shared" si="96"/>
        <v>0</v>
      </c>
      <c r="AQ139" s="1922">
        <f t="shared" si="96"/>
        <v>0</v>
      </c>
      <c r="AR139" s="1922">
        <f t="shared" si="96"/>
        <v>0</v>
      </c>
      <c r="AS139" s="1922">
        <f t="shared" si="96"/>
        <v>0</v>
      </c>
      <c r="AT139" s="1922">
        <f t="shared" si="96"/>
        <v>0</v>
      </c>
      <c r="AU139" s="1922">
        <f t="shared" si="96"/>
        <v>0</v>
      </c>
      <c r="AV139" s="1922">
        <f t="shared" ref="AV139:BW139" si="97">IF(AV138&lt;&gt;0,IF($J9=0,0,$J9/($L9*12)),0)</f>
        <v>0</v>
      </c>
      <c r="AW139" s="1922">
        <f t="shared" si="97"/>
        <v>0</v>
      </c>
      <c r="AX139" s="1922">
        <f t="shared" si="97"/>
        <v>0</v>
      </c>
      <c r="AY139" s="1922">
        <f t="shared" si="97"/>
        <v>0</v>
      </c>
      <c r="AZ139" s="1922">
        <f t="shared" si="97"/>
        <v>0</v>
      </c>
      <c r="BA139" s="1922">
        <f t="shared" si="97"/>
        <v>0</v>
      </c>
      <c r="BB139" s="1922">
        <f t="shared" si="97"/>
        <v>0</v>
      </c>
      <c r="BC139" s="1922">
        <f t="shared" si="97"/>
        <v>0</v>
      </c>
      <c r="BD139" s="1922">
        <f t="shared" si="97"/>
        <v>0</v>
      </c>
      <c r="BE139" s="1922">
        <f t="shared" si="97"/>
        <v>0</v>
      </c>
      <c r="BF139" s="1922">
        <f t="shared" si="97"/>
        <v>0</v>
      </c>
      <c r="BG139" s="1922">
        <f t="shared" si="97"/>
        <v>0</v>
      </c>
      <c r="BH139" s="1922">
        <f t="shared" si="97"/>
        <v>0</v>
      </c>
      <c r="BI139" s="1922">
        <f t="shared" si="97"/>
        <v>0</v>
      </c>
      <c r="BJ139" s="1922">
        <f t="shared" si="97"/>
        <v>0</v>
      </c>
      <c r="BK139" s="1922">
        <f t="shared" si="97"/>
        <v>0</v>
      </c>
      <c r="BL139" s="1922">
        <f t="shared" si="97"/>
        <v>0</v>
      </c>
      <c r="BM139" s="1922">
        <f t="shared" si="97"/>
        <v>0</v>
      </c>
      <c r="BN139" s="1922">
        <f t="shared" si="97"/>
        <v>0</v>
      </c>
      <c r="BO139" s="1922">
        <f t="shared" si="97"/>
        <v>0</v>
      </c>
      <c r="BP139" s="1922">
        <f t="shared" si="97"/>
        <v>0</v>
      </c>
      <c r="BQ139" s="1922">
        <f t="shared" si="97"/>
        <v>0</v>
      </c>
      <c r="BR139" s="1922">
        <f t="shared" si="97"/>
        <v>0</v>
      </c>
      <c r="BS139" s="1922">
        <f t="shared" si="97"/>
        <v>0</v>
      </c>
      <c r="BT139" s="1922">
        <f t="shared" si="97"/>
        <v>0</v>
      </c>
      <c r="BU139" s="1922">
        <f t="shared" si="97"/>
        <v>0</v>
      </c>
      <c r="BV139" s="1922">
        <f t="shared" si="97"/>
        <v>0</v>
      </c>
      <c r="BW139" s="1924">
        <f t="shared" si="97"/>
        <v>0</v>
      </c>
      <c r="BX139" s="1926"/>
      <c r="BY139" s="1926"/>
      <c r="BZ139" s="1926"/>
      <c r="CA139" s="1926"/>
      <c r="CB139" s="1926"/>
      <c r="CC139" s="1926"/>
      <c r="CD139" s="1926"/>
      <c r="CE139" s="1926"/>
      <c r="CF139" s="1926"/>
      <c r="CG139" s="1926"/>
      <c r="CH139" s="1926"/>
      <c r="CI139" s="1926"/>
      <c r="CJ139" s="1926"/>
      <c r="CK139" s="1926"/>
      <c r="CL139" s="1926"/>
      <c r="CM139" s="1926"/>
      <c r="CN139" s="1926"/>
      <c r="CO139" s="1926"/>
      <c r="CP139" s="1926"/>
      <c r="CQ139" s="1926"/>
      <c r="CR139" s="1926"/>
      <c r="CS139" s="1926"/>
      <c r="CT139" s="1926"/>
      <c r="CU139" s="1926"/>
      <c r="CV139" s="1926"/>
      <c r="CW139" s="1926"/>
      <c r="CX139" s="1926"/>
      <c r="CY139" s="1926"/>
      <c r="CZ139" s="1926"/>
      <c r="DA139" s="1926"/>
      <c r="DB139" s="1926"/>
      <c r="DC139" s="1926"/>
      <c r="DD139" s="1926"/>
      <c r="DE139" s="1926"/>
      <c r="DF139" s="1926"/>
      <c r="DG139" s="1926"/>
      <c r="DH139" s="1926"/>
      <c r="DI139" s="1926"/>
      <c r="DJ139" s="1926"/>
      <c r="DK139" s="1926"/>
      <c r="DL139" s="1926"/>
      <c r="DM139" s="1926"/>
      <c r="DN139" s="1926"/>
      <c r="DO139" s="1926"/>
      <c r="DP139" s="1926"/>
      <c r="DQ139" s="1926"/>
      <c r="DR139" s="1926"/>
      <c r="DS139" s="1926"/>
      <c r="DT139" s="1926"/>
      <c r="DU139" s="1926"/>
      <c r="DV139" s="1926"/>
      <c r="DW139" s="1926"/>
      <c r="DX139" s="1926"/>
      <c r="DY139" s="1926"/>
      <c r="DZ139" s="1926"/>
      <c r="EA139" s="1926"/>
      <c r="EB139" s="1926"/>
      <c r="EC139" s="1926"/>
      <c r="ED139" s="1926"/>
      <c r="EE139" s="1926"/>
      <c r="EF139" s="1926"/>
      <c r="EG139" s="1926"/>
      <c r="EH139" s="1926"/>
      <c r="EI139" s="1926"/>
      <c r="EJ139" s="1926"/>
      <c r="EK139" s="1926"/>
      <c r="EL139" s="1926"/>
      <c r="EM139" s="1926"/>
      <c r="EN139" s="1926"/>
      <c r="EO139" s="1926"/>
      <c r="EP139" s="1926"/>
      <c r="EQ139" s="1926"/>
      <c r="ER139" s="1926"/>
      <c r="ES139" s="1926"/>
      <c r="ET139" s="1926"/>
      <c r="EU139" s="1926"/>
      <c r="EV139" s="1926"/>
      <c r="EW139" s="1926"/>
      <c r="EX139" s="1926"/>
      <c r="EY139" s="1926"/>
      <c r="EZ139" s="1926"/>
      <c r="FA139" s="1926"/>
      <c r="FB139" s="1926"/>
      <c r="FC139" s="1926"/>
      <c r="FD139" s="1926"/>
      <c r="FE139" s="1926"/>
      <c r="FF139" s="1926"/>
      <c r="FG139" s="1926"/>
      <c r="FH139" s="1926"/>
      <c r="FI139" s="1926"/>
      <c r="FJ139" s="1926"/>
      <c r="FK139" s="1926"/>
      <c r="FL139" s="1926"/>
      <c r="FM139" s="1926"/>
      <c r="FN139" s="1926"/>
      <c r="FO139" s="1926"/>
      <c r="FP139" s="1926"/>
      <c r="FQ139" s="1926"/>
      <c r="FR139" s="1926"/>
    </row>
    <row r="140" spans="2:174" s="37" customFormat="1" ht="15" hidden="1" customHeight="1">
      <c r="B140" s="37" t="s">
        <v>573</v>
      </c>
      <c r="H140" s="53"/>
      <c r="M140" s="53"/>
      <c r="O140" s="1923"/>
      <c r="P140" s="1922">
        <f t="shared" ref="P140:AU140" si="98">IF($K10=P$124,$J10,0)</f>
        <v>0</v>
      </c>
      <c r="Q140" s="1922">
        <f t="shared" si="98"/>
        <v>0</v>
      </c>
      <c r="R140" s="1922">
        <f t="shared" si="98"/>
        <v>0</v>
      </c>
      <c r="S140" s="1922">
        <f t="shared" si="98"/>
        <v>0</v>
      </c>
      <c r="T140" s="1922">
        <f t="shared" si="98"/>
        <v>0</v>
      </c>
      <c r="U140" s="1922">
        <f t="shared" si="98"/>
        <v>0</v>
      </c>
      <c r="V140" s="1922">
        <f t="shared" si="98"/>
        <v>0</v>
      </c>
      <c r="W140" s="1922">
        <f t="shared" si="98"/>
        <v>0</v>
      </c>
      <c r="X140" s="1922">
        <f t="shared" si="98"/>
        <v>0</v>
      </c>
      <c r="Y140" s="1922">
        <f t="shared" si="98"/>
        <v>0</v>
      </c>
      <c r="Z140" s="1922">
        <f t="shared" si="98"/>
        <v>0</v>
      </c>
      <c r="AA140" s="1922">
        <f t="shared" si="98"/>
        <v>0</v>
      </c>
      <c r="AB140" s="1922">
        <f t="shared" si="98"/>
        <v>0</v>
      </c>
      <c r="AC140" s="1922">
        <f t="shared" si="98"/>
        <v>0</v>
      </c>
      <c r="AD140" s="1922">
        <f t="shared" si="98"/>
        <v>0</v>
      </c>
      <c r="AE140" s="1922">
        <f t="shared" si="98"/>
        <v>0</v>
      </c>
      <c r="AF140" s="1922">
        <f t="shared" si="98"/>
        <v>0</v>
      </c>
      <c r="AG140" s="1922">
        <f t="shared" si="98"/>
        <v>0</v>
      </c>
      <c r="AH140" s="1922">
        <f t="shared" si="98"/>
        <v>0</v>
      </c>
      <c r="AI140" s="1922">
        <f t="shared" si="98"/>
        <v>0</v>
      </c>
      <c r="AJ140" s="1922">
        <f t="shared" si="98"/>
        <v>0</v>
      </c>
      <c r="AK140" s="1922">
        <f t="shared" si="98"/>
        <v>0</v>
      </c>
      <c r="AL140" s="1922">
        <f t="shared" si="98"/>
        <v>0</v>
      </c>
      <c r="AM140" s="1922">
        <f t="shared" si="98"/>
        <v>0</v>
      </c>
      <c r="AN140" s="1955">
        <f t="shared" si="98"/>
        <v>0</v>
      </c>
      <c r="AO140" s="1922">
        <f t="shared" si="98"/>
        <v>0</v>
      </c>
      <c r="AP140" s="1922">
        <f t="shared" si="98"/>
        <v>0</v>
      </c>
      <c r="AQ140" s="1922">
        <f t="shared" si="98"/>
        <v>0</v>
      </c>
      <c r="AR140" s="1922">
        <f t="shared" si="98"/>
        <v>0</v>
      </c>
      <c r="AS140" s="1922">
        <f t="shared" si="98"/>
        <v>0</v>
      </c>
      <c r="AT140" s="1922">
        <f t="shared" si="98"/>
        <v>0</v>
      </c>
      <c r="AU140" s="1922">
        <f t="shared" si="98"/>
        <v>0</v>
      </c>
      <c r="AV140" s="1922">
        <f t="shared" ref="AV140:BW140" si="99">IF($K10=AV$124,$J10,0)</f>
        <v>0</v>
      </c>
      <c r="AW140" s="1922">
        <f t="shared" si="99"/>
        <v>0</v>
      </c>
      <c r="AX140" s="1922">
        <f t="shared" si="99"/>
        <v>0</v>
      </c>
      <c r="AY140" s="1922">
        <f t="shared" si="99"/>
        <v>0</v>
      </c>
      <c r="AZ140" s="1922">
        <f t="shared" si="99"/>
        <v>0</v>
      </c>
      <c r="BA140" s="1922">
        <f t="shared" si="99"/>
        <v>0</v>
      </c>
      <c r="BB140" s="1922">
        <f t="shared" si="99"/>
        <v>0</v>
      </c>
      <c r="BC140" s="1922">
        <f t="shared" si="99"/>
        <v>0</v>
      </c>
      <c r="BD140" s="1922">
        <f t="shared" si="99"/>
        <v>0</v>
      </c>
      <c r="BE140" s="1922">
        <f t="shared" si="99"/>
        <v>0</v>
      </c>
      <c r="BF140" s="1922">
        <f t="shared" si="99"/>
        <v>0</v>
      </c>
      <c r="BG140" s="1922">
        <f t="shared" si="99"/>
        <v>0</v>
      </c>
      <c r="BH140" s="1922">
        <f t="shared" si="99"/>
        <v>0</v>
      </c>
      <c r="BI140" s="1922">
        <f t="shared" si="99"/>
        <v>0</v>
      </c>
      <c r="BJ140" s="1922">
        <f t="shared" si="99"/>
        <v>0</v>
      </c>
      <c r="BK140" s="1922">
        <f t="shared" si="99"/>
        <v>0</v>
      </c>
      <c r="BL140" s="1922">
        <f t="shared" si="99"/>
        <v>0</v>
      </c>
      <c r="BM140" s="1922">
        <f t="shared" si="99"/>
        <v>0</v>
      </c>
      <c r="BN140" s="1922">
        <f t="shared" si="99"/>
        <v>0</v>
      </c>
      <c r="BO140" s="1922">
        <f t="shared" si="99"/>
        <v>0</v>
      </c>
      <c r="BP140" s="1922">
        <f t="shared" si="99"/>
        <v>0</v>
      </c>
      <c r="BQ140" s="1922">
        <f t="shared" si="99"/>
        <v>0</v>
      </c>
      <c r="BR140" s="1922">
        <f t="shared" si="99"/>
        <v>0</v>
      </c>
      <c r="BS140" s="1922">
        <f t="shared" si="99"/>
        <v>0</v>
      </c>
      <c r="BT140" s="1922">
        <f t="shared" si="99"/>
        <v>0</v>
      </c>
      <c r="BU140" s="1922">
        <f t="shared" si="99"/>
        <v>0</v>
      </c>
      <c r="BV140" s="1922">
        <f t="shared" si="99"/>
        <v>0</v>
      </c>
      <c r="BW140" s="1924">
        <f t="shared" si="99"/>
        <v>0</v>
      </c>
      <c r="BX140" s="1926"/>
      <c r="BY140" s="1926"/>
      <c r="BZ140" s="1926"/>
      <c r="CA140" s="1926"/>
      <c r="CB140" s="1926"/>
      <c r="CC140" s="1926"/>
      <c r="CD140" s="1926"/>
      <c r="CE140" s="1926"/>
      <c r="CF140" s="1926"/>
      <c r="CG140" s="1926"/>
      <c r="CH140" s="1926"/>
      <c r="CI140" s="1926"/>
      <c r="CJ140" s="1926"/>
      <c r="CK140" s="1926"/>
      <c r="CL140" s="1926"/>
      <c r="CM140" s="1926"/>
      <c r="CN140" s="1926"/>
      <c r="CO140" s="1926"/>
      <c r="CP140" s="1926"/>
      <c r="CQ140" s="1926"/>
      <c r="CR140" s="1926"/>
      <c r="CS140" s="1926"/>
      <c r="CT140" s="1926"/>
      <c r="CU140" s="1926"/>
      <c r="CV140" s="1926"/>
      <c r="CW140" s="1926"/>
      <c r="CX140" s="1926"/>
      <c r="CY140" s="1926"/>
      <c r="CZ140" s="1926"/>
      <c r="DA140" s="1926"/>
      <c r="DB140" s="1926"/>
      <c r="DC140" s="1926"/>
      <c r="DD140" s="1926"/>
      <c r="DE140" s="1926"/>
      <c r="DF140" s="1926"/>
      <c r="DG140" s="1926"/>
      <c r="DH140" s="1926"/>
      <c r="DI140" s="1926"/>
      <c r="DJ140" s="1926"/>
      <c r="DK140" s="1926"/>
      <c r="DL140" s="1926"/>
      <c r="DM140" s="1926"/>
      <c r="DN140" s="1926"/>
      <c r="DO140" s="1926"/>
      <c r="DP140" s="1926"/>
      <c r="DQ140" s="1926"/>
      <c r="DR140" s="1926"/>
      <c r="DS140" s="1926"/>
      <c r="DT140" s="1926"/>
      <c r="DU140" s="1926"/>
      <c r="DV140" s="1926"/>
      <c r="DW140" s="1926"/>
      <c r="DX140" s="1926"/>
      <c r="DY140" s="1926"/>
      <c r="DZ140" s="1926"/>
      <c r="EA140" s="1926"/>
      <c r="EB140" s="1926"/>
      <c r="EC140" s="1926"/>
      <c r="ED140" s="1926"/>
      <c r="EE140" s="1926"/>
      <c r="EF140" s="1926"/>
      <c r="EG140" s="1926"/>
      <c r="EH140" s="1926"/>
      <c r="EI140" s="1926"/>
      <c r="EJ140" s="1926"/>
      <c r="EK140" s="1926"/>
      <c r="EL140" s="1926"/>
      <c r="EM140" s="1926"/>
      <c r="EN140" s="1926"/>
      <c r="EO140" s="1926"/>
      <c r="EP140" s="1926"/>
      <c r="EQ140" s="1926"/>
      <c r="ER140" s="1926"/>
      <c r="ES140" s="1926"/>
      <c r="ET140" s="1926"/>
      <c r="EU140" s="1926"/>
      <c r="EV140" s="1926"/>
      <c r="EW140" s="1926"/>
      <c r="EX140" s="1926"/>
      <c r="EY140" s="1926"/>
      <c r="EZ140" s="1926"/>
      <c r="FA140" s="1926"/>
      <c r="FB140" s="1926"/>
      <c r="FC140" s="1926"/>
      <c r="FD140" s="1926"/>
      <c r="FE140" s="1926"/>
      <c r="FF140" s="1926"/>
      <c r="FG140" s="1926"/>
      <c r="FH140" s="1926"/>
      <c r="FI140" s="1926"/>
      <c r="FJ140" s="1926"/>
      <c r="FK140" s="1926"/>
      <c r="FL140" s="1926"/>
      <c r="FM140" s="1926"/>
      <c r="FN140" s="1926"/>
      <c r="FO140" s="1926"/>
      <c r="FP140" s="1926"/>
      <c r="FQ140" s="1926"/>
      <c r="FR140" s="1926"/>
    </row>
    <row r="141" spans="2:174" s="37" customFormat="1" ht="14.25" hidden="1" customHeight="1">
      <c r="B141" s="1921" t="s">
        <v>571</v>
      </c>
      <c r="H141" s="53"/>
      <c r="M141" s="53"/>
      <c r="O141" s="1923">
        <v>0</v>
      </c>
      <c r="P141" s="1922">
        <f t="shared" ref="P141:AU141" si="100">IF($K10=P$124,1,IF(O141&gt;0,IF(O141&gt;=$L10*12,0, O141+1),0))</f>
        <v>1</v>
      </c>
      <c r="Q141" s="1922">
        <f t="shared" si="100"/>
        <v>2</v>
      </c>
      <c r="R141" s="1922">
        <f t="shared" si="100"/>
        <v>3</v>
      </c>
      <c r="S141" s="1922">
        <f t="shared" si="100"/>
        <v>4</v>
      </c>
      <c r="T141" s="1922">
        <f t="shared" si="100"/>
        <v>5</v>
      </c>
      <c r="U141" s="1922">
        <f t="shared" si="100"/>
        <v>6</v>
      </c>
      <c r="V141" s="1922">
        <f t="shared" si="100"/>
        <v>7</v>
      </c>
      <c r="W141" s="1922">
        <f t="shared" si="100"/>
        <v>8</v>
      </c>
      <c r="X141" s="1922">
        <f t="shared" si="100"/>
        <v>9</v>
      </c>
      <c r="Y141" s="1922">
        <f t="shared" si="100"/>
        <v>10</v>
      </c>
      <c r="Z141" s="1922">
        <f t="shared" si="100"/>
        <v>11</v>
      </c>
      <c r="AA141" s="1922">
        <f t="shared" si="100"/>
        <v>12</v>
      </c>
      <c r="AB141" s="1922">
        <f t="shared" si="100"/>
        <v>13</v>
      </c>
      <c r="AC141" s="1922">
        <f t="shared" si="100"/>
        <v>14</v>
      </c>
      <c r="AD141" s="1922">
        <f t="shared" si="100"/>
        <v>15</v>
      </c>
      <c r="AE141" s="1922">
        <f t="shared" si="100"/>
        <v>16</v>
      </c>
      <c r="AF141" s="1922">
        <f t="shared" si="100"/>
        <v>17</v>
      </c>
      <c r="AG141" s="1922">
        <f t="shared" si="100"/>
        <v>18</v>
      </c>
      <c r="AH141" s="1922">
        <f t="shared" si="100"/>
        <v>19</v>
      </c>
      <c r="AI141" s="1922">
        <f t="shared" si="100"/>
        <v>20</v>
      </c>
      <c r="AJ141" s="1922">
        <f t="shared" si="100"/>
        <v>21</v>
      </c>
      <c r="AK141" s="1922">
        <f t="shared" si="100"/>
        <v>22</v>
      </c>
      <c r="AL141" s="1922">
        <f t="shared" si="100"/>
        <v>23</v>
      </c>
      <c r="AM141" s="1922">
        <f t="shared" si="100"/>
        <v>24</v>
      </c>
      <c r="AN141" s="1955">
        <f t="shared" si="100"/>
        <v>25</v>
      </c>
      <c r="AO141" s="1922">
        <f t="shared" si="100"/>
        <v>26</v>
      </c>
      <c r="AP141" s="1922">
        <f t="shared" si="100"/>
        <v>27</v>
      </c>
      <c r="AQ141" s="1922">
        <f t="shared" si="100"/>
        <v>28</v>
      </c>
      <c r="AR141" s="1922">
        <f t="shared" si="100"/>
        <v>29</v>
      </c>
      <c r="AS141" s="1922">
        <f t="shared" si="100"/>
        <v>30</v>
      </c>
      <c r="AT141" s="1922">
        <f t="shared" si="100"/>
        <v>31</v>
      </c>
      <c r="AU141" s="1922">
        <f t="shared" si="100"/>
        <v>32</v>
      </c>
      <c r="AV141" s="1922">
        <f t="shared" ref="AV141:BW141" si="101">IF($K10=AV$124,1,IF(AU141&gt;0,IF(AU141&gt;=$L10*12,0, AU141+1),0))</f>
        <v>33</v>
      </c>
      <c r="AW141" s="1922">
        <f t="shared" si="101"/>
        <v>34</v>
      </c>
      <c r="AX141" s="1922">
        <f t="shared" si="101"/>
        <v>35</v>
      </c>
      <c r="AY141" s="1922">
        <f t="shared" si="101"/>
        <v>36</v>
      </c>
      <c r="AZ141" s="1922">
        <f t="shared" si="101"/>
        <v>37</v>
      </c>
      <c r="BA141" s="1922">
        <f t="shared" si="101"/>
        <v>38</v>
      </c>
      <c r="BB141" s="1922">
        <f t="shared" si="101"/>
        <v>39</v>
      </c>
      <c r="BC141" s="1922">
        <f t="shared" si="101"/>
        <v>40</v>
      </c>
      <c r="BD141" s="1922">
        <f t="shared" si="101"/>
        <v>41</v>
      </c>
      <c r="BE141" s="1922">
        <f t="shared" si="101"/>
        <v>42</v>
      </c>
      <c r="BF141" s="1922">
        <f t="shared" si="101"/>
        <v>43</v>
      </c>
      <c r="BG141" s="1922">
        <f t="shared" si="101"/>
        <v>44</v>
      </c>
      <c r="BH141" s="1922">
        <f t="shared" si="101"/>
        <v>45</v>
      </c>
      <c r="BI141" s="1922">
        <f t="shared" si="101"/>
        <v>46</v>
      </c>
      <c r="BJ141" s="1922">
        <f t="shared" si="101"/>
        <v>47</v>
      </c>
      <c r="BK141" s="1922">
        <f t="shared" si="101"/>
        <v>48</v>
      </c>
      <c r="BL141" s="1922">
        <f t="shared" si="101"/>
        <v>49</v>
      </c>
      <c r="BM141" s="1922">
        <f t="shared" si="101"/>
        <v>50</v>
      </c>
      <c r="BN141" s="1922">
        <f t="shared" si="101"/>
        <v>51</v>
      </c>
      <c r="BO141" s="1922">
        <f t="shared" si="101"/>
        <v>52</v>
      </c>
      <c r="BP141" s="1922">
        <f t="shared" si="101"/>
        <v>53</v>
      </c>
      <c r="BQ141" s="1922">
        <f t="shared" si="101"/>
        <v>54</v>
      </c>
      <c r="BR141" s="1922">
        <f t="shared" si="101"/>
        <v>55</v>
      </c>
      <c r="BS141" s="1922">
        <f t="shared" si="101"/>
        <v>56</v>
      </c>
      <c r="BT141" s="1922">
        <f t="shared" si="101"/>
        <v>57</v>
      </c>
      <c r="BU141" s="1922">
        <f t="shared" si="101"/>
        <v>58</v>
      </c>
      <c r="BV141" s="1922">
        <f t="shared" si="101"/>
        <v>59</v>
      </c>
      <c r="BW141" s="1924">
        <f t="shared" si="101"/>
        <v>60</v>
      </c>
      <c r="BX141" s="1926"/>
      <c r="BY141" s="1926"/>
      <c r="BZ141" s="1926"/>
      <c r="CA141" s="1926"/>
      <c r="CB141" s="1926"/>
      <c r="CC141" s="1926"/>
      <c r="CD141" s="1926"/>
      <c r="CE141" s="1926"/>
      <c r="CF141" s="1926"/>
      <c r="CG141" s="1926"/>
      <c r="CH141" s="1926"/>
      <c r="CI141" s="1926"/>
      <c r="CJ141" s="1926"/>
      <c r="CK141" s="1926"/>
      <c r="CL141" s="1926"/>
      <c r="CM141" s="1926"/>
      <c r="CN141" s="1926"/>
      <c r="CO141" s="1926"/>
      <c r="CP141" s="1926"/>
      <c r="CQ141" s="1926"/>
      <c r="CR141" s="1926"/>
      <c r="CS141" s="1926"/>
      <c r="CT141" s="1926"/>
      <c r="CU141" s="1926"/>
      <c r="CV141" s="1926"/>
      <c r="CW141" s="1926"/>
      <c r="CX141" s="1926"/>
      <c r="CY141" s="1926"/>
      <c r="CZ141" s="1926"/>
      <c r="DA141" s="1926"/>
      <c r="DB141" s="1926"/>
      <c r="DC141" s="1926"/>
      <c r="DD141" s="1926"/>
      <c r="DE141" s="1926"/>
      <c r="DF141" s="1926"/>
      <c r="DG141" s="1926"/>
      <c r="DH141" s="1926"/>
      <c r="DI141" s="1926"/>
      <c r="DJ141" s="1926"/>
      <c r="DK141" s="1926"/>
      <c r="DL141" s="1926"/>
      <c r="DM141" s="1926"/>
      <c r="DN141" s="1926"/>
      <c r="DO141" s="1926"/>
      <c r="DP141" s="1926"/>
      <c r="DQ141" s="1926"/>
      <c r="DR141" s="1926"/>
      <c r="DS141" s="1926"/>
      <c r="DT141" s="1926"/>
      <c r="DU141" s="1926"/>
      <c r="DV141" s="1926"/>
      <c r="DW141" s="1926"/>
      <c r="DX141" s="1926"/>
      <c r="DY141" s="1926"/>
      <c r="DZ141" s="1926"/>
      <c r="EA141" s="1926"/>
      <c r="EB141" s="1926"/>
      <c r="EC141" s="1926"/>
      <c r="ED141" s="1926"/>
      <c r="EE141" s="1926"/>
      <c r="EF141" s="1926"/>
      <c r="EG141" s="1926"/>
      <c r="EH141" s="1926"/>
      <c r="EI141" s="1926"/>
      <c r="EJ141" s="1926"/>
      <c r="EK141" s="1926"/>
      <c r="EL141" s="1926"/>
      <c r="EM141" s="1926"/>
      <c r="EN141" s="1926"/>
      <c r="EO141" s="1926"/>
      <c r="EP141" s="1926"/>
      <c r="EQ141" s="1926"/>
      <c r="ER141" s="1926"/>
      <c r="ES141" s="1926"/>
      <c r="ET141" s="1926"/>
      <c r="EU141" s="1926"/>
      <c r="EV141" s="1926"/>
      <c r="EW141" s="1926"/>
      <c r="EX141" s="1926"/>
      <c r="EY141" s="1926"/>
      <c r="EZ141" s="1926"/>
      <c r="FA141" s="1926"/>
      <c r="FB141" s="1926"/>
      <c r="FC141" s="1926"/>
      <c r="FD141" s="1926"/>
      <c r="FE141" s="1926"/>
      <c r="FF141" s="1926"/>
      <c r="FG141" s="1926"/>
      <c r="FH141" s="1926"/>
      <c r="FI141" s="1926"/>
      <c r="FJ141" s="1926"/>
      <c r="FK141" s="1926"/>
      <c r="FL141" s="1926"/>
      <c r="FM141" s="1926"/>
      <c r="FN141" s="1926"/>
      <c r="FO141" s="1926"/>
      <c r="FP141" s="1926"/>
      <c r="FQ141" s="1926"/>
      <c r="FR141" s="1926"/>
    </row>
    <row r="142" spans="2:174" s="37" customFormat="1" ht="14.25" hidden="1" customHeight="1">
      <c r="B142" s="37" t="s">
        <v>572</v>
      </c>
      <c r="O142" s="1923">
        <v>0</v>
      </c>
      <c r="P142" s="1922">
        <f t="shared" ref="P142:AU142" si="102">IF(P141&lt;&gt;0,IF($J10=0,0,$J10/($L10*12)),0)</f>
        <v>0</v>
      </c>
      <c r="Q142" s="1922">
        <f t="shared" si="102"/>
        <v>0</v>
      </c>
      <c r="R142" s="1922">
        <f t="shared" si="102"/>
        <v>0</v>
      </c>
      <c r="S142" s="1922">
        <f t="shared" si="102"/>
        <v>0</v>
      </c>
      <c r="T142" s="1922">
        <f t="shared" si="102"/>
        <v>0</v>
      </c>
      <c r="U142" s="1922">
        <f t="shared" si="102"/>
        <v>0</v>
      </c>
      <c r="V142" s="1922">
        <f t="shared" si="102"/>
        <v>0</v>
      </c>
      <c r="W142" s="1922">
        <f t="shared" si="102"/>
        <v>0</v>
      </c>
      <c r="X142" s="1922">
        <f t="shared" si="102"/>
        <v>0</v>
      </c>
      <c r="Y142" s="1922">
        <f t="shared" si="102"/>
        <v>0</v>
      </c>
      <c r="Z142" s="1922">
        <f t="shared" si="102"/>
        <v>0</v>
      </c>
      <c r="AA142" s="1922">
        <f t="shared" si="102"/>
        <v>0</v>
      </c>
      <c r="AB142" s="1922">
        <f t="shared" si="102"/>
        <v>0</v>
      </c>
      <c r="AC142" s="1922">
        <f t="shared" si="102"/>
        <v>0</v>
      </c>
      <c r="AD142" s="1922">
        <f t="shared" si="102"/>
        <v>0</v>
      </c>
      <c r="AE142" s="1922">
        <f t="shared" si="102"/>
        <v>0</v>
      </c>
      <c r="AF142" s="1922">
        <f t="shared" si="102"/>
        <v>0</v>
      </c>
      <c r="AG142" s="1922">
        <f t="shared" si="102"/>
        <v>0</v>
      </c>
      <c r="AH142" s="1922">
        <f t="shared" si="102"/>
        <v>0</v>
      </c>
      <c r="AI142" s="1922">
        <f t="shared" si="102"/>
        <v>0</v>
      </c>
      <c r="AJ142" s="1922">
        <f t="shared" si="102"/>
        <v>0</v>
      </c>
      <c r="AK142" s="1922">
        <f t="shared" si="102"/>
        <v>0</v>
      </c>
      <c r="AL142" s="1922">
        <f t="shared" si="102"/>
        <v>0</v>
      </c>
      <c r="AM142" s="1922">
        <f t="shared" si="102"/>
        <v>0</v>
      </c>
      <c r="AN142" s="1955">
        <f t="shared" si="102"/>
        <v>0</v>
      </c>
      <c r="AO142" s="1922">
        <f t="shared" si="102"/>
        <v>0</v>
      </c>
      <c r="AP142" s="1922">
        <f t="shared" si="102"/>
        <v>0</v>
      </c>
      <c r="AQ142" s="1922">
        <f t="shared" si="102"/>
        <v>0</v>
      </c>
      <c r="AR142" s="1922">
        <f t="shared" si="102"/>
        <v>0</v>
      </c>
      <c r="AS142" s="1922">
        <f t="shared" si="102"/>
        <v>0</v>
      </c>
      <c r="AT142" s="1922">
        <f t="shared" si="102"/>
        <v>0</v>
      </c>
      <c r="AU142" s="1922">
        <f t="shared" si="102"/>
        <v>0</v>
      </c>
      <c r="AV142" s="1922">
        <f t="shared" ref="AV142:BW142" si="103">IF(AV141&lt;&gt;0,IF($J10=0,0,$J10/($L10*12)),0)</f>
        <v>0</v>
      </c>
      <c r="AW142" s="1922">
        <f t="shared" si="103"/>
        <v>0</v>
      </c>
      <c r="AX142" s="1922">
        <f t="shared" si="103"/>
        <v>0</v>
      </c>
      <c r="AY142" s="1922">
        <f t="shared" si="103"/>
        <v>0</v>
      </c>
      <c r="AZ142" s="1922">
        <f t="shared" si="103"/>
        <v>0</v>
      </c>
      <c r="BA142" s="1922">
        <f t="shared" si="103"/>
        <v>0</v>
      </c>
      <c r="BB142" s="1922">
        <f t="shared" si="103"/>
        <v>0</v>
      </c>
      <c r="BC142" s="1922">
        <f t="shared" si="103"/>
        <v>0</v>
      </c>
      <c r="BD142" s="1922">
        <f t="shared" si="103"/>
        <v>0</v>
      </c>
      <c r="BE142" s="1922">
        <f t="shared" si="103"/>
        <v>0</v>
      </c>
      <c r="BF142" s="1922">
        <f t="shared" si="103"/>
        <v>0</v>
      </c>
      <c r="BG142" s="1922">
        <f t="shared" si="103"/>
        <v>0</v>
      </c>
      <c r="BH142" s="1922">
        <f t="shared" si="103"/>
        <v>0</v>
      </c>
      <c r="BI142" s="1922">
        <f t="shared" si="103"/>
        <v>0</v>
      </c>
      <c r="BJ142" s="1922">
        <f t="shared" si="103"/>
        <v>0</v>
      </c>
      <c r="BK142" s="1922">
        <f t="shared" si="103"/>
        <v>0</v>
      </c>
      <c r="BL142" s="1922">
        <f t="shared" si="103"/>
        <v>0</v>
      </c>
      <c r="BM142" s="1922">
        <f t="shared" si="103"/>
        <v>0</v>
      </c>
      <c r="BN142" s="1922">
        <f t="shared" si="103"/>
        <v>0</v>
      </c>
      <c r="BO142" s="1922">
        <f t="shared" si="103"/>
        <v>0</v>
      </c>
      <c r="BP142" s="1922">
        <f t="shared" si="103"/>
        <v>0</v>
      </c>
      <c r="BQ142" s="1922">
        <f t="shared" si="103"/>
        <v>0</v>
      </c>
      <c r="BR142" s="1922">
        <f t="shared" si="103"/>
        <v>0</v>
      </c>
      <c r="BS142" s="1922">
        <f t="shared" si="103"/>
        <v>0</v>
      </c>
      <c r="BT142" s="1922">
        <f t="shared" si="103"/>
        <v>0</v>
      </c>
      <c r="BU142" s="1922">
        <f t="shared" si="103"/>
        <v>0</v>
      </c>
      <c r="BV142" s="1922">
        <f t="shared" si="103"/>
        <v>0</v>
      </c>
      <c r="BW142" s="1924">
        <f t="shared" si="103"/>
        <v>0</v>
      </c>
      <c r="BX142" s="1926"/>
      <c r="BY142" s="1926"/>
      <c r="BZ142" s="1926"/>
      <c r="CA142" s="1926"/>
      <c r="CB142" s="1926"/>
      <c r="CC142" s="1926"/>
      <c r="CD142" s="1926"/>
      <c r="CE142" s="1926"/>
      <c r="CF142" s="1926"/>
      <c r="CG142" s="1926"/>
      <c r="CH142" s="1926"/>
      <c r="CI142" s="1926"/>
      <c r="CJ142" s="1926"/>
      <c r="CK142" s="1926"/>
      <c r="CL142" s="1926"/>
      <c r="CM142" s="1926"/>
      <c r="CN142" s="1926"/>
      <c r="CO142" s="1926"/>
      <c r="CP142" s="1926"/>
      <c r="CQ142" s="1926"/>
      <c r="CR142" s="1926"/>
      <c r="CS142" s="1926"/>
      <c r="CT142" s="1926"/>
      <c r="CU142" s="1926"/>
      <c r="CV142" s="1926"/>
      <c r="CW142" s="1926"/>
      <c r="CX142" s="1926"/>
      <c r="CY142" s="1926"/>
      <c r="CZ142" s="1926"/>
      <c r="DA142" s="1926"/>
      <c r="DB142" s="1926"/>
      <c r="DC142" s="1926"/>
      <c r="DD142" s="1926"/>
      <c r="DE142" s="1926"/>
      <c r="DF142" s="1926"/>
      <c r="DG142" s="1926"/>
      <c r="DH142" s="1926"/>
      <c r="DI142" s="1926"/>
      <c r="DJ142" s="1926"/>
      <c r="DK142" s="1926"/>
      <c r="DL142" s="1926"/>
      <c r="DM142" s="1926"/>
      <c r="DN142" s="1926"/>
      <c r="DO142" s="1926"/>
      <c r="DP142" s="1926"/>
      <c r="DQ142" s="1926"/>
      <c r="DR142" s="1926"/>
      <c r="DS142" s="1926"/>
      <c r="DT142" s="1926"/>
      <c r="DU142" s="1926"/>
      <c r="DV142" s="1926"/>
      <c r="DW142" s="1926"/>
      <c r="DX142" s="1926"/>
      <c r="DY142" s="1926"/>
      <c r="DZ142" s="1926"/>
      <c r="EA142" s="1926"/>
      <c r="EB142" s="1926"/>
      <c r="EC142" s="1926"/>
      <c r="ED142" s="1926"/>
      <c r="EE142" s="1926"/>
      <c r="EF142" s="1926"/>
      <c r="EG142" s="1926"/>
      <c r="EH142" s="1926"/>
      <c r="EI142" s="1926"/>
      <c r="EJ142" s="1926"/>
      <c r="EK142" s="1926"/>
      <c r="EL142" s="1926"/>
      <c r="EM142" s="1926"/>
      <c r="EN142" s="1926"/>
      <c r="EO142" s="1926"/>
      <c r="EP142" s="1926"/>
      <c r="EQ142" s="1926"/>
      <c r="ER142" s="1926"/>
      <c r="ES142" s="1926"/>
      <c r="ET142" s="1926"/>
      <c r="EU142" s="1926"/>
      <c r="EV142" s="1926"/>
      <c r="EW142" s="1926"/>
      <c r="EX142" s="1926"/>
      <c r="EY142" s="1926"/>
      <c r="EZ142" s="1926"/>
      <c r="FA142" s="1926"/>
      <c r="FB142" s="1926"/>
      <c r="FC142" s="1926"/>
      <c r="FD142" s="1926"/>
      <c r="FE142" s="1926"/>
      <c r="FF142" s="1926"/>
      <c r="FG142" s="1926"/>
      <c r="FH142" s="1926"/>
      <c r="FI142" s="1926"/>
      <c r="FJ142" s="1926"/>
      <c r="FK142" s="1926"/>
      <c r="FL142" s="1926"/>
      <c r="FM142" s="1926"/>
      <c r="FN142" s="1926"/>
      <c r="FO142" s="1926"/>
      <c r="FP142" s="1926"/>
      <c r="FQ142" s="1926"/>
      <c r="FR142" s="1926"/>
    </row>
    <row r="143" spans="2:174" s="37" customFormat="1" ht="14.25" hidden="1" customHeight="1">
      <c r="B143" s="62" t="str">
        <f>B125</f>
        <v>Invest</v>
      </c>
      <c r="O143" s="1922">
        <f t="shared" ref="O143:BP143" si="104">O125+O128+O131+O134+O137</f>
        <v>0</v>
      </c>
      <c r="P143" s="1922">
        <f t="shared" si="104"/>
        <v>0</v>
      </c>
      <c r="Q143" s="1922">
        <f t="shared" si="104"/>
        <v>0</v>
      </c>
      <c r="R143" s="1922">
        <f t="shared" si="104"/>
        <v>0</v>
      </c>
      <c r="S143" s="1922">
        <f t="shared" si="104"/>
        <v>0</v>
      </c>
      <c r="T143" s="1922">
        <f t="shared" si="104"/>
        <v>0</v>
      </c>
      <c r="U143" s="1922">
        <f t="shared" si="104"/>
        <v>0</v>
      </c>
      <c r="V143" s="1922">
        <f t="shared" si="104"/>
        <v>0</v>
      </c>
      <c r="W143" s="1922">
        <f t="shared" si="104"/>
        <v>0</v>
      </c>
      <c r="X143" s="1922">
        <f t="shared" si="104"/>
        <v>0</v>
      </c>
      <c r="Y143" s="1922">
        <f t="shared" si="104"/>
        <v>0</v>
      </c>
      <c r="Z143" s="1922">
        <f t="shared" si="104"/>
        <v>0</v>
      </c>
      <c r="AA143" s="1922">
        <f t="shared" si="104"/>
        <v>0</v>
      </c>
      <c r="AB143" s="1922">
        <f t="shared" si="104"/>
        <v>0</v>
      </c>
      <c r="AC143" s="1922">
        <f t="shared" si="104"/>
        <v>0</v>
      </c>
      <c r="AD143" s="1922">
        <f t="shared" si="104"/>
        <v>0</v>
      </c>
      <c r="AE143" s="1922">
        <f t="shared" si="104"/>
        <v>0</v>
      </c>
      <c r="AF143" s="1922">
        <f t="shared" si="104"/>
        <v>0</v>
      </c>
      <c r="AG143" s="1922">
        <f t="shared" si="104"/>
        <v>0</v>
      </c>
      <c r="AH143" s="1922">
        <f t="shared" si="104"/>
        <v>0</v>
      </c>
      <c r="AI143" s="1922">
        <f t="shared" si="104"/>
        <v>0</v>
      </c>
      <c r="AJ143" s="1922">
        <f t="shared" si="104"/>
        <v>0</v>
      </c>
      <c r="AK143" s="1922">
        <f t="shared" si="104"/>
        <v>0</v>
      </c>
      <c r="AL143" s="1922">
        <f t="shared" si="104"/>
        <v>0</v>
      </c>
      <c r="AM143" s="1922">
        <f t="shared" si="104"/>
        <v>0</v>
      </c>
      <c r="AN143" s="1955">
        <f t="shared" si="104"/>
        <v>0</v>
      </c>
      <c r="AO143" s="1922">
        <f t="shared" si="104"/>
        <v>0</v>
      </c>
      <c r="AP143" s="1922">
        <f t="shared" si="104"/>
        <v>0</v>
      </c>
      <c r="AQ143" s="1922">
        <f t="shared" si="104"/>
        <v>0</v>
      </c>
      <c r="AR143" s="1922">
        <f t="shared" si="104"/>
        <v>0</v>
      </c>
      <c r="AS143" s="1922">
        <f t="shared" si="104"/>
        <v>0</v>
      </c>
      <c r="AT143" s="1922">
        <f t="shared" si="104"/>
        <v>0</v>
      </c>
      <c r="AU143" s="1922">
        <f t="shared" si="104"/>
        <v>0</v>
      </c>
      <c r="AV143" s="1922">
        <f t="shared" si="104"/>
        <v>0</v>
      </c>
      <c r="AW143" s="1922">
        <f t="shared" si="104"/>
        <v>0</v>
      </c>
      <c r="AX143" s="1922">
        <f t="shared" si="104"/>
        <v>0</v>
      </c>
      <c r="AY143" s="1922">
        <f t="shared" si="104"/>
        <v>0</v>
      </c>
      <c r="AZ143" s="1922">
        <f t="shared" si="104"/>
        <v>0</v>
      </c>
      <c r="BA143" s="1922">
        <f t="shared" si="104"/>
        <v>0</v>
      </c>
      <c r="BB143" s="1922">
        <f t="shared" si="104"/>
        <v>0</v>
      </c>
      <c r="BC143" s="1922">
        <f t="shared" si="104"/>
        <v>0</v>
      </c>
      <c r="BD143" s="1922">
        <f t="shared" si="104"/>
        <v>0</v>
      </c>
      <c r="BE143" s="1922">
        <f t="shared" si="104"/>
        <v>0</v>
      </c>
      <c r="BF143" s="1922">
        <f t="shared" si="104"/>
        <v>0</v>
      </c>
      <c r="BG143" s="1922">
        <f t="shared" si="104"/>
        <v>0</v>
      </c>
      <c r="BH143" s="1922">
        <f t="shared" si="104"/>
        <v>0</v>
      </c>
      <c r="BI143" s="1922">
        <f t="shared" si="104"/>
        <v>0</v>
      </c>
      <c r="BJ143" s="1922">
        <f t="shared" si="104"/>
        <v>0</v>
      </c>
      <c r="BK143" s="1922">
        <f t="shared" si="104"/>
        <v>0</v>
      </c>
      <c r="BL143" s="1922">
        <f t="shared" si="104"/>
        <v>0</v>
      </c>
      <c r="BM143" s="1922">
        <f t="shared" si="104"/>
        <v>0</v>
      </c>
      <c r="BN143" s="1922">
        <f t="shared" si="104"/>
        <v>0</v>
      </c>
      <c r="BO143" s="1922">
        <f t="shared" si="104"/>
        <v>0</v>
      </c>
      <c r="BP143" s="1922">
        <f t="shared" si="104"/>
        <v>0</v>
      </c>
      <c r="BQ143" s="1922">
        <f t="shared" ref="BQ143:BW143" si="105">BQ125+BQ128+BQ131+BQ134+BQ137</f>
        <v>0</v>
      </c>
      <c r="BR143" s="1922">
        <f t="shared" si="105"/>
        <v>0</v>
      </c>
      <c r="BS143" s="1922">
        <f t="shared" si="105"/>
        <v>0</v>
      </c>
      <c r="BT143" s="1922">
        <f t="shared" si="105"/>
        <v>0</v>
      </c>
      <c r="BU143" s="1922">
        <f t="shared" si="105"/>
        <v>0</v>
      </c>
      <c r="BV143" s="1922">
        <f t="shared" si="105"/>
        <v>0</v>
      </c>
      <c r="BW143" s="1924">
        <f t="shared" si="105"/>
        <v>0</v>
      </c>
      <c r="BX143" s="1926"/>
      <c r="BY143" s="1926"/>
      <c r="BZ143" s="1926"/>
      <c r="CA143" s="1926"/>
      <c r="CB143" s="1926"/>
      <c r="CC143" s="1926"/>
      <c r="CD143" s="1926"/>
      <c r="CE143" s="1926"/>
      <c r="CF143" s="1926"/>
      <c r="CG143" s="1926"/>
      <c r="CH143" s="1926"/>
      <c r="CI143" s="1926"/>
      <c r="CJ143" s="1926"/>
      <c r="CK143" s="1926"/>
      <c r="CL143" s="1926"/>
      <c r="CM143" s="1926"/>
      <c r="CN143" s="1926"/>
      <c r="CO143" s="1926"/>
      <c r="CP143" s="1926"/>
      <c r="CQ143" s="1926"/>
      <c r="CR143" s="1926"/>
      <c r="CS143" s="1926"/>
      <c r="CT143" s="1926"/>
      <c r="CU143" s="1926"/>
      <c r="CV143" s="1926"/>
      <c r="CW143" s="1926"/>
      <c r="CX143" s="1926"/>
      <c r="CY143" s="1926"/>
      <c r="CZ143" s="1926"/>
      <c r="DA143" s="1926"/>
      <c r="DB143" s="1926"/>
      <c r="DC143" s="1926"/>
      <c r="DD143" s="1926"/>
      <c r="DE143" s="1926"/>
      <c r="DF143" s="1926"/>
      <c r="DG143" s="1926"/>
      <c r="DH143" s="1926"/>
      <c r="DI143" s="1926"/>
      <c r="DJ143" s="1926"/>
      <c r="DK143" s="1926"/>
      <c r="DL143" s="1926"/>
      <c r="DM143" s="1926"/>
      <c r="DN143" s="1926"/>
      <c r="DO143" s="1926"/>
      <c r="DP143" s="1926"/>
      <c r="DQ143" s="1926"/>
      <c r="DR143" s="1926"/>
      <c r="DS143" s="1926"/>
      <c r="DT143" s="1926"/>
      <c r="DU143" s="1926"/>
      <c r="DV143" s="1926"/>
      <c r="DW143" s="1926"/>
      <c r="DX143" s="1926"/>
      <c r="DY143" s="1926"/>
      <c r="DZ143" s="1926"/>
      <c r="EA143" s="1926"/>
      <c r="EB143" s="1926"/>
      <c r="EC143" s="1926"/>
      <c r="ED143" s="1926"/>
      <c r="EE143" s="1926"/>
      <c r="EF143" s="1926"/>
      <c r="EG143" s="1926"/>
      <c r="EH143" s="1926"/>
      <c r="EI143" s="1926"/>
      <c r="EJ143" s="1926"/>
      <c r="EK143" s="1926"/>
      <c r="EL143" s="1926"/>
      <c r="EM143" s="1926"/>
      <c r="EN143" s="1926"/>
      <c r="EO143" s="1926"/>
      <c r="EP143" s="1926"/>
      <c r="EQ143" s="1926"/>
      <c r="ER143" s="1926"/>
      <c r="ES143" s="1926"/>
      <c r="ET143" s="1926"/>
      <c r="EU143" s="1926"/>
      <c r="EV143" s="1926"/>
      <c r="EW143" s="1926"/>
      <c r="EX143" s="1926"/>
      <c r="EY143" s="1926"/>
      <c r="EZ143" s="1926"/>
      <c r="FA143" s="1926"/>
      <c r="FB143" s="1926"/>
      <c r="FC143" s="1926"/>
      <c r="FD143" s="1926"/>
      <c r="FE143" s="1926"/>
      <c r="FF143" s="1926"/>
      <c r="FG143" s="1926"/>
      <c r="FH143" s="1926"/>
      <c r="FI143" s="1926"/>
      <c r="FJ143" s="1926"/>
      <c r="FK143" s="1926"/>
      <c r="FL143" s="1926"/>
      <c r="FM143" s="1926"/>
      <c r="FN143" s="1926"/>
      <c r="FO143" s="1926"/>
      <c r="FP143" s="1926"/>
      <c r="FQ143" s="1926"/>
      <c r="FR143" s="1926"/>
    </row>
    <row r="144" spans="2:174" s="37" customFormat="1" ht="14.25" hidden="1" customHeight="1">
      <c r="R144" s="53"/>
      <c r="W144" s="53"/>
      <c r="AN144" s="168"/>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row>
    <row r="145" spans="2:174" s="37" customFormat="1" ht="14.25" hidden="1" customHeight="1">
      <c r="C145" s="62">
        <f ca="1">C124+1</f>
        <v>28</v>
      </c>
      <c r="H145" s="53"/>
      <c r="M145" s="53"/>
      <c r="O145" s="53"/>
      <c r="P145" s="53"/>
      <c r="Q145" s="53"/>
      <c r="R145" s="53"/>
      <c r="W145" s="53"/>
      <c r="Y145" s="62"/>
      <c r="Z145" s="53"/>
      <c r="AA145" s="1916" t="s">
        <v>450</v>
      </c>
      <c r="AB145" s="1918">
        <v>1</v>
      </c>
      <c r="AC145" s="1916">
        <v>2</v>
      </c>
      <c r="AD145" s="1918">
        <v>3</v>
      </c>
      <c r="AE145" s="1916">
        <v>4</v>
      </c>
      <c r="AF145" s="1918">
        <v>5</v>
      </c>
      <c r="AG145" s="1916">
        <v>6</v>
      </c>
      <c r="AH145" s="1918">
        <v>7</v>
      </c>
      <c r="AI145" s="1916">
        <v>8</v>
      </c>
      <c r="AJ145" s="1918">
        <v>9</v>
      </c>
      <c r="AK145" s="1916">
        <v>10</v>
      </c>
      <c r="AL145" s="1918">
        <v>11</v>
      </c>
      <c r="AM145" s="1916">
        <v>12</v>
      </c>
      <c r="AN145" s="1957">
        <v>13</v>
      </c>
      <c r="AO145" s="1916">
        <v>14</v>
      </c>
      <c r="AP145" s="1918">
        <v>15</v>
      </c>
      <c r="AQ145" s="1916">
        <v>16</v>
      </c>
      <c r="AR145" s="1918">
        <v>17</v>
      </c>
      <c r="AS145" s="1916">
        <v>18</v>
      </c>
      <c r="AT145" s="1918">
        <v>19</v>
      </c>
      <c r="AU145" s="1916">
        <v>20</v>
      </c>
      <c r="AV145" s="1918">
        <v>21</v>
      </c>
      <c r="AW145" s="1916">
        <v>22</v>
      </c>
      <c r="AX145" s="1918">
        <v>23</v>
      </c>
      <c r="AY145" s="1916">
        <v>24</v>
      </c>
      <c r="AZ145" s="1918">
        <v>25</v>
      </c>
      <c r="BA145" s="1916">
        <v>26</v>
      </c>
      <c r="BB145" s="1918">
        <v>27</v>
      </c>
      <c r="BC145" s="1916">
        <v>28</v>
      </c>
      <c r="BD145" s="1918">
        <v>29</v>
      </c>
      <c r="BE145" s="1916">
        <v>30</v>
      </c>
      <c r="BF145" s="1918">
        <v>31</v>
      </c>
      <c r="BG145" s="1916">
        <v>32</v>
      </c>
      <c r="BH145" s="1918">
        <v>33</v>
      </c>
      <c r="BI145" s="1916">
        <v>34</v>
      </c>
      <c r="BJ145" s="1918">
        <v>35</v>
      </c>
      <c r="BK145" s="1916">
        <v>36</v>
      </c>
      <c r="BL145" s="1918">
        <v>37</v>
      </c>
      <c r="BM145" s="1916">
        <v>38</v>
      </c>
      <c r="BN145" s="1918">
        <v>39</v>
      </c>
      <c r="BO145" s="1916">
        <v>40</v>
      </c>
      <c r="BP145" s="1918">
        <v>41</v>
      </c>
      <c r="BQ145" s="1916">
        <v>42</v>
      </c>
      <c r="BR145" s="1918">
        <v>43</v>
      </c>
      <c r="BS145" s="1916">
        <v>44</v>
      </c>
      <c r="BT145" s="1918">
        <v>45</v>
      </c>
      <c r="BU145" s="1916">
        <v>46</v>
      </c>
      <c r="BV145" s="1918">
        <v>47</v>
      </c>
      <c r="BW145" s="1917">
        <v>48</v>
      </c>
      <c r="BX145" s="1919"/>
      <c r="BY145" s="1919"/>
      <c r="BZ145" s="1919"/>
      <c r="CA145" s="1919"/>
      <c r="CB145" s="1919"/>
      <c r="CC145" s="1919"/>
      <c r="CD145" s="1919"/>
      <c r="CE145" s="1919"/>
      <c r="CF145" s="1919"/>
      <c r="CG145" s="1919"/>
      <c r="CH145" s="1919"/>
      <c r="CI145" s="1919"/>
      <c r="CJ145" s="1919"/>
      <c r="CK145" s="1919"/>
      <c r="CL145" s="1919"/>
      <c r="CM145" s="1919"/>
      <c r="CN145" s="1919"/>
      <c r="CO145" s="1919"/>
      <c r="CP145" s="1919"/>
      <c r="CQ145" s="1919"/>
      <c r="CR145" s="1919"/>
      <c r="CS145" s="1919"/>
      <c r="CT145" s="1919"/>
      <c r="CU145" s="1919"/>
      <c r="CV145" s="1919"/>
      <c r="CW145" s="1919"/>
      <c r="CX145" s="1919"/>
      <c r="CY145" s="1919"/>
      <c r="CZ145" s="1919"/>
      <c r="DA145" s="1919"/>
      <c r="DB145" s="1919"/>
      <c r="DC145" s="1919"/>
      <c r="DD145" s="1919"/>
      <c r="DE145" s="1919"/>
      <c r="DF145" s="1919"/>
      <c r="DG145" s="1919"/>
      <c r="DH145" s="1919"/>
      <c r="DI145" s="1919"/>
      <c r="DJ145" s="1919"/>
      <c r="DK145" s="1919"/>
      <c r="DL145" s="1919"/>
      <c r="DM145" s="1919"/>
      <c r="DN145" s="1919"/>
      <c r="DO145" s="1919"/>
      <c r="DP145" s="1919"/>
      <c r="DQ145" s="1919"/>
      <c r="DR145" s="1919"/>
      <c r="DS145" s="1919"/>
      <c r="DT145" s="1919"/>
      <c r="DU145" s="1919"/>
      <c r="DV145" s="1919"/>
      <c r="DW145" s="1919"/>
      <c r="DX145" s="1919"/>
      <c r="DY145" s="1919"/>
      <c r="DZ145" s="1919"/>
      <c r="EA145" s="1919"/>
      <c r="EB145" s="1919"/>
      <c r="EC145" s="1919"/>
      <c r="ED145" s="1919"/>
      <c r="EE145" s="1919"/>
      <c r="EF145" s="1919"/>
      <c r="EG145" s="1919"/>
      <c r="EH145" s="1919"/>
      <c r="EI145" s="1919"/>
      <c r="EJ145" s="1919"/>
      <c r="EK145" s="1919"/>
      <c r="EL145" s="1919"/>
      <c r="EM145" s="1919"/>
      <c r="EN145" s="1919"/>
      <c r="EO145" s="1919"/>
      <c r="EP145" s="1919"/>
      <c r="EQ145" s="1919"/>
      <c r="ER145" s="1919"/>
      <c r="ES145" s="1919"/>
      <c r="ET145" s="1919"/>
      <c r="EU145" s="1919"/>
      <c r="EV145" s="1919"/>
      <c r="EW145" s="1919"/>
      <c r="EX145" s="1919"/>
      <c r="EY145" s="1919"/>
      <c r="EZ145" s="1919"/>
      <c r="FA145" s="1919"/>
      <c r="FB145" s="1919"/>
      <c r="FC145" s="1919"/>
      <c r="FD145" s="1919"/>
      <c r="FE145" s="1919"/>
      <c r="FF145" s="1919"/>
      <c r="FG145" s="1919"/>
      <c r="FH145" s="1919"/>
      <c r="FI145" s="1919"/>
      <c r="FJ145" s="1919"/>
      <c r="FK145" s="1919"/>
      <c r="FL145" s="1919"/>
      <c r="FM145" s="1919"/>
      <c r="FN145" s="1919"/>
      <c r="FO145" s="1919"/>
      <c r="FP145" s="1919"/>
      <c r="FQ145" s="1919"/>
      <c r="FR145" s="1919"/>
    </row>
    <row r="146" spans="2:174" s="37" customFormat="1" ht="14.25" hidden="1" customHeight="1">
      <c r="B146" s="37" t="s">
        <v>570</v>
      </c>
      <c r="H146" s="53"/>
      <c r="M146" s="53"/>
      <c r="O146" s="53"/>
      <c r="P146" s="53"/>
      <c r="Q146" s="53"/>
      <c r="R146" s="53"/>
      <c r="W146" s="53"/>
      <c r="Z146" s="53"/>
      <c r="AA146" s="1923"/>
      <c r="AB146" s="1922">
        <f t="shared" ref="AB146:BG146" si="106">IF($P5=AB145,$O5,0)</f>
        <v>0</v>
      </c>
      <c r="AC146" s="1922">
        <f t="shared" si="106"/>
        <v>0</v>
      </c>
      <c r="AD146" s="1922">
        <f t="shared" si="106"/>
        <v>0</v>
      </c>
      <c r="AE146" s="1922">
        <f t="shared" si="106"/>
        <v>0</v>
      </c>
      <c r="AF146" s="1922">
        <f t="shared" si="106"/>
        <v>0</v>
      </c>
      <c r="AG146" s="1922">
        <f t="shared" si="106"/>
        <v>0</v>
      </c>
      <c r="AH146" s="1922">
        <f t="shared" si="106"/>
        <v>0</v>
      </c>
      <c r="AI146" s="1922">
        <f t="shared" si="106"/>
        <v>0</v>
      </c>
      <c r="AJ146" s="1922">
        <f t="shared" si="106"/>
        <v>0</v>
      </c>
      <c r="AK146" s="1922">
        <f t="shared" si="106"/>
        <v>0</v>
      </c>
      <c r="AL146" s="1922">
        <f t="shared" si="106"/>
        <v>0</v>
      </c>
      <c r="AM146" s="1922">
        <f t="shared" si="106"/>
        <v>0</v>
      </c>
      <c r="AN146" s="1955">
        <f t="shared" si="106"/>
        <v>0</v>
      </c>
      <c r="AO146" s="1922">
        <f t="shared" si="106"/>
        <v>0</v>
      </c>
      <c r="AP146" s="1922">
        <f t="shared" si="106"/>
        <v>0</v>
      </c>
      <c r="AQ146" s="1922">
        <f t="shared" si="106"/>
        <v>0</v>
      </c>
      <c r="AR146" s="1922">
        <f t="shared" si="106"/>
        <v>0</v>
      </c>
      <c r="AS146" s="1922">
        <f t="shared" si="106"/>
        <v>0</v>
      </c>
      <c r="AT146" s="1922">
        <f t="shared" si="106"/>
        <v>0</v>
      </c>
      <c r="AU146" s="1922">
        <f t="shared" si="106"/>
        <v>0</v>
      </c>
      <c r="AV146" s="1922">
        <f t="shared" si="106"/>
        <v>0</v>
      </c>
      <c r="AW146" s="1922">
        <f t="shared" si="106"/>
        <v>0</v>
      </c>
      <c r="AX146" s="1922">
        <f t="shared" si="106"/>
        <v>0</v>
      </c>
      <c r="AY146" s="1922">
        <f t="shared" si="106"/>
        <v>0</v>
      </c>
      <c r="AZ146" s="1922">
        <f t="shared" si="106"/>
        <v>0</v>
      </c>
      <c r="BA146" s="1922">
        <f t="shared" si="106"/>
        <v>0</v>
      </c>
      <c r="BB146" s="1922">
        <f t="shared" si="106"/>
        <v>0</v>
      </c>
      <c r="BC146" s="1922">
        <f t="shared" si="106"/>
        <v>0</v>
      </c>
      <c r="BD146" s="1922">
        <f t="shared" si="106"/>
        <v>0</v>
      </c>
      <c r="BE146" s="1922">
        <f t="shared" si="106"/>
        <v>0</v>
      </c>
      <c r="BF146" s="1922">
        <f t="shared" si="106"/>
        <v>0</v>
      </c>
      <c r="BG146" s="1922">
        <f t="shared" si="106"/>
        <v>0</v>
      </c>
      <c r="BH146" s="1922">
        <f t="shared" ref="BH146:BW146" si="107">IF($P5=BH145,$O5,0)</f>
        <v>0</v>
      </c>
      <c r="BI146" s="1922">
        <f t="shared" si="107"/>
        <v>0</v>
      </c>
      <c r="BJ146" s="1922">
        <f t="shared" si="107"/>
        <v>0</v>
      </c>
      <c r="BK146" s="1922">
        <f t="shared" si="107"/>
        <v>0</v>
      </c>
      <c r="BL146" s="1922">
        <f t="shared" si="107"/>
        <v>0</v>
      </c>
      <c r="BM146" s="1922">
        <f t="shared" si="107"/>
        <v>0</v>
      </c>
      <c r="BN146" s="1922">
        <f t="shared" si="107"/>
        <v>0</v>
      </c>
      <c r="BO146" s="1922">
        <f t="shared" si="107"/>
        <v>0</v>
      </c>
      <c r="BP146" s="1922">
        <f t="shared" si="107"/>
        <v>0</v>
      </c>
      <c r="BQ146" s="1922">
        <f t="shared" si="107"/>
        <v>0</v>
      </c>
      <c r="BR146" s="1922">
        <f t="shared" si="107"/>
        <v>0</v>
      </c>
      <c r="BS146" s="1922">
        <f t="shared" si="107"/>
        <v>0</v>
      </c>
      <c r="BT146" s="1922">
        <f t="shared" si="107"/>
        <v>0</v>
      </c>
      <c r="BU146" s="1922">
        <f t="shared" si="107"/>
        <v>0</v>
      </c>
      <c r="BV146" s="1922">
        <f t="shared" si="107"/>
        <v>0</v>
      </c>
      <c r="BW146" s="1924">
        <f t="shared" si="107"/>
        <v>0</v>
      </c>
      <c r="BX146" s="1926"/>
      <c r="BY146" s="1926"/>
      <c r="BZ146" s="1926"/>
      <c r="CA146" s="1926"/>
      <c r="CB146" s="1926"/>
      <c r="CC146" s="1926"/>
      <c r="CD146" s="1926"/>
      <c r="CE146" s="1926"/>
      <c r="CF146" s="1926"/>
      <c r="CG146" s="1926"/>
      <c r="CH146" s="1926"/>
      <c r="CI146" s="1926"/>
      <c r="CJ146" s="1926"/>
      <c r="CK146" s="1926"/>
      <c r="CL146" s="1926"/>
      <c r="CM146" s="1926"/>
      <c r="CN146" s="1926"/>
      <c r="CO146" s="1926"/>
      <c r="CP146" s="1926"/>
      <c r="CQ146" s="1926"/>
      <c r="CR146" s="1926"/>
      <c r="CS146" s="1926"/>
      <c r="CT146" s="1926"/>
      <c r="CU146" s="1926"/>
      <c r="CV146" s="1926"/>
      <c r="CW146" s="1926"/>
      <c r="CX146" s="1926"/>
      <c r="CY146" s="1926"/>
      <c r="CZ146" s="1926"/>
      <c r="DA146" s="1926"/>
      <c r="DB146" s="1926"/>
      <c r="DC146" s="1926"/>
      <c r="DD146" s="1926"/>
      <c r="DE146" s="1926"/>
      <c r="DF146" s="1926"/>
      <c r="DG146" s="1926"/>
      <c r="DH146" s="1926"/>
      <c r="DI146" s="1926"/>
      <c r="DJ146" s="1926"/>
      <c r="DK146" s="1926"/>
      <c r="DL146" s="1926"/>
      <c r="DM146" s="1926"/>
      <c r="DN146" s="1926"/>
      <c r="DO146" s="1926"/>
      <c r="DP146" s="1926"/>
      <c r="DQ146" s="1926"/>
      <c r="DR146" s="1926"/>
      <c r="DS146" s="1926"/>
      <c r="DT146" s="1926"/>
      <c r="DU146" s="1926"/>
      <c r="DV146" s="1926"/>
      <c r="DW146" s="1926"/>
      <c r="DX146" s="1926"/>
      <c r="DY146" s="1926"/>
      <c r="DZ146" s="1926"/>
      <c r="EA146" s="1926"/>
      <c r="EB146" s="1926"/>
      <c r="EC146" s="1926"/>
      <c r="ED146" s="1926"/>
      <c r="EE146" s="1926"/>
      <c r="EF146" s="1926"/>
      <c r="EG146" s="1926"/>
      <c r="EH146" s="1926"/>
      <c r="EI146" s="1926"/>
      <c r="EJ146" s="1926"/>
      <c r="EK146" s="1926"/>
      <c r="EL146" s="1926"/>
      <c r="EM146" s="1926"/>
      <c r="EN146" s="1926"/>
      <c r="EO146" s="1926"/>
      <c r="EP146" s="1926"/>
      <c r="EQ146" s="1926"/>
      <c r="ER146" s="1926"/>
      <c r="ES146" s="1926"/>
      <c r="ET146" s="1926"/>
      <c r="EU146" s="1926"/>
      <c r="EV146" s="1926"/>
      <c r="EW146" s="1926"/>
      <c r="EX146" s="1926"/>
      <c r="EY146" s="1926"/>
      <c r="EZ146" s="1926"/>
      <c r="FA146" s="1926"/>
      <c r="FB146" s="1926"/>
      <c r="FC146" s="1926"/>
      <c r="FD146" s="1926"/>
      <c r="FE146" s="1926"/>
      <c r="FF146" s="1926"/>
      <c r="FG146" s="1926"/>
      <c r="FH146" s="1926"/>
      <c r="FI146" s="1926"/>
      <c r="FJ146" s="1926"/>
      <c r="FK146" s="1926"/>
      <c r="FL146" s="1926"/>
      <c r="FM146" s="1926"/>
      <c r="FN146" s="1926"/>
      <c r="FO146" s="1926"/>
      <c r="FP146" s="1926"/>
      <c r="FQ146" s="1926"/>
      <c r="FR146" s="1926"/>
    </row>
    <row r="147" spans="2:174" s="37" customFormat="1" ht="14.25" hidden="1" customHeight="1">
      <c r="B147" s="1921" t="s">
        <v>571</v>
      </c>
      <c r="H147" s="53"/>
      <c r="M147" s="53"/>
      <c r="O147" s="53"/>
      <c r="P147" s="53"/>
      <c r="Q147" s="53"/>
      <c r="R147" s="53"/>
      <c r="W147" s="53"/>
      <c r="Y147" s="1921"/>
      <c r="Z147" s="53"/>
      <c r="AA147" s="1923">
        <v>0</v>
      </c>
      <c r="AB147" s="1922">
        <f t="shared" ref="AB147:BG147" si="108">IF($O5=AB$146,1,IF(AA147&gt;0,IF(AA147&gt;=$Q5*12,0,AA147+1),0))</f>
        <v>1</v>
      </c>
      <c r="AC147" s="1922">
        <f t="shared" si="108"/>
        <v>1</v>
      </c>
      <c r="AD147" s="1922">
        <f t="shared" si="108"/>
        <v>1</v>
      </c>
      <c r="AE147" s="1922">
        <f t="shared" si="108"/>
        <v>1</v>
      </c>
      <c r="AF147" s="1922">
        <f t="shared" si="108"/>
        <v>1</v>
      </c>
      <c r="AG147" s="1922">
        <f t="shared" si="108"/>
        <v>1</v>
      </c>
      <c r="AH147" s="1922">
        <f t="shared" si="108"/>
        <v>1</v>
      </c>
      <c r="AI147" s="1922">
        <f t="shared" si="108"/>
        <v>1</v>
      </c>
      <c r="AJ147" s="1922">
        <f t="shared" si="108"/>
        <v>1</v>
      </c>
      <c r="AK147" s="1922">
        <f t="shared" si="108"/>
        <v>1</v>
      </c>
      <c r="AL147" s="1922">
        <f t="shared" si="108"/>
        <v>1</v>
      </c>
      <c r="AM147" s="1922">
        <f t="shared" si="108"/>
        <v>1</v>
      </c>
      <c r="AN147" s="1955">
        <f t="shared" si="108"/>
        <v>1</v>
      </c>
      <c r="AO147" s="1922">
        <f t="shared" si="108"/>
        <v>1</v>
      </c>
      <c r="AP147" s="1922">
        <f t="shared" si="108"/>
        <v>1</v>
      </c>
      <c r="AQ147" s="1922">
        <f t="shared" si="108"/>
        <v>1</v>
      </c>
      <c r="AR147" s="1922">
        <f t="shared" si="108"/>
        <v>1</v>
      </c>
      <c r="AS147" s="1922">
        <f t="shared" si="108"/>
        <v>1</v>
      </c>
      <c r="AT147" s="1922">
        <f t="shared" si="108"/>
        <v>1</v>
      </c>
      <c r="AU147" s="1922">
        <f t="shared" si="108"/>
        <v>1</v>
      </c>
      <c r="AV147" s="1922">
        <f t="shared" si="108"/>
        <v>1</v>
      </c>
      <c r="AW147" s="1922">
        <f t="shared" si="108"/>
        <v>1</v>
      </c>
      <c r="AX147" s="1922">
        <f t="shared" si="108"/>
        <v>1</v>
      </c>
      <c r="AY147" s="1922">
        <f t="shared" si="108"/>
        <v>1</v>
      </c>
      <c r="AZ147" s="1922">
        <f t="shared" si="108"/>
        <v>1</v>
      </c>
      <c r="BA147" s="1922">
        <f t="shared" si="108"/>
        <v>1</v>
      </c>
      <c r="BB147" s="1922">
        <f t="shared" si="108"/>
        <v>1</v>
      </c>
      <c r="BC147" s="1922">
        <f t="shared" si="108"/>
        <v>1</v>
      </c>
      <c r="BD147" s="1922">
        <f t="shared" si="108"/>
        <v>1</v>
      </c>
      <c r="BE147" s="1922">
        <f t="shared" si="108"/>
        <v>1</v>
      </c>
      <c r="BF147" s="1922">
        <f t="shared" si="108"/>
        <v>1</v>
      </c>
      <c r="BG147" s="1922">
        <f t="shared" si="108"/>
        <v>1</v>
      </c>
      <c r="BH147" s="1922">
        <f t="shared" ref="BH147:BW147" si="109">IF($O5=BH$146,1,IF(BG147&gt;0,IF(BG147&gt;=$Q5*12,0,BG147+1),0))</f>
        <v>1</v>
      </c>
      <c r="BI147" s="1922">
        <f t="shared" si="109"/>
        <v>1</v>
      </c>
      <c r="BJ147" s="1922">
        <f t="shared" si="109"/>
        <v>1</v>
      </c>
      <c r="BK147" s="1922">
        <f t="shared" si="109"/>
        <v>1</v>
      </c>
      <c r="BL147" s="1922">
        <f t="shared" si="109"/>
        <v>1</v>
      </c>
      <c r="BM147" s="1922">
        <f t="shared" si="109"/>
        <v>1</v>
      </c>
      <c r="BN147" s="1922">
        <f t="shared" si="109"/>
        <v>1</v>
      </c>
      <c r="BO147" s="1922">
        <f t="shared" si="109"/>
        <v>1</v>
      </c>
      <c r="BP147" s="1922">
        <f t="shared" si="109"/>
        <v>1</v>
      </c>
      <c r="BQ147" s="1922">
        <f t="shared" si="109"/>
        <v>1</v>
      </c>
      <c r="BR147" s="1922">
        <f t="shared" si="109"/>
        <v>1</v>
      </c>
      <c r="BS147" s="1922">
        <f t="shared" si="109"/>
        <v>1</v>
      </c>
      <c r="BT147" s="1922">
        <f t="shared" si="109"/>
        <v>1</v>
      </c>
      <c r="BU147" s="1922">
        <f t="shared" si="109"/>
        <v>1</v>
      </c>
      <c r="BV147" s="1922">
        <f t="shared" si="109"/>
        <v>1</v>
      </c>
      <c r="BW147" s="1924">
        <f t="shared" si="109"/>
        <v>1</v>
      </c>
      <c r="BX147" s="1926"/>
      <c r="BY147" s="1926"/>
      <c r="BZ147" s="1926"/>
      <c r="CA147" s="1926"/>
      <c r="CB147" s="1926"/>
      <c r="CC147" s="1926"/>
      <c r="CD147" s="1926"/>
      <c r="CE147" s="1926"/>
      <c r="CF147" s="1926"/>
      <c r="CG147" s="1926"/>
      <c r="CH147" s="1926"/>
      <c r="CI147" s="1926"/>
      <c r="CJ147" s="1926"/>
      <c r="CK147" s="1926"/>
      <c r="CL147" s="1926"/>
      <c r="CM147" s="1926"/>
      <c r="CN147" s="1926"/>
      <c r="CO147" s="1926"/>
      <c r="CP147" s="1926"/>
      <c r="CQ147" s="1926"/>
      <c r="CR147" s="1926"/>
      <c r="CS147" s="1926"/>
      <c r="CT147" s="1926"/>
      <c r="CU147" s="1926"/>
      <c r="CV147" s="1926"/>
      <c r="CW147" s="1926"/>
      <c r="CX147" s="1926"/>
      <c r="CY147" s="1926"/>
      <c r="CZ147" s="1926"/>
      <c r="DA147" s="1926"/>
      <c r="DB147" s="1926"/>
      <c r="DC147" s="1926"/>
      <c r="DD147" s="1926"/>
      <c r="DE147" s="1926"/>
      <c r="DF147" s="1926"/>
      <c r="DG147" s="1926"/>
      <c r="DH147" s="1926"/>
      <c r="DI147" s="1926"/>
      <c r="DJ147" s="1926"/>
      <c r="DK147" s="1926"/>
      <c r="DL147" s="1926"/>
      <c r="DM147" s="1926"/>
      <c r="DN147" s="1926"/>
      <c r="DO147" s="1926"/>
      <c r="DP147" s="1926"/>
      <c r="DQ147" s="1926"/>
      <c r="DR147" s="1926"/>
      <c r="DS147" s="1926"/>
      <c r="DT147" s="1926"/>
      <c r="DU147" s="1926"/>
      <c r="DV147" s="1926"/>
      <c r="DW147" s="1926"/>
      <c r="DX147" s="1926"/>
      <c r="DY147" s="1926"/>
      <c r="DZ147" s="1926"/>
      <c r="EA147" s="1926"/>
      <c r="EB147" s="1926"/>
      <c r="EC147" s="1926"/>
      <c r="ED147" s="1926"/>
      <c r="EE147" s="1926"/>
      <c r="EF147" s="1926"/>
      <c r="EG147" s="1926"/>
      <c r="EH147" s="1926"/>
      <c r="EI147" s="1926"/>
      <c r="EJ147" s="1926"/>
      <c r="EK147" s="1926"/>
      <c r="EL147" s="1926"/>
      <c r="EM147" s="1926"/>
      <c r="EN147" s="1926"/>
      <c r="EO147" s="1926"/>
      <c r="EP147" s="1926"/>
      <c r="EQ147" s="1926"/>
      <c r="ER147" s="1926"/>
      <c r="ES147" s="1926"/>
      <c r="ET147" s="1926"/>
      <c r="EU147" s="1926"/>
      <c r="EV147" s="1926"/>
      <c r="EW147" s="1926"/>
      <c r="EX147" s="1926"/>
      <c r="EY147" s="1926"/>
      <c r="EZ147" s="1926"/>
      <c r="FA147" s="1926"/>
      <c r="FB147" s="1926"/>
      <c r="FC147" s="1926"/>
      <c r="FD147" s="1926"/>
      <c r="FE147" s="1926"/>
      <c r="FF147" s="1926"/>
      <c r="FG147" s="1926"/>
      <c r="FH147" s="1926"/>
      <c r="FI147" s="1926"/>
      <c r="FJ147" s="1926"/>
      <c r="FK147" s="1926"/>
      <c r="FL147" s="1926"/>
      <c r="FM147" s="1926"/>
      <c r="FN147" s="1926"/>
      <c r="FO147" s="1926"/>
      <c r="FP147" s="1926"/>
      <c r="FQ147" s="1926"/>
      <c r="FR147" s="1926"/>
    </row>
    <row r="148" spans="2:174" s="37" customFormat="1" ht="14.25" hidden="1" customHeight="1">
      <c r="B148" s="37" t="str">
        <f>B151</f>
        <v>Abschr</v>
      </c>
      <c r="C148" s="298"/>
      <c r="H148" s="53"/>
      <c r="M148" s="53"/>
      <c r="O148" s="53"/>
      <c r="P148" s="53"/>
      <c r="Q148" s="53"/>
      <c r="R148" s="53"/>
      <c r="W148" s="53"/>
      <c r="Z148" s="53"/>
      <c r="AA148" s="1928"/>
      <c r="AB148" s="1922">
        <f t="shared" ref="AB148:BG148" si="110">IF(AB147&lt;&gt;0,IF($O5=0,0,$O5/($Q5*12)),0)</f>
        <v>0</v>
      </c>
      <c r="AC148" s="1922">
        <f t="shared" si="110"/>
        <v>0</v>
      </c>
      <c r="AD148" s="1922">
        <f t="shared" si="110"/>
        <v>0</v>
      </c>
      <c r="AE148" s="1922">
        <f t="shared" si="110"/>
        <v>0</v>
      </c>
      <c r="AF148" s="1922">
        <f t="shared" si="110"/>
        <v>0</v>
      </c>
      <c r="AG148" s="1922">
        <f t="shared" si="110"/>
        <v>0</v>
      </c>
      <c r="AH148" s="1922">
        <f t="shared" si="110"/>
        <v>0</v>
      </c>
      <c r="AI148" s="1922">
        <f t="shared" si="110"/>
        <v>0</v>
      </c>
      <c r="AJ148" s="1922">
        <f t="shared" si="110"/>
        <v>0</v>
      </c>
      <c r="AK148" s="1922">
        <f t="shared" si="110"/>
        <v>0</v>
      </c>
      <c r="AL148" s="1922">
        <f t="shared" si="110"/>
        <v>0</v>
      </c>
      <c r="AM148" s="1922">
        <f t="shared" si="110"/>
        <v>0</v>
      </c>
      <c r="AN148" s="1955">
        <f t="shared" si="110"/>
        <v>0</v>
      </c>
      <c r="AO148" s="1922">
        <f t="shared" si="110"/>
        <v>0</v>
      </c>
      <c r="AP148" s="1922">
        <f t="shared" si="110"/>
        <v>0</v>
      </c>
      <c r="AQ148" s="1922">
        <f t="shared" si="110"/>
        <v>0</v>
      </c>
      <c r="AR148" s="1922">
        <f t="shared" si="110"/>
        <v>0</v>
      </c>
      <c r="AS148" s="1922">
        <f t="shared" si="110"/>
        <v>0</v>
      </c>
      <c r="AT148" s="1922">
        <f t="shared" si="110"/>
        <v>0</v>
      </c>
      <c r="AU148" s="1922">
        <f t="shared" si="110"/>
        <v>0</v>
      </c>
      <c r="AV148" s="1922">
        <f t="shared" si="110"/>
        <v>0</v>
      </c>
      <c r="AW148" s="1922">
        <f t="shared" si="110"/>
        <v>0</v>
      </c>
      <c r="AX148" s="1922">
        <f t="shared" si="110"/>
        <v>0</v>
      </c>
      <c r="AY148" s="1922">
        <f t="shared" si="110"/>
        <v>0</v>
      </c>
      <c r="AZ148" s="1922">
        <f t="shared" si="110"/>
        <v>0</v>
      </c>
      <c r="BA148" s="1922">
        <f t="shared" si="110"/>
        <v>0</v>
      </c>
      <c r="BB148" s="1922">
        <f t="shared" si="110"/>
        <v>0</v>
      </c>
      <c r="BC148" s="1922">
        <f t="shared" si="110"/>
        <v>0</v>
      </c>
      <c r="BD148" s="1922">
        <f t="shared" si="110"/>
        <v>0</v>
      </c>
      <c r="BE148" s="1922">
        <f t="shared" si="110"/>
        <v>0</v>
      </c>
      <c r="BF148" s="1922">
        <f t="shared" si="110"/>
        <v>0</v>
      </c>
      <c r="BG148" s="1922">
        <f t="shared" si="110"/>
        <v>0</v>
      </c>
      <c r="BH148" s="1922">
        <f t="shared" ref="BH148:BW148" si="111">IF(BH147&lt;&gt;0,IF($O5=0,0,$O5/($Q5*12)),0)</f>
        <v>0</v>
      </c>
      <c r="BI148" s="1922">
        <f t="shared" si="111"/>
        <v>0</v>
      </c>
      <c r="BJ148" s="1922">
        <f t="shared" si="111"/>
        <v>0</v>
      </c>
      <c r="BK148" s="1922">
        <f t="shared" si="111"/>
        <v>0</v>
      </c>
      <c r="BL148" s="1922">
        <f t="shared" si="111"/>
        <v>0</v>
      </c>
      <c r="BM148" s="1922">
        <f t="shared" si="111"/>
        <v>0</v>
      </c>
      <c r="BN148" s="1922">
        <f t="shared" si="111"/>
        <v>0</v>
      </c>
      <c r="BO148" s="1922">
        <f t="shared" si="111"/>
        <v>0</v>
      </c>
      <c r="BP148" s="1922">
        <f t="shared" si="111"/>
        <v>0</v>
      </c>
      <c r="BQ148" s="1922">
        <f t="shared" si="111"/>
        <v>0</v>
      </c>
      <c r="BR148" s="1922">
        <f t="shared" si="111"/>
        <v>0</v>
      </c>
      <c r="BS148" s="1922">
        <f t="shared" si="111"/>
        <v>0</v>
      </c>
      <c r="BT148" s="1922">
        <f t="shared" si="111"/>
        <v>0</v>
      </c>
      <c r="BU148" s="1922">
        <f t="shared" si="111"/>
        <v>0</v>
      </c>
      <c r="BV148" s="1922">
        <f t="shared" si="111"/>
        <v>0</v>
      </c>
      <c r="BW148" s="1924">
        <f t="shared" si="111"/>
        <v>0</v>
      </c>
      <c r="BX148" s="1926"/>
      <c r="BY148" s="1926"/>
      <c r="BZ148" s="1926"/>
      <c r="CA148" s="1926"/>
      <c r="CB148" s="1926"/>
      <c r="CC148" s="1926"/>
      <c r="CD148" s="1926"/>
      <c r="CE148" s="1926"/>
      <c r="CF148" s="1926"/>
      <c r="CG148" s="1926"/>
      <c r="CH148" s="1926"/>
      <c r="CI148" s="1926"/>
      <c r="CJ148" s="1926"/>
      <c r="CK148" s="1926"/>
      <c r="CL148" s="1926"/>
      <c r="CM148" s="1926"/>
      <c r="CN148" s="1926"/>
      <c r="CO148" s="1926"/>
      <c r="CP148" s="1926"/>
      <c r="CQ148" s="1926"/>
      <c r="CR148" s="1926"/>
      <c r="CS148" s="1926"/>
      <c r="CT148" s="1926"/>
      <c r="CU148" s="1926"/>
      <c r="CV148" s="1926"/>
      <c r="CW148" s="1926"/>
      <c r="CX148" s="1926"/>
      <c r="CY148" s="1926"/>
      <c r="CZ148" s="1926"/>
      <c r="DA148" s="1926"/>
      <c r="DB148" s="1926"/>
      <c r="DC148" s="1926"/>
      <c r="DD148" s="1926"/>
      <c r="DE148" s="1926"/>
      <c r="DF148" s="1926"/>
      <c r="DG148" s="1926"/>
      <c r="DH148" s="1926"/>
      <c r="DI148" s="1926"/>
      <c r="DJ148" s="1926"/>
      <c r="DK148" s="1926"/>
      <c r="DL148" s="1926"/>
      <c r="DM148" s="1926"/>
      <c r="DN148" s="1926"/>
      <c r="DO148" s="1926"/>
      <c r="DP148" s="1926"/>
      <c r="DQ148" s="1926"/>
      <c r="DR148" s="1926"/>
      <c r="DS148" s="1926"/>
      <c r="DT148" s="1926"/>
      <c r="DU148" s="1926"/>
      <c r="DV148" s="1926"/>
      <c r="DW148" s="1926"/>
      <c r="DX148" s="1926"/>
      <c r="DY148" s="1926"/>
      <c r="DZ148" s="1926"/>
      <c r="EA148" s="1926"/>
      <c r="EB148" s="1926"/>
      <c r="EC148" s="1926"/>
      <c r="ED148" s="1926"/>
      <c r="EE148" s="1926"/>
      <c r="EF148" s="1926"/>
      <c r="EG148" s="1926"/>
      <c r="EH148" s="1926"/>
      <c r="EI148" s="1926"/>
      <c r="EJ148" s="1926"/>
      <c r="EK148" s="1926"/>
      <c r="EL148" s="1926"/>
      <c r="EM148" s="1926"/>
      <c r="EN148" s="1926"/>
      <c r="EO148" s="1926"/>
      <c r="EP148" s="1926"/>
      <c r="EQ148" s="1926"/>
      <c r="ER148" s="1926"/>
      <c r="ES148" s="1926"/>
      <c r="ET148" s="1926"/>
      <c r="EU148" s="1926"/>
      <c r="EV148" s="1926"/>
      <c r="EW148" s="1926"/>
      <c r="EX148" s="1926"/>
      <c r="EY148" s="1926"/>
      <c r="EZ148" s="1926"/>
      <c r="FA148" s="1926"/>
      <c r="FB148" s="1926"/>
      <c r="FC148" s="1926"/>
      <c r="FD148" s="1926"/>
      <c r="FE148" s="1926"/>
      <c r="FF148" s="1926"/>
      <c r="FG148" s="1926"/>
      <c r="FH148" s="1926"/>
      <c r="FI148" s="1926"/>
      <c r="FJ148" s="1926"/>
      <c r="FK148" s="1926"/>
      <c r="FL148" s="1926"/>
      <c r="FM148" s="1926"/>
      <c r="FN148" s="1926"/>
      <c r="FO148" s="1926"/>
      <c r="FP148" s="1926"/>
      <c r="FQ148" s="1926"/>
      <c r="FR148" s="1926"/>
    </row>
    <row r="149" spans="2:174" s="37" customFormat="1" ht="14.25" hidden="1" customHeight="1">
      <c r="B149" s="37" t="s">
        <v>570</v>
      </c>
      <c r="H149" s="53"/>
      <c r="M149" s="53"/>
      <c r="O149" s="53"/>
      <c r="P149" s="53"/>
      <c r="Q149" s="53"/>
      <c r="R149" s="53"/>
      <c r="W149" s="53"/>
      <c r="Z149" s="53"/>
      <c r="AA149" s="1923"/>
      <c r="AB149" s="1922">
        <f t="shared" ref="AB149:BG149" si="112">IF($P6=AB145,$O6,0)</f>
        <v>0</v>
      </c>
      <c r="AC149" s="1922">
        <f t="shared" si="112"/>
        <v>0</v>
      </c>
      <c r="AD149" s="1922">
        <f t="shared" si="112"/>
        <v>0</v>
      </c>
      <c r="AE149" s="1922">
        <f t="shared" si="112"/>
        <v>0</v>
      </c>
      <c r="AF149" s="1922">
        <f t="shared" si="112"/>
        <v>0</v>
      </c>
      <c r="AG149" s="1922">
        <f t="shared" si="112"/>
        <v>0</v>
      </c>
      <c r="AH149" s="1922">
        <f t="shared" si="112"/>
        <v>0</v>
      </c>
      <c r="AI149" s="1922">
        <f t="shared" si="112"/>
        <v>0</v>
      </c>
      <c r="AJ149" s="1922">
        <f t="shared" si="112"/>
        <v>0</v>
      </c>
      <c r="AK149" s="1922">
        <f t="shared" si="112"/>
        <v>0</v>
      </c>
      <c r="AL149" s="1922">
        <f t="shared" si="112"/>
        <v>0</v>
      </c>
      <c r="AM149" s="1922">
        <f t="shared" si="112"/>
        <v>0</v>
      </c>
      <c r="AN149" s="1955">
        <f t="shared" si="112"/>
        <v>0</v>
      </c>
      <c r="AO149" s="1922">
        <f t="shared" si="112"/>
        <v>0</v>
      </c>
      <c r="AP149" s="1922">
        <f t="shared" si="112"/>
        <v>0</v>
      </c>
      <c r="AQ149" s="1922">
        <f t="shared" si="112"/>
        <v>0</v>
      </c>
      <c r="AR149" s="1922">
        <f t="shared" si="112"/>
        <v>0</v>
      </c>
      <c r="AS149" s="1922">
        <f t="shared" si="112"/>
        <v>0</v>
      </c>
      <c r="AT149" s="1922">
        <f t="shared" si="112"/>
        <v>0</v>
      </c>
      <c r="AU149" s="1922">
        <f t="shared" si="112"/>
        <v>0</v>
      </c>
      <c r="AV149" s="1922">
        <f t="shared" si="112"/>
        <v>0</v>
      </c>
      <c r="AW149" s="1922">
        <f t="shared" si="112"/>
        <v>0</v>
      </c>
      <c r="AX149" s="1922">
        <f t="shared" si="112"/>
        <v>0</v>
      </c>
      <c r="AY149" s="1922">
        <f t="shared" si="112"/>
        <v>0</v>
      </c>
      <c r="AZ149" s="1922">
        <f t="shared" si="112"/>
        <v>0</v>
      </c>
      <c r="BA149" s="1922">
        <f t="shared" si="112"/>
        <v>0</v>
      </c>
      <c r="BB149" s="1922">
        <f t="shared" si="112"/>
        <v>0</v>
      </c>
      <c r="BC149" s="1922">
        <f t="shared" si="112"/>
        <v>0</v>
      </c>
      <c r="BD149" s="1922">
        <f t="shared" si="112"/>
        <v>0</v>
      </c>
      <c r="BE149" s="1922">
        <f t="shared" si="112"/>
        <v>0</v>
      </c>
      <c r="BF149" s="1922">
        <f t="shared" si="112"/>
        <v>0</v>
      </c>
      <c r="BG149" s="1922">
        <f t="shared" si="112"/>
        <v>0</v>
      </c>
      <c r="BH149" s="1922">
        <f t="shared" ref="BH149:BW149" si="113">IF($P6=BH145,$O6,0)</f>
        <v>0</v>
      </c>
      <c r="BI149" s="1922">
        <f t="shared" si="113"/>
        <v>0</v>
      </c>
      <c r="BJ149" s="1922">
        <f t="shared" si="113"/>
        <v>0</v>
      </c>
      <c r="BK149" s="1922">
        <f t="shared" si="113"/>
        <v>0</v>
      </c>
      <c r="BL149" s="1922">
        <f t="shared" si="113"/>
        <v>0</v>
      </c>
      <c r="BM149" s="1922">
        <f t="shared" si="113"/>
        <v>0</v>
      </c>
      <c r="BN149" s="1922">
        <f t="shared" si="113"/>
        <v>0</v>
      </c>
      <c r="BO149" s="1922">
        <f t="shared" si="113"/>
        <v>0</v>
      </c>
      <c r="BP149" s="1922">
        <f t="shared" si="113"/>
        <v>0</v>
      </c>
      <c r="BQ149" s="1922">
        <f t="shared" si="113"/>
        <v>0</v>
      </c>
      <c r="BR149" s="1922">
        <f t="shared" si="113"/>
        <v>0</v>
      </c>
      <c r="BS149" s="1922">
        <f t="shared" si="113"/>
        <v>0</v>
      </c>
      <c r="BT149" s="1922">
        <f t="shared" si="113"/>
        <v>0</v>
      </c>
      <c r="BU149" s="1922">
        <f t="shared" si="113"/>
        <v>0</v>
      </c>
      <c r="BV149" s="1922">
        <f t="shared" si="113"/>
        <v>0</v>
      </c>
      <c r="BW149" s="1924">
        <f t="shared" si="113"/>
        <v>0</v>
      </c>
      <c r="BX149" s="1926"/>
      <c r="BY149" s="1926"/>
      <c r="BZ149" s="1926"/>
      <c r="CA149" s="1926"/>
      <c r="CB149" s="1926"/>
      <c r="CC149" s="1926"/>
      <c r="CD149" s="1926"/>
      <c r="CE149" s="1926"/>
      <c r="CF149" s="1926"/>
      <c r="CG149" s="1926"/>
      <c r="CH149" s="1926"/>
      <c r="CI149" s="1926"/>
      <c r="CJ149" s="1926"/>
      <c r="CK149" s="1926"/>
      <c r="CL149" s="1926"/>
      <c r="CM149" s="1926"/>
      <c r="CN149" s="1926"/>
      <c r="CO149" s="1926"/>
      <c r="CP149" s="1926"/>
      <c r="CQ149" s="1926"/>
      <c r="CR149" s="1926"/>
      <c r="CS149" s="1926"/>
      <c r="CT149" s="1926"/>
      <c r="CU149" s="1926"/>
      <c r="CV149" s="1926"/>
      <c r="CW149" s="1926"/>
      <c r="CX149" s="1926"/>
      <c r="CY149" s="1926"/>
      <c r="CZ149" s="1926"/>
      <c r="DA149" s="1926"/>
      <c r="DB149" s="1926"/>
      <c r="DC149" s="1926"/>
      <c r="DD149" s="1926"/>
      <c r="DE149" s="1926"/>
      <c r="DF149" s="1926"/>
      <c r="DG149" s="1926"/>
      <c r="DH149" s="1926"/>
      <c r="DI149" s="1926"/>
      <c r="DJ149" s="1926"/>
      <c r="DK149" s="1926"/>
      <c r="DL149" s="1926"/>
      <c r="DM149" s="1926"/>
      <c r="DN149" s="1926"/>
      <c r="DO149" s="1926"/>
      <c r="DP149" s="1926"/>
      <c r="DQ149" s="1926"/>
      <c r="DR149" s="1926"/>
      <c r="DS149" s="1926"/>
      <c r="DT149" s="1926"/>
      <c r="DU149" s="1926"/>
      <c r="DV149" s="1926"/>
      <c r="DW149" s="1926"/>
      <c r="DX149" s="1926"/>
      <c r="DY149" s="1926"/>
      <c r="DZ149" s="1926"/>
      <c r="EA149" s="1926"/>
      <c r="EB149" s="1926"/>
      <c r="EC149" s="1926"/>
      <c r="ED149" s="1926"/>
      <c r="EE149" s="1926"/>
      <c r="EF149" s="1926"/>
      <c r="EG149" s="1926"/>
      <c r="EH149" s="1926"/>
      <c r="EI149" s="1926"/>
      <c r="EJ149" s="1926"/>
      <c r="EK149" s="1926"/>
      <c r="EL149" s="1926"/>
      <c r="EM149" s="1926"/>
      <c r="EN149" s="1926"/>
      <c r="EO149" s="1926"/>
      <c r="EP149" s="1926"/>
      <c r="EQ149" s="1926"/>
      <c r="ER149" s="1926"/>
      <c r="ES149" s="1926"/>
      <c r="ET149" s="1926"/>
      <c r="EU149" s="1926"/>
      <c r="EV149" s="1926"/>
      <c r="EW149" s="1926"/>
      <c r="EX149" s="1926"/>
      <c r="EY149" s="1926"/>
      <c r="EZ149" s="1926"/>
      <c r="FA149" s="1926"/>
      <c r="FB149" s="1926"/>
      <c r="FC149" s="1926"/>
      <c r="FD149" s="1926"/>
      <c r="FE149" s="1926"/>
      <c r="FF149" s="1926"/>
      <c r="FG149" s="1926"/>
      <c r="FH149" s="1926"/>
      <c r="FI149" s="1926"/>
      <c r="FJ149" s="1926"/>
      <c r="FK149" s="1926"/>
      <c r="FL149" s="1926"/>
      <c r="FM149" s="1926"/>
      <c r="FN149" s="1926"/>
      <c r="FO149" s="1926"/>
      <c r="FP149" s="1926"/>
      <c r="FQ149" s="1926"/>
      <c r="FR149" s="1926"/>
    </row>
    <row r="150" spans="2:174" s="37" customFormat="1" ht="14.25" hidden="1" customHeight="1">
      <c r="B150" s="1921" t="s">
        <v>571</v>
      </c>
      <c r="H150" s="53"/>
      <c r="M150" s="53"/>
      <c r="O150" s="53"/>
      <c r="P150" s="53"/>
      <c r="Q150" s="53"/>
      <c r="R150" s="53"/>
      <c r="W150" s="53"/>
      <c r="Y150" s="1921"/>
      <c r="Z150" s="53"/>
      <c r="AA150" s="1923">
        <v>0</v>
      </c>
      <c r="AB150" s="1922">
        <f t="shared" ref="AB150:BG150" si="114">IF($O6=AB$149,1,IF(AA150&gt;0,IF(AA150&gt;=$Q6*12,0,AA150+1),0))</f>
        <v>1</v>
      </c>
      <c r="AC150" s="1922">
        <f t="shared" si="114"/>
        <v>1</v>
      </c>
      <c r="AD150" s="1922">
        <f t="shared" si="114"/>
        <v>1</v>
      </c>
      <c r="AE150" s="1922">
        <f t="shared" si="114"/>
        <v>1</v>
      </c>
      <c r="AF150" s="1922">
        <f t="shared" si="114"/>
        <v>1</v>
      </c>
      <c r="AG150" s="1922">
        <f t="shared" si="114"/>
        <v>1</v>
      </c>
      <c r="AH150" s="1922">
        <f t="shared" si="114"/>
        <v>1</v>
      </c>
      <c r="AI150" s="1922">
        <f t="shared" si="114"/>
        <v>1</v>
      </c>
      <c r="AJ150" s="1922">
        <f t="shared" si="114"/>
        <v>1</v>
      </c>
      <c r="AK150" s="1922">
        <f t="shared" si="114"/>
        <v>1</v>
      </c>
      <c r="AL150" s="1922">
        <f t="shared" si="114"/>
        <v>1</v>
      </c>
      <c r="AM150" s="1922">
        <f t="shared" si="114"/>
        <v>1</v>
      </c>
      <c r="AN150" s="1955">
        <f t="shared" si="114"/>
        <v>1</v>
      </c>
      <c r="AO150" s="1922">
        <f t="shared" si="114"/>
        <v>1</v>
      </c>
      <c r="AP150" s="1922">
        <f t="shared" si="114"/>
        <v>1</v>
      </c>
      <c r="AQ150" s="1922">
        <f t="shared" si="114"/>
        <v>1</v>
      </c>
      <c r="AR150" s="1922">
        <f t="shared" si="114"/>
        <v>1</v>
      </c>
      <c r="AS150" s="1922">
        <f t="shared" si="114"/>
        <v>1</v>
      </c>
      <c r="AT150" s="1922">
        <f t="shared" si="114"/>
        <v>1</v>
      </c>
      <c r="AU150" s="1922">
        <f t="shared" si="114"/>
        <v>1</v>
      </c>
      <c r="AV150" s="1922">
        <f t="shared" si="114"/>
        <v>1</v>
      </c>
      <c r="AW150" s="1922">
        <f t="shared" si="114"/>
        <v>1</v>
      </c>
      <c r="AX150" s="1922">
        <f t="shared" si="114"/>
        <v>1</v>
      </c>
      <c r="AY150" s="1922">
        <f t="shared" si="114"/>
        <v>1</v>
      </c>
      <c r="AZ150" s="1922">
        <f t="shared" si="114"/>
        <v>1</v>
      </c>
      <c r="BA150" s="1922">
        <f t="shared" si="114"/>
        <v>1</v>
      </c>
      <c r="BB150" s="1922">
        <f t="shared" si="114"/>
        <v>1</v>
      </c>
      <c r="BC150" s="1922">
        <f t="shared" si="114"/>
        <v>1</v>
      </c>
      <c r="BD150" s="1922">
        <f t="shared" si="114"/>
        <v>1</v>
      </c>
      <c r="BE150" s="1922">
        <f t="shared" si="114"/>
        <v>1</v>
      </c>
      <c r="BF150" s="1922">
        <f t="shared" si="114"/>
        <v>1</v>
      </c>
      <c r="BG150" s="1922">
        <f t="shared" si="114"/>
        <v>1</v>
      </c>
      <c r="BH150" s="1922">
        <f t="shared" ref="BH150:BW150" si="115">IF($O6=BH$149,1,IF(BG150&gt;0,IF(BG150&gt;=$Q6*12,0,BG150+1),0))</f>
        <v>1</v>
      </c>
      <c r="BI150" s="1922">
        <f t="shared" si="115"/>
        <v>1</v>
      </c>
      <c r="BJ150" s="1922">
        <f t="shared" si="115"/>
        <v>1</v>
      </c>
      <c r="BK150" s="1922">
        <f t="shared" si="115"/>
        <v>1</v>
      </c>
      <c r="BL150" s="1922">
        <f t="shared" si="115"/>
        <v>1</v>
      </c>
      <c r="BM150" s="1922">
        <f t="shared" si="115"/>
        <v>1</v>
      </c>
      <c r="BN150" s="1922">
        <f t="shared" si="115"/>
        <v>1</v>
      </c>
      <c r="BO150" s="1922">
        <f t="shared" si="115"/>
        <v>1</v>
      </c>
      <c r="BP150" s="1922">
        <f t="shared" si="115"/>
        <v>1</v>
      </c>
      <c r="BQ150" s="1922">
        <f t="shared" si="115"/>
        <v>1</v>
      </c>
      <c r="BR150" s="1922">
        <f t="shared" si="115"/>
        <v>1</v>
      </c>
      <c r="BS150" s="1922">
        <f t="shared" si="115"/>
        <v>1</v>
      </c>
      <c r="BT150" s="1922">
        <f t="shared" si="115"/>
        <v>1</v>
      </c>
      <c r="BU150" s="1922">
        <f t="shared" si="115"/>
        <v>1</v>
      </c>
      <c r="BV150" s="1922">
        <f t="shared" si="115"/>
        <v>1</v>
      </c>
      <c r="BW150" s="1924">
        <f t="shared" si="115"/>
        <v>1</v>
      </c>
      <c r="BX150" s="1926"/>
      <c r="BY150" s="1926"/>
      <c r="BZ150" s="1926"/>
      <c r="CA150" s="1926"/>
      <c r="CB150" s="1926"/>
      <c r="CC150" s="1926"/>
      <c r="CD150" s="1926"/>
      <c r="CE150" s="1926"/>
      <c r="CF150" s="1926"/>
      <c r="CG150" s="1926"/>
      <c r="CH150" s="1926"/>
      <c r="CI150" s="1926"/>
      <c r="CJ150" s="1926"/>
      <c r="CK150" s="1926"/>
      <c r="CL150" s="1926"/>
      <c r="CM150" s="1926"/>
      <c r="CN150" s="1926"/>
      <c r="CO150" s="1926"/>
      <c r="CP150" s="1926"/>
      <c r="CQ150" s="1926"/>
      <c r="CR150" s="1926"/>
      <c r="CS150" s="1926"/>
      <c r="CT150" s="1926"/>
      <c r="CU150" s="1926"/>
      <c r="CV150" s="1926"/>
      <c r="CW150" s="1926"/>
      <c r="CX150" s="1926"/>
      <c r="CY150" s="1926"/>
      <c r="CZ150" s="1926"/>
      <c r="DA150" s="1926"/>
      <c r="DB150" s="1926"/>
      <c r="DC150" s="1926"/>
      <c r="DD150" s="1926"/>
      <c r="DE150" s="1926"/>
      <c r="DF150" s="1926"/>
      <c r="DG150" s="1926"/>
      <c r="DH150" s="1926"/>
      <c r="DI150" s="1926"/>
      <c r="DJ150" s="1926"/>
      <c r="DK150" s="1926"/>
      <c r="DL150" s="1926"/>
      <c r="DM150" s="1926"/>
      <c r="DN150" s="1926"/>
      <c r="DO150" s="1926"/>
      <c r="DP150" s="1926"/>
      <c r="DQ150" s="1926"/>
      <c r="DR150" s="1926"/>
      <c r="DS150" s="1926"/>
      <c r="DT150" s="1926"/>
      <c r="DU150" s="1926"/>
      <c r="DV150" s="1926"/>
      <c r="DW150" s="1926"/>
      <c r="DX150" s="1926"/>
      <c r="DY150" s="1926"/>
      <c r="DZ150" s="1926"/>
      <c r="EA150" s="1926"/>
      <c r="EB150" s="1926"/>
      <c r="EC150" s="1926"/>
      <c r="ED150" s="1926"/>
      <c r="EE150" s="1926"/>
      <c r="EF150" s="1926"/>
      <c r="EG150" s="1926"/>
      <c r="EH150" s="1926"/>
      <c r="EI150" s="1926"/>
      <c r="EJ150" s="1926"/>
      <c r="EK150" s="1926"/>
      <c r="EL150" s="1926"/>
      <c r="EM150" s="1926"/>
      <c r="EN150" s="1926"/>
      <c r="EO150" s="1926"/>
      <c r="EP150" s="1926"/>
      <c r="EQ150" s="1926"/>
      <c r="ER150" s="1926"/>
      <c r="ES150" s="1926"/>
      <c r="ET150" s="1926"/>
      <c r="EU150" s="1926"/>
      <c r="EV150" s="1926"/>
      <c r="EW150" s="1926"/>
      <c r="EX150" s="1926"/>
      <c r="EY150" s="1926"/>
      <c r="EZ150" s="1926"/>
      <c r="FA150" s="1926"/>
      <c r="FB150" s="1926"/>
      <c r="FC150" s="1926"/>
      <c r="FD150" s="1926"/>
      <c r="FE150" s="1926"/>
      <c r="FF150" s="1926"/>
      <c r="FG150" s="1926"/>
      <c r="FH150" s="1926"/>
      <c r="FI150" s="1926"/>
      <c r="FJ150" s="1926"/>
      <c r="FK150" s="1926"/>
      <c r="FL150" s="1926"/>
      <c r="FM150" s="1926"/>
      <c r="FN150" s="1926"/>
      <c r="FO150" s="1926"/>
      <c r="FP150" s="1926"/>
      <c r="FQ150" s="1926"/>
      <c r="FR150" s="1926"/>
    </row>
    <row r="151" spans="2:174" s="37" customFormat="1" ht="14.25" hidden="1" customHeight="1">
      <c r="B151" s="37" t="s">
        <v>572</v>
      </c>
      <c r="H151" s="53"/>
      <c r="M151" s="53"/>
      <c r="O151" s="53"/>
      <c r="P151" s="53"/>
      <c r="Q151" s="53"/>
      <c r="R151" s="53"/>
      <c r="W151" s="53"/>
      <c r="Z151" s="53"/>
      <c r="AA151" s="1928"/>
      <c r="AB151" s="1922">
        <f t="shared" ref="AB151:BG151" si="116">IF(AB150&lt;&gt;0,IF($O6=0,0,$O6/($Q6*12)),0)</f>
        <v>0</v>
      </c>
      <c r="AC151" s="1922">
        <f t="shared" si="116"/>
        <v>0</v>
      </c>
      <c r="AD151" s="1922">
        <f t="shared" si="116"/>
        <v>0</v>
      </c>
      <c r="AE151" s="1922">
        <f t="shared" si="116"/>
        <v>0</v>
      </c>
      <c r="AF151" s="1922">
        <f t="shared" si="116"/>
        <v>0</v>
      </c>
      <c r="AG151" s="1922">
        <f t="shared" si="116"/>
        <v>0</v>
      </c>
      <c r="AH151" s="1922">
        <f t="shared" si="116"/>
        <v>0</v>
      </c>
      <c r="AI151" s="1922">
        <f t="shared" si="116"/>
        <v>0</v>
      </c>
      <c r="AJ151" s="1922">
        <f t="shared" si="116"/>
        <v>0</v>
      </c>
      <c r="AK151" s="1922">
        <f t="shared" si="116"/>
        <v>0</v>
      </c>
      <c r="AL151" s="1922">
        <f t="shared" si="116"/>
        <v>0</v>
      </c>
      <c r="AM151" s="1922">
        <f t="shared" si="116"/>
        <v>0</v>
      </c>
      <c r="AN151" s="1955">
        <f t="shared" si="116"/>
        <v>0</v>
      </c>
      <c r="AO151" s="1922">
        <f t="shared" si="116"/>
        <v>0</v>
      </c>
      <c r="AP151" s="1922">
        <f t="shared" si="116"/>
        <v>0</v>
      </c>
      <c r="AQ151" s="1922">
        <f t="shared" si="116"/>
        <v>0</v>
      </c>
      <c r="AR151" s="1922">
        <f t="shared" si="116"/>
        <v>0</v>
      </c>
      <c r="AS151" s="1922">
        <f t="shared" si="116"/>
        <v>0</v>
      </c>
      <c r="AT151" s="1922">
        <f t="shared" si="116"/>
        <v>0</v>
      </c>
      <c r="AU151" s="1922">
        <f t="shared" si="116"/>
        <v>0</v>
      </c>
      <c r="AV151" s="1922">
        <f t="shared" si="116"/>
        <v>0</v>
      </c>
      <c r="AW151" s="1922">
        <f t="shared" si="116"/>
        <v>0</v>
      </c>
      <c r="AX151" s="1922">
        <f t="shared" si="116"/>
        <v>0</v>
      </c>
      <c r="AY151" s="1922">
        <f t="shared" si="116"/>
        <v>0</v>
      </c>
      <c r="AZ151" s="1922">
        <f t="shared" si="116"/>
        <v>0</v>
      </c>
      <c r="BA151" s="1922">
        <f t="shared" si="116"/>
        <v>0</v>
      </c>
      <c r="BB151" s="1922">
        <f t="shared" si="116"/>
        <v>0</v>
      </c>
      <c r="BC151" s="1922">
        <f t="shared" si="116"/>
        <v>0</v>
      </c>
      <c r="BD151" s="1922">
        <f t="shared" si="116"/>
        <v>0</v>
      </c>
      <c r="BE151" s="1922">
        <f t="shared" si="116"/>
        <v>0</v>
      </c>
      <c r="BF151" s="1922">
        <f t="shared" si="116"/>
        <v>0</v>
      </c>
      <c r="BG151" s="1922">
        <f t="shared" si="116"/>
        <v>0</v>
      </c>
      <c r="BH151" s="1922">
        <f t="shared" ref="BH151:BW151" si="117">IF(BH150&lt;&gt;0,IF($O6=0,0,$O6/($Q6*12)),0)</f>
        <v>0</v>
      </c>
      <c r="BI151" s="1922">
        <f t="shared" si="117"/>
        <v>0</v>
      </c>
      <c r="BJ151" s="1922">
        <f t="shared" si="117"/>
        <v>0</v>
      </c>
      <c r="BK151" s="1922">
        <f t="shared" si="117"/>
        <v>0</v>
      </c>
      <c r="BL151" s="1922">
        <f t="shared" si="117"/>
        <v>0</v>
      </c>
      <c r="BM151" s="1922">
        <f t="shared" si="117"/>
        <v>0</v>
      </c>
      <c r="BN151" s="1922">
        <f t="shared" si="117"/>
        <v>0</v>
      </c>
      <c r="BO151" s="1922">
        <f t="shared" si="117"/>
        <v>0</v>
      </c>
      <c r="BP151" s="1922">
        <f t="shared" si="117"/>
        <v>0</v>
      </c>
      <c r="BQ151" s="1922">
        <f t="shared" si="117"/>
        <v>0</v>
      </c>
      <c r="BR151" s="1922">
        <f t="shared" si="117"/>
        <v>0</v>
      </c>
      <c r="BS151" s="1922">
        <f t="shared" si="117"/>
        <v>0</v>
      </c>
      <c r="BT151" s="1922">
        <f t="shared" si="117"/>
        <v>0</v>
      </c>
      <c r="BU151" s="1922">
        <f t="shared" si="117"/>
        <v>0</v>
      </c>
      <c r="BV151" s="1922">
        <f t="shared" si="117"/>
        <v>0</v>
      </c>
      <c r="BW151" s="1924">
        <f t="shared" si="117"/>
        <v>0</v>
      </c>
      <c r="BX151" s="1926"/>
      <c r="BY151" s="1926"/>
      <c r="BZ151" s="1926"/>
      <c r="CA151" s="1926"/>
      <c r="CB151" s="1926"/>
      <c r="CC151" s="1926"/>
      <c r="CD151" s="1926"/>
      <c r="CE151" s="1926"/>
      <c r="CF151" s="1926"/>
      <c r="CG151" s="1926"/>
      <c r="CH151" s="1926"/>
      <c r="CI151" s="1926"/>
      <c r="CJ151" s="1926"/>
      <c r="CK151" s="1926"/>
      <c r="CL151" s="1926"/>
      <c r="CM151" s="1926"/>
      <c r="CN151" s="1926"/>
      <c r="CO151" s="1926"/>
      <c r="CP151" s="1926"/>
      <c r="CQ151" s="1926"/>
      <c r="CR151" s="1926"/>
      <c r="CS151" s="1926"/>
      <c r="CT151" s="1926"/>
      <c r="CU151" s="1926"/>
      <c r="CV151" s="1926"/>
      <c r="CW151" s="1926"/>
      <c r="CX151" s="1926"/>
      <c r="CY151" s="1926"/>
      <c r="CZ151" s="1926"/>
      <c r="DA151" s="1926"/>
      <c r="DB151" s="1926"/>
      <c r="DC151" s="1926"/>
      <c r="DD151" s="1926"/>
      <c r="DE151" s="1926"/>
      <c r="DF151" s="1926"/>
      <c r="DG151" s="1926"/>
      <c r="DH151" s="1926"/>
      <c r="DI151" s="1926"/>
      <c r="DJ151" s="1926"/>
      <c r="DK151" s="1926"/>
      <c r="DL151" s="1926"/>
      <c r="DM151" s="1926"/>
      <c r="DN151" s="1926"/>
      <c r="DO151" s="1926"/>
      <c r="DP151" s="1926"/>
      <c r="DQ151" s="1926"/>
      <c r="DR151" s="1926"/>
      <c r="DS151" s="1926"/>
      <c r="DT151" s="1926"/>
      <c r="DU151" s="1926"/>
      <c r="DV151" s="1926"/>
      <c r="DW151" s="1926"/>
      <c r="DX151" s="1926"/>
      <c r="DY151" s="1926"/>
      <c r="DZ151" s="1926"/>
      <c r="EA151" s="1926"/>
      <c r="EB151" s="1926"/>
      <c r="EC151" s="1926"/>
      <c r="ED151" s="1926"/>
      <c r="EE151" s="1926"/>
      <c r="EF151" s="1926"/>
      <c r="EG151" s="1926"/>
      <c r="EH151" s="1926"/>
      <c r="EI151" s="1926"/>
      <c r="EJ151" s="1926"/>
      <c r="EK151" s="1926"/>
      <c r="EL151" s="1926"/>
      <c r="EM151" s="1926"/>
      <c r="EN151" s="1926"/>
      <c r="EO151" s="1926"/>
      <c r="EP151" s="1926"/>
      <c r="EQ151" s="1926"/>
      <c r="ER151" s="1926"/>
      <c r="ES151" s="1926"/>
      <c r="ET151" s="1926"/>
      <c r="EU151" s="1926"/>
      <c r="EV151" s="1926"/>
      <c r="EW151" s="1926"/>
      <c r="EX151" s="1926"/>
      <c r="EY151" s="1926"/>
      <c r="EZ151" s="1926"/>
      <c r="FA151" s="1926"/>
      <c r="FB151" s="1926"/>
      <c r="FC151" s="1926"/>
      <c r="FD151" s="1926"/>
      <c r="FE151" s="1926"/>
      <c r="FF151" s="1926"/>
      <c r="FG151" s="1926"/>
      <c r="FH151" s="1926"/>
      <c r="FI151" s="1926"/>
      <c r="FJ151" s="1926"/>
      <c r="FK151" s="1926"/>
      <c r="FL151" s="1926"/>
      <c r="FM151" s="1926"/>
      <c r="FN151" s="1926"/>
      <c r="FO151" s="1926"/>
      <c r="FP151" s="1926"/>
      <c r="FQ151" s="1926"/>
      <c r="FR151" s="1926"/>
    </row>
    <row r="152" spans="2:174" s="37" customFormat="1" ht="14.25" hidden="1" customHeight="1">
      <c r="B152" s="37" t="s">
        <v>570</v>
      </c>
      <c r="H152" s="53"/>
      <c r="M152" s="53"/>
      <c r="O152" s="53"/>
      <c r="P152" s="53"/>
      <c r="Q152" s="53"/>
      <c r="R152" s="53"/>
      <c r="W152" s="53"/>
      <c r="Z152" s="53"/>
      <c r="AA152" s="1923"/>
      <c r="AB152" s="1922">
        <f t="shared" ref="AB152:BG152" si="118">IF($P7=AB145,$O7,0)</f>
        <v>0</v>
      </c>
      <c r="AC152" s="1922">
        <f t="shared" si="118"/>
        <v>0</v>
      </c>
      <c r="AD152" s="1922">
        <f t="shared" si="118"/>
        <v>0</v>
      </c>
      <c r="AE152" s="1922">
        <f t="shared" si="118"/>
        <v>0</v>
      </c>
      <c r="AF152" s="1922">
        <f t="shared" si="118"/>
        <v>0</v>
      </c>
      <c r="AG152" s="1922">
        <f t="shared" si="118"/>
        <v>0</v>
      </c>
      <c r="AH152" s="1922">
        <f t="shared" si="118"/>
        <v>0</v>
      </c>
      <c r="AI152" s="1922">
        <f t="shared" si="118"/>
        <v>0</v>
      </c>
      <c r="AJ152" s="1922">
        <f t="shared" si="118"/>
        <v>0</v>
      </c>
      <c r="AK152" s="1922">
        <f t="shared" si="118"/>
        <v>0</v>
      </c>
      <c r="AL152" s="1922">
        <f t="shared" si="118"/>
        <v>0</v>
      </c>
      <c r="AM152" s="1922">
        <f t="shared" si="118"/>
        <v>0</v>
      </c>
      <c r="AN152" s="1955">
        <f t="shared" si="118"/>
        <v>0</v>
      </c>
      <c r="AO152" s="1922">
        <f t="shared" si="118"/>
        <v>0</v>
      </c>
      <c r="AP152" s="1922">
        <f t="shared" si="118"/>
        <v>0</v>
      </c>
      <c r="AQ152" s="1922">
        <f t="shared" si="118"/>
        <v>0</v>
      </c>
      <c r="AR152" s="1922">
        <f t="shared" si="118"/>
        <v>0</v>
      </c>
      <c r="AS152" s="1922">
        <f t="shared" si="118"/>
        <v>0</v>
      </c>
      <c r="AT152" s="1922">
        <f t="shared" si="118"/>
        <v>0</v>
      </c>
      <c r="AU152" s="1922">
        <f t="shared" si="118"/>
        <v>0</v>
      </c>
      <c r="AV152" s="1922">
        <f t="shared" si="118"/>
        <v>0</v>
      </c>
      <c r="AW152" s="1922">
        <f t="shared" si="118"/>
        <v>0</v>
      </c>
      <c r="AX152" s="1922">
        <f t="shared" si="118"/>
        <v>0</v>
      </c>
      <c r="AY152" s="1922">
        <f t="shared" si="118"/>
        <v>0</v>
      </c>
      <c r="AZ152" s="1922">
        <f t="shared" si="118"/>
        <v>0</v>
      </c>
      <c r="BA152" s="1922">
        <f t="shared" si="118"/>
        <v>0</v>
      </c>
      <c r="BB152" s="1922">
        <f t="shared" si="118"/>
        <v>0</v>
      </c>
      <c r="BC152" s="1922">
        <f t="shared" si="118"/>
        <v>0</v>
      </c>
      <c r="BD152" s="1922">
        <f t="shared" si="118"/>
        <v>0</v>
      </c>
      <c r="BE152" s="1922">
        <f t="shared" si="118"/>
        <v>0</v>
      </c>
      <c r="BF152" s="1922">
        <f t="shared" si="118"/>
        <v>0</v>
      </c>
      <c r="BG152" s="1922">
        <f t="shared" si="118"/>
        <v>0</v>
      </c>
      <c r="BH152" s="1922">
        <f t="shared" ref="BH152:BW152" si="119">IF($P7=BH145,$O7,0)</f>
        <v>0</v>
      </c>
      <c r="BI152" s="1922">
        <f t="shared" si="119"/>
        <v>0</v>
      </c>
      <c r="BJ152" s="1922">
        <f t="shared" si="119"/>
        <v>0</v>
      </c>
      <c r="BK152" s="1922">
        <f t="shared" si="119"/>
        <v>0</v>
      </c>
      <c r="BL152" s="1922">
        <f t="shared" si="119"/>
        <v>0</v>
      </c>
      <c r="BM152" s="1922">
        <f t="shared" si="119"/>
        <v>0</v>
      </c>
      <c r="BN152" s="1922">
        <f t="shared" si="119"/>
        <v>0</v>
      </c>
      <c r="BO152" s="1922">
        <f t="shared" si="119"/>
        <v>0</v>
      </c>
      <c r="BP152" s="1922">
        <f t="shared" si="119"/>
        <v>0</v>
      </c>
      <c r="BQ152" s="1922">
        <f t="shared" si="119"/>
        <v>0</v>
      </c>
      <c r="BR152" s="1922">
        <f t="shared" si="119"/>
        <v>0</v>
      </c>
      <c r="BS152" s="1922">
        <f t="shared" si="119"/>
        <v>0</v>
      </c>
      <c r="BT152" s="1922">
        <f t="shared" si="119"/>
        <v>0</v>
      </c>
      <c r="BU152" s="1922">
        <f t="shared" si="119"/>
        <v>0</v>
      </c>
      <c r="BV152" s="1922">
        <f t="shared" si="119"/>
        <v>0</v>
      </c>
      <c r="BW152" s="1924">
        <f t="shared" si="119"/>
        <v>0</v>
      </c>
      <c r="BX152" s="1926"/>
      <c r="BY152" s="1926"/>
      <c r="BZ152" s="1926"/>
      <c r="CA152" s="1926"/>
      <c r="CB152" s="1926"/>
      <c r="CC152" s="1926"/>
      <c r="CD152" s="1926"/>
      <c r="CE152" s="1926"/>
      <c r="CF152" s="1926"/>
      <c r="CG152" s="1926"/>
      <c r="CH152" s="1926"/>
      <c r="CI152" s="1926"/>
      <c r="CJ152" s="1926"/>
      <c r="CK152" s="1926"/>
      <c r="CL152" s="1926"/>
      <c r="CM152" s="1926"/>
      <c r="CN152" s="1926"/>
      <c r="CO152" s="1926"/>
      <c r="CP152" s="1926"/>
      <c r="CQ152" s="1926"/>
      <c r="CR152" s="1926"/>
      <c r="CS152" s="1926"/>
      <c r="CT152" s="1926"/>
      <c r="CU152" s="1926"/>
      <c r="CV152" s="1926"/>
      <c r="CW152" s="1926"/>
      <c r="CX152" s="1926"/>
      <c r="CY152" s="1926"/>
      <c r="CZ152" s="1926"/>
      <c r="DA152" s="1926"/>
      <c r="DB152" s="1926"/>
      <c r="DC152" s="1926"/>
      <c r="DD152" s="1926"/>
      <c r="DE152" s="1926"/>
      <c r="DF152" s="1926"/>
      <c r="DG152" s="1926"/>
      <c r="DH152" s="1926"/>
      <c r="DI152" s="1926"/>
      <c r="DJ152" s="1926"/>
      <c r="DK152" s="1926"/>
      <c r="DL152" s="1926"/>
      <c r="DM152" s="1926"/>
      <c r="DN152" s="1926"/>
      <c r="DO152" s="1926"/>
      <c r="DP152" s="1926"/>
      <c r="DQ152" s="1926"/>
      <c r="DR152" s="1926"/>
      <c r="DS152" s="1926"/>
      <c r="DT152" s="1926"/>
      <c r="DU152" s="1926"/>
      <c r="DV152" s="1926"/>
      <c r="DW152" s="1926"/>
      <c r="DX152" s="1926"/>
      <c r="DY152" s="1926"/>
      <c r="DZ152" s="1926"/>
      <c r="EA152" s="1926"/>
      <c r="EB152" s="1926"/>
      <c r="EC152" s="1926"/>
      <c r="ED152" s="1926"/>
      <c r="EE152" s="1926"/>
      <c r="EF152" s="1926"/>
      <c r="EG152" s="1926"/>
      <c r="EH152" s="1926"/>
      <c r="EI152" s="1926"/>
      <c r="EJ152" s="1926"/>
      <c r="EK152" s="1926"/>
      <c r="EL152" s="1926"/>
      <c r="EM152" s="1926"/>
      <c r="EN152" s="1926"/>
      <c r="EO152" s="1926"/>
      <c r="EP152" s="1926"/>
      <c r="EQ152" s="1926"/>
      <c r="ER152" s="1926"/>
      <c r="ES152" s="1926"/>
      <c r="ET152" s="1926"/>
      <c r="EU152" s="1926"/>
      <c r="EV152" s="1926"/>
      <c r="EW152" s="1926"/>
      <c r="EX152" s="1926"/>
      <c r="EY152" s="1926"/>
      <c r="EZ152" s="1926"/>
      <c r="FA152" s="1926"/>
      <c r="FB152" s="1926"/>
      <c r="FC152" s="1926"/>
      <c r="FD152" s="1926"/>
      <c r="FE152" s="1926"/>
      <c r="FF152" s="1926"/>
      <c r="FG152" s="1926"/>
      <c r="FH152" s="1926"/>
      <c r="FI152" s="1926"/>
      <c r="FJ152" s="1926"/>
      <c r="FK152" s="1926"/>
      <c r="FL152" s="1926"/>
      <c r="FM152" s="1926"/>
      <c r="FN152" s="1926"/>
      <c r="FO152" s="1926"/>
      <c r="FP152" s="1926"/>
      <c r="FQ152" s="1926"/>
      <c r="FR152" s="1926"/>
    </row>
    <row r="153" spans="2:174" s="37" customFormat="1" ht="14.25" hidden="1" customHeight="1">
      <c r="B153" s="1921" t="s">
        <v>571</v>
      </c>
      <c r="H153" s="53"/>
      <c r="M153" s="53"/>
      <c r="O153" s="53"/>
      <c r="P153" s="53"/>
      <c r="Q153" s="53"/>
      <c r="R153" s="53"/>
      <c r="W153" s="53"/>
      <c r="Y153" s="1921"/>
      <c r="Z153" s="53"/>
      <c r="AA153" s="1923">
        <v>0</v>
      </c>
      <c r="AB153" s="1922">
        <f t="shared" ref="AB153:BG153" si="120">IF($O7=AB$152,1,IF(AA153&gt;0,IF(AA153&gt;=$Q7*12,0,AA153+1),0))</f>
        <v>1</v>
      </c>
      <c r="AC153" s="1922">
        <f t="shared" si="120"/>
        <v>1</v>
      </c>
      <c r="AD153" s="1922">
        <f t="shared" si="120"/>
        <v>1</v>
      </c>
      <c r="AE153" s="1922">
        <f t="shared" si="120"/>
        <v>1</v>
      </c>
      <c r="AF153" s="1922">
        <f t="shared" si="120"/>
        <v>1</v>
      </c>
      <c r="AG153" s="1922">
        <f t="shared" si="120"/>
        <v>1</v>
      </c>
      <c r="AH153" s="1922">
        <f t="shared" si="120"/>
        <v>1</v>
      </c>
      <c r="AI153" s="1922">
        <f t="shared" si="120"/>
        <v>1</v>
      </c>
      <c r="AJ153" s="1922">
        <f t="shared" si="120"/>
        <v>1</v>
      </c>
      <c r="AK153" s="1922">
        <f t="shared" si="120"/>
        <v>1</v>
      </c>
      <c r="AL153" s="1922">
        <f t="shared" si="120"/>
        <v>1</v>
      </c>
      <c r="AM153" s="1922">
        <f t="shared" si="120"/>
        <v>1</v>
      </c>
      <c r="AN153" s="1955">
        <f t="shared" si="120"/>
        <v>1</v>
      </c>
      <c r="AO153" s="1922">
        <f t="shared" si="120"/>
        <v>1</v>
      </c>
      <c r="AP153" s="1922">
        <f t="shared" si="120"/>
        <v>1</v>
      </c>
      <c r="AQ153" s="1922">
        <f t="shared" si="120"/>
        <v>1</v>
      </c>
      <c r="AR153" s="1922">
        <f t="shared" si="120"/>
        <v>1</v>
      </c>
      <c r="AS153" s="1922">
        <f t="shared" si="120"/>
        <v>1</v>
      </c>
      <c r="AT153" s="1922">
        <f t="shared" si="120"/>
        <v>1</v>
      </c>
      <c r="AU153" s="1922">
        <f t="shared" si="120"/>
        <v>1</v>
      </c>
      <c r="AV153" s="1922">
        <f t="shared" si="120"/>
        <v>1</v>
      </c>
      <c r="AW153" s="1922">
        <f t="shared" si="120"/>
        <v>1</v>
      </c>
      <c r="AX153" s="1922">
        <f t="shared" si="120"/>
        <v>1</v>
      </c>
      <c r="AY153" s="1922">
        <f t="shared" si="120"/>
        <v>1</v>
      </c>
      <c r="AZ153" s="1922">
        <f t="shared" si="120"/>
        <v>1</v>
      </c>
      <c r="BA153" s="1922">
        <f t="shared" si="120"/>
        <v>1</v>
      </c>
      <c r="BB153" s="1922">
        <f t="shared" si="120"/>
        <v>1</v>
      </c>
      <c r="BC153" s="1922">
        <f t="shared" si="120"/>
        <v>1</v>
      </c>
      <c r="BD153" s="1922">
        <f t="shared" si="120"/>
        <v>1</v>
      </c>
      <c r="BE153" s="1922">
        <f t="shared" si="120"/>
        <v>1</v>
      </c>
      <c r="BF153" s="1922">
        <f t="shared" si="120"/>
        <v>1</v>
      </c>
      <c r="BG153" s="1922">
        <f t="shared" si="120"/>
        <v>1</v>
      </c>
      <c r="BH153" s="1922">
        <f t="shared" ref="BH153:BW153" si="121">IF($O7=BH$152,1,IF(BG153&gt;0,IF(BG153&gt;=$Q7*12,0,BG153+1),0))</f>
        <v>1</v>
      </c>
      <c r="BI153" s="1922">
        <f t="shared" si="121"/>
        <v>1</v>
      </c>
      <c r="BJ153" s="1922">
        <f t="shared" si="121"/>
        <v>1</v>
      </c>
      <c r="BK153" s="1922">
        <f t="shared" si="121"/>
        <v>1</v>
      </c>
      <c r="BL153" s="1922">
        <f t="shared" si="121"/>
        <v>1</v>
      </c>
      <c r="BM153" s="1922">
        <f t="shared" si="121"/>
        <v>1</v>
      </c>
      <c r="BN153" s="1922">
        <f t="shared" si="121"/>
        <v>1</v>
      </c>
      <c r="BO153" s="1922">
        <f t="shared" si="121"/>
        <v>1</v>
      </c>
      <c r="BP153" s="1922">
        <f t="shared" si="121"/>
        <v>1</v>
      </c>
      <c r="BQ153" s="1922">
        <f t="shared" si="121"/>
        <v>1</v>
      </c>
      <c r="BR153" s="1922">
        <f t="shared" si="121"/>
        <v>1</v>
      </c>
      <c r="BS153" s="1922">
        <f t="shared" si="121"/>
        <v>1</v>
      </c>
      <c r="BT153" s="1922">
        <f t="shared" si="121"/>
        <v>1</v>
      </c>
      <c r="BU153" s="1922">
        <f t="shared" si="121"/>
        <v>1</v>
      </c>
      <c r="BV153" s="1922">
        <f t="shared" si="121"/>
        <v>1</v>
      </c>
      <c r="BW153" s="1924">
        <f t="shared" si="121"/>
        <v>1</v>
      </c>
      <c r="BX153" s="1926"/>
      <c r="BY153" s="1926"/>
      <c r="BZ153" s="1926"/>
      <c r="CA153" s="1926"/>
      <c r="CB153" s="1926"/>
      <c r="CC153" s="1926"/>
      <c r="CD153" s="1926"/>
      <c r="CE153" s="1926"/>
      <c r="CF153" s="1926"/>
      <c r="CG153" s="1926"/>
      <c r="CH153" s="1926"/>
      <c r="CI153" s="1926"/>
      <c r="CJ153" s="1926"/>
      <c r="CK153" s="1926"/>
      <c r="CL153" s="1926"/>
      <c r="CM153" s="1926"/>
      <c r="CN153" s="1926"/>
      <c r="CO153" s="1926"/>
      <c r="CP153" s="1926"/>
      <c r="CQ153" s="1926"/>
      <c r="CR153" s="1926"/>
      <c r="CS153" s="1926"/>
      <c r="CT153" s="1926"/>
      <c r="CU153" s="1926"/>
      <c r="CV153" s="1926"/>
      <c r="CW153" s="1926"/>
      <c r="CX153" s="1926"/>
      <c r="CY153" s="1926"/>
      <c r="CZ153" s="1926"/>
      <c r="DA153" s="1926"/>
      <c r="DB153" s="1926"/>
      <c r="DC153" s="1926"/>
      <c r="DD153" s="1926"/>
      <c r="DE153" s="1926"/>
      <c r="DF153" s="1926"/>
      <c r="DG153" s="1926"/>
      <c r="DH153" s="1926"/>
      <c r="DI153" s="1926"/>
      <c r="DJ153" s="1926"/>
      <c r="DK153" s="1926"/>
      <c r="DL153" s="1926"/>
      <c r="DM153" s="1926"/>
      <c r="DN153" s="1926"/>
      <c r="DO153" s="1926"/>
      <c r="DP153" s="1926"/>
      <c r="DQ153" s="1926"/>
      <c r="DR153" s="1926"/>
      <c r="DS153" s="1926"/>
      <c r="DT153" s="1926"/>
      <c r="DU153" s="1926"/>
      <c r="DV153" s="1926"/>
      <c r="DW153" s="1926"/>
      <c r="DX153" s="1926"/>
      <c r="DY153" s="1926"/>
      <c r="DZ153" s="1926"/>
      <c r="EA153" s="1926"/>
      <c r="EB153" s="1926"/>
      <c r="EC153" s="1926"/>
      <c r="ED153" s="1926"/>
      <c r="EE153" s="1926"/>
      <c r="EF153" s="1926"/>
      <c r="EG153" s="1926"/>
      <c r="EH153" s="1926"/>
      <c r="EI153" s="1926"/>
      <c r="EJ153" s="1926"/>
      <c r="EK153" s="1926"/>
      <c r="EL153" s="1926"/>
      <c r="EM153" s="1926"/>
      <c r="EN153" s="1926"/>
      <c r="EO153" s="1926"/>
      <c r="EP153" s="1926"/>
      <c r="EQ153" s="1926"/>
      <c r="ER153" s="1926"/>
      <c r="ES153" s="1926"/>
      <c r="ET153" s="1926"/>
      <c r="EU153" s="1926"/>
      <c r="EV153" s="1926"/>
      <c r="EW153" s="1926"/>
      <c r="EX153" s="1926"/>
      <c r="EY153" s="1926"/>
      <c r="EZ153" s="1926"/>
      <c r="FA153" s="1926"/>
      <c r="FB153" s="1926"/>
      <c r="FC153" s="1926"/>
      <c r="FD153" s="1926"/>
      <c r="FE153" s="1926"/>
      <c r="FF153" s="1926"/>
      <c r="FG153" s="1926"/>
      <c r="FH153" s="1926"/>
      <c r="FI153" s="1926"/>
      <c r="FJ153" s="1926"/>
      <c r="FK153" s="1926"/>
      <c r="FL153" s="1926"/>
      <c r="FM153" s="1926"/>
      <c r="FN153" s="1926"/>
      <c r="FO153" s="1926"/>
      <c r="FP153" s="1926"/>
      <c r="FQ153" s="1926"/>
      <c r="FR153" s="1926"/>
    </row>
    <row r="154" spans="2:174" s="37" customFormat="1" ht="14.25" hidden="1" customHeight="1">
      <c r="B154" s="37" t="s">
        <v>572</v>
      </c>
      <c r="H154" s="53"/>
      <c r="M154" s="53"/>
      <c r="O154" s="53"/>
      <c r="P154" s="53"/>
      <c r="Q154" s="53"/>
      <c r="R154" s="53"/>
      <c r="W154" s="53"/>
      <c r="Z154" s="53"/>
      <c r="AA154" s="1928"/>
      <c r="AB154" s="1922">
        <f t="shared" ref="AB154:BG154" si="122">IF(AB153&lt;&gt;0,IF($O7=0,0,$O7/($Q7*12)),0)</f>
        <v>0</v>
      </c>
      <c r="AC154" s="1922">
        <f t="shared" si="122"/>
        <v>0</v>
      </c>
      <c r="AD154" s="1922">
        <f t="shared" si="122"/>
        <v>0</v>
      </c>
      <c r="AE154" s="1922">
        <f t="shared" si="122"/>
        <v>0</v>
      </c>
      <c r="AF154" s="1922">
        <f t="shared" si="122"/>
        <v>0</v>
      </c>
      <c r="AG154" s="1922">
        <f t="shared" si="122"/>
        <v>0</v>
      </c>
      <c r="AH154" s="1922">
        <f t="shared" si="122"/>
        <v>0</v>
      </c>
      <c r="AI154" s="1922">
        <f t="shared" si="122"/>
        <v>0</v>
      </c>
      <c r="AJ154" s="1922">
        <f t="shared" si="122"/>
        <v>0</v>
      </c>
      <c r="AK154" s="1922">
        <f t="shared" si="122"/>
        <v>0</v>
      </c>
      <c r="AL154" s="1922">
        <f t="shared" si="122"/>
        <v>0</v>
      </c>
      <c r="AM154" s="1922">
        <f t="shared" si="122"/>
        <v>0</v>
      </c>
      <c r="AN154" s="1955">
        <f t="shared" si="122"/>
        <v>0</v>
      </c>
      <c r="AO154" s="1922">
        <f t="shared" si="122"/>
        <v>0</v>
      </c>
      <c r="AP154" s="1922">
        <f t="shared" si="122"/>
        <v>0</v>
      </c>
      <c r="AQ154" s="1922">
        <f t="shared" si="122"/>
        <v>0</v>
      </c>
      <c r="AR154" s="1922">
        <f t="shared" si="122"/>
        <v>0</v>
      </c>
      <c r="AS154" s="1922">
        <f t="shared" si="122"/>
        <v>0</v>
      </c>
      <c r="AT154" s="1922">
        <f t="shared" si="122"/>
        <v>0</v>
      </c>
      <c r="AU154" s="1922">
        <f t="shared" si="122"/>
        <v>0</v>
      </c>
      <c r="AV154" s="1922">
        <f t="shared" si="122"/>
        <v>0</v>
      </c>
      <c r="AW154" s="1922">
        <f t="shared" si="122"/>
        <v>0</v>
      </c>
      <c r="AX154" s="1922">
        <f t="shared" si="122"/>
        <v>0</v>
      </c>
      <c r="AY154" s="1922">
        <f t="shared" si="122"/>
        <v>0</v>
      </c>
      <c r="AZ154" s="1922">
        <f t="shared" si="122"/>
        <v>0</v>
      </c>
      <c r="BA154" s="1922">
        <f t="shared" si="122"/>
        <v>0</v>
      </c>
      <c r="BB154" s="1922">
        <f t="shared" si="122"/>
        <v>0</v>
      </c>
      <c r="BC154" s="1922">
        <f t="shared" si="122"/>
        <v>0</v>
      </c>
      <c r="BD154" s="1922">
        <f t="shared" si="122"/>
        <v>0</v>
      </c>
      <c r="BE154" s="1922">
        <f t="shared" si="122"/>
        <v>0</v>
      </c>
      <c r="BF154" s="1922">
        <f t="shared" si="122"/>
        <v>0</v>
      </c>
      <c r="BG154" s="1922">
        <f t="shared" si="122"/>
        <v>0</v>
      </c>
      <c r="BH154" s="1922">
        <f t="shared" ref="BH154:BW154" si="123">IF(BH153&lt;&gt;0,IF($O7=0,0,$O7/($Q7*12)),0)</f>
        <v>0</v>
      </c>
      <c r="BI154" s="1922">
        <f t="shared" si="123"/>
        <v>0</v>
      </c>
      <c r="BJ154" s="1922">
        <f t="shared" si="123"/>
        <v>0</v>
      </c>
      <c r="BK154" s="1922">
        <f t="shared" si="123"/>
        <v>0</v>
      </c>
      <c r="BL154" s="1922">
        <f t="shared" si="123"/>
        <v>0</v>
      </c>
      <c r="BM154" s="1922">
        <f t="shared" si="123"/>
        <v>0</v>
      </c>
      <c r="BN154" s="1922">
        <f t="shared" si="123"/>
        <v>0</v>
      </c>
      <c r="BO154" s="1922">
        <f t="shared" si="123"/>
        <v>0</v>
      </c>
      <c r="BP154" s="1922">
        <f t="shared" si="123"/>
        <v>0</v>
      </c>
      <c r="BQ154" s="1922">
        <f t="shared" si="123"/>
        <v>0</v>
      </c>
      <c r="BR154" s="1922">
        <f t="shared" si="123"/>
        <v>0</v>
      </c>
      <c r="BS154" s="1922">
        <f t="shared" si="123"/>
        <v>0</v>
      </c>
      <c r="BT154" s="1922">
        <f t="shared" si="123"/>
        <v>0</v>
      </c>
      <c r="BU154" s="1922">
        <f t="shared" si="123"/>
        <v>0</v>
      </c>
      <c r="BV154" s="1922">
        <f t="shared" si="123"/>
        <v>0</v>
      </c>
      <c r="BW154" s="1924">
        <f t="shared" si="123"/>
        <v>0</v>
      </c>
      <c r="BX154" s="1926"/>
      <c r="BY154" s="1926"/>
      <c r="BZ154" s="1926"/>
      <c r="CA154" s="1926"/>
      <c r="CB154" s="1926"/>
      <c r="CC154" s="1926"/>
      <c r="CD154" s="1926"/>
      <c r="CE154" s="1926"/>
      <c r="CF154" s="1926"/>
      <c r="CG154" s="1926"/>
      <c r="CH154" s="1926"/>
      <c r="CI154" s="1926"/>
      <c r="CJ154" s="1926"/>
      <c r="CK154" s="1926"/>
      <c r="CL154" s="1926"/>
      <c r="CM154" s="1926"/>
      <c r="CN154" s="1926"/>
      <c r="CO154" s="1926"/>
      <c r="CP154" s="1926"/>
      <c r="CQ154" s="1926"/>
      <c r="CR154" s="1926"/>
      <c r="CS154" s="1926"/>
      <c r="CT154" s="1926"/>
      <c r="CU154" s="1926"/>
      <c r="CV154" s="1926"/>
      <c r="CW154" s="1926"/>
      <c r="CX154" s="1926"/>
      <c r="CY154" s="1926"/>
      <c r="CZ154" s="1926"/>
      <c r="DA154" s="1926"/>
      <c r="DB154" s="1926"/>
      <c r="DC154" s="1926"/>
      <c r="DD154" s="1926"/>
      <c r="DE154" s="1926"/>
      <c r="DF154" s="1926"/>
      <c r="DG154" s="1926"/>
      <c r="DH154" s="1926"/>
      <c r="DI154" s="1926"/>
      <c r="DJ154" s="1926"/>
      <c r="DK154" s="1926"/>
      <c r="DL154" s="1926"/>
      <c r="DM154" s="1926"/>
      <c r="DN154" s="1926"/>
      <c r="DO154" s="1926"/>
      <c r="DP154" s="1926"/>
      <c r="DQ154" s="1926"/>
      <c r="DR154" s="1926"/>
      <c r="DS154" s="1926"/>
      <c r="DT154" s="1926"/>
      <c r="DU154" s="1926"/>
      <c r="DV154" s="1926"/>
      <c r="DW154" s="1926"/>
      <c r="DX154" s="1926"/>
      <c r="DY154" s="1926"/>
      <c r="DZ154" s="1926"/>
      <c r="EA154" s="1926"/>
      <c r="EB154" s="1926"/>
      <c r="EC154" s="1926"/>
      <c r="ED154" s="1926"/>
      <c r="EE154" s="1926"/>
      <c r="EF154" s="1926"/>
      <c r="EG154" s="1926"/>
      <c r="EH154" s="1926"/>
      <c r="EI154" s="1926"/>
      <c r="EJ154" s="1926"/>
      <c r="EK154" s="1926"/>
      <c r="EL154" s="1926"/>
      <c r="EM154" s="1926"/>
      <c r="EN154" s="1926"/>
      <c r="EO154" s="1926"/>
      <c r="EP154" s="1926"/>
      <c r="EQ154" s="1926"/>
      <c r="ER154" s="1926"/>
      <c r="ES154" s="1926"/>
      <c r="ET154" s="1926"/>
      <c r="EU154" s="1926"/>
      <c r="EV154" s="1926"/>
      <c r="EW154" s="1926"/>
      <c r="EX154" s="1926"/>
      <c r="EY154" s="1926"/>
      <c r="EZ154" s="1926"/>
      <c r="FA154" s="1926"/>
      <c r="FB154" s="1926"/>
      <c r="FC154" s="1926"/>
      <c r="FD154" s="1926"/>
      <c r="FE154" s="1926"/>
      <c r="FF154" s="1926"/>
      <c r="FG154" s="1926"/>
      <c r="FH154" s="1926"/>
      <c r="FI154" s="1926"/>
      <c r="FJ154" s="1926"/>
      <c r="FK154" s="1926"/>
      <c r="FL154" s="1926"/>
      <c r="FM154" s="1926"/>
      <c r="FN154" s="1926"/>
      <c r="FO154" s="1926"/>
      <c r="FP154" s="1926"/>
      <c r="FQ154" s="1926"/>
      <c r="FR154" s="1926"/>
    </row>
    <row r="155" spans="2:174" s="37" customFormat="1" ht="14.25" hidden="1" customHeight="1">
      <c r="B155" s="37" t="s">
        <v>570</v>
      </c>
      <c r="H155" s="53"/>
      <c r="M155" s="53"/>
      <c r="O155" s="53"/>
      <c r="P155" s="53"/>
      <c r="Q155" s="53"/>
      <c r="R155" s="53"/>
      <c r="W155" s="53"/>
      <c r="Z155" s="53"/>
      <c r="AA155" s="1923"/>
      <c r="AB155" s="1922">
        <f t="shared" ref="AB155:BG155" si="124">IF($P8=AB145,$O8,0)</f>
        <v>0</v>
      </c>
      <c r="AC155" s="1922">
        <f t="shared" si="124"/>
        <v>0</v>
      </c>
      <c r="AD155" s="1922">
        <f t="shared" si="124"/>
        <v>0</v>
      </c>
      <c r="AE155" s="1922">
        <f t="shared" si="124"/>
        <v>0</v>
      </c>
      <c r="AF155" s="1922">
        <f t="shared" si="124"/>
        <v>0</v>
      </c>
      <c r="AG155" s="1922">
        <f t="shared" si="124"/>
        <v>0</v>
      </c>
      <c r="AH155" s="1922">
        <f t="shared" si="124"/>
        <v>0</v>
      </c>
      <c r="AI155" s="1922">
        <f t="shared" si="124"/>
        <v>0</v>
      </c>
      <c r="AJ155" s="1922">
        <f t="shared" si="124"/>
        <v>0</v>
      </c>
      <c r="AK155" s="1922">
        <f t="shared" si="124"/>
        <v>0</v>
      </c>
      <c r="AL155" s="1922">
        <f t="shared" si="124"/>
        <v>0</v>
      </c>
      <c r="AM155" s="1922">
        <f t="shared" si="124"/>
        <v>0</v>
      </c>
      <c r="AN155" s="1955">
        <f t="shared" si="124"/>
        <v>0</v>
      </c>
      <c r="AO155" s="1922">
        <f t="shared" si="124"/>
        <v>0</v>
      </c>
      <c r="AP155" s="1922">
        <f t="shared" si="124"/>
        <v>0</v>
      </c>
      <c r="AQ155" s="1922">
        <f t="shared" si="124"/>
        <v>0</v>
      </c>
      <c r="AR155" s="1922">
        <f t="shared" si="124"/>
        <v>0</v>
      </c>
      <c r="AS155" s="1922">
        <f t="shared" si="124"/>
        <v>0</v>
      </c>
      <c r="AT155" s="1922">
        <f t="shared" si="124"/>
        <v>0</v>
      </c>
      <c r="AU155" s="1922">
        <f t="shared" si="124"/>
        <v>0</v>
      </c>
      <c r="AV155" s="1922">
        <f t="shared" si="124"/>
        <v>0</v>
      </c>
      <c r="AW155" s="1922">
        <f t="shared" si="124"/>
        <v>0</v>
      </c>
      <c r="AX155" s="1922">
        <f t="shared" si="124"/>
        <v>0</v>
      </c>
      <c r="AY155" s="1922">
        <f t="shared" si="124"/>
        <v>0</v>
      </c>
      <c r="AZ155" s="1922">
        <f t="shared" si="124"/>
        <v>0</v>
      </c>
      <c r="BA155" s="1922">
        <f t="shared" si="124"/>
        <v>0</v>
      </c>
      <c r="BB155" s="1922">
        <f t="shared" si="124"/>
        <v>0</v>
      </c>
      <c r="BC155" s="1922">
        <f t="shared" si="124"/>
        <v>0</v>
      </c>
      <c r="BD155" s="1922">
        <f t="shared" si="124"/>
        <v>0</v>
      </c>
      <c r="BE155" s="1922">
        <f t="shared" si="124"/>
        <v>0</v>
      </c>
      <c r="BF155" s="1922">
        <f t="shared" si="124"/>
        <v>0</v>
      </c>
      <c r="BG155" s="1922">
        <f t="shared" si="124"/>
        <v>0</v>
      </c>
      <c r="BH155" s="1922">
        <f t="shared" ref="BH155:BW155" si="125">IF($P8=BH145,$O8,0)</f>
        <v>0</v>
      </c>
      <c r="BI155" s="1922">
        <f t="shared" si="125"/>
        <v>0</v>
      </c>
      <c r="BJ155" s="1922">
        <f t="shared" si="125"/>
        <v>0</v>
      </c>
      <c r="BK155" s="1922">
        <f t="shared" si="125"/>
        <v>0</v>
      </c>
      <c r="BL155" s="1922">
        <f t="shared" si="125"/>
        <v>0</v>
      </c>
      <c r="BM155" s="1922">
        <f t="shared" si="125"/>
        <v>0</v>
      </c>
      <c r="BN155" s="1922">
        <f t="shared" si="125"/>
        <v>0</v>
      </c>
      <c r="BO155" s="1922">
        <f t="shared" si="125"/>
        <v>0</v>
      </c>
      <c r="BP155" s="1922">
        <f t="shared" si="125"/>
        <v>0</v>
      </c>
      <c r="BQ155" s="1922">
        <f t="shared" si="125"/>
        <v>0</v>
      </c>
      <c r="BR155" s="1922">
        <f t="shared" si="125"/>
        <v>0</v>
      </c>
      <c r="BS155" s="1922">
        <f t="shared" si="125"/>
        <v>0</v>
      </c>
      <c r="BT155" s="1922">
        <f t="shared" si="125"/>
        <v>0</v>
      </c>
      <c r="BU155" s="1922">
        <f t="shared" si="125"/>
        <v>0</v>
      </c>
      <c r="BV155" s="1922">
        <f t="shared" si="125"/>
        <v>0</v>
      </c>
      <c r="BW155" s="1924">
        <f t="shared" si="125"/>
        <v>0</v>
      </c>
      <c r="BX155" s="1926"/>
      <c r="BY155" s="1926"/>
      <c r="BZ155" s="1926"/>
      <c r="CA155" s="1926"/>
      <c r="CB155" s="1926"/>
      <c r="CC155" s="1926"/>
      <c r="CD155" s="1926"/>
      <c r="CE155" s="1926"/>
      <c r="CF155" s="1926"/>
      <c r="CG155" s="1926"/>
      <c r="CH155" s="1926"/>
      <c r="CI155" s="1926"/>
      <c r="CJ155" s="1926"/>
      <c r="CK155" s="1926"/>
      <c r="CL155" s="1926"/>
      <c r="CM155" s="1926"/>
      <c r="CN155" s="1926"/>
      <c r="CO155" s="1926"/>
      <c r="CP155" s="1926"/>
      <c r="CQ155" s="1926"/>
      <c r="CR155" s="1926"/>
      <c r="CS155" s="1926"/>
      <c r="CT155" s="1926"/>
      <c r="CU155" s="1926"/>
      <c r="CV155" s="1926"/>
      <c r="CW155" s="1926"/>
      <c r="CX155" s="1926"/>
      <c r="CY155" s="1926"/>
      <c r="CZ155" s="1926"/>
      <c r="DA155" s="1926"/>
      <c r="DB155" s="1926"/>
      <c r="DC155" s="1926"/>
      <c r="DD155" s="1926"/>
      <c r="DE155" s="1926"/>
      <c r="DF155" s="1926"/>
      <c r="DG155" s="1926"/>
      <c r="DH155" s="1926"/>
      <c r="DI155" s="1926"/>
      <c r="DJ155" s="1926"/>
      <c r="DK155" s="1926"/>
      <c r="DL155" s="1926"/>
      <c r="DM155" s="1926"/>
      <c r="DN155" s="1926"/>
      <c r="DO155" s="1926"/>
      <c r="DP155" s="1926"/>
      <c r="DQ155" s="1926"/>
      <c r="DR155" s="1926"/>
      <c r="DS155" s="1926"/>
      <c r="DT155" s="1926"/>
      <c r="DU155" s="1926"/>
      <c r="DV155" s="1926"/>
      <c r="DW155" s="1926"/>
      <c r="DX155" s="1926"/>
      <c r="DY155" s="1926"/>
      <c r="DZ155" s="1926"/>
      <c r="EA155" s="1926"/>
      <c r="EB155" s="1926"/>
      <c r="EC155" s="1926"/>
      <c r="ED155" s="1926"/>
      <c r="EE155" s="1926"/>
      <c r="EF155" s="1926"/>
      <c r="EG155" s="1926"/>
      <c r="EH155" s="1926"/>
      <c r="EI155" s="1926"/>
      <c r="EJ155" s="1926"/>
      <c r="EK155" s="1926"/>
      <c r="EL155" s="1926"/>
      <c r="EM155" s="1926"/>
      <c r="EN155" s="1926"/>
      <c r="EO155" s="1926"/>
      <c r="EP155" s="1926"/>
      <c r="EQ155" s="1926"/>
      <c r="ER155" s="1926"/>
      <c r="ES155" s="1926"/>
      <c r="ET155" s="1926"/>
      <c r="EU155" s="1926"/>
      <c r="EV155" s="1926"/>
      <c r="EW155" s="1926"/>
      <c r="EX155" s="1926"/>
      <c r="EY155" s="1926"/>
      <c r="EZ155" s="1926"/>
      <c r="FA155" s="1926"/>
      <c r="FB155" s="1926"/>
      <c r="FC155" s="1926"/>
      <c r="FD155" s="1926"/>
      <c r="FE155" s="1926"/>
      <c r="FF155" s="1926"/>
      <c r="FG155" s="1926"/>
      <c r="FH155" s="1926"/>
      <c r="FI155" s="1926"/>
      <c r="FJ155" s="1926"/>
      <c r="FK155" s="1926"/>
      <c r="FL155" s="1926"/>
      <c r="FM155" s="1926"/>
      <c r="FN155" s="1926"/>
      <c r="FO155" s="1926"/>
      <c r="FP155" s="1926"/>
      <c r="FQ155" s="1926"/>
      <c r="FR155" s="1926"/>
    </row>
    <row r="156" spans="2:174" s="37" customFormat="1" ht="14.25" hidden="1" customHeight="1">
      <c r="B156" s="1921" t="s">
        <v>571</v>
      </c>
      <c r="H156" s="53"/>
      <c r="M156" s="53"/>
      <c r="O156" s="53"/>
      <c r="P156" s="53"/>
      <c r="Q156" s="53"/>
      <c r="R156" s="53"/>
      <c r="W156" s="53"/>
      <c r="Y156" s="1921"/>
      <c r="Z156" s="53"/>
      <c r="AA156" s="1923">
        <v>0</v>
      </c>
      <c r="AB156" s="1922">
        <f t="shared" ref="AB156:BG156" si="126">IF($O8=AB$155,1,IF(AA156&gt;0,IF(AA156&gt;=$Q8*12,0,AA156+1),0))</f>
        <v>1</v>
      </c>
      <c r="AC156" s="1922">
        <f t="shared" si="126"/>
        <v>1</v>
      </c>
      <c r="AD156" s="1922">
        <f t="shared" si="126"/>
        <v>1</v>
      </c>
      <c r="AE156" s="1922">
        <f t="shared" si="126"/>
        <v>1</v>
      </c>
      <c r="AF156" s="1922">
        <f t="shared" si="126"/>
        <v>1</v>
      </c>
      <c r="AG156" s="1922">
        <f t="shared" si="126"/>
        <v>1</v>
      </c>
      <c r="AH156" s="1922">
        <f t="shared" si="126"/>
        <v>1</v>
      </c>
      <c r="AI156" s="1922">
        <f t="shared" si="126"/>
        <v>1</v>
      </c>
      <c r="AJ156" s="1922">
        <f t="shared" si="126"/>
        <v>1</v>
      </c>
      <c r="AK156" s="1922">
        <f t="shared" si="126"/>
        <v>1</v>
      </c>
      <c r="AL156" s="1922">
        <f t="shared" si="126"/>
        <v>1</v>
      </c>
      <c r="AM156" s="1922">
        <f t="shared" si="126"/>
        <v>1</v>
      </c>
      <c r="AN156" s="1955">
        <f t="shared" si="126"/>
        <v>1</v>
      </c>
      <c r="AO156" s="1922">
        <f t="shared" si="126"/>
        <v>1</v>
      </c>
      <c r="AP156" s="1922">
        <f t="shared" si="126"/>
        <v>1</v>
      </c>
      <c r="AQ156" s="1922">
        <f t="shared" si="126"/>
        <v>1</v>
      </c>
      <c r="AR156" s="1922">
        <f t="shared" si="126"/>
        <v>1</v>
      </c>
      <c r="AS156" s="1922">
        <f t="shared" si="126"/>
        <v>1</v>
      </c>
      <c r="AT156" s="1922">
        <f t="shared" si="126"/>
        <v>1</v>
      </c>
      <c r="AU156" s="1922">
        <f t="shared" si="126"/>
        <v>1</v>
      </c>
      <c r="AV156" s="1922">
        <f t="shared" si="126"/>
        <v>1</v>
      </c>
      <c r="AW156" s="1922">
        <f t="shared" si="126"/>
        <v>1</v>
      </c>
      <c r="AX156" s="1922">
        <f t="shared" si="126"/>
        <v>1</v>
      </c>
      <c r="AY156" s="1922">
        <f t="shared" si="126"/>
        <v>1</v>
      </c>
      <c r="AZ156" s="1922">
        <f t="shared" si="126"/>
        <v>1</v>
      </c>
      <c r="BA156" s="1922">
        <f t="shared" si="126"/>
        <v>1</v>
      </c>
      <c r="BB156" s="1922">
        <f t="shared" si="126"/>
        <v>1</v>
      </c>
      <c r="BC156" s="1922">
        <f t="shared" si="126"/>
        <v>1</v>
      </c>
      <c r="BD156" s="1922">
        <f t="shared" si="126"/>
        <v>1</v>
      </c>
      <c r="BE156" s="1922">
        <f t="shared" si="126"/>
        <v>1</v>
      </c>
      <c r="BF156" s="1922">
        <f t="shared" si="126"/>
        <v>1</v>
      </c>
      <c r="BG156" s="1922">
        <f t="shared" si="126"/>
        <v>1</v>
      </c>
      <c r="BH156" s="1922">
        <f t="shared" ref="BH156:BW156" si="127">IF($O8=BH$155,1,IF(BG156&gt;0,IF(BG156&gt;=$Q8*12,0,BG156+1),0))</f>
        <v>1</v>
      </c>
      <c r="BI156" s="1922">
        <f t="shared" si="127"/>
        <v>1</v>
      </c>
      <c r="BJ156" s="1922">
        <f t="shared" si="127"/>
        <v>1</v>
      </c>
      <c r="BK156" s="1922">
        <f t="shared" si="127"/>
        <v>1</v>
      </c>
      <c r="BL156" s="1922">
        <f t="shared" si="127"/>
        <v>1</v>
      </c>
      <c r="BM156" s="1922">
        <f t="shared" si="127"/>
        <v>1</v>
      </c>
      <c r="BN156" s="1922">
        <f t="shared" si="127"/>
        <v>1</v>
      </c>
      <c r="BO156" s="1922">
        <f t="shared" si="127"/>
        <v>1</v>
      </c>
      <c r="BP156" s="1922">
        <f t="shared" si="127"/>
        <v>1</v>
      </c>
      <c r="BQ156" s="1922">
        <f t="shared" si="127"/>
        <v>1</v>
      </c>
      <c r="BR156" s="1922">
        <f t="shared" si="127"/>
        <v>1</v>
      </c>
      <c r="BS156" s="1922">
        <f t="shared" si="127"/>
        <v>1</v>
      </c>
      <c r="BT156" s="1922">
        <f t="shared" si="127"/>
        <v>1</v>
      </c>
      <c r="BU156" s="1922">
        <f t="shared" si="127"/>
        <v>1</v>
      </c>
      <c r="BV156" s="1922">
        <f t="shared" si="127"/>
        <v>1</v>
      </c>
      <c r="BW156" s="1924">
        <f t="shared" si="127"/>
        <v>1</v>
      </c>
      <c r="BX156" s="1926"/>
      <c r="BY156" s="1926"/>
      <c r="BZ156" s="1926"/>
      <c r="CA156" s="1926"/>
      <c r="CB156" s="1926"/>
      <c r="CC156" s="1926"/>
      <c r="CD156" s="1926"/>
      <c r="CE156" s="1926"/>
      <c r="CF156" s="1926"/>
      <c r="CG156" s="1926"/>
      <c r="CH156" s="1926"/>
      <c r="CI156" s="1926"/>
      <c r="CJ156" s="1926"/>
      <c r="CK156" s="1926"/>
      <c r="CL156" s="1926"/>
      <c r="CM156" s="1926"/>
      <c r="CN156" s="1926"/>
      <c r="CO156" s="1926"/>
      <c r="CP156" s="1926"/>
      <c r="CQ156" s="1926"/>
      <c r="CR156" s="1926"/>
      <c r="CS156" s="1926"/>
      <c r="CT156" s="1926"/>
      <c r="CU156" s="1926"/>
      <c r="CV156" s="1926"/>
      <c r="CW156" s="1926"/>
      <c r="CX156" s="1926"/>
      <c r="CY156" s="1926"/>
      <c r="CZ156" s="1926"/>
      <c r="DA156" s="1926"/>
      <c r="DB156" s="1926"/>
      <c r="DC156" s="1926"/>
      <c r="DD156" s="1926"/>
      <c r="DE156" s="1926"/>
      <c r="DF156" s="1926"/>
      <c r="DG156" s="1926"/>
      <c r="DH156" s="1926"/>
      <c r="DI156" s="1926"/>
      <c r="DJ156" s="1926"/>
      <c r="DK156" s="1926"/>
      <c r="DL156" s="1926"/>
      <c r="DM156" s="1926"/>
      <c r="DN156" s="1926"/>
      <c r="DO156" s="1926"/>
      <c r="DP156" s="1926"/>
      <c r="DQ156" s="1926"/>
      <c r="DR156" s="1926"/>
      <c r="DS156" s="1926"/>
      <c r="DT156" s="1926"/>
      <c r="DU156" s="1926"/>
      <c r="DV156" s="1926"/>
      <c r="DW156" s="1926"/>
      <c r="DX156" s="1926"/>
      <c r="DY156" s="1926"/>
      <c r="DZ156" s="1926"/>
      <c r="EA156" s="1926"/>
      <c r="EB156" s="1926"/>
      <c r="EC156" s="1926"/>
      <c r="ED156" s="1926"/>
      <c r="EE156" s="1926"/>
      <c r="EF156" s="1926"/>
      <c r="EG156" s="1926"/>
      <c r="EH156" s="1926"/>
      <c r="EI156" s="1926"/>
      <c r="EJ156" s="1926"/>
      <c r="EK156" s="1926"/>
      <c r="EL156" s="1926"/>
      <c r="EM156" s="1926"/>
      <c r="EN156" s="1926"/>
      <c r="EO156" s="1926"/>
      <c r="EP156" s="1926"/>
      <c r="EQ156" s="1926"/>
      <c r="ER156" s="1926"/>
      <c r="ES156" s="1926"/>
      <c r="ET156" s="1926"/>
      <c r="EU156" s="1926"/>
      <c r="EV156" s="1926"/>
      <c r="EW156" s="1926"/>
      <c r="EX156" s="1926"/>
      <c r="EY156" s="1926"/>
      <c r="EZ156" s="1926"/>
      <c r="FA156" s="1926"/>
      <c r="FB156" s="1926"/>
      <c r="FC156" s="1926"/>
      <c r="FD156" s="1926"/>
      <c r="FE156" s="1926"/>
      <c r="FF156" s="1926"/>
      <c r="FG156" s="1926"/>
      <c r="FH156" s="1926"/>
      <c r="FI156" s="1926"/>
      <c r="FJ156" s="1926"/>
      <c r="FK156" s="1926"/>
      <c r="FL156" s="1926"/>
      <c r="FM156" s="1926"/>
      <c r="FN156" s="1926"/>
      <c r="FO156" s="1926"/>
      <c r="FP156" s="1926"/>
      <c r="FQ156" s="1926"/>
      <c r="FR156" s="1926"/>
    </row>
    <row r="157" spans="2:174" s="37" customFormat="1" ht="14.25" hidden="1" customHeight="1">
      <c r="B157" s="37" t="s">
        <v>572</v>
      </c>
      <c r="H157" s="53"/>
      <c r="M157" s="53"/>
      <c r="O157" s="53"/>
      <c r="P157" s="53"/>
      <c r="Q157" s="53"/>
      <c r="R157" s="53"/>
      <c r="W157" s="53"/>
      <c r="Z157" s="53"/>
      <c r="AA157" s="1928"/>
      <c r="AB157" s="1922">
        <f t="shared" ref="AB157:BG157" si="128">IF(AB156&lt;&gt;0,IF($O8=0,0,$O8/($Q8*12)),0)</f>
        <v>0</v>
      </c>
      <c r="AC157" s="1922">
        <f t="shared" si="128"/>
        <v>0</v>
      </c>
      <c r="AD157" s="1922">
        <f t="shared" si="128"/>
        <v>0</v>
      </c>
      <c r="AE157" s="1922">
        <f t="shared" si="128"/>
        <v>0</v>
      </c>
      <c r="AF157" s="1922">
        <f t="shared" si="128"/>
        <v>0</v>
      </c>
      <c r="AG157" s="1922">
        <f t="shared" si="128"/>
        <v>0</v>
      </c>
      <c r="AH157" s="1922">
        <f t="shared" si="128"/>
        <v>0</v>
      </c>
      <c r="AI157" s="1922">
        <f t="shared" si="128"/>
        <v>0</v>
      </c>
      <c r="AJ157" s="1922">
        <f t="shared" si="128"/>
        <v>0</v>
      </c>
      <c r="AK157" s="1922">
        <f t="shared" si="128"/>
        <v>0</v>
      </c>
      <c r="AL157" s="1922">
        <f t="shared" si="128"/>
        <v>0</v>
      </c>
      <c r="AM157" s="1922">
        <f t="shared" si="128"/>
        <v>0</v>
      </c>
      <c r="AN157" s="1955">
        <f t="shared" si="128"/>
        <v>0</v>
      </c>
      <c r="AO157" s="1922">
        <f t="shared" si="128"/>
        <v>0</v>
      </c>
      <c r="AP157" s="1922">
        <f t="shared" si="128"/>
        <v>0</v>
      </c>
      <c r="AQ157" s="1922">
        <f t="shared" si="128"/>
        <v>0</v>
      </c>
      <c r="AR157" s="1922">
        <f t="shared" si="128"/>
        <v>0</v>
      </c>
      <c r="AS157" s="1922">
        <f t="shared" si="128"/>
        <v>0</v>
      </c>
      <c r="AT157" s="1922">
        <f t="shared" si="128"/>
        <v>0</v>
      </c>
      <c r="AU157" s="1922">
        <f t="shared" si="128"/>
        <v>0</v>
      </c>
      <c r="AV157" s="1922">
        <f t="shared" si="128"/>
        <v>0</v>
      </c>
      <c r="AW157" s="1922">
        <f t="shared" si="128"/>
        <v>0</v>
      </c>
      <c r="AX157" s="1922">
        <f t="shared" si="128"/>
        <v>0</v>
      </c>
      <c r="AY157" s="1922">
        <f t="shared" si="128"/>
        <v>0</v>
      </c>
      <c r="AZ157" s="1922">
        <f t="shared" si="128"/>
        <v>0</v>
      </c>
      <c r="BA157" s="1922">
        <f t="shared" si="128"/>
        <v>0</v>
      </c>
      <c r="BB157" s="1922">
        <f t="shared" si="128"/>
        <v>0</v>
      </c>
      <c r="BC157" s="1922">
        <f t="shared" si="128"/>
        <v>0</v>
      </c>
      <c r="BD157" s="1922">
        <f t="shared" si="128"/>
        <v>0</v>
      </c>
      <c r="BE157" s="1922">
        <f t="shared" si="128"/>
        <v>0</v>
      </c>
      <c r="BF157" s="1922">
        <f t="shared" si="128"/>
        <v>0</v>
      </c>
      <c r="BG157" s="1922">
        <f t="shared" si="128"/>
        <v>0</v>
      </c>
      <c r="BH157" s="1922">
        <f t="shared" ref="BH157:BW157" si="129">IF(BH156&lt;&gt;0,IF($O8=0,0,$O8/($Q8*12)),0)</f>
        <v>0</v>
      </c>
      <c r="BI157" s="1922">
        <f t="shared" si="129"/>
        <v>0</v>
      </c>
      <c r="BJ157" s="1922">
        <f t="shared" si="129"/>
        <v>0</v>
      </c>
      <c r="BK157" s="1922">
        <f t="shared" si="129"/>
        <v>0</v>
      </c>
      <c r="BL157" s="1922">
        <f t="shared" si="129"/>
        <v>0</v>
      </c>
      <c r="BM157" s="1922">
        <f t="shared" si="129"/>
        <v>0</v>
      </c>
      <c r="BN157" s="1922">
        <f t="shared" si="129"/>
        <v>0</v>
      </c>
      <c r="BO157" s="1922">
        <f t="shared" si="129"/>
        <v>0</v>
      </c>
      <c r="BP157" s="1922">
        <f t="shared" si="129"/>
        <v>0</v>
      </c>
      <c r="BQ157" s="1922">
        <f t="shared" si="129"/>
        <v>0</v>
      </c>
      <c r="BR157" s="1922">
        <f t="shared" si="129"/>
        <v>0</v>
      </c>
      <c r="BS157" s="1922">
        <f t="shared" si="129"/>
        <v>0</v>
      </c>
      <c r="BT157" s="1922">
        <f t="shared" si="129"/>
        <v>0</v>
      </c>
      <c r="BU157" s="1922">
        <f t="shared" si="129"/>
        <v>0</v>
      </c>
      <c r="BV157" s="1922">
        <f t="shared" si="129"/>
        <v>0</v>
      </c>
      <c r="BW157" s="1924">
        <f t="shared" si="129"/>
        <v>0</v>
      </c>
      <c r="BX157" s="1926"/>
      <c r="BY157" s="1926"/>
      <c r="BZ157" s="1926"/>
      <c r="CA157" s="1926"/>
      <c r="CB157" s="1926"/>
      <c r="CC157" s="1926"/>
      <c r="CD157" s="1926"/>
      <c r="CE157" s="1926"/>
      <c r="CF157" s="1926"/>
      <c r="CG157" s="1926"/>
      <c r="CH157" s="1926"/>
      <c r="CI157" s="1926"/>
      <c r="CJ157" s="1926"/>
      <c r="CK157" s="1926"/>
      <c r="CL157" s="1926"/>
      <c r="CM157" s="1926"/>
      <c r="CN157" s="1926"/>
      <c r="CO157" s="1926"/>
      <c r="CP157" s="1926"/>
      <c r="CQ157" s="1926"/>
      <c r="CR157" s="1926"/>
      <c r="CS157" s="1926"/>
      <c r="CT157" s="1926"/>
      <c r="CU157" s="1926"/>
      <c r="CV157" s="1926"/>
      <c r="CW157" s="1926"/>
      <c r="CX157" s="1926"/>
      <c r="CY157" s="1926"/>
      <c r="CZ157" s="1926"/>
      <c r="DA157" s="1926"/>
      <c r="DB157" s="1926"/>
      <c r="DC157" s="1926"/>
      <c r="DD157" s="1926"/>
      <c r="DE157" s="1926"/>
      <c r="DF157" s="1926"/>
      <c r="DG157" s="1926"/>
      <c r="DH157" s="1926"/>
      <c r="DI157" s="1926"/>
      <c r="DJ157" s="1926"/>
      <c r="DK157" s="1926"/>
      <c r="DL157" s="1926"/>
      <c r="DM157" s="1926"/>
      <c r="DN157" s="1926"/>
      <c r="DO157" s="1926"/>
      <c r="DP157" s="1926"/>
      <c r="DQ157" s="1926"/>
      <c r="DR157" s="1926"/>
      <c r="DS157" s="1926"/>
      <c r="DT157" s="1926"/>
      <c r="DU157" s="1926"/>
      <c r="DV157" s="1926"/>
      <c r="DW157" s="1926"/>
      <c r="DX157" s="1926"/>
      <c r="DY157" s="1926"/>
      <c r="DZ157" s="1926"/>
      <c r="EA157" s="1926"/>
      <c r="EB157" s="1926"/>
      <c r="EC157" s="1926"/>
      <c r="ED157" s="1926"/>
      <c r="EE157" s="1926"/>
      <c r="EF157" s="1926"/>
      <c r="EG157" s="1926"/>
      <c r="EH157" s="1926"/>
      <c r="EI157" s="1926"/>
      <c r="EJ157" s="1926"/>
      <c r="EK157" s="1926"/>
      <c r="EL157" s="1926"/>
      <c r="EM157" s="1926"/>
      <c r="EN157" s="1926"/>
      <c r="EO157" s="1926"/>
      <c r="EP157" s="1926"/>
      <c r="EQ157" s="1926"/>
      <c r="ER157" s="1926"/>
      <c r="ES157" s="1926"/>
      <c r="ET157" s="1926"/>
      <c r="EU157" s="1926"/>
      <c r="EV157" s="1926"/>
      <c r="EW157" s="1926"/>
      <c r="EX157" s="1926"/>
      <c r="EY157" s="1926"/>
      <c r="EZ157" s="1926"/>
      <c r="FA157" s="1926"/>
      <c r="FB157" s="1926"/>
      <c r="FC157" s="1926"/>
      <c r="FD157" s="1926"/>
      <c r="FE157" s="1926"/>
      <c r="FF157" s="1926"/>
      <c r="FG157" s="1926"/>
      <c r="FH157" s="1926"/>
      <c r="FI157" s="1926"/>
      <c r="FJ157" s="1926"/>
      <c r="FK157" s="1926"/>
      <c r="FL157" s="1926"/>
      <c r="FM157" s="1926"/>
      <c r="FN157" s="1926"/>
      <c r="FO157" s="1926"/>
      <c r="FP157" s="1926"/>
      <c r="FQ157" s="1926"/>
      <c r="FR157" s="1926"/>
    </row>
    <row r="158" spans="2:174" s="37" customFormat="1" ht="14.25" hidden="1" customHeight="1">
      <c r="B158" s="37" t="s">
        <v>570</v>
      </c>
      <c r="H158" s="53"/>
      <c r="M158" s="53"/>
      <c r="O158" s="53"/>
      <c r="P158" s="53"/>
      <c r="Q158" s="53"/>
      <c r="R158" s="53"/>
      <c r="W158" s="53"/>
      <c r="Z158" s="53"/>
      <c r="AA158" s="1923"/>
      <c r="AB158" s="1922">
        <f t="shared" ref="AB158:BG158" si="130">IF($P9=AB145,$O9,0)</f>
        <v>0</v>
      </c>
      <c r="AC158" s="1922">
        <f t="shared" si="130"/>
        <v>0</v>
      </c>
      <c r="AD158" s="1922">
        <f t="shared" si="130"/>
        <v>0</v>
      </c>
      <c r="AE158" s="1922">
        <f t="shared" si="130"/>
        <v>0</v>
      </c>
      <c r="AF158" s="1922">
        <f t="shared" si="130"/>
        <v>0</v>
      </c>
      <c r="AG158" s="1922">
        <f t="shared" si="130"/>
        <v>0</v>
      </c>
      <c r="AH158" s="1922">
        <f t="shared" si="130"/>
        <v>0</v>
      </c>
      <c r="AI158" s="1922">
        <f t="shared" si="130"/>
        <v>0</v>
      </c>
      <c r="AJ158" s="1922">
        <f t="shared" si="130"/>
        <v>0</v>
      </c>
      <c r="AK158" s="1922">
        <f t="shared" si="130"/>
        <v>0</v>
      </c>
      <c r="AL158" s="1922">
        <f t="shared" si="130"/>
        <v>0</v>
      </c>
      <c r="AM158" s="1922">
        <f t="shared" si="130"/>
        <v>0</v>
      </c>
      <c r="AN158" s="1955">
        <f t="shared" si="130"/>
        <v>0</v>
      </c>
      <c r="AO158" s="1922">
        <f t="shared" si="130"/>
        <v>0</v>
      </c>
      <c r="AP158" s="1922">
        <f t="shared" si="130"/>
        <v>0</v>
      </c>
      <c r="AQ158" s="1922">
        <f t="shared" si="130"/>
        <v>0</v>
      </c>
      <c r="AR158" s="1922">
        <f t="shared" si="130"/>
        <v>0</v>
      </c>
      <c r="AS158" s="1922">
        <f t="shared" si="130"/>
        <v>0</v>
      </c>
      <c r="AT158" s="1922">
        <f t="shared" si="130"/>
        <v>0</v>
      </c>
      <c r="AU158" s="1922">
        <f t="shared" si="130"/>
        <v>0</v>
      </c>
      <c r="AV158" s="1922">
        <f t="shared" si="130"/>
        <v>0</v>
      </c>
      <c r="AW158" s="1922">
        <f t="shared" si="130"/>
        <v>0</v>
      </c>
      <c r="AX158" s="1922">
        <f t="shared" si="130"/>
        <v>0</v>
      </c>
      <c r="AY158" s="1922">
        <f t="shared" si="130"/>
        <v>0</v>
      </c>
      <c r="AZ158" s="1922">
        <f t="shared" si="130"/>
        <v>0</v>
      </c>
      <c r="BA158" s="1922">
        <f t="shared" si="130"/>
        <v>0</v>
      </c>
      <c r="BB158" s="1922">
        <f t="shared" si="130"/>
        <v>0</v>
      </c>
      <c r="BC158" s="1922">
        <f t="shared" si="130"/>
        <v>0</v>
      </c>
      <c r="BD158" s="1922">
        <f t="shared" si="130"/>
        <v>0</v>
      </c>
      <c r="BE158" s="1922">
        <f t="shared" si="130"/>
        <v>0</v>
      </c>
      <c r="BF158" s="1922">
        <f t="shared" si="130"/>
        <v>0</v>
      </c>
      <c r="BG158" s="1922">
        <f t="shared" si="130"/>
        <v>0</v>
      </c>
      <c r="BH158" s="1922">
        <f t="shared" ref="BH158:BW158" si="131">IF($P9=BH145,$O9,0)</f>
        <v>0</v>
      </c>
      <c r="BI158" s="1922">
        <f t="shared" si="131"/>
        <v>0</v>
      </c>
      <c r="BJ158" s="1922">
        <f t="shared" si="131"/>
        <v>0</v>
      </c>
      <c r="BK158" s="1922">
        <f t="shared" si="131"/>
        <v>0</v>
      </c>
      <c r="BL158" s="1922">
        <f t="shared" si="131"/>
        <v>0</v>
      </c>
      <c r="BM158" s="1922">
        <f t="shared" si="131"/>
        <v>0</v>
      </c>
      <c r="BN158" s="1922">
        <f t="shared" si="131"/>
        <v>0</v>
      </c>
      <c r="BO158" s="1922">
        <f t="shared" si="131"/>
        <v>0</v>
      </c>
      <c r="BP158" s="1922">
        <f t="shared" si="131"/>
        <v>0</v>
      </c>
      <c r="BQ158" s="1922">
        <f t="shared" si="131"/>
        <v>0</v>
      </c>
      <c r="BR158" s="1922">
        <f t="shared" si="131"/>
        <v>0</v>
      </c>
      <c r="BS158" s="1922">
        <f t="shared" si="131"/>
        <v>0</v>
      </c>
      <c r="BT158" s="1922">
        <f t="shared" si="131"/>
        <v>0</v>
      </c>
      <c r="BU158" s="1922">
        <f t="shared" si="131"/>
        <v>0</v>
      </c>
      <c r="BV158" s="1922">
        <f t="shared" si="131"/>
        <v>0</v>
      </c>
      <c r="BW158" s="1924">
        <f t="shared" si="131"/>
        <v>0</v>
      </c>
      <c r="BX158" s="1926"/>
      <c r="BY158" s="1926"/>
      <c r="BZ158" s="1926"/>
      <c r="CA158" s="1926"/>
      <c r="CB158" s="1926"/>
      <c r="CC158" s="1926"/>
      <c r="CD158" s="1926"/>
      <c r="CE158" s="1926"/>
      <c r="CF158" s="1926"/>
      <c r="CG158" s="1926"/>
      <c r="CH158" s="1926"/>
      <c r="CI158" s="1926"/>
      <c r="CJ158" s="1926"/>
      <c r="CK158" s="1926"/>
      <c r="CL158" s="1926"/>
      <c r="CM158" s="1926"/>
      <c r="CN158" s="1926"/>
      <c r="CO158" s="1926"/>
      <c r="CP158" s="1926"/>
      <c r="CQ158" s="1926"/>
      <c r="CR158" s="1926"/>
      <c r="CS158" s="1926"/>
      <c r="CT158" s="1926"/>
      <c r="CU158" s="1926"/>
      <c r="CV158" s="1926"/>
      <c r="CW158" s="1926"/>
      <c r="CX158" s="1926"/>
      <c r="CY158" s="1926"/>
      <c r="CZ158" s="1926"/>
      <c r="DA158" s="1926"/>
      <c r="DB158" s="1926"/>
      <c r="DC158" s="1926"/>
      <c r="DD158" s="1926"/>
      <c r="DE158" s="1926"/>
      <c r="DF158" s="1926"/>
      <c r="DG158" s="1926"/>
      <c r="DH158" s="1926"/>
      <c r="DI158" s="1926"/>
      <c r="DJ158" s="1926"/>
      <c r="DK158" s="1926"/>
      <c r="DL158" s="1926"/>
      <c r="DM158" s="1926"/>
      <c r="DN158" s="1926"/>
      <c r="DO158" s="1926"/>
      <c r="DP158" s="1926"/>
      <c r="DQ158" s="1926"/>
      <c r="DR158" s="1926"/>
      <c r="DS158" s="1926"/>
      <c r="DT158" s="1926"/>
      <c r="DU158" s="1926"/>
      <c r="DV158" s="1926"/>
      <c r="DW158" s="1926"/>
      <c r="DX158" s="1926"/>
      <c r="DY158" s="1926"/>
      <c r="DZ158" s="1926"/>
      <c r="EA158" s="1926"/>
      <c r="EB158" s="1926"/>
      <c r="EC158" s="1926"/>
      <c r="ED158" s="1926"/>
      <c r="EE158" s="1926"/>
      <c r="EF158" s="1926"/>
      <c r="EG158" s="1926"/>
      <c r="EH158" s="1926"/>
      <c r="EI158" s="1926"/>
      <c r="EJ158" s="1926"/>
      <c r="EK158" s="1926"/>
      <c r="EL158" s="1926"/>
      <c r="EM158" s="1926"/>
      <c r="EN158" s="1926"/>
      <c r="EO158" s="1926"/>
      <c r="EP158" s="1926"/>
      <c r="EQ158" s="1926"/>
      <c r="ER158" s="1926"/>
      <c r="ES158" s="1926"/>
      <c r="ET158" s="1926"/>
      <c r="EU158" s="1926"/>
      <c r="EV158" s="1926"/>
      <c r="EW158" s="1926"/>
      <c r="EX158" s="1926"/>
      <c r="EY158" s="1926"/>
      <c r="EZ158" s="1926"/>
      <c r="FA158" s="1926"/>
      <c r="FB158" s="1926"/>
      <c r="FC158" s="1926"/>
      <c r="FD158" s="1926"/>
      <c r="FE158" s="1926"/>
      <c r="FF158" s="1926"/>
      <c r="FG158" s="1926"/>
      <c r="FH158" s="1926"/>
      <c r="FI158" s="1926"/>
      <c r="FJ158" s="1926"/>
      <c r="FK158" s="1926"/>
      <c r="FL158" s="1926"/>
      <c r="FM158" s="1926"/>
      <c r="FN158" s="1926"/>
      <c r="FO158" s="1926"/>
      <c r="FP158" s="1926"/>
      <c r="FQ158" s="1926"/>
      <c r="FR158" s="1926"/>
    </row>
    <row r="159" spans="2:174" s="37" customFormat="1" ht="14.25" hidden="1" customHeight="1">
      <c r="B159" s="1921" t="s">
        <v>571</v>
      </c>
      <c r="H159" s="53"/>
      <c r="M159" s="53"/>
      <c r="O159" s="53"/>
      <c r="P159" s="53"/>
      <c r="Q159" s="53"/>
      <c r="R159" s="53"/>
      <c r="W159" s="53"/>
      <c r="Y159" s="1921"/>
      <c r="Z159" s="53"/>
      <c r="AA159" s="1922">
        <v>0</v>
      </c>
      <c r="AB159" s="1922">
        <f t="shared" ref="AB159:BG159" si="132">IF($O9=AB$158,1,IF(AA159&gt;0,IF(AA159&gt;=$Q9*12,0,AA159+1),0))</f>
        <v>1</v>
      </c>
      <c r="AC159" s="1922">
        <f t="shared" si="132"/>
        <v>1</v>
      </c>
      <c r="AD159" s="1922">
        <f t="shared" si="132"/>
        <v>1</v>
      </c>
      <c r="AE159" s="1922">
        <f t="shared" si="132"/>
        <v>1</v>
      </c>
      <c r="AF159" s="1922">
        <f t="shared" si="132"/>
        <v>1</v>
      </c>
      <c r="AG159" s="1922">
        <f t="shared" si="132"/>
        <v>1</v>
      </c>
      <c r="AH159" s="1922">
        <f t="shared" si="132"/>
        <v>1</v>
      </c>
      <c r="AI159" s="1922">
        <f t="shared" si="132"/>
        <v>1</v>
      </c>
      <c r="AJ159" s="1922">
        <f t="shared" si="132"/>
        <v>1</v>
      </c>
      <c r="AK159" s="1922">
        <f t="shared" si="132"/>
        <v>1</v>
      </c>
      <c r="AL159" s="1922">
        <f t="shared" si="132"/>
        <v>1</v>
      </c>
      <c r="AM159" s="1922">
        <f t="shared" si="132"/>
        <v>1</v>
      </c>
      <c r="AN159" s="1955">
        <f t="shared" si="132"/>
        <v>1</v>
      </c>
      <c r="AO159" s="1922">
        <f t="shared" si="132"/>
        <v>1</v>
      </c>
      <c r="AP159" s="1922">
        <f t="shared" si="132"/>
        <v>1</v>
      </c>
      <c r="AQ159" s="1922">
        <f t="shared" si="132"/>
        <v>1</v>
      </c>
      <c r="AR159" s="1922">
        <f t="shared" si="132"/>
        <v>1</v>
      </c>
      <c r="AS159" s="1922">
        <f t="shared" si="132"/>
        <v>1</v>
      </c>
      <c r="AT159" s="1922">
        <f t="shared" si="132"/>
        <v>1</v>
      </c>
      <c r="AU159" s="1922">
        <f t="shared" si="132"/>
        <v>1</v>
      </c>
      <c r="AV159" s="1922">
        <f t="shared" si="132"/>
        <v>1</v>
      </c>
      <c r="AW159" s="1922">
        <f t="shared" si="132"/>
        <v>1</v>
      </c>
      <c r="AX159" s="1922">
        <f t="shared" si="132"/>
        <v>1</v>
      </c>
      <c r="AY159" s="1922">
        <f t="shared" si="132"/>
        <v>1</v>
      </c>
      <c r="AZ159" s="1922">
        <f t="shared" si="132"/>
        <v>1</v>
      </c>
      <c r="BA159" s="1922">
        <f t="shared" si="132"/>
        <v>1</v>
      </c>
      <c r="BB159" s="1922">
        <f t="shared" si="132"/>
        <v>1</v>
      </c>
      <c r="BC159" s="1922">
        <f t="shared" si="132"/>
        <v>1</v>
      </c>
      <c r="BD159" s="1922">
        <f t="shared" si="132"/>
        <v>1</v>
      </c>
      <c r="BE159" s="1922">
        <f t="shared" si="132"/>
        <v>1</v>
      </c>
      <c r="BF159" s="1922">
        <f t="shared" si="132"/>
        <v>1</v>
      </c>
      <c r="BG159" s="1922">
        <f t="shared" si="132"/>
        <v>1</v>
      </c>
      <c r="BH159" s="1922">
        <f t="shared" ref="BH159:BW159" si="133">IF($O9=BH$158,1,IF(BG159&gt;0,IF(BG159&gt;=$Q9*12,0,BG159+1),0))</f>
        <v>1</v>
      </c>
      <c r="BI159" s="1922">
        <f t="shared" si="133"/>
        <v>1</v>
      </c>
      <c r="BJ159" s="1922">
        <f t="shared" si="133"/>
        <v>1</v>
      </c>
      <c r="BK159" s="1922">
        <f t="shared" si="133"/>
        <v>1</v>
      </c>
      <c r="BL159" s="1922">
        <f t="shared" si="133"/>
        <v>1</v>
      </c>
      <c r="BM159" s="1922">
        <f t="shared" si="133"/>
        <v>1</v>
      </c>
      <c r="BN159" s="1922">
        <f t="shared" si="133"/>
        <v>1</v>
      </c>
      <c r="BO159" s="1922">
        <f t="shared" si="133"/>
        <v>1</v>
      </c>
      <c r="BP159" s="1922">
        <f t="shared" si="133"/>
        <v>1</v>
      </c>
      <c r="BQ159" s="1922">
        <f t="shared" si="133"/>
        <v>1</v>
      </c>
      <c r="BR159" s="1922">
        <f t="shared" si="133"/>
        <v>1</v>
      </c>
      <c r="BS159" s="1922">
        <f t="shared" si="133"/>
        <v>1</v>
      </c>
      <c r="BT159" s="1922">
        <f t="shared" si="133"/>
        <v>1</v>
      </c>
      <c r="BU159" s="1922">
        <f t="shared" si="133"/>
        <v>1</v>
      </c>
      <c r="BV159" s="1922">
        <f t="shared" si="133"/>
        <v>1</v>
      </c>
      <c r="BW159" s="1924">
        <f t="shared" si="133"/>
        <v>1</v>
      </c>
      <c r="BX159" s="1926"/>
      <c r="BY159" s="1926"/>
      <c r="BZ159" s="1926"/>
      <c r="CA159" s="1926"/>
      <c r="CB159" s="1926"/>
      <c r="CC159" s="1926"/>
      <c r="CD159" s="1926"/>
      <c r="CE159" s="1926"/>
      <c r="CF159" s="1926"/>
      <c r="CG159" s="1926"/>
      <c r="CH159" s="1926"/>
      <c r="CI159" s="1926"/>
      <c r="CJ159" s="1926"/>
      <c r="CK159" s="1926"/>
      <c r="CL159" s="1926"/>
      <c r="CM159" s="1926"/>
      <c r="CN159" s="1926"/>
      <c r="CO159" s="1926"/>
      <c r="CP159" s="1926"/>
      <c r="CQ159" s="1926"/>
      <c r="CR159" s="1926"/>
      <c r="CS159" s="1926"/>
      <c r="CT159" s="1926"/>
      <c r="CU159" s="1926"/>
      <c r="CV159" s="1926"/>
      <c r="CW159" s="1926"/>
      <c r="CX159" s="1926"/>
      <c r="CY159" s="1926"/>
      <c r="CZ159" s="1926"/>
      <c r="DA159" s="1926"/>
      <c r="DB159" s="1926"/>
      <c r="DC159" s="1926"/>
      <c r="DD159" s="1926"/>
      <c r="DE159" s="1926"/>
      <c r="DF159" s="1926"/>
      <c r="DG159" s="1926"/>
      <c r="DH159" s="1926"/>
      <c r="DI159" s="1926"/>
      <c r="DJ159" s="1926"/>
      <c r="DK159" s="1926"/>
      <c r="DL159" s="1926"/>
      <c r="DM159" s="1926"/>
      <c r="DN159" s="1926"/>
      <c r="DO159" s="1926"/>
      <c r="DP159" s="1926"/>
      <c r="DQ159" s="1926"/>
      <c r="DR159" s="1926"/>
      <c r="DS159" s="1926"/>
      <c r="DT159" s="1926"/>
      <c r="DU159" s="1926"/>
      <c r="DV159" s="1926"/>
      <c r="DW159" s="1926"/>
      <c r="DX159" s="1926"/>
      <c r="DY159" s="1926"/>
      <c r="DZ159" s="1926"/>
      <c r="EA159" s="1926"/>
      <c r="EB159" s="1926"/>
      <c r="EC159" s="1926"/>
      <c r="ED159" s="1926"/>
      <c r="EE159" s="1926"/>
      <c r="EF159" s="1926"/>
      <c r="EG159" s="1926"/>
      <c r="EH159" s="1926"/>
      <c r="EI159" s="1926"/>
      <c r="EJ159" s="1926"/>
      <c r="EK159" s="1926"/>
      <c r="EL159" s="1926"/>
      <c r="EM159" s="1926"/>
      <c r="EN159" s="1926"/>
      <c r="EO159" s="1926"/>
      <c r="EP159" s="1926"/>
      <c r="EQ159" s="1926"/>
      <c r="ER159" s="1926"/>
      <c r="ES159" s="1926"/>
      <c r="ET159" s="1926"/>
      <c r="EU159" s="1926"/>
      <c r="EV159" s="1926"/>
      <c r="EW159" s="1926"/>
      <c r="EX159" s="1926"/>
      <c r="EY159" s="1926"/>
      <c r="EZ159" s="1926"/>
      <c r="FA159" s="1926"/>
      <c r="FB159" s="1926"/>
      <c r="FC159" s="1926"/>
      <c r="FD159" s="1926"/>
      <c r="FE159" s="1926"/>
      <c r="FF159" s="1926"/>
      <c r="FG159" s="1926"/>
      <c r="FH159" s="1926"/>
      <c r="FI159" s="1926"/>
      <c r="FJ159" s="1926"/>
      <c r="FK159" s="1926"/>
      <c r="FL159" s="1926"/>
      <c r="FM159" s="1926"/>
      <c r="FN159" s="1926"/>
      <c r="FO159" s="1926"/>
      <c r="FP159" s="1926"/>
      <c r="FQ159" s="1926"/>
      <c r="FR159" s="1926"/>
    </row>
    <row r="160" spans="2:174" s="37" customFormat="1" ht="14.25" hidden="1" customHeight="1">
      <c r="B160" s="37" t="s">
        <v>572</v>
      </c>
      <c r="H160" s="53"/>
      <c r="M160" s="53"/>
      <c r="O160" s="53"/>
      <c r="P160" s="53"/>
      <c r="Q160" s="53"/>
      <c r="R160" s="53"/>
      <c r="W160" s="53"/>
      <c r="Z160" s="53"/>
      <c r="AA160" s="1928"/>
      <c r="AB160" s="1922">
        <f t="shared" ref="AB160:BG160" si="134">IF(AB159&lt;&gt;0,IF($O9=0,0,$O9/($Q9*12)),0)</f>
        <v>0</v>
      </c>
      <c r="AC160" s="1922">
        <f t="shared" si="134"/>
        <v>0</v>
      </c>
      <c r="AD160" s="1922">
        <f t="shared" si="134"/>
        <v>0</v>
      </c>
      <c r="AE160" s="1922">
        <f t="shared" si="134"/>
        <v>0</v>
      </c>
      <c r="AF160" s="1922">
        <f t="shared" si="134"/>
        <v>0</v>
      </c>
      <c r="AG160" s="1922">
        <f t="shared" si="134"/>
        <v>0</v>
      </c>
      <c r="AH160" s="1922">
        <f t="shared" si="134"/>
        <v>0</v>
      </c>
      <c r="AI160" s="1922">
        <f t="shared" si="134"/>
        <v>0</v>
      </c>
      <c r="AJ160" s="1922">
        <f t="shared" si="134"/>
        <v>0</v>
      </c>
      <c r="AK160" s="1922">
        <f t="shared" si="134"/>
        <v>0</v>
      </c>
      <c r="AL160" s="1922">
        <f t="shared" si="134"/>
        <v>0</v>
      </c>
      <c r="AM160" s="1922">
        <f t="shared" si="134"/>
        <v>0</v>
      </c>
      <c r="AN160" s="1955">
        <f t="shared" si="134"/>
        <v>0</v>
      </c>
      <c r="AO160" s="1922">
        <f t="shared" si="134"/>
        <v>0</v>
      </c>
      <c r="AP160" s="1922">
        <f t="shared" si="134"/>
        <v>0</v>
      </c>
      <c r="AQ160" s="1922">
        <f t="shared" si="134"/>
        <v>0</v>
      </c>
      <c r="AR160" s="1922">
        <f t="shared" si="134"/>
        <v>0</v>
      </c>
      <c r="AS160" s="1922">
        <f t="shared" si="134"/>
        <v>0</v>
      </c>
      <c r="AT160" s="1922">
        <f t="shared" si="134"/>
        <v>0</v>
      </c>
      <c r="AU160" s="1922">
        <f t="shared" si="134"/>
        <v>0</v>
      </c>
      <c r="AV160" s="1922">
        <f t="shared" si="134"/>
        <v>0</v>
      </c>
      <c r="AW160" s="1922">
        <f t="shared" si="134"/>
        <v>0</v>
      </c>
      <c r="AX160" s="1922">
        <f t="shared" si="134"/>
        <v>0</v>
      </c>
      <c r="AY160" s="1922">
        <f t="shared" si="134"/>
        <v>0</v>
      </c>
      <c r="AZ160" s="1922">
        <f t="shared" si="134"/>
        <v>0</v>
      </c>
      <c r="BA160" s="1922">
        <f t="shared" si="134"/>
        <v>0</v>
      </c>
      <c r="BB160" s="1922">
        <f t="shared" si="134"/>
        <v>0</v>
      </c>
      <c r="BC160" s="1922">
        <f t="shared" si="134"/>
        <v>0</v>
      </c>
      <c r="BD160" s="1922">
        <f t="shared" si="134"/>
        <v>0</v>
      </c>
      <c r="BE160" s="1922">
        <f t="shared" si="134"/>
        <v>0</v>
      </c>
      <c r="BF160" s="1922">
        <f t="shared" si="134"/>
        <v>0</v>
      </c>
      <c r="BG160" s="1922">
        <f t="shared" si="134"/>
        <v>0</v>
      </c>
      <c r="BH160" s="1922">
        <f t="shared" ref="BH160:BW160" si="135">IF(BH159&lt;&gt;0,IF($O9=0,0,$O9/($Q9*12)),0)</f>
        <v>0</v>
      </c>
      <c r="BI160" s="1922">
        <f t="shared" si="135"/>
        <v>0</v>
      </c>
      <c r="BJ160" s="1922">
        <f t="shared" si="135"/>
        <v>0</v>
      </c>
      <c r="BK160" s="1922">
        <f t="shared" si="135"/>
        <v>0</v>
      </c>
      <c r="BL160" s="1922">
        <f t="shared" si="135"/>
        <v>0</v>
      </c>
      <c r="BM160" s="1922">
        <f t="shared" si="135"/>
        <v>0</v>
      </c>
      <c r="BN160" s="1922">
        <f t="shared" si="135"/>
        <v>0</v>
      </c>
      <c r="BO160" s="1922">
        <f t="shared" si="135"/>
        <v>0</v>
      </c>
      <c r="BP160" s="1922">
        <f t="shared" si="135"/>
        <v>0</v>
      </c>
      <c r="BQ160" s="1922">
        <f t="shared" si="135"/>
        <v>0</v>
      </c>
      <c r="BR160" s="1922">
        <f t="shared" si="135"/>
        <v>0</v>
      </c>
      <c r="BS160" s="1922">
        <f t="shared" si="135"/>
        <v>0</v>
      </c>
      <c r="BT160" s="1922">
        <f t="shared" si="135"/>
        <v>0</v>
      </c>
      <c r="BU160" s="1922">
        <f t="shared" si="135"/>
        <v>0</v>
      </c>
      <c r="BV160" s="1922">
        <f t="shared" si="135"/>
        <v>0</v>
      </c>
      <c r="BW160" s="1924">
        <f t="shared" si="135"/>
        <v>0</v>
      </c>
      <c r="BX160" s="1926"/>
      <c r="BY160" s="1926"/>
      <c r="BZ160" s="1926"/>
      <c r="CA160" s="1926"/>
      <c r="CB160" s="1926"/>
      <c r="CC160" s="1926"/>
      <c r="CD160" s="1926"/>
      <c r="CE160" s="1926"/>
      <c r="CF160" s="1926"/>
      <c r="CG160" s="1926"/>
      <c r="CH160" s="1926"/>
      <c r="CI160" s="1926"/>
      <c r="CJ160" s="1926"/>
      <c r="CK160" s="1926"/>
      <c r="CL160" s="1926"/>
      <c r="CM160" s="1926"/>
      <c r="CN160" s="1926"/>
      <c r="CO160" s="1926"/>
      <c r="CP160" s="1926"/>
      <c r="CQ160" s="1926"/>
      <c r="CR160" s="1926"/>
      <c r="CS160" s="1926"/>
      <c r="CT160" s="1926"/>
      <c r="CU160" s="1926"/>
      <c r="CV160" s="1926"/>
      <c r="CW160" s="1926"/>
      <c r="CX160" s="1926"/>
      <c r="CY160" s="1926"/>
      <c r="CZ160" s="1926"/>
      <c r="DA160" s="1926"/>
      <c r="DB160" s="1926"/>
      <c r="DC160" s="1926"/>
      <c r="DD160" s="1926"/>
      <c r="DE160" s="1926"/>
      <c r="DF160" s="1926"/>
      <c r="DG160" s="1926"/>
      <c r="DH160" s="1926"/>
      <c r="DI160" s="1926"/>
      <c r="DJ160" s="1926"/>
      <c r="DK160" s="1926"/>
      <c r="DL160" s="1926"/>
      <c r="DM160" s="1926"/>
      <c r="DN160" s="1926"/>
      <c r="DO160" s="1926"/>
      <c r="DP160" s="1926"/>
      <c r="DQ160" s="1926"/>
      <c r="DR160" s="1926"/>
      <c r="DS160" s="1926"/>
      <c r="DT160" s="1926"/>
      <c r="DU160" s="1926"/>
      <c r="DV160" s="1926"/>
      <c r="DW160" s="1926"/>
      <c r="DX160" s="1926"/>
      <c r="DY160" s="1926"/>
      <c r="DZ160" s="1926"/>
      <c r="EA160" s="1926"/>
      <c r="EB160" s="1926"/>
      <c r="EC160" s="1926"/>
      <c r="ED160" s="1926"/>
      <c r="EE160" s="1926"/>
      <c r="EF160" s="1926"/>
      <c r="EG160" s="1926"/>
      <c r="EH160" s="1926"/>
      <c r="EI160" s="1926"/>
      <c r="EJ160" s="1926"/>
      <c r="EK160" s="1926"/>
      <c r="EL160" s="1926"/>
      <c r="EM160" s="1926"/>
      <c r="EN160" s="1926"/>
      <c r="EO160" s="1926"/>
      <c r="EP160" s="1926"/>
      <c r="EQ160" s="1926"/>
      <c r="ER160" s="1926"/>
      <c r="ES160" s="1926"/>
      <c r="ET160" s="1926"/>
      <c r="EU160" s="1926"/>
      <c r="EV160" s="1926"/>
      <c r="EW160" s="1926"/>
      <c r="EX160" s="1926"/>
      <c r="EY160" s="1926"/>
      <c r="EZ160" s="1926"/>
      <c r="FA160" s="1926"/>
      <c r="FB160" s="1926"/>
      <c r="FC160" s="1926"/>
      <c r="FD160" s="1926"/>
      <c r="FE160" s="1926"/>
      <c r="FF160" s="1926"/>
      <c r="FG160" s="1926"/>
      <c r="FH160" s="1926"/>
      <c r="FI160" s="1926"/>
      <c r="FJ160" s="1926"/>
      <c r="FK160" s="1926"/>
      <c r="FL160" s="1926"/>
      <c r="FM160" s="1926"/>
      <c r="FN160" s="1926"/>
      <c r="FO160" s="1926"/>
      <c r="FP160" s="1926"/>
      <c r="FQ160" s="1926"/>
      <c r="FR160" s="1926"/>
    </row>
    <row r="161" spans="2:174" s="37" customFormat="1" ht="14.25" hidden="1" customHeight="1">
      <c r="B161" s="37" t="s">
        <v>573</v>
      </c>
      <c r="H161" s="53"/>
      <c r="M161" s="53"/>
      <c r="O161" s="53"/>
      <c r="P161" s="53"/>
      <c r="Q161" s="53"/>
      <c r="R161" s="53"/>
      <c r="T161" s="53"/>
      <c r="U161" s="53"/>
      <c r="W161" s="53"/>
      <c r="Z161" s="53"/>
      <c r="AA161" s="1923"/>
      <c r="AB161" s="1929">
        <f ca="1">IF($Z10=AB$145,$T10,0)</f>
        <v>0</v>
      </c>
      <c r="AC161" s="1929">
        <f t="shared" ref="AC161:BH161" si="136">IF($P10=AC$145,$O10,0)</f>
        <v>0</v>
      </c>
      <c r="AD161" s="1929">
        <f t="shared" si="136"/>
        <v>0</v>
      </c>
      <c r="AE161" s="1929">
        <f t="shared" si="136"/>
        <v>0</v>
      </c>
      <c r="AF161" s="1929">
        <f t="shared" si="136"/>
        <v>0</v>
      </c>
      <c r="AG161" s="1929">
        <f t="shared" si="136"/>
        <v>0</v>
      </c>
      <c r="AH161" s="1929">
        <f t="shared" si="136"/>
        <v>0</v>
      </c>
      <c r="AI161" s="1929">
        <f t="shared" si="136"/>
        <v>0</v>
      </c>
      <c r="AJ161" s="1929">
        <f t="shared" si="136"/>
        <v>0</v>
      </c>
      <c r="AK161" s="1929">
        <f t="shared" si="136"/>
        <v>0</v>
      </c>
      <c r="AL161" s="1929">
        <f t="shared" si="136"/>
        <v>0</v>
      </c>
      <c r="AM161" s="1929">
        <f t="shared" si="136"/>
        <v>0</v>
      </c>
      <c r="AN161" s="1958">
        <f t="shared" si="136"/>
        <v>0</v>
      </c>
      <c r="AO161" s="1929">
        <f t="shared" si="136"/>
        <v>0</v>
      </c>
      <c r="AP161" s="1929">
        <f t="shared" si="136"/>
        <v>0</v>
      </c>
      <c r="AQ161" s="1929">
        <f t="shared" si="136"/>
        <v>0</v>
      </c>
      <c r="AR161" s="1929">
        <f t="shared" si="136"/>
        <v>0</v>
      </c>
      <c r="AS161" s="1929">
        <f t="shared" si="136"/>
        <v>0</v>
      </c>
      <c r="AT161" s="1929">
        <f t="shared" si="136"/>
        <v>0</v>
      </c>
      <c r="AU161" s="1929">
        <f t="shared" si="136"/>
        <v>0</v>
      </c>
      <c r="AV161" s="1929">
        <f t="shared" si="136"/>
        <v>0</v>
      </c>
      <c r="AW161" s="1929">
        <f t="shared" si="136"/>
        <v>0</v>
      </c>
      <c r="AX161" s="1929">
        <f t="shared" si="136"/>
        <v>0</v>
      </c>
      <c r="AY161" s="1929">
        <f t="shared" si="136"/>
        <v>0</v>
      </c>
      <c r="AZ161" s="1929">
        <f t="shared" si="136"/>
        <v>0</v>
      </c>
      <c r="BA161" s="1929">
        <f t="shared" si="136"/>
        <v>0</v>
      </c>
      <c r="BB161" s="1929">
        <f t="shared" si="136"/>
        <v>0</v>
      </c>
      <c r="BC161" s="1929">
        <f t="shared" si="136"/>
        <v>0</v>
      </c>
      <c r="BD161" s="1929">
        <f t="shared" si="136"/>
        <v>0</v>
      </c>
      <c r="BE161" s="1929">
        <f t="shared" si="136"/>
        <v>0</v>
      </c>
      <c r="BF161" s="1929">
        <f t="shared" si="136"/>
        <v>0</v>
      </c>
      <c r="BG161" s="1929">
        <f t="shared" si="136"/>
        <v>0</v>
      </c>
      <c r="BH161" s="1929">
        <f t="shared" si="136"/>
        <v>0</v>
      </c>
      <c r="BI161" s="1929">
        <f t="shared" ref="BI161:BW161" si="137">IF($P10=BI$145,$O10,0)</f>
        <v>0</v>
      </c>
      <c r="BJ161" s="1929">
        <f t="shared" si="137"/>
        <v>0</v>
      </c>
      <c r="BK161" s="1929">
        <f t="shared" si="137"/>
        <v>0</v>
      </c>
      <c r="BL161" s="1929">
        <f t="shared" si="137"/>
        <v>0</v>
      </c>
      <c r="BM161" s="1929">
        <f t="shared" si="137"/>
        <v>0</v>
      </c>
      <c r="BN161" s="1929">
        <f t="shared" si="137"/>
        <v>0</v>
      </c>
      <c r="BO161" s="1929">
        <f t="shared" si="137"/>
        <v>0</v>
      </c>
      <c r="BP161" s="1929">
        <f t="shared" si="137"/>
        <v>0</v>
      </c>
      <c r="BQ161" s="1929">
        <f t="shared" si="137"/>
        <v>0</v>
      </c>
      <c r="BR161" s="1929">
        <f t="shared" si="137"/>
        <v>0</v>
      </c>
      <c r="BS161" s="1929">
        <f t="shared" si="137"/>
        <v>0</v>
      </c>
      <c r="BT161" s="1929">
        <f t="shared" si="137"/>
        <v>0</v>
      </c>
      <c r="BU161" s="1929">
        <f t="shared" si="137"/>
        <v>0</v>
      </c>
      <c r="BV161" s="1929">
        <f t="shared" si="137"/>
        <v>0</v>
      </c>
      <c r="BW161" s="1930">
        <f t="shared" si="137"/>
        <v>0</v>
      </c>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c r="DK161" s="54"/>
      <c r="DL161" s="54"/>
      <c r="DM161" s="54"/>
      <c r="DN161" s="54"/>
      <c r="DO161" s="54"/>
      <c r="DP161" s="54"/>
      <c r="DQ161" s="54"/>
      <c r="DR161" s="54"/>
      <c r="DS161" s="54"/>
      <c r="DT161" s="54"/>
      <c r="DU161" s="54"/>
      <c r="DV161" s="54"/>
      <c r="DW161" s="54"/>
      <c r="DX161" s="54"/>
      <c r="DY161" s="54"/>
      <c r="DZ161" s="54"/>
      <c r="EA161" s="54"/>
      <c r="EB161" s="54"/>
      <c r="EC161" s="54"/>
      <c r="ED161" s="54"/>
      <c r="EE161" s="54"/>
      <c r="EF161" s="54"/>
      <c r="EG161" s="54"/>
      <c r="EH161" s="54"/>
      <c r="EI161" s="54"/>
      <c r="EJ161" s="54"/>
      <c r="EK161" s="54"/>
      <c r="EL161" s="54"/>
      <c r="EM161" s="54"/>
      <c r="EN161" s="54"/>
      <c r="EO161" s="54"/>
      <c r="EP161" s="54"/>
      <c r="EQ161" s="54"/>
      <c r="ER161" s="54"/>
      <c r="ES161" s="54"/>
      <c r="ET161" s="54"/>
      <c r="EU161" s="54"/>
      <c r="EV161" s="54"/>
      <c r="EW161" s="54"/>
      <c r="EX161" s="54"/>
      <c r="EY161" s="54"/>
      <c r="EZ161" s="54"/>
      <c r="FA161" s="54"/>
      <c r="FB161" s="54"/>
      <c r="FC161" s="54"/>
      <c r="FD161" s="54"/>
      <c r="FE161" s="54"/>
      <c r="FF161" s="54"/>
      <c r="FG161" s="54"/>
      <c r="FH161" s="54"/>
      <c r="FI161" s="54"/>
      <c r="FJ161" s="54"/>
      <c r="FK161" s="54"/>
      <c r="FL161" s="54"/>
      <c r="FM161" s="54"/>
      <c r="FN161" s="54"/>
      <c r="FO161" s="54"/>
      <c r="FP161" s="54"/>
      <c r="FQ161" s="54"/>
      <c r="FR161" s="54"/>
    </row>
    <row r="162" spans="2:174" s="37" customFormat="1" ht="14.25" hidden="1" customHeight="1">
      <c r="B162" s="1921" t="s">
        <v>571</v>
      </c>
      <c r="H162" s="53"/>
      <c r="M162" s="53"/>
      <c r="O162" s="53"/>
      <c r="P162" s="53"/>
      <c r="Q162" s="53"/>
      <c r="R162" s="53"/>
      <c r="T162" s="53"/>
      <c r="U162" s="53"/>
      <c r="W162" s="53"/>
      <c r="Y162" s="1921"/>
      <c r="Z162" s="53"/>
      <c r="AA162" s="1923">
        <v>0</v>
      </c>
      <c r="AB162" s="1929">
        <f t="shared" ref="AB162:BG162" si="138">IF($P10=P$124,1,IF(AA162&gt;0,IF(AA162&gt;=$Q10*12,0, AA162+1),0))</f>
        <v>1</v>
      </c>
      <c r="AC162" s="1923">
        <f t="shared" si="138"/>
        <v>2</v>
      </c>
      <c r="AD162" s="1923">
        <f t="shared" si="138"/>
        <v>3</v>
      </c>
      <c r="AE162" s="1923">
        <f t="shared" si="138"/>
        <v>4</v>
      </c>
      <c r="AF162" s="1923">
        <f t="shared" si="138"/>
        <v>5</v>
      </c>
      <c r="AG162" s="1923">
        <f t="shared" si="138"/>
        <v>6</v>
      </c>
      <c r="AH162" s="1923">
        <f t="shared" si="138"/>
        <v>7</v>
      </c>
      <c r="AI162" s="1923">
        <f t="shared" si="138"/>
        <v>8</v>
      </c>
      <c r="AJ162" s="1923">
        <f t="shared" si="138"/>
        <v>9</v>
      </c>
      <c r="AK162" s="1923">
        <f t="shared" si="138"/>
        <v>10</v>
      </c>
      <c r="AL162" s="1923">
        <f t="shared" si="138"/>
        <v>11</v>
      </c>
      <c r="AM162" s="1923">
        <f t="shared" si="138"/>
        <v>12</v>
      </c>
      <c r="AN162" s="1959">
        <f t="shared" si="138"/>
        <v>13</v>
      </c>
      <c r="AO162" s="1923">
        <f t="shared" si="138"/>
        <v>14</v>
      </c>
      <c r="AP162" s="1923">
        <f t="shared" si="138"/>
        <v>15</v>
      </c>
      <c r="AQ162" s="1923">
        <f t="shared" si="138"/>
        <v>16</v>
      </c>
      <c r="AR162" s="1923">
        <f t="shared" si="138"/>
        <v>17</v>
      </c>
      <c r="AS162" s="1923">
        <f t="shared" si="138"/>
        <v>18</v>
      </c>
      <c r="AT162" s="1923">
        <f t="shared" si="138"/>
        <v>19</v>
      </c>
      <c r="AU162" s="1923">
        <f t="shared" si="138"/>
        <v>20</v>
      </c>
      <c r="AV162" s="1923">
        <f t="shared" si="138"/>
        <v>21</v>
      </c>
      <c r="AW162" s="1923">
        <f t="shared" si="138"/>
        <v>22</v>
      </c>
      <c r="AX162" s="1923">
        <f t="shared" si="138"/>
        <v>23</v>
      </c>
      <c r="AY162" s="1923">
        <f t="shared" si="138"/>
        <v>24</v>
      </c>
      <c r="AZ162" s="1923">
        <f t="shared" si="138"/>
        <v>25</v>
      </c>
      <c r="BA162" s="1923">
        <f t="shared" si="138"/>
        <v>26</v>
      </c>
      <c r="BB162" s="1923">
        <f t="shared" si="138"/>
        <v>27</v>
      </c>
      <c r="BC162" s="1923">
        <f t="shared" si="138"/>
        <v>28</v>
      </c>
      <c r="BD162" s="1923">
        <f t="shared" si="138"/>
        <v>29</v>
      </c>
      <c r="BE162" s="1923">
        <f t="shared" si="138"/>
        <v>30</v>
      </c>
      <c r="BF162" s="1923">
        <f t="shared" si="138"/>
        <v>31</v>
      </c>
      <c r="BG162" s="1923">
        <f t="shared" si="138"/>
        <v>32</v>
      </c>
      <c r="BH162" s="1923">
        <f t="shared" ref="BH162:BW162" si="139">IF($P10=AV$124,1,IF(BG162&gt;0,IF(BG162&gt;=$Q10*12,0, BG162+1),0))</f>
        <v>33</v>
      </c>
      <c r="BI162" s="1923">
        <f t="shared" si="139"/>
        <v>34</v>
      </c>
      <c r="BJ162" s="1923">
        <f t="shared" si="139"/>
        <v>35</v>
      </c>
      <c r="BK162" s="1923">
        <f t="shared" si="139"/>
        <v>36</v>
      </c>
      <c r="BL162" s="1923">
        <f t="shared" si="139"/>
        <v>37</v>
      </c>
      <c r="BM162" s="1923">
        <f t="shared" si="139"/>
        <v>38</v>
      </c>
      <c r="BN162" s="1923">
        <f t="shared" si="139"/>
        <v>39</v>
      </c>
      <c r="BO162" s="1923">
        <f t="shared" si="139"/>
        <v>40</v>
      </c>
      <c r="BP162" s="1923">
        <f t="shared" si="139"/>
        <v>41</v>
      </c>
      <c r="BQ162" s="1923">
        <f t="shared" si="139"/>
        <v>42</v>
      </c>
      <c r="BR162" s="1923">
        <f t="shared" si="139"/>
        <v>43</v>
      </c>
      <c r="BS162" s="1923">
        <f t="shared" si="139"/>
        <v>44</v>
      </c>
      <c r="BT162" s="1923">
        <f t="shared" si="139"/>
        <v>45</v>
      </c>
      <c r="BU162" s="1923">
        <f t="shared" si="139"/>
        <v>46</v>
      </c>
      <c r="BV162" s="1923">
        <f t="shared" si="139"/>
        <v>47</v>
      </c>
      <c r="BW162" s="1931">
        <f t="shared" si="139"/>
        <v>48</v>
      </c>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c r="DK162" s="54"/>
      <c r="DL162" s="54"/>
      <c r="DM162" s="54"/>
      <c r="DN162" s="54"/>
      <c r="DO162" s="54"/>
      <c r="DP162" s="54"/>
      <c r="DQ162" s="54"/>
      <c r="DR162" s="54"/>
      <c r="DS162" s="54"/>
      <c r="DT162" s="54"/>
      <c r="DU162" s="54"/>
      <c r="DV162" s="54"/>
      <c r="DW162" s="54"/>
      <c r="DX162" s="54"/>
      <c r="DY162" s="54"/>
      <c r="DZ162" s="54"/>
      <c r="EA162" s="54"/>
      <c r="EB162" s="54"/>
      <c r="EC162" s="54"/>
      <c r="ED162" s="54"/>
      <c r="EE162" s="54"/>
      <c r="EF162" s="54"/>
      <c r="EG162" s="54"/>
      <c r="EH162" s="54"/>
      <c r="EI162" s="54"/>
      <c r="EJ162" s="54"/>
      <c r="EK162" s="54"/>
      <c r="EL162" s="54"/>
      <c r="EM162" s="54"/>
      <c r="EN162" s="54"/>
      <c r="EO162" s="54"/>
      <c r="EP162" s="54"/>
      <c r="EQ162" s="54"/>
      <c r="ER162" s="54"/>
      <c r="ES162" s="54"/>
      <c r="ET162" s="54"/>
      <c r="EU162" s="54"/>
      <c r="EV162" s="54"/>
      <c r="EW162" s="54"/>
      <c r="EX162" s="54"/>
      <c r="EY162" s="54"/>
      <c r="EZ162" s="54"/>
      <c r="FA162" s="54"/>
      <c r="FB162" s="54"/>
      <c r="FC162" s="54"/>
      <c r="FD162" s="54"/>
      <c r="FE162" s="54"/>
      <c r="FF162" s="54"/>
      <c r="FG162" s="54"/>
      <c r="FH162" s="54"/>
      <c r="FI162" s="54"/>
      <c r="FJ162" s="54"/>
      <c r="FK162" s="54"/>
      <c r="FL162" s="54"/>
      <c r="FM162" s="54"/>
      <c r="FN162" s="54"/>
      <c r="FO162" s="54"/>
      <c r="FP162" s="54"/>
      <c r="FQ162" s="54"/>
      <c r="FR162" s="54"/>
    </row>
    <row r="163" spans="2:174" s="37" customFormat="1" ht="14.25" hidden="1" customHeight="1">
      <c r="B163" s="37" t="s">
        <v>572</v>
      </c>
      <c r="H163" s="53"/>
      <c r="M163" s="53"/>
      <c r="O163" s="53"/>
      <c r="P163" s="53"/>
      <c r="Q163" s="53"/>
      <c r="R163" s="53"/>
      <c r="T163" s="53"/>
      <c r="U163" s="53"/>
      <c r="W163" s="53"/>
      <c r="Z163" s="53"/>
      <c r="AA163" s="1932">
        <v>0</v>
      </c>
      <c r="AB163" s="1933">
        <f t="shared" ref="AB163:BG163" ca="1" si="140">IF(AB162&lt;&gt;0,IF($T10=0,0,$T10/($V10*12)),0)</f>
        <v>0</v>
      </c>
      <c r="AC163" s="1933">
        <f t="shared" ca="1" si="140"/>
        <v>0</v>
      </c>
      <c r="AD163" s="1933">
        <f t="shared" ca="1" si="140"/>
        <v>0</v>
      </c>
      <c r="AE163" s="1933">
        <f t="shared" ca="1" si="140"/>
        <v>0</v>
      </c>
      <c r="AF163" s="1933">
        <f t="shared" ca="1" si="140"/>
        <v>0</v>
      </c>
      <c r="AG163" s="1933">
        <f t="shared" ca="1" si="140"/>
        <v>0</v>
      </c>
      <c r="AH163" s="1933">
        <f t="shared" ca="1" si="140"/>
        <v>0</v>
      </c>
      <c r="AI163" s="1933">
        <f t="shared" ca="1" si="140"/>
        <v>0</v>
      </c>
      <c r="AJ163" s="1933">
        <f t="shared" ca="1" si="140"/>
        <v>0</v>
      </c>
      <c r="AK163" s="1933">
        <f t="shared" ca="1" si="140"/>
        <v>0</v>
      </c>
      <c r="AL163" s="1933">
        <f t="shared" ca="1" si="140"/>
        <v>0</v>
      </c>
      <c r="AM163" s="1933">
        <f t="shared" ca="1" si="140"/>
        <v>0</v>
      </c>
      <c r="AN163" s="1960">
        <f t="shared" ca="1" si="140"/>
        <v>0</v>
      </c>
      <c r="AO163" s="1933">
        <f t="shared" ca="1" si="140"/>
        <v>0</v>
      </c>
      <c r="AP163" s="1933">
        <f t="shared" ca="1" si="140"/>
        <v>0</v>
      </c>
      <c r="AQ163" s="1933">
        <f t="shared" ca="1" si="140"/>
        <v>0</v>
      </c>
      <c r="AR163" s="1933">
        <f t="shared" ca="1" si="140"/>
        <v>0</v>
      </c>
      <c r="AS163" s="1933">
        <f t="shared" ca="1" si="140"/>
        <v>0</v>
      </c>
      <c r="AT163" s="1933">
        <f t="shared" ca="1" si="140"/>
        <v>0</v>
      </c>
      <c r="AU163" s="1933">
        <f t="shared" ca="1" si="140"/>
        <v>0</v>
      </c>
      <c r="AV163" s="1933">
        <f t="shared" ca="1" si="140"/>
        <v>0</v>
      </c>
      <c r="AW163" s="1933">
        <f t="shared" ca="1" si="140"/>
        <v>0</v>
      </c>
      <c r="AX163" s="1933">
        <f t="shared" ca="1" si="140"/>
        <v>0</v>
      </c>
      <c r="AY163" s="1933">
        <f t="shared" ca="1" si="140"/>
        <v>0</v>
      </c>
      <c r="AZ163" s="1933">
        <f t="shared" ca="1" si="140"/>
        <v>0</v>
      </c>
      <c r="BA163" s="1933">
        <f t="shared" ca="1" si="140"/>
        <v>0</v>
      </c>
      <c r="BB163" s="1933">
        <f t="shared" ca="1" si="140"/>
        <v>0</v>
      </c>
      <c r="BC163" s="1933">
        <f t="shared" ca="1" si="140"/>
        <v>0</v>
      </c>
      <c r="BD163" s="1933">
        <f t="shared" ca="1" si="140"/>
        <v>0</v>
      </c>
      <c r="BE163" s="1933">
        <f t="shared" ca="1" si="140"/>
        <v>0</v>
      </c>
      <c r="BF163" s="1933">
        <f t="shared" ca="1" si="140"/>
        <v>0</v>
      </c>
      <c r="BG163" s="1933">
        <f t="shared" ca="1" si="140"/>
        <v>0</v>
      </c>
      <c r="BH163" s="1933">
        <f t="shared" ref="BH163:BW163" ca="1" si="141">IF(BH162&lt;&gt;0,IF($T10=0,0,$T10/($V10*12)),0)</f>
        <v>0</v>
      </c>
      <c r="BI163" s="1933">
        <f t="shared" ca="1" si="141"/>
        <v>0</v>
      </c>
      <c r="BJ163" s="1933">
        <f t="shared" ca="1" si="141"/>
        <v>0</v>
      </c>
      <c r="BK163" s="1933">
        <f t="shared" ca="1" si="141"/>
        <v>0</v>
      </c>
      <c r="BL163" s="1933">
        <f t="shared" ca="1" si="141"/>
        <v>0</v>
      </c>
      <c r="BM163" s="1933">
        <f t="shared" ca="1" si="141"/>
        <v>0</v>
      </c>
      <c r="BN163" s="1933">
        <f t="shared" ca="1" si="141"/>
        <v>0</v>
      </c>
      <c r="BO163" s="1933">
        <f t="shared" ca="1" si="141"/>
        <v>0</v>
      </c>
      <c r="BP163" s="1933">
        <f t="shared" ca="1" si="141"/>
        <v>0</v>
      </c>
      <c r="BQ163" s="1933">
        <f t="shared" ca="1" si="141"/>
        <v>0</v>
      </c>
      <c r="BR163" s="1933">
        <f t="shared" ca="1" si="141"/>
        <v>0</v>
      </c>
      <c r="BS163" s="1933">
        <f t="shared" ca="1" si="141"/>
        <v>0</v>
      </c>
      <c r="BT163" s="1933">
        <f t="shared" ca="1" si="141"/>
        <v>0</v>
      </c>
      <c r="BU163" s="1933">
        <f t="shared" ca="1" si="141"/>
        <v>0</v>
      </c>
      <c r="BV163" s="1933">
        <f t="shared" ca="1" si="141"/>
        <v>0</v>
      </c>
      <c r="BW163" s="1934">
        <f t="shared" ca="1" si="141"/>
        <v>0</v>
      </c>
      <c r="BX163" s="1926"/>
      <c r="BY163" s="1926"/>
      <c r="BZ163" s="1926"/>
      <c r="CA163" s="1926"/>
      <c r="CB163" s="1926"/>
      <c r="CC163" s="1926"/>
      <c r="CD163" s="1926"/>
      <c r="CE163" s="1926"/>
      <c r="CF163" s="1926"/>
      <c r="CG163" s="1926"/>
      <c r="CH163" s="1926"/>
      <c r="CI163" s="1926"/>
      <c r="CJ163" s="1926"/>
      <c r="CK163" s="1926"/>
      <c r="CL163" s="1926"/>
      <c r="CM163" s="1926"/>
      <c r="CN163" s="1926"/>
      <c r="CO163" s="1926"/>
      <c r="CP163" s="1926"/>
      <c r="CQ163" s="1926"/>
      <c r="CR163" s="1926"/>
      <c r="CS163" s="1926"/>
      <c r="CT163" s="1926"/>
      <c r="CU163" s="1926"/>
      <c r="CV163" s="1926"/>
      <c r="CW163" s="1926"/>
      <c r="CX163" s="1926"/>
      <c r="CY163" s="1926"/>
      <c r="CZ163" s="1926"/>
      <c r="DA163" s="1926"/>
      <c r="DB163" s="1926"/>
      <c r="DC163" s="1926"/>
      <c r="DD163" s="1926"/>
      <c r="DE163" s="1926"/>
      <c r="DF163" s="1926"/>
      <c r="DG163" s="1926"/>
      <c r="DH163" s="1926"/>
      <c r="DI163" s="1926"/>
      <c r="DJ163" s="1926"/>
      <c r="DK163" s="1926"/>
      <c r="DL163" s="1926"/>
      <c r="DM163" s="1926"/>
      <c r="DN163" s="1926"/>
      <c r="DO163" s="1926"/>
      <c r="DP163" s="1926"/>
      <c r="DQ163" s="1926"/>
      <c r="DR163" s="1926"/>
      <c r="DS163" s="1926"/>
      <c r="DT163" s="1926"/>
      <c r="DU163" s="1926"/>
      <c r="DV163" s="1926"/>
      <c r="DW163" s="1926"/>
      <c r="DX163" s="1926"/>
      <c r="DY163" s="1926"/>
      <c r="DZ163" s="1926"/>
      <c r="EA163" s="1926"/>
      <c r="EB163" s="1926"/>
      <c r="EC163" s="1926"/>
      <c r="ED163" s="1926"/>
      <c r="EE163" s="1926"/>
      <c r="EF163" s="1926"/>
      <c r="EG163" s="1926"/>
      <c r="EH163" s="1926"/>
      <c r="EI163" s="1926"/>
      <c r="EJ163" s="1926"/>
      <c r="EK163" s="1926"/>
      <c r="EL163" s="1926"/>
      <c r="EM163" s="1926"/>
      <c r="EN163" s="1926"/>
      <c r="EO163" s="1926"/>
      <c r="EP163" s="1926"/>
      <c r="EQ163" s="1926"/>
      <c r="ER163" s="1926"/>
      <c r="ES163" s="1926"/>
      <c r="ET163" s="1926"/>
      <c r="EU163" s="1926"/>
      <c r="EV163" s="1926"/>
      <c r="EW163" s="1926"/>
      <c r="EX163" s="1926"/>
      <c r="EY163" s="1926"/>
      <c r="EZ163" s="1926"/>
      <c r="FA163" s="1926"/>
      <c r="FB163" s="1926"/>
      <c r="FC163" s="1926"/>
      <c r="FD163" s="1926"/>
      <c r="FE163" s="1926"/>
      <c r="FF163" s="1926"/>
      <c r="FG163" s="1926"/>
      <c r="FH163" s="1926"/>
      <c r="FI163" s="1926"/>
      <c r="FJ163" s="1926"/>
      <c r="FK163" s="1926"/>
      <c r="FL163" s="1926"/>
      <c r="FM163" s="1926"/>
      <c r="FN163" s="1926"/>
      <c r="FO163" s="1926"/>
      <c r="FP163" s="1926"/>
      <c r="FQ163" s="1926"/>
      <c r="FR163" s="1926"/>
    </row>
    <row r="164" spans="2:174" s="37" customFormat="1" ht="14.25" hidden="1" customHeight="1">
      <c r="B164" s="62" t="str">
        <f>B146</f>
        <v>Invest</v>
      </c>
      <c r="AA164" s="1922">
        <f t="shared" ref="AA164:BW164" si="142">AA146+AA149+AA152+AA155+AA158</f>
        <v>0</v>
      </c>
      <c r="AB164" s="1922">
        <f>AB146+AB149+AB152+AB155+AB158</f>
        <v>0</v>
      </c>
      <c r="AC164" s="1922">
        <f t="shared" si="142"/>
        <v>0</v>
      </c>
      <c r="AD164" s="1922">
        <f t="shared" si="142"/>
        <v>0</v>
      </c>
      <c r="AE164" s="1922">
        <f t="shared" si="142"/>
        <v>0</v>
      </c>
      <c r="AF164" s="1922">
        <f t="shared" si="142"/>
        <v>0</v>
      </c>
      <c r="AG164" s="1922">
        <f t="shared" si="142"/>
        <v>0</v>
      </c>
      <c r="AH164" s="1922">
        <f t="shared" si="142"/>
        <v>0</v>
      </c>
      <c r="AI164" s="1922">
        <f t="shared" si="142"/>
        <v>0</v>
      </c>
      <c r="AJ164" s="1922">
        <f t="shared" si="142"/>
        <v>0</v>
      </c>
      <c r="AK164" s="1922">
        <f t="shared" si="142"/>
        <v>0</v>
      </c>
      <c r="AL164" s="1922">
        <f t="shared" si="142"/>
        <v>0</v>
      </c>
      <c r="AM164" s="1922">
        <f t="shared" si="142"/>
        <v>0</v>
      </c>
      <c r="AN164" s="1955">
        <f t="shared" si="142"/>
        <v>0</v>
      </c>
      <c r="AO164" s="1922">
        <f t="shared" si="142"/>
        <v>0</v>
      </c>
      <c r="AP164" s="1922">
        <f t="shared" si="142"/>
        <v>0</v>
      </c>
      <c r="AQ164" s="1922">
        <f t="shared" si="142"/>
        <v>0</v>
      </c>
      <c r="AR164" s="1922">
        <f t="shared" si="142"/>
        <v>0</v>
      </c>
      <c r="AS164" s="1922">
        <f t="shared" si="142"/>
        <v>0</v>
      </c>
      <c r="AT164" s="1922">
        <f t="shared" si="142"/>
        <v>0</v>
      </c>
      <c r="AU164" s="1922">
        <f t="shared" si="142"/>
        <v>0</v>
      </c>
      <c r="AV164" s="1922">
        <f t="shared" si="142"/>
        <v>0</v>
      </c>
      <c r="AW164" s="1922">
        <f t="shared" si="142"/>
        <v>0</v>
      </c>
      <c r="AX164" s="1922">
        <f t="shared" si="142"/>
        <v>0</v>
      </c>
      <c r="AY164" s="1922">
        <f t="shared" si="142"/>
        <v>0</v>
      </c>
      <c r="AZ164" s="1922">
        <f t="shared" si="142"/>
        <v>0</v>
      </c>
      <c r="BA164" s="1922">
        <f t="shared" si="142"/>
        <v>0</v>
      </c>
      <c r="BB164" s="1922">
        <f t="shared" si="142"/>
        <v>0</v>
      </c>
      <c r="BC164" s="1922">
        <f t="shared" si="142"/>
        <v>0</v>
      </c>
      <c r="BD164" s="1922">
        <f t="shared" si="142"/>
        <v>0</v>
      </c>
      <c r="BE164" s="1922">
        <f t="shared" si="142"/>
        <v>0</v>
      </c>
      <c r="BF164" s="1922">
        <f t="shared" si="142"/>
        <v>0</v>
      </c>
      <c r="BG164" s="1922">
        <f t="shared" si="142"/>
        <v>0</v>
      </c>
      <c r="BH164" s="1922">
        <f t="shared" si="142"/>
        <v>0</v>
      </c>
      <c r="BI164" s="1922">
        <f t="shared" si="142"/>
        <v>0</v>
      </c>
      <c r="BJ164" s="1922">
        <f t="shared" si="142"/>
        <v>0</v>
      </c>
      <c r="BK164" s="1922">
        <f t="shared" si="142"/>
        <v>0</v>
      </c>
      <c r="BL164" s="1922">
        <f t="shared" si="142"/>
        <v>0</v>
      </c>
      <c r="BM164" s="1922">
        <f t="shared" si="142"/>
        <v>0</v>
      </c>
      <c r="BN164" s="1922">
        <f t="shared" si="142"/>
        <v>0</v>
      </c>
      <c r="BO164" s="1922">
        <f t="shared" si="142"/>
        <v>0</v>
      </c>
      <c r="BP164" s="1922">
        <f t="shared" si="142"/>
        <v>0</v>
      </c>
      <c r="BQ164" s="1922">
        <f t="shared" si="142"/>
        <v>0</v>
      </c>
      <c r="BR164" s="1922">
        <f t="shared" si="142"/>
        <v>0</v>
      </c>
      <c r="BS164" s="1922">
        <f t="shared" si="142"/>
        <v>0</v>
      </c>
      <c r="BT164" s="1922">
        <f t="shared" si="142"/>
        <v>0</v>
      </c>
      <c r="BU164" s="1922">
        <f t="shared" si="142"/>
        <v>0</v>
      </c>
      <c r="BV164" s="1922">
        <f t="shared" si="142"/>
        <v>0</v>
      </c>
      <c r="BW164" s="1924">
        <f t="shared" si="142"/>
        <v>0</v>
      </c>
      <c r="BX164" s="1926"/>
      <c r="BY164" s="1926"/>
      <c r="BZ164" s="1926"/>
      <c r="CA164" s="1926"/>
      <c r="CB164" s="1926"/>
      <c r="CC164" s="1926"/>
      <c r="CD164" s="1926"/>
      <c r="CE164" s="1926"/>
      <c r="CF164" s="1926"/>
      <c r="CG164" s="1926"/>
      <c r="CH164" s="1926"/>
      <c r="CI164" s="1926"/>
      <c r="CJ164" s="1926"/>
      <c r="CK164" s="1926"/>
      <c r="CL164" s="1926"/>
      <c r="CM164" s="1926"/>
      <c r="CN164" s="1926"/>
      <c r="CO164" s="1926"/>
      <c r="CP164" s="1926"/>
      <c r="CQ164" s="1926"/>
      <c r="CR164" s="1926"/>
      <c r="CS164" s="1926"/>
      <c r="CT164" s="1926"/>
      <c r="CU164" s="1926"/>
      <c r="CV164" s="1926"/>
      <c r="CW164" s="1926"/>
      <c r="CX164" s="1926"/>
      <c r="CY164" s="1926"/>
      <c r="CZ164" s="1926"/>
      <c r="DA164" s="1926"/>
      <c r="DB164" s="1926"/>
      <c r="DC164" s="1926"/>
      <c r="DD164" s="1926"/>
      <c r="DE164" s="1926"/>
      <c r="DF164" s="1926"/>
      <c r="DG164" s="1926"/>
      <c r="DH164" s="1926"/>
      <c r="DI164" s="1926"/>
      <c r="DJ164" s="1926"/>
      <c r="DK164" s="1926"/>
      <c r="DL164" s="1926"/>
      <c r="DM164" s="1926"/>
      <c r="DN164" s="1926"/>
      <c r="DO164" s="1926"/>
      <c r="DP164" s="1926"/>
      <c r="DQ164" s="1926"/>
      <c r="DR164" s="1926"/>
      <c r="DS164" s="1926"/>
      <c r="DT164" s="1926"/>
      <c r="DU164" s="1926"/>
      <c r="DV164" s="1926"/>
      <c r="DW164" s="1926"/>
      <c r="DX164" s="1926"/>
      <c r="DY164" s="1926"/>
      <c r="DZ164" s="1926"/>
      <c r="EA164" s="1926"/>
      <c r="EB164" s="1926"/>
      <c r="EC164" s="1926"/>
      <c r="ED164" s="1926"/>
      <c r="EE164" s="1926"/>
      <c r="EF164" s="1926"/>
      <c r="EG164" s="1926"/>
      <c r="EH164" s="1926"/>
      <c r="EI164" s="1926"/>
      <c r="EJ164" s="1926"/>
      <c r="EK164" s="1926"/>
      <c r="EL164" s="1926"/>
      <c r="EM164" s="1926"/>
      <c r="EN164" s="1926"/>
      <c r="EO164" s="1926"/>
      <c r="EP164" s="1926"/>
      <c r="EQ164" s="1926"/>
      <c r="ER164" s="1926"/>
      <c r="ES164" s="1926"/>
      <c r="ET164" s="1926"/>
      <c r="EU164" s="1926"/>
      <c r="EV164" s="1926"/>
      <c r="EW164" s="1926"/>
      <c r="EX164" s="1926"/>
      <c r="EY164" s="1926"/>
      <c r="EZ164" s="1926"/>
      <c r="FA164" s="1926"/>
      <c r="FB164" s="1926"/>
      <c r="FC164" s="1926"/>
      <c r="FD164" s="1926"/>
      <c r="FE164" s="1926"/>
      <c r="FF164" s="1926"/>
      <c r="FG164" s="1926"/>
      <c r="FH164" s="1926"/>
      <c r="FI164" s="1926"/>
      <c r="FJ164" s="1926"/>
      <c r="FK164" s="1926"/>
      <c r="FL164" s="1926"/>
      <c r="FM164" s="1926"/>
      <c r="FN164" s="1926"/>
      <c r="FO164" s="1926"/>
      <c r="FP164" s="1926"/>
      <c r="FQ164" s="1926"/>
      <c r="FR164" s="1926"/>
    </row>
    <row r="165" spans="2:174" s="37" customFormat="1" ht="14.25" hidden="1" customHeight="1">
      <c r="H165" s="53"/>
      <c r="M165" s="53"/>
      <c r="R165" s="53"/>
      <c r="W165" s="53"/>
      <c r="AN165" s="168"/>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row>
    <row r="166" spans="2:174" s="51" customFormat="1" ht="13.5" hidden="1" customHeight="1">
      <c r="C166" s="62">
        <f ca="1">C145+1</f>
        <v>29</v>
      </c>
      <c r="D166" s="37"/>
      <c r="H166" s="1935"/>
      <c r="M166" s="1935"/>
      <c r="O166" s="1935"/>
      <c r="P166" s="1935"/>
      <c r="Q166" s="1935"/>
      <c r="R166" s="1935"/>
      <c r="T166" s="1935"/>
      <c r="U166" s="1935"/>
      <c r="W166" s="1935"/>
      <c r="Y166" s="1935"/>
      <c r="Z166" s="1935"/>
      <c r="AA166" s="1935"/>
      <c r="AB166" s="1935"/>
      <c r="AC166" s="1935"/>
      <c r="AD166" s="1935"/>
      <c r="AE166" s="1935"/>
      <c r="AF166" s="1935"/>
      <c r="AG166" s="1935"/>
      <c r="AH166" s="1935"/>
      <c r="AI166" s="1935"/>
      <c r="AJ166" s="1935"/>
      <c r="AK166" s="1935"/>
      <c r="AL166" s="1935"/>
      <c r="AM166" s="1918" t="s">
        <v>450</v>
      </c>
      <c r="AN166" s="1957">
        <v>1</v>
      </c>
      <c r="AO166" s="1918">
        <f t="shared" ref="AO166:BW166" si="143">AN166+1</f>
        <v>2</v>
      </c>
      <c r="AP166" s="1916">
        <f t="shared" si="143"/>
        <v>3</v>
      </c>
      <c r="AQ166" s="1918">
        <f t="shared" si="143"/>
        <v>4</v>
      </c>
      <c r="AR166" s="1916">
        <f t="shared" si="143"/>
        <v>5</v>
      </c>
      <c r="AS166" s="1918">
        <f t="shared" si="143"/>
        <v>6</v>
      </c>
      <c r="AT166" s="1916">
        <f t="shared" si="143"/>
        <v>7</v>
      </c>
      <c r="AU166" s="1918">
        <f t="shared" si="143"/>
        <v>8</v>
      </c>
      <c r="AV166" s="1916">
        <f t="shared" si="143"/>
        <v>9</v>
      </c>
      <c r="AW166" s="1918">
        <f t="shared" si="143"/>
        <v>10</v>
      </c>
      <c r="AX166" s="1916">
        <f t="shared" si="143"/>
        <v>11</v>
      </c>
      <c r="AY166" s="1918">
        <f t="shared" si="143"/>
        <v>12</v>
      </c>
      <c r="AZ166" s="1916">
        <f t="shared" si="143"/>
        <v>13</v>
      </c>
      <c r="BA166" s="1918">
        <f t="shared" si="143"/>
        <v>14</v>
      </c>
      <c r="BB166" s="1916">
        <f t="shared" si="143"/>
        <v>15</v>
      </c>
      <c r="BC166" s="1918">
        <f t="shared" si="143"/>
        <v>16</v>
      </c>
      <c r="BD166" s="1916">
        <f t="shared" si="143"/>
        <v>17</v>
      </c>
      <c r="BE166" s="1918">
        <f t="shared" si="143"/>
        <v>18</v>
      </c>
      <c r="BF166" s="1916">
        <f t="shared" si="143"/>
        <v>19</v>
      </c>
      <c r="BG166" s="1918">
        <f t="shared" si="143"/>
        <v>20</v>
      </c>
      <c r="BH166" s="1916">
        <f t="shared" si="143"/>
        <v>21</v>
      </c>
      <c r="BI166" s="1918">
        <f t="shared" si="143"/>
        <v>22</v>
      </c>
      <c r="BJ166" s="1916">
        <f t="shared" si="143"/>
        <v>23</v>
      </c>
      <c r="BK166" s="1918">
        <f t="shared" si="143"/>
        <v>24</v>
      </c>
      <c r="BL166" s="1916">
        <f t="shared" si="143"/>
        <v>25</v>
      </c>
      <c r="BM166" s="1918">
        <f t="shared" si="143"/>
        <v>26</v>
      </c>
      <c r="BN166" s="1916">
        <f t="shared" si="143"/>
        <v>27</v>
      </c>
      <c r="BO166" s="1918">
        <f t="shared" si="143"/>
        <v>28</v>
      </c>
      <c r="BP166" s="1916">
        <f t="shared" si="143"/>
        <v>29</v>
      </c>
      <c r="BQ166" s="1918">
        <f t="shared" si="143"/>
        <v>30</v>
      </c>
      <c r="BR166" s="1916">
        <f t="shared" si="143"/>
        <v>31</v>
      </c>
      <c r="BS166" s="1918">
        <f t="shared" si="143"/>
        <v>32</v>
      </c>
      <c r="BT166" s="1916">
        <f t="shared" si="143"/>
        <v>33</v>
      </c>
      <c r="BU166" s="1918">
        <f t="shared" si="143"/>
        <v>34</v>
      </c>
      <c r="BV166" s="1916">
        <f t="shared" si="143"/>
        <v>35</v>
      </c>
      <c r="BW166" s="1936">
        <f t="shared" si="143"/>
        <v>36</v>
      </c>
      <c r="BX166" s="1919"/>
      <c r="BY166" s="1919"/>
      <c r="BZ166" s="1919"/>
      <c r="CA166" s="1919"/>
      <c r="CB166" s="1919"/>
      <c r="CC166" s="1919"/>
      <c r="CD166" s="1919"/>
      <c r="CE166" s="1919"/>
      <c r="CF166" s="1919"/>
      <c r="CG166" s="1919"/>
      <c r="CH166" s="1919"/>
      <c r="CI166" s="1919"/>
      <c r="CJ166" s="1919"/>
      <c r="CK166" s="1919"/>
      <c r="CL166" s="1919"/>
      <c r="CM166" s="1919"/>
      <c r="CN166" s="1919"/>
      <c r="CO166" s="1919"/>
      <c r="CP166" s="1919"/>
      <c r="CQ166" s="1919"/>
      <c r="CR166" s="1919"/>
      <c r="CS166" s="1919"/>
      <c r="CT166" s="1919"/>
      <c r="CU166" s="1919"/>
      <c r="CV166" s="1919"/>
      <c r="CW166" s="1919"/>
      <c r="CX166" s="1919"/>
      <c r="CY166" s="1919"/>
      <c r="CZ166" s="1919"/>
      <c r="DA166" s="1919"/>
      <c r="DB166" s="1919"/>
      <c r="DC166" s="1919"/>
      <c r="DD166" s="1919"/>
      <c r="DE166" s="1919"/>
      <c r="DF166" s="1919"/>
      <c r="DG166" s="1919"/>
      <c r="DH166" s="1919"/>
      <c r="DI166" s="1919"/>
      <c r="DJ166" s="1919"/>
      <c r="DK166" s="1919"/>
      <c r="DL166" s="1919"/>
      <c r="DM166" s="1919"/>
      <c r="DN166" s="1919"/>
      <c r="DO166" s="1919"/>
      <c r="DP166" s="1919"/>
      <c r="DQ166" s="1919"/>
      <c r="DR166" s="1919"/>
      <c r="DS166" s="1919"/>
      <c r="DT166" s="1919"/>
      <c r="DU166" s="1919"/>
      <c r="DV166" s="1919"/>
      <c r="DW166" s="1919"/>
      <c r="DX166" s="1919"/>
      <c r="DY166" s="1919"/>
      <c r="DZ166" s="1919"/>
      <c r="EA166" s="1919"/>
      <c r="EB166" s="1919"/>
      <c r="EC166" s="1919"/>
      <c r="ED166" s="1919"/>
      <c r="EE166" s="1919"/>
      <c r="EF166" s="1919"/>
      <c r="EG166" s="1919"/>
      <c r="EH166" s="1919"/>
      <c r="EI166" s="1919"/>
      <c r="EJ166" s="1919"/>
      <c r="EK166" s="1919"/>
      <c r="EL166" s="1919"/>
      <c r="EM166" s="1919"/>
      <c r="EN166" s="1919"/>
      <c r="EO166" s="1919"/>
      <c r="EP166" s="1919"/>
      <c r="EQ166" s="1919"/>
      <c r="ER166" s="1919"/>
      <c r="ES166" s="1919"/>
      <c r="ET166" s="1919"/>
      <c r="EU166" s="1919"/>
      <c r="EV166" s="1919"/>
      <c r="EW166" s="1919"/>
      <c r="EX166" s="1919"/>
      <c r="EY166" s="1919"/>
      <c r="EZ166" s="1919"/>
      <c r="FA166" s="1919"/>
      <c r="FB166" s="1919"/>
      <c r="FC166" s="1919"/>
      <c r="FD166" s="1919"/>
      <c r="FE166" s="1919"/>
      <c r="FF166" s="1919"/>
      <c r="FG166" s="1919"/>
      <c r="FH166" s="1919"/>
      <c r="FI166" s="1919"/>
      <c r="FJ166" s="1919"/>
      <c r="FK166" s="1919"/>
      <c r="FL166" s="1919"/>
      <c r="FM166" s="1919"/>
      <c r="FN166" s="1919"/>
      <c r="FO166" s="1919"/>
      <c r="FP166" s="1919"/>
      <c r="FQ166" s="1919"/>
      <c r="FR166" s="1919"/>
    </row>
    <row r="167" spans="2:174" s="37" customFormat="1" ht="14.25" hidden="1" customHeight="1">
      <c r="B167" s="37" t="s">
        <v>570</v>
      </c>
      <c r="H167" s="53"/>
      <c r="M167" s="53"/>
      <c r="O167" s="53"/>
      <c r="P167" s="53"/>
      <c r="Q167" s="53"/>
      <c r="R167" s="53"/>
      <c r="T167" s="53"/>
      <c r="U167" s="53"/>
      <c r="W167" s="53"/>
      <c r="Y167" s="53"/>
      <c r="Z167" s="53"/>
      <c r="AA167" s="53"/>
      <c r="AB167" s="53"/>
      <c r="AC167" s="53"/>
      <c r="AD167" s="53"/>
      <c r="AE167" s="53"/>
      <c r="AF167" s="53"/>
      <c r="AG167" s="53"/>
      <c r="AH167" s="53"/>
      <c r="AI167" s="53"/>
      <c r="AJ167" s="53"/>
      <c r="AK167" s="53"/>
      <c r="AL167" s="53"/>
      <c r="AM167" s="1922"/>
      <c r="AN167" s="1955">
        <f t="shared" ref="AN167:BW167" si="144">IF($U5=AN166,$T5,0)</f>
        <v>0</v>
      </c>
      <c r="AO167" s="1922">
        <f t="shared" si="144"/>
        <v>0</v>
      </c>
      <c r="AP167" s="1922">
        <f t="shared" si="144"/>
        <v>0</v>
      </c>
      <c r="AQ167" s="1922">
        <f t="shared" si="144"/>
        <v>0</v>
      </c>
      <c r="AR167" s="1922">
        <f t="shared" si="144"/>
        <v>0</v>
      </c>
      <c r="AS167" s="1922">
        <f t="shared" si="144"/>
        <v>0</v>
      </c>
      <c r="AT167" s="1922">
        <f t="shared" si="144"/>
        <v>0</v>
      </c>
      <c r="AU167" s="1922">
        <f t="shared" si="144"/>
        <v>0</v>
      </c>
      <c r="AV167" s="1922">
        <f t="shared" si="144"/>
        <v>0</v>
      </c>
      <c r="AW167" s="1922">
        <f t="shared" si="144"/>
        <v>0</v>
      </c>
      <c r="AX167" s="1922">
        <f t="shared" si="144"/>
        <v>0</v>
      </c>
      <c r="AY167" s="1922">
        <f t="shared" si="144"/>
        <v>0</v>
      </c>
      <c r="AZ167" s="1922">
        <f t="shared" si="144"/>
        <v>0</v>
      </c>
      <c r="BA167" s="1922">
        <f t="shared" si="144"/>
        <v>0</v>
      </c>
      <c r="BB167" s="1922">
        <f t="shared" si="144"/>
        <v>0</v>
      </c>
      <c r="BC167" s="1922">
        <f t="shared" si="144"/>
        <v>0</v>
      </c>
      <c r="BD167" s="1922">
        <f t="shared" si="144"/>
        <v>0</v>
      </c>
      <c r="BE167" s="1922">
        <f t="shared" si="144"/>
        <v>0</v>
      </c>
      <c r="BF167" s="1922">
        <f t="shared" si="144"/>
        <v>0</v>
      </c>
      <c r="BG167" s="1922">
        <f t="shared" si="144"/>
        <v>0</v>
      </c>
      <c r="BH167" s="1922">
        <f t="shared" si="144"/>
        <v>0</v>
      </c>
      <c r="BI167" s="1922">
        <f t="shared" si="144"/>
        <v>0</v>
      </c>
      <c r="BJ167" s="1922">
        <f t="shared" si="144"/>
        <v>0</v>
      </c>
      <c r="BK167" s="1922">
        <f t="shared" si="144"/>
        <v>0</v>
      </c>
      <c r="BL167" s="1922">
        <f t="shared" si="144"/>
        <v>0</v>
      </c>
      <c r="BM167" s="1922">
        <f t="shared" si="144"/>
        <v>0</v>
      </c>
      <c r="BN167" s="1922">
        <f t="shared" si="144"/>
        <v>0</v>
      </c>
      <c r="BO167" s="1922">
        <f t="shared" si="144"/>
        <v>0</v>
      </c>
      <c r="BP167" s="1922">
        <f t="shared" si="144"/>
        <v>0</v>
      </c>
      <c r="BQ167" s="1922">
        <f t="shared" si="144"/>
        <v>0</v>
      </c>
      <c r="BR167" s="1922">
        <f t="shared" si="144"/>
        <v>0</v>
      </c>
      <c r="BS167" s="1922">
        <f t="shared" si="144"/>
        <v>0</v>
      </c>
      <c r="BT167" s="1922">
        <f t="shared" si="144"/>
        <v>0</v>
      </c>
      <c r="BU167" s="1922">
        <f t="shared" si="144"/>
        <v>0</v>
      </c>
      <c r="BV167" s="1922">
        <f t="shared" si="144"/>
        <v>0</v>
      </c>
      <c r="BW167" s="1924">
        <f t="shared" si="144"/>
        <v>0</v>
      </c>
      <c r="BX167" s="1926"/>
      <c r="BY167" s="1926"/>
      <c r="BZ167" s="1926"/>
      <c r="CA167" s="1926"/>
      <c r="CB167" s="1926"/>
      <c r="CC167" s="1926"/>
      <c r="CD167" s="1926"/>
      <c r="CE167" s="1926"/>
      <c r="CF167" s="1926"/>
      <c r="CG167" s="1926"/>
      <c r="CH167" s="1926"/>
      <c r="CI167" s="1926"/>
      <c r="CJ167" s="1926"/>
      <c r="CK167" s="1926"/>
      <c r="CL167" s="1926"/>
      <c r="CM167" s="1926"/>
      <c r="CN167" s="1926"/>
      <c r="CO167" s="1926"/>
      <c r="CP167" s="1926"/>
      <c r="CQ167" s="1926"/>
      <c r="CR167" s="1926"/>
      <c r="CS167" s="1926"/>
      <c r="CT167" s="1926"/>
      <c r="CU167" s="1926"/>
      <c r="CV167" s="1926"/>
      <c r="CW167" s="1926"/>
      <c r="CX167" s="1926"/>
      <c r="CY167" s="1926"/>
      <c r="CZ167" s="1926"/>
      <c r="DA167" s="1926"/>
      <c r="DB167" s="1926"/>
      <c r="DC167" s="1926"/>
      <c r="DD167" s="1926"/>
      <c r="DE167" s="1926"/>
      <c r="DF167" s="1926"/>
      <c r="DG167" s="1926"/>
      <c r="DH167" s="1926"/>
      <c r="DI167" s="1926"/>
      <c r="DJ167" s="1926"/>
      <c r="DK167" s="1926"/>
      <c r="DL167" s="1926"/>
      <c r="DM167" s="1926"/>
      <c r="DN167" s="1926"/>
      <c r="DO167" s="1926"/>
      <c r="DP167" s="1926"/>
      <c r="DQ167" s="1926"/>
      <c r="DR167" s="1926"/>
      <c r="DS167" s="1926"/>
      <c r="DT167" s="1926"/>
      <c r="DU167" s="1926"/>
      <c r="DV167" s="1926"/>
      <c r="DW167" s="1926"/>
      <c r="DX167" s="1926"/>
      <c r="DY167" s="1926"/>
      <c r="DZ167" s="1926"/>
      <c r="EA167" s="1926"/>
      <c r="EB167" s="1926"/>
      <c r="EC167" s="1926"/>
      <c r="ED167" s="1926"/>
      <c r="EE167" s="1926"/>
      <c r="EF167" s="1926"/>
      <c r="EG167" s="1926"/>
      <c r="EH167" s="1926"/>
      <c r="EI167" s="1926"/>
      <c r="EJ167" s="1926"/>
      <c r="EK167" s="1926"/>
      <c r="EL167" s="1926"/>
      <c r="EM167" s="1926"/>
      <c r="EN167" s="1926"/>
      <c r="EO167" s="1926"/>
      <c r="EP167" s="1926"/>
      <c r="EQ167" s="1926"/>
      <c r="ER167" s="1926"/>
      <c r="ES167" s="1926"/>
      <c r="ET167" s="1926"/>
      <c r="EU167" s="1926"/>
      <c r="EV167" s="1926"/>
      <c r="EW167" s="1926"/>
      <c r="EX167" s="1926"/>
      <c r="EY167" s="1926"/>
      <c r="EZ167" s="1926"/>
      <c r="FA167" s="1926"/>
      <c r="FB167" s="1926"/>
      <c r="FC167" s="1926"/>
      <c r="FD167" s="1926"/>
      <c r="FE167" s="1926"/>
      <c r="FF167" s="1926"/>
      <c r="FG167" s="1926"/>
      <c r="FH167" s="1926"/>
      <c r="FI167" s="1926"/>
      <c r="FJ167" s="1926"/>
      <c r="FK167" s="1926"/>
      <c r="FL167" s="1926"/>
      <c r="FM167" s="1926"/>
      <c r="FN167" s="1926"/>
      <c r="FO167" s="1926"/>
      <c r="FP167" s="1926"/>
      <c r="FQ167" s="1926"/>
      <c r="FR167" s="1926"/>
    </row>
    <row r="168" spans="2:174" s="37" customFormat="1" ht="14.25" hidden="1" customHeight="1">
      <c r="B168" s="1921" t="s">
        <v>571</v>
      </c>
      <c r="H168" s="53"/>
      <c r="M168" s="53"/>
      <c r="O168" s="53"/>
      <c r="P168" s="53"/>
      <c r="Q168" s="53"/>
      <c r="R168" s="53"/>
      <c r="T168" s="53"/>
      <c r="U168" s="53"/>
      <c r="W168" s="53"/>
      <c r="Y168" s="53"/>
      <c r="Z168" s="53"/>
      <c r="AA168" s="53"/>
      <c r="AB168" s="53"/>
      <c r="AC168" s="53"/>
      <c r="AD168" s="53"/>
      <c r="AE168" s="53"/>
      <c r="AF168" s="53"/>
      <c r="AG168" s="53"/>
      <c r="AH168" s="53"/>
      <c r="AI168" s="53"/>
      <c r="AJ168" s="53"/>
      <c r="AK168" s="53"/>
      <c r="AL168" s="53"/>
      <c r="AM168" s="1922">
        <v>0</v>
      </c>
      <c r="AN168" s="1955">
        <f t="shared" ref="AN168:BW168" si="145">IF($T5=AN$167,1,IF(AM168&gt;0,IF(AM168&gt;=$V5*12,0,AM168+1),0))</f>
        <v>1</v>
      </c>
      <c r="AO168" s="1922">
        <f t="shared" si="145"/>
        <v>1</v>
      </c>
      <c r="AP168" s="1922">
        <f t="shared" si="145"/>
        <v>1</v>
      </c>
      <c r="AQ168" s="1922">
        <f t="shared" si="145"/>
        <v>1</v>
      </c>
      <c r="AR168" s="1922">
        <f t="shared" si="145"/>
        <v>1</v>
      </c>
      <c r="AS168" s="1922">
        <f t="shared" si="145"/>
        <v>1</v>
      </c>
      <c r="AT168" s="1922">
        <f t="shared" si="145"/>
        <v>1</v>
      </c>
      <c r="AU168" s="1922">
        <f t="shared" si="145"/>
        <v>1</v>
      </c>
      <c r="AV168" s="1922">
        <f t="shared" si="145"/>
        <v>1</v>
      </c>
      <c r="AW168" s="1922">
        <f t="shared" si="145"/>
        <v>1</v>
      </c>
      <c r="AX168" s="1922">
        <f t="shared" si="145"/>
        <v>1</v>
      </c>
      <c r="AY168" s="1922">
        <f t="shared" si="145"/>
        <v>1</v>
      </c>
      <c r="AZ168" s="1922">
        <f t="shared" si="145"/>
        <v>1</v>
      </c>
      <c r="BA168" s="1922">
        <f t="shared" si="145"/>
        <v>1</v>
      </c>
      <c r="BB168" s="1922">
        <f t="shared" si="145"/>
        <v>1</v>
      </c>
      <c r="BC168" s="1922">
        <f t="shared" si="145"/>
        <v>1</v>
      </c>
      <c r="BD168" s="1922">
        <f t="shared" si="145"/>
        <v>1</v>
      </c>
      <c r="BE168" s="1922">
        <f t="shared" si="145"/>
        <v>1</v>
      </c>
      <c r="BF168" s="1922">
        <f t="shared" si="145"/>
        <v>1</v>
      </c>
      <c r="BG168" s="1922">
        <f t="shared" si="145"/>
        <v>1</v>
      </c>
      <c r="BH168" s="1922">
        <f t="shared" si="145"/>
        <v>1</v>
      </c>
      <c r="BI168" s="1922">
        <f t="shared" si="145"/>
        <v>1</v>
      </c>
      <c r="BJ168" s="1922">
        <f t="shared" si="145"/>
        <v>1</v>
      </c>
      <c r="BK168" s="1922">
        <f t="shared" si="145"/>
        <v>1</v>
      </c>
      <c r="BL168" s="1922">
        <f t="shared" si="145"/>
        <v>1</v>
      </c>
      <c r="BM168" s="1922">
        <f t="shared" si="145"/>
        <v>1</v>
      </c>
      <c r="BN168" s="1922">
        <f t="shared" si="145"/>
        <v>1</v>
      </c>
      <c r="BO168" s="1922">
        <f t="shared" si="145"/>
        <v>1</v>
      </c>
      <c r="BP168" s="1922">
        <f t="shared" si="145"/>
        <v>1</v>
      </c>
      <c r="BQ168" s="1922">
        <f t="shared" si="145"/>
        <v>1</v>
      </c>
      <c r="BR168" s="1922">
        <f t="shared" si="145"/>
        <v>1</v>
      </c>
      <c r="BS168" s="1922">
        <f t="shared" si="145"/>
        <v>1</v>
      </c>
      <c r="BT168" s="1922">
        <f t="shared" si="145"/>
        <v>1</v>
      </c>
      <c r="BU168" s="1922">
        <f t="shared" si="145"/>
        <v>1</v>
      </c>
      <c r="BV168" s="1922">
        <f t="shared" si="145"/>
        <v>1</v>
      </c>
      <c r="BW168" s="1924">
        <f t="shared" si="145"/>
        <v>1</v>
      </c>
      <c r="BX168" s="1926"/>
      <c r="BY168" s="1926"/>
      <c r="BZ168" s="1926"/>
      <c r="CA168" s="1926"/>
      <c r="CB168" s="1926"/>
      <c r="CC168" s="1926"/>
      <c r="CD168" s="1926"/>
      <c r="CE168" s="1926"/>
      <c r="CF168" s="1926"/>
      <c r="CG168" s="1926"/>
      <c r="CH168" s="1926"/>
      <c r="CI168" s="1926"/>
      <c r="CJ168" s="1926"/>
      <c r="CK168" s="1926"/>
      <c r="CL168" s="1926"/>
      <c r="CM168" s="1926"/>
      <c r="CN168" s="1926"/>
      <c r="CO168" s="1926"/>
      <c r="CP168" s="1926"/>
      <c r="CQ168" s="1926"/>
      <c r="CR168" s="1926"/>
      <c r="CS168" s="1926"/>
      <c r="CT168" s="1926"/>
      <c r="CU168" s="1926"/>
      <c r="CV168" s="1926"/>
      <c r="CW168" s="1926"/>
      <c r="CX168" s="1926"/>
      <c r="CY168" s="1926"/>
      <c r="CZ168" s="1926"/>
      <c r="DA168" s="1926"/>
      <c r="DB168" s="1926"/>
      <c r="DC168" s="1926"/>
      <c r="DD168" s="1926"/>
      <c r="DE168" s="1926"/>
      <c r="DF168" s="1926"/>
      <c r="DG168" s="1926"/>
      <c r="DH168" s="1926"/>
      <c r="DI168" s="1926"/>
      <c r="DJ168" s="1926"/>
      <c r="DK168" s="1926"/>
      <c r="DL168" s="1926"/>
      <c r="DM168" s="1926"/>
      <c r="DN168" s="1926"/>
      <c r="DO168" s="1926"/>
      <c r="DP168" s="1926"/>
      <c r="DQ168" s="1926"/>
      <c r="DR168" s="1926"/>
      <c r="DS168" s="1926"/>
      <c r="DT168" s="1926"/>
      <c r="DU168" s="1926"/>
      <c r="DV168" s="1926"/>
      <c r="DW168" s="1926"/>
      <c r="DX168" s="1926"/>
      <c r="DY168" s="1926"/>
      <c r="DZ168" s="1926"/>
      <c r="EA168" s="1926"/>
      <c r="EB168" s="1926"/>
      <c r="EC168" s="1926"/>
      <c r="ED168" s="1926"/>
      <c r="EE168" s="1926"/>
      <c r="EF168" s="1926"/>
      <c r="EG168" s="1926"/>
      <c r="EH168" s="1926"/>
      <c r="EI168" s="1926"/>
      <c r="EJ168" s="1926"/>
      <c r="EK168" s="1926"/>
      <c r="EL168" s="1926"/>
      <c r="EM168" s="1926"/>
      <c r="EN168" s="1926"/>
      <c r="EO168" s="1926"/>
      <c r="EP168" s="1926"/>
      <c r="EQ168" s="1926"/>
      <c r="ER168" s="1926"/>
      <c r="ES168" s="1926"/>
      <c r="ET168" s="1926"/>
      <c r="EU168" s="1926"/>
      <c r="EV168" s="1926"/>
      <c r="EW168" s="1926"/>
      <c r="EX168" s="1926"/>
      <c r="EY168" s="1926"/>
      <c r="EZ168" s="1926"/>
      <c r="FA168" s="1926"/>
      <c r="FB168" s="1926"/>
      <c r="FC168" s="1926"/>
      <c r="FD168" s="1926"/>
      <c r="FE168" s="1926"/>
      <c r="FF168" s="1926"/>
      <c r="FG168" s="1926"/>
      <c r="FH168" s="1926"/>
      <c r="FI168" s="1926"/>
      <c r="FJ168" s="1926"/>
      <c r="FK168" s="1926"/>
      <c r="FL168" s="1926"/>
      <c r="FM168" s="1926"/>
      <c r="FN168" s="1926"/>
      <c r="FO168" s="1926"/>
      <c r="FP168" s="1926"/>
      <c r="FQ168" s="1926"/>
      <c r="FR168" s="1926"/>
    </row>
    <row r="169" spans="2:174" s="37" customFormat="1" ht="14.25" hidden="1" customHeight="1">
      <c r="B169" s="37" t="str">
        <f>B172</f>
        <v>Abschr</v>
      </c>
      <c r="H169" s="53"/>
      <c r="M169" s="53"/>
      <c r="O169" s="53"/>
      <c r="P169" s="53"/>
      <c r="Q169" s="53"/>
      <c r="R169" s="53"/>
      <c r="T169" s="53"/>
      <c r="U169" s="53"/>
      <c r="W169" s="53"/>
      <c r="Y169" s="53"/>
      <c r="Z169" s="53"/>
      <c r="AA169" s="53"/>
      <c r="AB169" s="53"/>
      <c r="AC169" s="53"/>
      <c r="AD169" s="53"/>
      <c r="AE169" s="53"/>
      <c r="AF169" s="53"/>
      <c r="AG169" s="53"/>
      <c r="AH169" s="53"/>
      <c r="AI169" s="53"/>
      <c r="AJ169" s="53"/>
      <c r="AK169" s="53"/>
      <c r="AL169" s="53"/>
      <c r="AM169" s="1922"/>
      <c r="AN169" s="1955">
        <f t="shared" ref="AN169:BW169" si="146">IF(AN168&lt;&gt;0,IF($T5=0,0,$T5/($V5*12)),0)</f>
        <v>0</v>
      </c>
      <c r="AO169" s="1922">
        <f t="shared" si="146"/>
        <v>0</v>
      </c>
      <c r="AP169" s="1922">
        <f t="shared" si="146"/>
        <v>0</v>
      </c>
      <c r="AQ169" s="1922">
        <f t="shared" si="146"/>
        <v>0</v>
      </c>
      <c r="AR169" s="1922">
        <f t="shared" si="146"/>
        <v>0</v>
      </c>
      <c r="AS169" s="1922">
        <f t="shared" si="146"/>
        <v>0</v>
      </c>
      <c r="AT169" s="1922">
        <f t="shared" si="146"/>
        <v>0</v>
      </c>
      <c r="AU169" s="1922">
        <f t="shared" si="146"/>
        <v>0</v>
      </c>
      <c r="AV169" s="1922">
        <f t="shared" si="146"/>
        <v>0</v>
      </c>
      <c r="AW169" s="1922">
        <f t="shared" si="146"/>
        <v>0</v>
      </c>
      <c r="AX169" s="1922">
        <f t="shared" si="146"/>
        <v>0</v>
      </c>
      <c r="AY169" s="1922">
        <f t="shared" si="146"/>
        <v>0</v>
      </c>
      <c r="AZ169" s="1922">
        <f t="shared" si="146"/>
        <v>0</v>
      </c>
      <c r="BA169" s="1922">
        <f t="shared" si="146"/>
        <v>0</v>
      </c>
      <c r="BB169" s="1922">
        <f t="shared" si="146"/>
        <v>0</v>
      </c>
      <c r="BC169" s="1922">
        <f t="shared" si="146"/>
        <v>0</v>
      </c>
      <c r="BD169" s="1922">
        <f t="shared" si="146"/>
        <v>0</v>
      </c>
      <c r="BE169" s="1922">
        <f t="shared" si="146"/>
        <v>0</v>
      </c>
      <c r="BF169" s="1922">
        <f t="shared" si="146"/>
        <v>0</v>
      </c>
      <c r="BG169" s="1922">
        <f t="shared" si="146"/>
        <v>0</v>
      </c>
      <c r="BH169" s="1922">
        <f t="shared" si="146"/>
        <v>0</v>
      </c>
      <c r="BI169" s="1922">
        <f t="shared" si="146"/>
        <v>0</v>
      </c>
      <c r="BJ169" s="1922">
        <f t="shared" si="146"/>
        <v>0</v>
      </c>
      <c r="BK169" s="1922">
        <f t="shared" si="146"/>
        <v>0</v>
      </c>
      <c r="BL169" s="1922">
        <f t="shared" si="146"/>
        <v>0</v>
      </c>
      <c r="BM169" s="1922">
        <f t="shared" si="146"/>
        <v>0</v>
      </c>
      <c r="BN169" s="1922">
        <f t="shared" si="146"/>
        <v>0</v>
      </c>
      <c r="BO169" s="1922">
        <f t="shared" si="146"/>
        <v>0</v>
      </c>
      <c r="BP169" s="1922">
        <f t="shared" si="146"/>
        <v>0</v>
      </c>
      <c r="BQ169" s="1922">
        <f t="shared" si="146"/>
        <v>0</v>
      </c>
      <c r="BR169" s="1922">
        <f t="shared" si="146"/>
        <v>0</v>
      </c>
      <c r="BS169" s="1922">
        <f t="shared" si="146"/>
        <v>0</v>
      </c>
      <c r="BT169" s="1922">
        <f t="shared" si="146"/>
        <v>0</v>
      </c>
      <c r="BU169" s="1922">
        <f t="shared" si="146"/>
        <v>0</v>
      </c>
      <c r="BV169" s="1922">
        <f t="shared" si="146"/>
        <v>0</v>
      </c>
      <c r="BW169" s="1924">
        <f t="shared" si="146"/>
        <v>0</v>
      </c>
      <c r="BX169" s="1926"/>
      <c r="BY169" s="1926"/>
      <c r="BZ169" s="1926"/>
      <c r="CA169" s="1926"/>
      <c r="CB169" s="1926"/>
      <c r="CC169" s="1926"/>
      <c r="CD169" s="1926"/>
      <c r="CE169" s="1926"/>
      <c r="CF169" s="1926"/>
      <c r="CG169" s="1926"/>
      <c r="CH169" s="1926"/>
      <c r="CI169" s="1926"/>
      <c r="CJ169" s="1926"/>
      <c r="CK169" s="1926"/>
      <c r="CL169" s="1926"/>
      <c r="CM169" s="1926"/>
      <c r="CN169" s="1926"/>
      <c r="CO169" s="1926"/>
      <c r="CP169" s="1926"/>
      <c r="CQ169" s="1926"/>
      <c r="CR169" s="1926"/>
      <c r="CS169" s="1926"/>
      <c r="CT169" s="1926"/>
      <c r="CU169" s="1926"/>
      <c r="CV169" s="1926"/>
      <c r="CW169" s="1926"/>
      <c r="CX169" s="1926"/>
      <c r="CY169" s="1926"/>
      <c r="CZ169" s="1926"/>
      <c r="DA169" s="1926"/>
      <c r="DB169" s="1926"/>
      <c r="DC169" s="1926"/>
      <c r="DD169" s="1926"/>
      <c r="DE169" s="1926"/>
      <c r="DF169" s="1926"/>
      <c r="DG169" s="1926"/>
      <c r="DH169" s="1926"/>
      <c r="DI169" s="1926"/>
      <c r="DJ169" s="1926"/>
      <c r="DK169" s="1926"/>
      <c r="DL169" s="1926"/>
      <c r="DM169" s="1926"/>
      <c r="DN169" s="1926"/>
      <c r="DO169" s="1926"/>
      <c r="DP169" s="1926"/>
      <c r="DQ169" s="1926"/>
      <c r="DR169" s="1926"/>
      <c r="DS169" s="1926"/>
      <c r="DT169" s="1926"/>
      <c r="DU169" s="1926"/>
      <c r="DV169" s="1926"/>
      <c r="DW169" s="1926"/>
      <c r="DX169" s="1926"/>
      <c r="DY169" s="1926"/>
      <c r="DZ169" s="1926"/>
      <c r="EA169" s="1926"/>
      <c r="EB169" s="1926"/>
      <c r="EC169" s="1926"/>
      <c r="ED169" s="1926"/>
      <c r="EE169" s="1926"/>
      <c r="EF169" s="1926"/>
      <c r="EG169" s="1926"/>
      <c r="EH169" s="1926"/>
      <c r="EI169" s="1926"/>
      <c r="EJ169" s="1926"/>
      <c r="EK169" s="1926"/>
      <c r="EL169" s="1926"/>
      <c r="EM169" s="1926"/>
      <c r="EN169" s="1926"/>
      <c r="EO169" s="1926"/>
      <c r="EP169" s="1926"/>
      <c r="EQ169" s="1926"/>
      <c r="ER169" s="1926"/>
      <c r="ES169" s="1926"/>
      <c r="ET169" s="1926"/>
      <c r="EU169" s="1926"/>
      <c r="EV169" s="1926"/>
      <c r="EW169" s="1926"/>
      <c r="EX169" s="1926"/>
      <c r="EY169" s="1926"/>
      <c r="EZ169" s="1926"/>
      <c r="FA169" s="1926"/>
      <c r="FB169" s="1926"/>
      <c r="FC169" s="1926"/>
      <c r="FD169" s="1926"/>
      <c r="FE169" s="1926"/>
      <c r="FF169" s="1926"/>
      <c r="FG169" s="1926"/>
      <c r="FH169" s="1926"/>
      <c r="FI169" s="1926"/>
      <c r="FJ169" s="1926"/>
      <c r="FK169" s="1926"/>
      <c r="FL169" s="1926"/>
      <c r="FM169" s="1926"/>
      <c r="FN169" s="1926"/>
      <c r="FO169" s="1926"/>
      <c r="FP169" s="1926"/>
      <c r="FQ169" s="1926"/>
      <c r="FR169" s="1926"/>
    </row>
    <row r="170" spans="2:174" s="37" customFormat="1" ht="14.25" hidden="1" customHeight="1">
      <c r="B170" s="37" t="s">
        <v>570</v>
      </c>
      <c r="H170" s="53"/>
      <c r="M170" s="53"/>
      <c r="O170" s="53"/>
      <c r="P170" s="53"/>
      <c r="Q170" s="53"/>
      <c r="R170" s="53"/>
      <c r="T170" s="53"/>
      <c r="U170" s="53"/>
      <c r="W170" s="53"/>
      <c r="Y170" s="53"/>
      <c r="Z170" s="53"/>
      <c r="AA170" s="53"/>
      <c r="AB170" s="53"/>
      <c r="AC170" s="53"/>
      <c r="AD170" s="53"/>
      <c r="AE170" s="53"/>
      <c r="AF170" s="53"/>
      <c r="AG170" s="53"/>
      <c r="AH170" s="53"/>
      <c r="AI170" s="53"/>
      <c r="AJ170" s="53"/>
      <c r="AK170" s="53"/>
      <c r="AL170" s="53"/>
      <c r="AM170" s="1923"/>
      <c r="AN170" s="1959">
        <f t="shared" ref="AN170:BW170" si="147">IF($U6=AN$166,$T6,0)</f>
        <v>0</v>
      </c>
      <c r="AO170" s="1922">
        <f t="shared" si="147"/>
        <v>0</v>
      </c>
      <c r="AP170" s="1922">
        <f t="shared" si="147"/>
        <v>0</v>
      </c>
      <c r="AQ170" s="1922">
        <f t="shared" si="147"/>
        <v>0</v>
      </c>
      <c r="AR170" s="1922">
        <f t="shared" si="147"/>
        <v>0</v>
      </c>
      <c r="AS170" s="1922">
        <f t="shared" si="147"/>
        <v>0</v>
      </c>
      <c r="AT170" s="1922">
        <f t="shared" si="147"/>
        <v>0</v>
      </c>
      <c r="AU170" s="1922">
        <f t="shared" si="147"/>
        <v>0</v>
      </c>
      <c r="AV170" s="1922">
        <f t="shared" si="147"/>
        <v>0</v>
      </c>
      <c r="AW170" s="1922">
        <f t="shared" si="147"/>
        <v>0</v>
      </c>
      <c r="AX170" s="1922">
        <f t="shared" si="147"/>
        <v>0</v>
      </c>
      <c r="AY170" s="1922">
        <f t="shared" si="147"/>
        <v>0</v>
      </c>
      <c r="AZ170" s="1922">
        <f t="shared" si="147"/>
        <v>0</v>
      </c>
      <c r="BA170" s="1922">
        <f t="shared" si="147"/>
        <v>0</v>
      </c>
      <c r="BB170" s="1922">
        <f t="shared" si="147"/>
        <v>0</v>
      </c>
      <c r="BC170" s="1922">
        <f t="shared" si="147"/>
        <v>0</v>
      </c>
      <c r="BD170" s="1922">
        <f t="shared" si="147"/>
        <v>0</v>
      </c>
      <c r="BE170" s="1922">
        <f t="shared" si="147"/>
        <v>0</v>
      </c>
      <c r="BF170" s="1922">
        <f t="shared" si="147"/>
        <v>0</v>
      </c>
      <c r="BG170" s="1922">
        <f t="shared" si="147"/>
        <v>0</v>
      </c>
      <c r="BH170" s="1922">
        <f t="shared" si="147"/>
        <v>0</v>
      </c>
      <c r="BI170" s="1922">
        <f t="shared" si="147"/>
        <v>0</v>
      </c>
      <c r="BJ170" s="1922">
        <f t="shared" si="147"/>
        <v>0</v>
      </c>
      <c r="BK170" s="1922">
        <f t="shared" si="147"/>
        <v>0</v>
      </c>
      <c r="BL170" s="1922">
        <f t="shared" si="147"/>
        <v>0</v>
      </c>
      <c r="BM170" s="1922">
        <f t="shared" si="147"/>
        <v>0</v>
      </c>
      <c r="BN170" s="1922">
        <f t="shared" si="147"/>
        <v>0</v>
      </c>
      <c r="BO170" s="1922">
        <f t="shared" si="147"/>
        <v>0</v>
      </c>
      <c r="BP170" s="1922">
        <f t="shared" si="147"/>
        <v>0</v>
      </c>
      <c r="BQ170" s="1922">
        <f t="shared" si="147"/>
        <v>0</v>
      </c>
      <c r="BR170" s="1922">
        <f t="shared" si="147"/>
        <v>0</v>
      </c>
      <c r="BS170" s="1922">
        <f t="shared" si="147"/>
        <v>0</v>
      </c>
      <c r="BT170" s="1922">
        <f t="shared" si="147"/>
        <v>0</v>
      </c>
      <c r="BU170" s="1922">
        <f t="shared" si="147"/>
        <v>0</v>
      </c>
      <c r="BV170" s="1922">
        <f t="shared" si="147"/>
        <v>0</v>
      </c>
      <c r="BW170" s="1924">
        <f t="shared" si="147"/>
        <v>0</v>
      </c>
      <c r="BX170" s="1926"/>
      <c r="BY170" s="1926"/>
      <c r="BZ170" s="1926"/>
      <c r="CA170" s="1926"/>
      <c r="CB170" s="1926"/>
      <c r="CC170" s="1926"/>
      <c r="CD170" s="1926"/>
      <c r="CE170" s="1926"/>
      <c r="CF170" s="1926"/>
      <c r="CG170" s="1926"/>
      <c r="CH170" s="1926"/>
      <c r="CI170" s="1926"/>
      <c r="CJ170" s="1926"/>
      <c r="CK170" s="1926"/>
      <c r="CL170" s="1926"/>
      <c r="CM170" s="1926"/>
      <c r="CN170" s="1926"/>
      <c r="CO170" s="1926"/>
      <c r="CP170" s="1926"/>
      <c r="CQ170" s="1926"/>
      <c r="CR170" s="1926"/>
      <c r="CS170" s="1926"/>
      <c r="CT170" s="1926"/>
      <c r="CU170" s="1926"/>
      <c r="CV170" s="1926"/>
      <c r="CW170" s="1926"/>
      <c r="CX170" s="1926"/>
      <c r="CY170" s="1926"/>
      <c r="CZ170" s="1926"/>
      <c r="DA170" s="1926"/>
      <c r="DB170" s="1926"/>
      <c r="DC170" s="1926"/>
      <c r="DD170" s="1926"/>
      <c r="DE170" s="1926"/>
      <c r="DF170" s="1926"/>
      <c r="DG170" s="1926"/>
      <c r="DH170" s="1926"/>
      <c r="DI170" s="1926"/>
      <c r="DJ170" s="1926"/>
      <c r="DK170" s="1926"/>
      <c r="DL170" s="1926"/>
      <c r="DM170" s="1926"/>
      <c r="DN170" s="1926"/>
      <c r="DO170" s="1926"/>
      <c r="DP170" s="1926"/>
      <c r="DQ170" s="1926"/>
      <c r="DR170" s="1926"/>
      <c r="DS170" s="1926"/>
      <c r="DT170" s="1926"/>
      <c r="DU170" s="1926"/>
      <c r="DV170" s="1926"/>
      <c r="DW170" s="1926"/>
      <c r="DX170" s="1926"/>
      <c r="DY170" s="1926"/>
      <c r="DZ170" s="1926"/>
      <c r="EA170" s="1926"/>
      <c r="EB170" s="1926"/>
      <c r="EC170" s="1926"/>
      <c r="ED170" s="1926"/>
      <c r="EE170" s="1926"/>
      <c r="EF170" s="1926"/>
      <c r="EG170" s="1926"/>
      <c r="EH170" s="1926"/>
      <c r="EI170" s="1926"/>
      <c r="EJ170" s="1926"/>
      <c r="EK170" s="1926"/>
      <c r="EL170" s="1926"/>
      <c r="EM170" s="1926"/>
      <c r="EN170" s="1926"/>
      <c r="EO170" s="1926"/>
      <c r="EP170" s="1926"/>
      <c r="EQ170" s="1926"/>
      <c r="ER170" s="1926"/>
      <c r="ES170" s="1926"/>
      <c r="ET170" s="1926"/>
      <c r="EU170" s="1926"/>
      <c r="EV170" s="1926"/>
      <c r="EW170" s="1926"/>
      <c r="EX170" s="1926"/>
      <c r="EY170" s="1926"/>
      <c r="EZ170" s="1926"/>
      <c r="FA170" s="1926"/>
      <c r="FB170" s="1926"/>
      <c r="FC170" s="1926"/>
      <c r="FD170" s="1926"/>
      <c r="FE170" s="1926"/>
      <c r="FF170" s="1926"/>
      <c r="FG170" s="1926"/>
      <c r="FH170" s="1926"/>
      <c r="FI170" s="1926"/>
      <c r="FJ170" s="1926"/>
      <c r="FK170" s="1926"/>
      <c r="FL170" s="1926"/>
      <c r="FM170" s="1926"/>
      <c r="FN170" s="1926"/>
      <c r="FO170" s="1926"/>
      <c r="FP170" s="1926"/>
      <c r="FQ170" s="1926"/>
      <c r="FR170" s="1926"/>
    </row>
    <row r="171" spans="2:174" s="37" customFormat="1" ht="14.25" hidden="1" customHeight="1">
      <c r="B171" s="1921" t="s">
        <v>571</v>
      </c>
      <c r="H171" s="53"/>
      <c r="M171" s="53"/>
      <c r="O171" s="53"/>
      <c r="P171" s="53"/>
      <c r="Q171" s="53"/>
      <c r="R171" s="53"/>
      <c r="T171" s="53"/>
      <c r="U171" s="53"/>
      <c r="W171" s="53"/>
      <c r="Y171" s="53"/>
      <c r="Z171" s="53"/>
      <c r="AA171" s="53"/>
      <c r="AB171" s="53"/>
      <c r="AC171" s="53"/>
      <c r="AD171" s="53"/>
      <c r="AE171" s="53"/>
      <c r="AF171" s="53"/>
      <c r="AG171" s="53"/>
      <c r="AH171" s="53"/>
      <c r="AI171" s="53"/>
      <c r="AJ171" s="53"/>
      <c r="AK171" s="53"/>
      <c r="AL171" s="53"/>
      <c r="AM171" s="1923">
        <v>0</v>
      </c>
      <c r="AN171" s="1959">
        <f t="shared" ref="AN171:BW171" si="148">IF($U6=AN$166,1,IF(AM171&gt;0,IF(AM171&gt;=$V6*12,0, AM171+1),0))</f>
        <v>0</v>
      </c>
      <c r="AO171" s="1922">
        <f t="shared" si="148"/>
        <v>0</v>
      </c>
      <c r="AP171" s="1922">
        <f t="shared" si="148"/>
        <v>0</v>
      </c>
      <c r="AQ171" s="1922">
        <f t="shared" si="148"/>
        <v>0</v>
      </c>
      <c r="AR171" s="1922">
        <f t="shared" si="148"/>
        <v>0</v>
      </c>
      <c r="AS171" s="1922">
        <f t="shared" si="148"/>
        <v>0</v>
      </c>
      <c r="AT171" s="1922">
        <f t="shared" si="148"/>
        <v>0</v>
      </c>
      <c r="AU171" s="1922">
        <f t="shared" si="148"/>
        <v>0</v>
      </c>
      <c r="AV171" s="1922">
        <f t="shared" si="148"/>
        <v>0</v>
      </c>
      <c r="AW171" s="1922">
        <f t="shared" si="148"/>
        <v>0</v>
      </c>
      <c r="AX171" s="1922">
        <f t="shared" si="148"/>
        <v>0</v>
      </c>
      <c r="AY171" s="1922">
        <f t="shared" si="148"/>
        <v>0</v>
      </c>
      <c r="AZ171" s="1922">
        <f t="shared" si="148"/>
        <v>0</v>
      </c>
      <c r="BA171" s="1922">
        <f t="shared" si="148"/>
        <v>0</v>
      </c>
      <c r="BB171" s="1922">
        <f t="shared" si="148"/>
        <v>0</v>
      </c>
      <c r="BC171" s="1922">
        <f t="shared" si="148"/>
        <v>0</v>
      </c>
      <c r="BD171" s="1922">
        <f t="shared" si="148"/>
        <v>0</v>
      </c>
      <c r="BE171" s="1922">
        <f t="shared" si="148"/>
        <v>0</v>
      </c>
      <c r="BF171" s="1922">
        <f t="shared" si="148"/>
        <v>0</v>
      </c>
      <c r="BG171" s="1922">
        <f t="shared" si="148"/>
        <v>0</v>
      </c>
      <c r="BH171" s="1922">
        <f t="shared" si="148"/>
        <v>0</v>
      </c>
      <c r="BI171" s="1922">
        <f t="shared" si="148"/>
        <v>0</v>
      </c>
      <c r="BJ171" s="1922">
        <f t="shared" si="148"/>
        <v>0</v>
      </c>
      <c r="BK171" s="1922">
        <f t="shared" si="148"/>
        <v>0</v>
      </c>
      <c r="BL171" s="1922">
        <f t="shared" si="148"/>
        <v>0</v>
      </c>
      <c r="BM171" s="1922">
        <f t="shared" si="148"/>
        <v>0</v>
      </c>
      <c r="BN171" s="1922">
        <f t="shared" si="148"/>
        <v>0</v>
      </c>
      <c r="BO171" s="1922">
        <f t="shared" si="148"/>
        <v>0</v>
      </c>
      <c r="BP171" s="1922">
        <f t="shared" si="148"/>
        <v>0</v>
      </c>
      <c r="BQ171" s="1922">
        <f t="shared" si="148"/>
        <v>0</v>
      </c>
      <c r="BR171" s="1922">
        <f t="shared" si="148"/>
        <v>0</v>
      </c>
      <c r="BS171" s="1922">
        <f t="shared" si="148"/>
        <v>0</v>
      </c>
      <c r="BT171" s="1922">
        <f t="shared" si="148"/>
        <v>0</v>
      </c>
      <c r="BU171" s="1922">
        <f t="shared" si="148"/>
        <v>0</v>
      </c>
      <c r="BV171" s="1922">
        <f t="shared" si="148"/>
        <v>0</v>
      </c>
      <c r="BW171" s="1924">
        <f t="shared" si="148"/>
        <v>0</v>
      </c>
      <c r="BX171" s="1926"/>
      <c r="BY171" s="1926"/>
      <c r="BZ171" s="1926"/>
      <c r="CA171" s="1926"/>
      <c r="CB171" s="1926"/>
      <c r="CC171" s="1926"/>
      <c r="CD171" s="1926"/>
      <c r="CE171" s="1926"/>
      <c r="CF171" s="1926"/>
      <c r="CG171" s="1926"/>
      <c r="CH171" s="1926"/>
      <c r="CI171" s="1926"/>
      <c r="CJ171" s="1926"/>
      <c r="CK171" s="1926"/>
      <c r="CL171" s="1926"/>
      <c r="CM171" s="1926"/>
      <c r="CN171" s="1926"/>
      <c r="CO171" s="1926"/>
      <c r="CP171" s="1926"/>
      <c r="CQ171" s="1926"/>
      <c r="CR171" s="1926"/>
      <c r="CS171" s="1926"/>
      <c r="CT171" s="1926"/>
      <c r="CU171" s="1926"/>
      <c r="CV171" s="1926"/>
      <c r="CW171" s="1926"/>
      <c r="CX171" s="1926"/>
      <c r="CY171" s="1926"/>
      <c r="CZ171" s="1926"/>
      <c r="DA171" s="1926"/>
      <c r="DB171" s="1926"/>
      <c r="DC171" s="1926"/>
      <c r="DD171" s="1926"/>
      <c r="DE171" s="1926"/>
      <c r="DF171" s="1926"/>
      <c r="DG171" s="1926"/>
      <c r="DH171" s="1926"/>
      <c r="DI171" s="1926"/>
      <c r="DJ171" s="1926"/>
      <c r="DK171" s="1926"/>
      <c r="DL171" s="1926"/>
      <c r="DM171" s="1926"/>
      <c r="DN171" s="1926"/>
      <c r="DO171" s="1926"/>
      <c r="DP171" s="1926"/>
      <c r="DQ171" s="1926"/>
      <c r="DR171" s="1926"/>
      <c r="DS171" s="1926"/>
      <c r="DT171" s="1926"/>
      <c r="DU171" s="1926"/>
      <c r="DV171" s="1926"/>
      <c r="DW171" s="1926"/>
      <c r="DX171" s="1926"/>
      <c r="DY171" s="1926"/>
      <c r="DZ171" s="1926"/>
      <c r="EA171" s="1926"/>
      <c r="EB171" s="1926"/>
      <c r="EC171" s="1926"/>
      <c r="ED171" s="1926"/>
      <c r="EE171" s="1926"/>
      <c r="EF171" s="1926"/>
      <c r="EG171" s="1926"/>
      <c r="EH171" s="1926"/>
      <c r="EI171" s="1926"/>
      <c r="EJ171" s="1926"/>
      <c r="EK171" s="1926"/>
      <c r="EL171" s="1926"/>
      <c r="EM171" s="1926"/>
      <c r="EN171" s="1926"/>
      <c r="EO171" s="1926"/>
      <c r="EP171" s="1926"/>
      <c r="EQ171" s="1926"/>
      <c r="ER171" s="1926"/>
      <c r="ES171" s="1926"/>
      <c r="ET171" s="1926"/>
      <c r="EU171" s="1926"/>
      <c r="EV171" s="1926"/>
      <c r="EW171" s="1926"/>
      <c r="EX171" s="1926"/>
      <c r="EY171" s="1926"/>
      <c r="EZ171" s="1926"/>
      <c r="FA171" s="1926"/>
      <c r="FB171" s="1926"/>
      <c r="FC171" s="1926"/>
      <c r="FD171" s="1926"/>
      <c r="FE171" s="1926"/>
      <c r="FF171" s="1926"/>
      <c r="FG171" s="1926"/>
      <c r="FH171" s="1926"/>
      <c r="FI171" s="1926"/>
      <c r="FJ171" s="1926"/>
      <c r="FK171" s="1926"/>
      <c r="FL171" s="1926"/>
      <c r="FM171" s="1926"/>
      <c r="FN171" s="1926"/>
      <c r="FO171" s="1926"/>
      <c r="FP171" s="1926"/>
      <c r="FQ171" s="1926"/>
      <c r="FR171" s="1926"/>
    </row>
    <row r="172" spans="2:174" s="37" customFormat="1" ht="14.25" hidden="1" customHeight="1">
      <c r="B172" s="37" t="s">
        <v>572</v>
      </c>
      <c r="H172" s="53"/>
      <c r="M172" s="53"/>
      <c r="O172" s="53"/>
      <c r="P172" s="53"/>
      <c r="Q172" s="53"/>
      <c r="R172" s="53"/>
      <c r="T172" s="53"/>
      <c r="U172" s="53"/>
      <c r="W172" s="53"/>
      <c r="Y172" s="53"/>
      <c r="Z172" s="53"/>
      <c r="AA172" s="53"/>
      <c r="AB172" s="53"/>
      <c r="AC172" s="53"/>
      <c r="AD172" s="53"/>
      <c r="AE172" s="53"/>
      <c r="AF172" s="53"/>
      <c r="AG172" s="53"/>
      <c r="AH172" s="53"/>
      <c r="AI172" s="53"/>
      <c r="AJ172" s="53"/>
      <c r="AK172" s="53"/>
      <c r="AL172" s="53"/>
      <c r="AM172" s="1928"/>
      <c r="AN172" s="1961">
        <f t="shared" ref="AN172:BW172" si="149">IF(AN171&lt;&gt;0,IF($T6=0,0,$T6/($V6*12)),0)</f>
        <v>0</v>
      </c>
      <c r="AO172" s="1922">
        <f t="shared" si="149"/>
        <v>0</v>
      </c>
      <c r="AP172" s="1922">
        <f t="shared" si="149"/>
        <v>0</v>
      </c>
      <c r="AQ172" s="1922">
        <f t="shared" si="149"/>
        <v>0</v>
      </c>
      <c r="AR172" s="1922">
        <f t="shared" si="149"/>
        <v>0</v>
      </c>
      <c r="AS172" s="1922">
        <f t="shared" si="149"/>
        <v>0</v>
      </c>
      <c r="AT172" s="1922">
        <f t="shared" si="149"/>
        <v>0</v>
      </c>
      <c r="AU172" s="1922">
        <f t="shared" si="149"/>
        <v>0</v>
      </c>
      <c r="AV172" s="1922">
        <f t="shared" si="149"/>
        <v>0</v>
      </c>
      <c r="AW172" s="1922">
        <f t="shared" si="149"/>
        <v>0</v>
      </c>
      <c r="AX172" s="1922">
        <f t="shared" si="149"/>
        <v>0</v>
      </c>
      <c r="AY172" s="1922">
        <f t="shared" si="149"/>
        <v>0</v>
      </c>
      <c r="AZ172" s="1922">
        <f t="shared" si="149"/>
        <v>0</v>
      </c>
      <c r="BA172" s="1922">
        <f t="shared" si="149"/>
        <v>0</v>
      </c>
      <c r="BB172" s="1922">
        <f t="shared" si="149"/>
        <v>0</v>
      </c>
      <c r="BC172" s="1922">
        <f t="shared" si="149"/>
        <v>0</v>
      </c>
      <c r="BD172" s="1922">
        <f t="shared" si="149"/>
        <v>0</v>
      </c>
      <c r="BE172" s="1922">
        <f t="shared" si="149"/>
        <v>0</v>
      </c>
      <c r="BF172" s="1922">
        <f t="shared" si="149"/>
        <v>0</v>
      </c>
      <c r="BG172" s="1922">
        <f t="shared" si="149"/>
        <v>0</v>
      </c>
      <c r="BH172" s="1922">
        <f t="shared" si="149"/>
        <v>0</v>
      </c>
      <c r="BI172" s="1922">
        <f t="shared" si="149"/>
        <v>0</v>
      </c>
      <c r="BJ172" s="1922">
        <f t="shared" si="149"/>
        <v>0</v>
      </c>
      <c r="BK172" s="1922">
        <f t="shared" si="149"/>
        <v>0</v>
      </c>
      <c r="BL172" s="1922">
        <f t="shared" si="149"/>
        <v>0</v>
      </c>
      <c r="BM172" s="1922">
        <f t="shared" si="149"/>
        <v>0</v>
      </c>
      <c r="BN172" s="1922">
        <f t="shared" si="149"/>
        <v>0</v>
      </c>
      <c r="BO172" s="1922">
        <f t="shared" si="149"/>
        <v>0</v>
      </c>
      <c r="BP172" s="1922">
        <f t="shared" si="149"/>
        <v>0</v>
      </c>
      <c r="BQ172" s="1922">
        <f t="shared" si="149"/>
        <v>0</v>
      </c>
      <c r="BR172" s="1922">
        <f t="shared" si="149"/>
        <v>0</v>
      </c>
      <c r="BS172" s="1922">
        <f t="shared" si="149"/>
        <v>0</v>
      </c>
      <c r="BT172" s="1922">
        <f t="shared" si="149"/>
        <v>0</v>
      </c>
      <c r="BU172" s="1922">
        <f t="shared" si="149"/>
        <v>0</v>
      </c>
      <c r="BV172" s="1922">
        <f t="shared" si="149"/>
        <v>0</v>
      </c>
      <c r="BW172" s="1924">
        <f t="shared" si="149"/>
        <v>0</v>
      </c>
      <c r="BX172" s="1926"/>
      <c r="BY172" s="1926"/>
      <c r="BZ172" s="1926"/>
      <c r="CA172" s="1926"/>
      <c r="CB172" s="1926"/>
      <c r="CC172" s="1926"/>
      <c r="CD172" s="1926"/>
      <c r="CE172" s="1926"/>
      <c r="CF172" s="1926"/>
      <c r="CG172" s="1926"/>
      <c r="CH172" s="1926"/>
      <c r="CI172" s="1926"/>
      <c r="CJ172" s="1926"/>
      <c r="CK172" s="1926"/>
      <c r="CL172" s="1926"/>
      <c r="CM172" s="1926"/>
      <c r="CN172" s="1926"/>
      <c r="CO172" s="1926"/>
      <c r="CP172" s="1926"/>
      <c r="CQ172" s="1926"/>
      <c r="CR172" s="1926"/>
      <c r="CS172" s="1926"/>
      <c r="CT172" s="1926"/>
      <c r="CU172" s="1926"/>
      <c r="CV172" s="1926"/>
      <c r="CW172" s="1926"/>
      <c r="CX172" s="1926"/>
      <c r="CY172" s="1926"/>
      <c r="CZ172" s="1926"/>
      <c r="DA172" s="1926"/>
      <c r="DB172" s="1926"/>
      <c r="DC172" s="1926"/>
      <c r="DD172" s="1926"/>
      <c r="DE172" s="1926"/>
      <c r="DF172" s="1926"/>
      <c r="DG172" s="1926"/>
      <c r="DH172" s="1926"/>
      <c r="DI172" s="1926"/>
      <c r="DJ172" s="1926"/>
      <c r="DK172" s="1926"/>
      <c r="DL172" s="1926"/>
      <c r="DM172" s="1926"/>
      <c r="DN172" s="1926"/>
      <c r="DO172" s="1926"/>
      <c r="DP172" s="1926"/>
      <c r="DQ172" s="1926"/>
      <c r="DR172" s="1926"/>
      <c r="DS172" s="1926"/>
      <c r="DT172" s="1926"/>
      <c r="DU172" s="1926"/>
      <c r="DV172" s="1926"/>
      <c r="DW172" s="1926"/>
      <c r="DX172" s="1926"/>
      <c r="DY172" s="1926"/>
      <c r="DZ172" s="1926"/>
      <c r="EA172" s="1926"/>
      <c r="EB172" s="1926"/>
      <c r="EC172" s="1926"/>
      <c r="ED172" s="1926"/>
      <c r="EE172" s="1926"/>
      <c r="EF172" s="1926"/>
      <c r="EG172" s="1926"/>
      <c r="EH172" s="1926"/>
      <c r="EI172" s="1926"/>
      <c r="EJ172" s="1926"/>
      <c r="EK172" s="1926"/>
      <c r="EL172" s="1926"/>
      <c r="EM172" s="1926"/>
      <c r="EN172" s="1926"/>
      <c r="EO172" s="1926"/>
      <c r="EP172" s="1926"/>
      <c r="EQ172" s="1926"/>
      <c r="ER172" s="1926"/>
      <c r="ES172" s="1926"/>
      <c r="ET172" s="1926"/>
      <c r="EU172" s="1926"/>
      <c r="EV172" s="1926"/>
      <c r="EW172" s="1926"/>
      <c r="EX172" s="1926"/>
      <c r="EY172" s="1926"/>
      <c r="EZ172" s="1926"/>
      <c r="FA172" s="1926"/>
      <c r="FB172" s="1926"/>
      <c r="FC172" s="1926"/>
      <c r="FD172" s="1926"/>
      <c r="FE172" s="1926"/>
      <c r="FF172" s="1926"/>
      <c r="FG172" s="1926"/>
      <c r="FH172" s="1926"/>
      <c r="FI172" s="1926"/>
      <c r="FJ172" s="1926"/>
      <c r="FK172" s="1926"/>
      <c r="FL172" s="1926"/>
      <c r="FM172" s="1926"/>
      <c r="FN172" s="1926"/>
      <c r="FO172" s="1926"/>
      <c r="FP172" s="1926"/>
      <c r="FQ172" s="1926"/>
      <c r="FR172" s="1926"/>
    </row>
    <row r="173" spans="2:174" s="37" customFormat="1" ht="14.25" hidden="1" customHeight="1">
      <c r="B173" s="37" t="s">
        <v>570</v>
      </c>
      <c r="H173" s="53"/>
      <c r="M173" s="53"/>
      <c r="O173" s="53"/>
      <c r="P173" s="53"/>
      <c r="Q173" s="53"/>
      <c r="R173" s="53"/>
      <c r="T173" s="53"/>
      <c r="U173" s="53"/>
      <c r="W173" s="53"/>
      <c r="Y173" s="53"/>
      <c r="Z173" s="53"/>
      <c r="AB173" s="53"/>
      <c r="AC173" s="53"/>
      <c r="AD173" s="53"/>
      <c r="AE173" s="53"/>
      <c r="AF173" s="53"/>
      <c r="AG173" s="53"/>
      <c r="AH173" s="53"/>
      <c r="AI173" s="53"/>
      <c r="AJ173" s="53"/>
      <c r="AK173" s="53"/>
      <c r="AL173" s="53"/>
      <c r="AM173" s="1923"/>
      <c r="AN173" s="1959">
        <f t="shared" ref="AN173:BW173" si="150">IF($U7=AN$166,$T7,0)</f>
        <v>0</v>
      </c>
      <c r="AO173" s="1922">
        <f t="shared" si="150"/>
        <v>0</v>
      </c>
      <c r="AP173" s="1922">
        <f t="shared" si="150"/>
        <v>0</v>
      </c>
      <c r="AQ173" s="1922">
        <f t="shared" si="150"/>
        <v>0</v>
      </c>
      <c r="AR173" s="1922">
        <f t="shared" si="150"/>
        <v>0</v>
      </c>
      <c r="AS173" s="1922">
        <f t="shared" si="150"/>
        <v>0</v>
      </c>
      <c r="AT173" s="1922">
        <f t="shared" si="150"/>
        <v>0</v>
      </c>
      <c r="AU173" s="1922">
        <f t="shared" si="150"/>
        <v>0</v>
      </c>
      <c r="AV173" s="1922">
        <f t="shared" si="150"/>
        <v>0</v>
      </c>
      <c r="AW173" s="1922">
        <f t="shared" si="150"/>
        <v>0</v>
      </c>
      <c r="AX173" s="1922">
        <f t="shared" si="150"/>
        <v>0</v>
      </c>
      <c r="AY173" s="1922">
        <f t="shared" si="150"/>
        <v>0</v>
      </c>
      <c r="AZ173" s="1922">
        <f t="shared" si="150"/>
        <v>0</v>
      </c>
      <c r="BA173" s="1922">
        <f t="shared" si="150"/>
        <v>0</v>
      </c>
      <c r="BB173" s="1922">
        <f t="shared" si="150"/>
        <v>0</v>
      </c>
      <c r="BC173" s="1922">
        <f t="shared" si="150"/>
        <v>0</v>
      </c>
      <c r="BD173" s="1922">
        <f t="shared" si="150"/>
        <v>0</v>
      </c>
      <c r="BE173" s="1922">
        <f t="shared" si="150"/>
        <v>0</v>
      </c>
      <c r="BF173" s="1922">
        <f t="shared" si="150"/>
        <v>0</v>
      </c>
      <c r="BG173" s="1922">
        <f t="shared" si="150"/>
        <v>0</v>
      </c>
      <c r="BH173" s="1922">
        <f t="shared" si="150"/>
        <v>0</v>
      </c>
      <c r="BI173" s="1922">
        <f t="shared" si="150"/>
        <v>0</v>
      </c>
      <c r="BJ173" s="1922">
        <f t="shared" si="150"/>
        <v>0</v>
      </c>
      <c r="BK173" s="1922">
        <f t="shared" si="150"/>
        <v>0</v>
      </c>
      <c r="BL173" s="1922">
        <f t="shared" si="150"/>
        <v>0</v>
      </c>
      <c r="BM173" s="1922">
        <f t="shared" si="150"/>
        <v>0</v>
      </c>
      <c r="BN173" s="1922">
        <f t="shared" si="150"/>
        <v>0</v>
      </c>
      <c r="BO173" s="1922">
        <f t="shared" si="150"/>
        <v>0</v>
      </c>
      <c r="BP173" s="1922">
        <f t="shared" si="150"/>
        <v>0</v>
      </c>
      <c r="BQ173" s="1922">
        <f t="shared" si="150"/>
        <v>0</v>
      </c>
      <c r="BR173" s="1922">
        <f t="shared" si="150"/>
        <v>0</v>
      </c>
      <c r="BS173" s="1922">
        <f t="shared" si="150"/>
        <v>0</v>
      </c>
      <c r="BT173" s="1922">
        <f t="shared" si="150"/>
        <v>0</v>
      </c>
      <c r="BU173" s="1922">
        <f t="shared" si="150"/>
        <v>0</v>
      </c>
      <c r="BV173" s="1922">
        <f t="shared" si="150"/>
        <v>0</v>
      </c>
      <c r="BW173" s="1924">
        <f t="shared" si="150"/>
        <v>0</v>
      </c>
      <c r="BX173" s="1926"/>
      <c r="BY173" s="1926"/>
      <c r="BZ173" s="1926"/>
      <c r="CA173" s="1926"/>
      <c r="CB173" s="1926"/>
      <c r="CC173" s="1926"/>
      <c r="CD173" s="1926"/>
      <c r="CE173" s="1926"/>
      <c r="CF173" s="1926"/>
      <c r="CG173" s="1926"/>
      <c r="CH173" s="1926"/>
      <c r="CI173" s="1926"/>
      <c r="CJ173" s="1926"/>
      <c r="CK173" s="1926"/>
      <c r="CL173" s="1926"/>
      <c r="CM173" s="1926"/>
      <c r="CN173" s="1926"/>
      <c r="CO173" s="1926"/>
      <c r="CP173" s="1926"/>
      <c r="CQ173" s="1926"/>
      <c r="CR173" s="1926"/>
      <c r="CS173" s="1926"/>
      <c r="CT173" s="1926"/>
      <c r="CU173" s="1926"/>
      <c r="CV173" s="1926"/>
      <c r="CW173" s="1926"/>
      <c r="CX173" s="1926"/>
      <c r="CY173" s="1926"/>
      <c r="CZ173" s="1926"/>
      <c r="DA173" s="1926"/>
      <c r="DB173" s="1926"/>
      <c r="DC173" s="1926"/>
      <c r="DD173" s="1926"/>
      <c r="DE173" s="1926"/>
      <c r="DF173" s="1926"/>
      <c r="DG173" s="1926"/>
      <c r="DH173" s="1926"/>
      <c r="DI173" s="1926"/>
      <c r="DJ173" s="1926"/>
      <c r="DK173" s="1926"/>
      <c r="DL173" s="1926"/>
      <c r="DM173" s="1926"/>
      <c r="DN173" s="1926"/>
      <c r="DO173" s="1926"/>
      <c r="DP173" s="1926"/>
      <c r="DQ173" s="1926"/>
      <c r="DR173" s="1926"/>
      <c r="DS173" s="1926"/>
      <c r="DT173" s="1926"/>
      <c r="DU173" s="1926"/>
      <c r="DV173" s="1926"/>
      <c r="DW173" s="1926"/>
      <c r="DX173" s="1926"/>
      <c r="DY173" s="1926"/>
      <c r="DZ173" s="1926"/>
      <c r="EA173" s="1926"/>
      <c r="EB173" s="1926"/>
      <c r="EC173" s="1926"/>
      <c r="ED173" s="1926"/>
      <c r="EE173" s="1926"/>
      <c r="EF173" s="1926"/>
      <c r="EG173" s="1926"/>
      <c r="EH173" s="1926"/>
      <c r="EI173" s="1926"/>
      <c r="EJ173" s="1926"/>
      <c r="EK173" s="1926"/>
      <c r="EL173" s="1926"/>
      <c r="EM173" s="1926"/>
      <c r="EN173" s="1926"/>
      <c r="EO173" s="1926"/>
      <c r="EP173" s="1926"/>
      <c r="EQ173" s="1926"/>
      <c r="ER173" s="1926"/>
      <c r="ES173" s="1926"/>
      <c r="ET173" s="1926"/>
      <c r="EU173" s="1926"/>
      <c r="EV173" s="1926"/>
      <c r="EW173" s="1926"/>
      <c r="EX173" s="1926"/>
      <c r="EY173" s="1926"/>
      <c r="EZ173" s="1926"/>
      <c r="FA173" s="1926"/>
      <c r="FB173" s="1926"/>
      <c r="FC173" s="1926"/>
      <c r="FD173" s="1926"/>
      <c r="FE173" s="1926"/>
      <c r="FF173" s="1926"/>
      <c r="FG173" s="1926"/>
      <c r="FH173" s="1926"/>
      <c r="FI173" s="1926"/>
      <c r="FJ173" s="1926"/>
      <c r="FK173" s="1926"/>
      <c r="FL173" s="1926"/>
      <c r="FM173" s="1926"/>
      <c r="FN173" s="1926"/>
      <c r="FO173" s="1926"/>
      <c r="FP173" s="1926"/>
      <c r="FQ173" s="1926"/>
      <c r="FR173" s="1926"/>
    </row>
    <row r="174" spans="2:174" s="37" customFormat="1" ht="14.25" hidden="1" customHeight="1">
      <c r="B174" s="1921" t="s">
        <v>571</v>
      </c>
      <c r="H174" s="53"/>
      <c r="M174" s="53"/>
      <c r="O174" s="53"/>
      <c r="P174" s="53"/>
      <c r="Q174" s="53"/>
      <c r="R174" s="53"/>
      <c r="T174" s="53"/>
      <c r="U174" s="53"/>
      <c r="W174" s="53"/>
      <c r="Y174" s="53"/>
      <c r="Z174" s="53"/>
      <c r="AA174" s="53"/>
      <c r="AB174" s="53"/>
      <c r="AC174" s="53"/>
      <c r="AD174" s="53"/>
      <c r="AE174" s="53"/>
      <c r="AF174" s="53"/>
      <c r="AG174" s="53"/>
      <c r="AH174" s="53"/>
      <c r="AI174" s="53"/>
      <c r="AJ174" s="53"/>
      <c r="AK174" s="53"/>
      <c r="AL174" s="53"/>
      <c r="AM174" s="1923">
        <v>0</v>
      </c>
      <c r="AN174" s="1959">
        <f t="shared" ref="AN174:BW174" si="151">IF($U7=AN$166,1,IF(AM174&gt;0,IF(AM174&gt;=$V7*12,0, AM174+1),0))</f>
        <v>0</v>
      </c>
      <c r="AO174" s="1922">
        <f t="shared" si="151"/>
        <v>0</v>
      </c>
      <c r="AP174" s="1922">
        <f t="shared" si="151"/>
        <v>0</v>
      </c>
      <c r="AQ174" s="1922">
        <f t="shared" si="151"/>
        <v>0</v>
      </c>
      <c r="AR174" s="1922">
        <f t="shared" si="151"/>
        <v>0</v>
      </c>
      <c r="AS174" s="1922">
        <f t="shared" si="151"/>
        <v>0</v>
      </c>
      <c r="AT174" s="1922">
        <f t="shared" si="151"/>
        <v>0</v>
      </c>
      <c r="AU174" s="1922">
        <f t="shared" si="151"/>
        <v>0</v>
      </c>
      <c r="AV174" s="1922">
        <f t="shared" si="151"/>
        <v>0</v>
      </c>
      <c r="AW174" s="1922">
        <f t="shared" si="151"/>
        <v>0</v>
      </c>
      <c r="AX174" s="1922">
        <f t="shared" si="151"/>
        <v>0</v>
      </c>
      <c r="AY174" s="1922">
        <f t="shared" si="151"/>
        <v>0</v>
      </c>
      <c r="AZ174" s="1922">
        <f t="shared" si="151"/>
        <v>0</v>
      </c>
      <c r="BA174" s="1922">
        <f t="shared" si="151"/>
        <v>0</v>
      </c>
      <c r="BB174" s="1922">
        <f t="shared" si="151"/>
        <v>0</v>
      </c>
      <c r="BC174" s="1922">
        <f t="shared" si="151"/>
        <v>0</v>
      </c>
      <c r="BD174" s="1922">
        <f t="shared" si="151"/>
        <v>0</v>
      </c>
      <c r="BE174" s="1922">
        <f t="shared" si="151"/>
        <v>0</v>
      </c>
      <c r="BF174" s="1922">
        <f t="shared" si="151"/>
        <v>0</v>
      </c>
      <c r="BG174" s="1922">
        <f t="shared" si="151"/>
        <v>0</v>
      </c>
      <c r="BH174" s="1922">
        <f t="shared" si="151"/>
        <v>0</v>
      </c>
      <c r="BI174" s="1922">
        <f t="shared" si="151"/>
        <v>0</v>
      </c>
      <c r="BJ174" s="1922">
        <f t="shared" si="151"/>
        <v>0</v>
      </c>
      <c r="BK174" s="1922">
        <f t="shared" si="151"/>
        <v>0</v>
      </c>
      <c r="BL174" s="1922">
        <f t="shared" si="151"/>
        <v>0</v>
      </c>
      <c r="BM174" s="1922">
        <f t="shared" si="151"/>
        <v>0</v>
      </c>
      <c r="BN174" s="1922">
        <f t="shared" si="151"/>
        <v>0</v>
      </c>
      <c r="BO174" s="1922">
        <f t="shared" si="151"/>
        <v>0</v>
      </c>
      <c r="BP174" s="1922">
        <f t="shared" si="151"/>
        <v>0</v>
      </c>
      <c r="BQ174" s="1922">
        <f t="shared" si="151"/>
        <v>0</v>
      </c>
      <c r="BR174" s="1922">
        <f t="shared" si="151"/>
        <v>0</v>
      </c>
      <c r="BS174" s="1922">
        <f t="shared" si="151"/>
        <v>0</v>
      </c>
      <c r="BT174" s="1922">
        <f t="shared" si="151"/>
        <v>0</v>
      </c>
      <c r="BU174" s="1922">
        <f t="shared" si="151"/>
        <v>0</v>
      </c>
      <c r="BV174" s="1922">
        <f t="shared" si="151"/>
        <v>0</v>
      </c>
      <c r="BW174" s="1924">
        <f t="shared" si="151"/>
        <v>0</v>
      </c>
      <c r="BX174" s="1926"/>
      <c r="BY174" s="1926"/>
      <c r="BZ174" s="1926"/>
      <c r="CA174" s="1926"/>
      <c r="CB174" s="1926"/>
      <c r="CC174" s="1926"/>
      <c r="CD174" s="1926"/>
      <c r="CE174" s="1926"/>
      <c r="CF174" s="1926"/>
      <c r="CG174" s="1926"/>
      <c r="CH174" s="1926"/>
      <c r="CI174" s="1926"/>
      <c r="CJ174" s="1926"/>
      <c r="CK174" s="1926"/>
      <c r="CL174" s="1926"/>
      <c r="CM174" s="1926"/>
      <c r="CN174" s="1926"/>
      <c r="CO174" s="1926"/>
      <c r="CP174" s="1926"/>
      <c r="CQ174" s="1926"/>
      <c r="CR174" s="1926"/>
      <c r="CS174" s="1926"/>
      <c r="CT174" s="1926"/>
      <c r="CU174" s="1926"/>
      <c r="CV174" s="1926"/>
      <c r="CW174" s="1926"/>
      <c r="CX174" s="1926"/>
      <c r="CY174" s="1926"/>
      <c r="CZ174" s="1926"/>
      <c r="DA174" s="1926"/>
      <c r="DB174" s="1926"/>
      <c r="DC174" s="1926"/>
      <c r="DD174" s="1926"/>
      <c r="DE174" s="1926"/>
      <c r="DF174" s="1926"/>
      <c r="DG174" s="1926"/>
      <c r="DH174" s="1926"/>
      <c r="DI174" s="1926"/>
      <c r="DJ174" s="1926"/>
      <c r="DK174" s="1926"/>
      <c r="DL174" s="1926"/>
      <c r="DM174" s="1926"/>
      <c r="DN174" s="1926"/>
      <c r="DO174" s="1926"/>
      <c r="DP174" s="1926"/>
      <c r="DQ174" s="1926"/>
      <c r="DR174" s="1926"/>
      <c r="DS174" s="1926"/>
      <c r="DT174" s="1926"/>
      <c r="DU174" s="1926"/>
      <c r="DV174" s="1926"/>
      <c r="DW174" s="1926"/>
      <c r="DX174" s="1926"/>
      <c r="DY174" s="1926"/>
      <c r="DZ174" s="1926"/>
      <c r="EA174" s="1926"/>
      <c r="EB174" s="1926"/>
      <c r="EC174" s="1926"/>
      <c r="ED174" s="1926"/>
      <c r="EE174" s="1926"/>
      <c r="EF174" s="1926"/>
      <c r="EG174" s="1926"/>
      <c r="EH174" s="1926"/>
      <c r="EI174" s="1926"/>
      <c r="EJ174" s="1926"/>
      <c r="EK174" s="1926"/>
      <c r="EL174" s="1926"/>
      <c r="EM174" s="1926"/>
      <c r="EN174" s="1926"/>
      <c r="EO174" s="1926"/>
      <c r="EP174" s="1926"/>
      <c r="EQ174" s="1926"/>
      <c r="ER174" s="1926"/>
      <c r="ES174" s="1926"/>
      <c r="ET174" s="1926"/>
      <c r="EU174" s="1926"/>
      <c r="EV174" s="1926"/>
      <c r="EW174" s="1926"/>
      <c r="EX174" s="1926"/>
      <c r="EY174" s="1926"/>
      <c r="EZ174" s="1926"/>
      <c r="FA174" s="1926"/>
      <c r="FB174" s="1926"/>
      <c r="FC174" s="1926"/>
      <c r="FD174" s="1926"/>
      <c r="FE174" s="1926"/>
      <c r="FF174" s="1926"/>
      <c r="FG174" s="1926"/>
      <c r="FH174" s="1926"/>
      <c r="FI174" s="1926"/>
      <c r="FJ174" s="1926"/>
      <c r="FK174" s="1926"/>
      <c r="FL174" s="1926"/>
      <c r="FM174" s="1926"/>
      <c r="FN174" s="1926"/>
      <c r="FO174" s="1926"/>
      <c r="FP174" s="1926"/>
      <c r="FQ174" s="1926"/>
      <c r="FR174" s="1926"/>
    </row>
    <row r="175" spans="2:174" s="37" customFormat="1" ht="14.25" hidden="1" customHeight="1">
      <c r="B175" s="37" t="s">
        <v>572</v>
      </c>
      <c r="H175" s="53"/>
      <c r="M175" s="53"/>
      <c r="O175" s="53"/>
      <c r="P175" s="53"/>
      <c r="Q175" s="53"/>
      <c r="R175" s="53"/>
      <c r="T175" s="53"/>
      <c r="U175" s="53"/>
      <c r="W175" s="53"/>
      <c r="Y175" s="53"/>
      <c r="Z175" s="53"/>
      <c r="AB175" s="53"/>
      <c r="AC175" s="53"/>
      <c r="AD175" s="53"/>
      <c r="AE175" s="53"/>
      <c r="AF175" s="53"/>
      <c r="AG175" s="53"/>
      <c r="AH175" s="53"/>
      <c r="AI175" s="53"/>
      <c r="AJ175" s="53"/>
      <c r="AK175" s="53"/>
      <c r="AL175" s="53"/>
      <c r="AM175" s="1928"/>
      <c r="AN175" s="1961">
        <f t="shared" ref="AN175:BW175" si="152">IF(AN174&lt;&gt;0,IF($T7=0,0,$T7/($V7*12)),0)</f>
        <v>0</v>
      </c>
      <c r="AO175" s="1922">
        <f t="shared" si="152"/>
        <v>0</v>
      </c>
      <c r="AP175" s="1922">
        <f t="shared" si="152"/>
        <v>0</v>
      </c>
      <c r="AQ175" s="1922">
        <f t="shared" si="152"/>
        <v>0</v>
      </c>
      <c r="AR175" s="1922">
        <f t="shared" si="152"/>
        <v>0</v>
      </c>
      <c r="AS175" s="1922">
        <f t="shared" si="152"/>
        <v>0</v>
      </c>
      <c r="AT175" s="1922">
        <f t="shared" si="152"/>
        <v>0</v>
      </c>
      <c r="AU175" s="1922">
        <f t="shared" si="152"/>
        <v>0</v>
      </c>
      <c r="AV175" s="1922">
        <f t="shared" si="152"/>
        <v>0</v>
      </c>
      <c r="AW175" s="1922">
        <f t="shared" si="152"/>
        <v>0</v>
      </c>
      <c r="AX175" s="1922">
        <f t="shared" si="152"/>
        <v>0</v>
      </c>
      <c r="AY175" s="1922">
        <f t="shared" si="152"/>
        <v>0</v>
      </c>
      <c r="AZ175" s="1922">
        <f t="shared" si="152"/>
        <v>0</v>
      </c>
      <c r="BA175" s="1922">
        <f t="shared" si="152"/>
        <v>0</v>
      </c>
      <c r="BB175" s="1922">
        <f t="shared" si="152"/>
        <v>0</v>
      </c>
      <c r="BC175" s="1922">
        <f t="shared" si="152"/>
        <v>0</v>
      </c>
      <c r="BD175" s="1922">
        <f t="shared" si="152"/>
        <v>0</v>
      </c>
      <c r="BE175" s="1922">
        <f t="shared" si="152"/>
        <v>0</v>
      </c>
      <c r="BF175" s="1922">
        <f t="shared" si="152"/>
        <v>0</v>
      </c>
      <c r="BG175" s="1922">
        <f t="shared" si="152"/>
        <v>0</v>
      </c>
      <c r="BH175" s="1922">
        <f t="shared" si="152"/>
        <v>0</v>
      </c>
      <c r="BI175" s="1922">
        <f t="shared" si="152"/>
        <v>0</v>
      </c>
      <c r="BJ175" s="1922">
        <f t="shared" si="152"/>
        <v>0</v>
      </c>
      <c r="BK175" s="1922">
        <f t="shared" si="152"/>
        <v>0</v>
      </c>
      <c r="BL175" s="1922">
        <f t="shared" si="152"/>
        <v>0</v>
      </c>
      <c r="BM175" s="1922">
        <f t="shared" si="152"/>
        <v>0</v>
      </c>
      <c r="BN175" s="1922">
        <f t="shared" si="152"/>
        <v>0</v>
      </c>
      <c r="BO175" s="1922">
        <f t="shared" si="152"/>
        <v>0</v>
      </c>
      <c r="BP175" s="1922">
        <f t="shared" si="152"/>
        <v>0</v>
      </c>
      <c r="BQ175" s="1922">
        <f t="shared" si="152"/>
        <v>0</v>
      </c>
      <c r="BR175" s="1922">
        <f t="shared" si="152"/>
        <v>0</v>
      </c>
      <c r="BS175" s="1922">
        <f t="shared" si="152"/>
        <v>0</v>
      </c>
      <c r="BT175" s="1922">
        <f t="shared" si="152"/>
        <v>0</v>
      </c>
      <c r="BU175" s="1922">
        <f t="shared" si="152"/>
        <v>0</v>
      </c>
      <c r="BV175" s="1922">
        <f t="shared" si="152"/>
        <v>0</v>
      </c>
      <c r="BW175" s="1924">
        <f t="shared" si="152"/>
        <v>0</v>
      </c>
      <c r="BX175" s="1926"/>
      <c r="BY175" s="1926"/>
      <c r="BZ175" s="1926"/>
      <c r="CA175" s="1926"/>
      <c r="CB175" s="1926"/>
      <c r="CC175" s="1926"/>
      <c r="CD175" s="1926"/>
      <c r="CE175" s="1926"/>
      <c r="CF175" s="1926"/>
      <c r="CG175" s="1926"/>
      <c r="CH175" s="1926"/>
      <c r="CI175" s="1926"/>
      <c r="CJ175" s="1926"/>
      <c r="CK175" s="1926"/>
      <c r="CL175" s="1926"/>
      <c r="CM175" s="1926"/>
      <c r="CN175" s="1926"/>
      <c r="CO175" s="1926"/>
      <c r="CP175" s="1926"/>
      <c r="CQ175" s="1926"/>
      <c r="CR175" s="1926"/>
      <c r="CS175" s="1926"/>
      <c r="CT175" s="1926"/>
      <c r="CU175" s="1926"/>
      <c r="CV175" s="1926"/>
      <c r="CW175" s="1926"/>
      <c r="CX175" s="1926"/>
      <c r="CY175" s="1926"/>
      <c r="CZ175" s="1926"/>
      <c r="DA175" s="1926"/>
      <c r="DB175" s="1926"/>
      <c r="DC175" s="1926"/>
      <c r="DD175" s="1926"/>
      <c r="DE175" s="1926"/>
      <c r="DF175" s="1926"/>
      <c r="DG175" s="1926"/>
      <c r="DH175" s="1926"/>
      <c r="DI175" s="1926"/>
      <c r="DJ175" s="1926"/>
      <c r="DK175" s="1926"/>
      <c r="DL175" s="1926"/>
      <c r="DM175" s="1926"/>
      <c r="DN175" s="1926"/>
      <c r="DO175" s="1926"/>
      <c r="DP175" s="1926"/>
      <c r="DQ175" s="1926"/>
      <c r="DR175" s="1926"/>
      <c r="DS175" s="1926"/>
      <c r="DT175" s="1926"/>
      <c r="DU175" s="1926"/>
      <c r="DV175" s="1926"/>
      <c r="DW175" s="1926"/>
      <c r="DX175" s="1926"/>
      <c r="DY175" s="1926"/>
      <c r="DZ175" s="1926"/>
      <c r="EA175" s="1926"/>
      <c r="EB175" s="1926"/>
      <c r="EC175" s="1926"/>
      <c r="ED175" s="1926"/>
      <c r="EE175" s="1926"/>
      <c r="EF175" s="1926"/>
      <c r="EG175" s="1926"/>
      <c r="EH175" s="1926"/>
      <c r="EI175" s="1926"/>
      <c r="EJ175" s="1926"/>
      <c r="EK175" s="1926"/>
      <c r="EL175" s="1926"/>
      <c r="EM175" s="1926"/>
      <c r="EN175" s="1926"/>
      <c r="EO175" s="1926"/>
      <c r="EP175" s="1926"/>
      <c r="EQ175" s="1926"/>
      <c r="ER175" s="1926"/>
      <c r="ES175" s="1926"/>
      <c r="ET175" s="1926"/>
      <c r="EU175" s="1926"/>
      <c r="EV175" s="1926"/>
      <c r="EW175" s="1926"/>
      <c r="EX175" s="1926"/>
      <c r="EY175" s="1926"/>
      <c r="EZ175" s="1926"/>
      <c r="FA175" s="1926"/>
      <c r="FB175" s="1926"/>
      <c r="FC175" s="1926"/>
      <c r="FD175" s="1926"/>
      <c r="FE175" s="1926"/>
      <c r="FF175" s="1926"/>
      <c r="FG175" s="1926"/>
      <c r="FH175" s="1926"/>
      <c r="FI175" s="1926"/>
      <c r="FJ175" s="1926"/>
      <c r="FK175" s="1926"/>
      <c r="FL175" s="1926"/>
      <c r="FM175" s="1926"/>
      <c r="FN175" s="1926"/>
      <c r="FO175" s="1926"/>
      <c r="FP175" s="1926"/>
      <c r="FQ175" s="1926"/>
      <c r="FR175" s="1926"/>
    </row>
    <row r="176" spans="2:174" s="37" customFormat="1" ht="14.25" hidden="1" customHeight="1">
      <c r="B176" s="37" t="s">
        <v>570</v>
      </c>
      <c r="H176" s="53"/>
      <c r="M176" s="53"/>
      <c r="O176" s="53"/>
      <c r="P176" s="53"/>
      <c r="Q176" s="53"/>
      <c r="R176" s="53"/>
      <c r="T176" s="53"/>
      <c r="U176" s="53"/>
      <c r="W176" s="53"/>
      <c r="Y176" s="53"/>
      <c r="Z176" s="53"/>
      <c r="AB176" s="53"/>
      <c r="AC176" s="53"/>
      <c r="AD176" s="53"/>
      <c r="AE176" s="53"/>
      <c r="AF176" s="53"/>
      <c r="AG176" s="53"/>
      <c r="AH176" s="53"/>
      <c r="AI176" s="53"/>
      <c r="AJ176" s="53"/>
      <c r="AK176" s="53"/>
      <c r="AL176" s="53"/>
      <c r="AM176" s="1923"/>
      <c r="AN176" s="1959">
        <f t="shared" ref="AN176:BW176" si="153">IF($U8=AN$166,$T8,0)</f>
        <v>0</v>
      </c>
      <c r="AO176" s="1922">
        <f t="shared" si="153"/>
        <v>0</v>
      </c>
      <c r="AP176" s="1922">
        <f t="shared" si="153"/>
        <v>0</v>
      </c>
      <c r="AQ176" s="1922">
        <f t="shared" si="153"/>
        <v>0</v>
      </c>
      <c r="AR176" s="1922">
        <f t="shared" si="153"/>
        <v>0</v>
      </c>
      <c r="AS176" s="1922">
        <f t="shared" si="153"/>
        <v>0</v>
      </c>
      <c r="AT176" s="1922">
        <f t="shared" si="153"/>
        <v>0</v>
      </c>
      <c r="AU176" s="1922">
        <f t="shared" si="153"/>
        <v>0</v>
      </c>
      <c r="AV176" s="1922">
        <f t="shared" si="153"/>
        <v>0</v>
      </c>
      <c r="AW176" s="1922">
        <f t="shared" si="153"/>
        <v>0</v>
      </c>
      <c r="AX176" s="1922">
        <f t="shared" si="153"/>
        <v>0</v>
      </c>
      <c r="AY176" s="1922">
        <f t="shared" si="153"/>
        <v>0</v>
      </c>
      <c r="AZ176" s="1922">
        <f t="shared" si="153"/>
        <v>0</v>
      </c>
      <c r="BA176" s="1922">
        <f t="shared" si="153"/>
        <v>0</v>
      </c>
      <c r="BB176" s="1922">
        <f t="shared" si="153"/>
        <v>0</v>
      </c>
      <c r="BC176" s="1922">
        <f t="shared" si="153"/>
        <v>0</v>
      </c>
      <c r="BD176" s="1922">
        <f t="shared" si="153"/>
        <v>0</v>
      </c>
      <c r="BE176" s="1922">
        <f t="shared" si="153"/>
        <v>0</v>
      </c>
      <c r="BF176" s="1922">
        <f t="shared" si="153"/>
        <v>0</v>
      </c>
      <c r="BG176" s="1922">
        <f t="shared" si="153"/>
        <v>0</v>
      </c>
      <c r="BH176" s="1922">
        <f t="shared" si="153"/>
        <v>0</v>
      </c>
      <c r="BI176" s="1922">
        <f t="shared" si="153"/>
        <v>0</v>
      </c>
      <c r="BJ176" s="1922">
        <f t="shared" si="153"/>
        <v>0</v>
      </c>
      <c r="BK176" s="1922">
        <f t="shared" si="153"/>
        <v>0</v>
      </c>
      <c r="BL176" s="1922">
        <f t="shared" si="153"/>
        <v>0</v>
      </c>
      <c r="BM176" s="1922">
        <f t="shared" si="153"/>
        <v>0</v>
      </c>
      <c r="BN176" s="1922">
        <f t="shared" si="153"/>
        <v>0</v>
      </c>
      <c r="BO176" s="1922">
        <f t="shared" si="153"/>
        <v>0</v>
      </c>
      <c r="BP176" s="1922">
        <f t="shared" si="153"/>
        <v>0</v>
      </c>
      <c r="BQ176" s="1922">
        <f t="shared" si="153"/>
        <v>0</v>
      </c>
      <c r="BR176" s="1922">
        <f t="shared" si="153"/>
        <v>0</v>
      </c>
      <c r="BS176" s="1922">
        <f t="shared" si="153"/>
        <v>0</v>
      </c>
      <c r="BT176" s="1922">
        <f t="shared" si="153"/>
        <v>0</v>
      </c>
      <c r="BU176" s="1922">
        <f t="shared" si="153"/>
        <v>0</v>
      </c>
      <c r="BV176" s="1922">
        <f t="shared" si="153"/>
        <v>0</v>
      </c>
      <c r="BW176" s="1924">
        <f t="shared" si="153"/>
        <v>0</v>
      </c>
      <c r="BX176" s="1926"/>
      <c r="BY176" s="1926"/>
      <c r="BZ176" s="1926"/>
      <c r="CA176" s="1926"/>
      <c r="CB176" s="1926"/>
      <c r="CC176" s="1926"/>
      <c r="CD176" s="1926"/>
      <c r="CE176" s="1926"/>
      <c r="CF176" s="1926"/>
      <c r="CG176" s="1926"/>
      <c r="CH176" s="1926"/>
      <c r="CI176" s="1926"/>
      <c r="CJ176" s="1926"/>
      <c r="CK176" s="1926"/>
      <c r="CL176" s="1926"/>
      <c r="CM176" s="1926"/>
      <c r="CN176" s="1926"/>
      <c r="CO176" s="1926"/>
      <c r="CP176" s="1926"/>
      <c r="CQ176" s="1926"/>
      <c r="CR176" s="1926"/>
      <c r="CS176" s="1926"/>
      <c r="CT176" s="1926"/>
      <c r="CU176" s="1926"/>
      <c r="CV176" s="1926"/>
      <c r="CW176" s="1926"/>
      <c r="CX176" s="1926"/>
      <c r="CY176" s="1926"/>
      <c r="CZ176" s="1926"/>
      <c r="DA176" s="1926"/>
      <c r="DB176" s="1926"/>
      <c r="DC176" s="1926"/>
      <c r="DD176" s="1926"/>
      <c r="DE176" s="1926"/>
      <c r="DF176" s="1926"/>
      <c r="DG176" s="1926"/>
      <c r="DH176" s="1926"/>
      <c r="DI176" s="1926"/>
      <c r="DJ176" s="1926"/>
      <c r="DK176" s="1926"/>
      <c r="DL176" s="1926"/>
      <c r="DM176" s="1926"/>
      <c r="DN176" s="1926"/>
      <c r="DO176" s="1926"/>
      <c r="DP176" s="1926"/>
      <c r="DQ176" s="1926"/>
      <c r="DR176" s="1926"/>
      <c r="DS176" s="1926"/>
      <c r="DT176" s="1926"/>
      <c r="DU176" s="1926"/>
      <c r="DV176" s="1926"/>
      <c r="DW176" s="1926"/>
      <c r="DX176" s="1926"/>
      <c r="DY176" s="1926"/>
      <c r="DZ176" s="1926"/>
      <c r="EA176" s="1926"/>
      <c r="EB176" s="1926"/>
      <c r="EC176" s="1926"/>
      <c r="ED176" s="1926"/>
      <c r="EE176" s="1926"/>
      <c r="EF176" s="1926"/>
      <c r="EG176" s="1926"/>
      <c r="EH176" s="1926"/>
      <c r="EI176" s="1926"/>
      <c r="EJ176" s="1926"/>
      <c r="EK176" s="1926"/>
      <c r="EL176" s="1926"/>
      <c r="EM176" s="1926"/>
      <c r="EN176" s="1926"/>
      <c r="EO176" s="1926"/>
      <c r="EP176" s="1926"/>
      <c r="EQ176" s="1926"/>
      <c r="ER176" s="1926"/>
      <c r="ES176" s="1926"/>
      <c r="ET176" s="1926"/>
      <c r="EU176" s="1926"/>
      <c r="EV176" s="1926"/>
      <c r="EW176" s="1926"/>
      <c r="EX176" s="1926"/>
      <c r="EY176" s="1926"/>
      <c r="EZ176" s="1926"/>
      <c r="FA176" s="1926"/>
      <c r="FB176" s="1926"/>
      <c r="FC176" s="1926"/>
      <c r="FD176" s="1926"/>
      <c r="FE176" s="1926"/>
      <c r="FF176" s="1926"/>
      <c r="FG176" s="1926"/>
      <c r="FH176" s="1926"/>
      <c r="FI176" s="1926"/>
      <c r="FJ176" s="1926"/>
      <c r="FK176" s="1926"/>
      <c r="FL176" s="1926"/>
      <c r="FM176" s="1926"/>
      <c r="FN176" s="1926"/>
      <c r="FO176" s="1926"/>
      <c r="FP176" s="1926"/>
      <c r="FQ176" s="1926"/>
      <c r="FR176" s="1926"/>
    </row>
    <row r="177" spans="2:174" s="37" customFormat="1" ht="14.25" hidden="1" customHeight="1">
      <c r="B177" s="1921" t="s">
        <v>571</v>
      </c>
      <c r="H177" s="53"/>
      <c r="M177" s="53"/>
      <c r="O177" s="53"/>
      <c r="P177" s="53"/>
      <c r="Q177" s="53"/>
      <c r="R177" s="53"/>
      <c r="T177" s="53"/>
      <c r="U177" s="53"/>
      <c r="W177" s="53"/>
      <c r="Y177" s="53"/>
      <c r="Z177" s="53"/>
      <c r="AB177" s="53"/>
      <c r="AC177" s="53"/>
      <c r="AD177" s="53"/>
      <c r="AE177" s="53"/>
      <c r="AF177" s="53"/>
      <c r="AG177" s="53"/>
      <c r="AH177" s="53"/>
      <c r="AI177" s="53"/>
      <c r="AJ177" s="53"/>
      <c r="AK177" s="53"/>
      <c r="AL177" s="53"/>
      <c r="AM177" s="1923">
        <v>0</v>
      </c>
      <c r="AN177" s="1959">
        <f t="shared" ref="AN177:BW177" si="154">IF($U8=AN$166,1,IF(AM177&gt;0,IF(AM177&gt;=$V8*12,0, AM177+1),0))</f>
        <v>0</v>
      </c>
      <c r="AO177" s="1922">
        <f t="shared" si="154"/>
        <v>0</v>
      </c>
      <c r="AP177" s="1922">
        <f t="shared" si="154"/>
        <v>0</v>
      </c>
      <c r="AQ177" s="1922">
        <f t="shared" si="154"/>
        <v>0</v>
      </c>
      <c r="AR177" s="1922">
        <f t="shared" si="154"/>
        <v>0</v>
      </c>
      <c r="AS177" s="1922">
        <f t="shared" si="154"/>
        <v>0</v>
      </c>
      <c r="AT177" s="1922">
        <f t="shared" si="154"/>
        <v>0</v>
      </c>
      <c r="AU177" s="1922">
        <f t="shared" si="154"/>
        <v>0</v>
      </c>
      <c r="AV177" s="1922">
        <f t="shared" si="154"/>
        <v>0</v>
      </c>
      <c r="AW177" s="1922">
        <f t="shared" si="154"/>
        <v>0</v>
      </c>
      <c r="AX177" s="1922">
        <f t="shared" si="154"/>
        <v>0</v>
      </c>
      <c r="AY177" s="1922">
        <f t="shared" si="154"/>
        <v>0</v>
      </c>
      <c r="AZ177" s="1922">
        <f t="shared" si="154"/>
        <v>0</v>
      </c>
      <c r="BA177" s="1922">
        <f t="shared" si="154"/>
        <v>0</v>
      </c>
      <c r="BB177" s="1922">
        <f t="shared" si="154"/>
        <v>0</v>
      </c>
      <c r="BC177" s="1922">
        <f t="shared" si="154"/>
        <v>0</v>
      </c>
      <c r="BD177" s="1922">
        <f t="shared" si="154"/>
        <v>0</v>
      </c>
      <c r="BE177" s="1922">
        <f t="shared" si="154"/>
        <v>0</v>
      </c>
      <c r="BF177" s="1922">
        <f t="shared" si="154"/>
        <v>0</v>
      </c>
      <c r="BG177" s="1922">
        <f t="shared" si="154"/>
        <v>0</v>
      </c>
      <c r="BH177" s="1922">
        <f t="shared" si="154"/>
        <v>0</v>
      </c>
      <c r="BI177" s="1922">
        <f t="shared" si="154"/>
        <v>0</v>
      </c>
      <c r="BJ177" s="1922">
        <f t="shared" si="154"/>
        <v>0</v>
      </c>
      <c r="BK177" s="1922">
        <f t="shared" si="154"/>
        <v>0</v>
      </c>
      <c r="BL177" s="1922">
        <f t="shared" si="154"/>
        <v>0</v>
      </c>
      <c r="BM177" s="1922">
        <f t="shared" si="154"/>
        <v>0</v>
      </c>
      <c r="BN177" s="1922">
        <f t="shared" si="154"/>
        <v>0</v>
      </c>
      <c r="BO177" s="1922">
        <f t="shared" si="154"/>
        <v>0</v>
      </c>
      <c r="BP177" s="1922">
        <f t="shared" si="154"/>
        <v>0</v>
      </c>
      <c r="BQ177" s="1922">
        <f t="shared" si="154"/>
        <v>0</v>
      </c>
      <c r="BR177" s="1922">
        <f t="shared" si="154"/>
        <v>0</v>
      </c>
      <c r="BS177" s="1922">
        <f t="shared" si="154"/>
        <v>0</v>
      </c>
      <c r="BT177" s="1922">
        <f t="shared" si="154"/>
        <v>0</v>
      </c>
      <c r="BU177" s="1922">
        <f t="shared" si="154"/>
        <v>0</v>
      </c>
      <c r="BV177" s="1922">
        <f t="shared" si="154"/>
        <v>0</v>
      </c>
      <c r="BW177" s="1924">
        <f t="shared" si="154"/>
        <v>0</v>
      </c>
      <c r="BX177" s="1926"/>
      <c r="BY177" s="1926"/>
      <c r="BZ177" s="1926"/>
      <c r="CA177" s="1926"/>
      <c r="CB177" s="1926"/>
      <c r="CC177" s="1926"/>
      <c r="CD177" s="1926"/>
      <c r="CE177" s="1926"/>
      <c r="CF177" s="1926"/>
      <c r="CG177" s="1926"/>
      <c r="CH177" s="1926"/>
      <c r="CI177" s="1926"/>
      <c r="CJ177" s="1926"/>
      <c r="CK177" s="1926"/>
      <c r="CL177" s="1926"/>
      <c r="CM177" s="1926"/>
      <c r="CN177" s="1926"/>
      <c r="CO177" s="1926"/>
      <c r="CP177" s="1926"/>
      <c r="CQ177" s="1926"/>
      <c r="CR177" s="1926"/>
      <c r="CS177" s="1926"/>
      <c r="CT177" s="1926"/>
      <c r="CU177" s="1926"/>
      <c r="CV177" s="1926"/>
      <c r="CW177" s="1926"/>
      <c r="CX177" s="1926"/>
      <c r="CY177" s="1926"/>
      <c r="CZ177" s="1926"/>
      <c r="DA177" s="1926"/>
      <c r="DB177" s="1926"/>
      <c r="DC177" s="1926"/>
      <c r="DD177" s="1926"/>
      <c r="DE177" s="1926"/>
      <c r="DF177" s="1926"/>
      <c r="DG177" s="1926"/>
      <c r="DH177" s="1926"/>
      <c r="DI177" s="1926"/>
      <c r="DJ177" s="1926"/>
      <c r="DK177" s="1926"/>
      <c r="DL177" s="1926"/>
      <c r="DM177" s="1926"/>
      <c r="DN177" s="1926"/>
      <c r="DO177" s="1926"/>
      <c r="DP177" s="1926"/>
      <c r="DQ177" s="1926"/>
      <c r="DR177" s="1926"/>
      <c r="DS177" s="1926"/>
      <c r="DT177" s="1926"/>
      <c r="DU177" s="1926"/>
      <c r="DV177" s="1926"/>
      <c r="DW177" s="1926"/>
      <c r="DX177" s="1926"/>
      <c r="DY177" s="1926"/>
      <c r="DZ177" s="1926"/>
      <c r="EA177" s="1926"/>
      <c r="EB177" s="1926"/>
      <c r="EC177" s="1926"/>
      <c r="ED177" s="1926"/>
      <c r="EE177" s="1926"/>
      <c r="EF177" s="1926"/>
      <c r="EG177" s="1926"/>
      <c r="EH177" s="1926"/>
      <c r="EI177" s="1926"/>
      <c r="EJ177" s="1926"/>
      <c r="EK177" s="1926"/>
      <c r="EL177" s="1926"/>
      <c r="EM177" s="1926"/>
      <c r="EN177" s="1926"/>
      <c r="EO177" s="1926"/>
      <c r="EP177" s="1926"/>
      <c r="EQ177" s="1926"/>
      <c r="ER177" s="1926"/>
      <c r="ES177" s="1926"/>
      <c r="ET177" s="1926"/>
      <c r="EU177" s="1926"/>
      <c r="EV177" s="1926"/>
      <c r="EW177" s="1926"/>
      <c r="EX177" s="1926"/>
      <c r="EY177" s="1926"/>
      <c r="EZ177" s="1926"/>
      <c r="FA177" s="1926"/>
      <c r="FB177" s="1926"/>
      <c r="FC177" s="1926"/>
      <c r="FD177" s="1926"/>
      <c r="FE177" s="1926"/>
      <c r="FF177" s="1926"/>
      <c r="FG177" s="1926"/>
      <c r="FH177" s="1926"/>
      <c r="FI177" s="1926"/>
      <c r="FJ177" s="1926"/>
      <c r="FK177" s="1926"/>
      <c r="FL177" s="1926"/>
      <c r="FM177" s="1926"/>
      <c r="FN177" s="1926"/>
      <c r="FO177" s="1926"/>
      <c r="FP177" s="1926"/>
      <c r="FQ177" s="1926"/>
      <c r="FR177" s="1926"/>
    </row>
    <row r="178" spans="2:174" s="37" customFormat="1" ht="14.25" hidden="1" customHeight="1">
      <c r="B178" s="37" t="s">
        <v>572</v>
      </c>
      <c r="H178" s="53"/>
      <c r="M178" s="53"/>
      <c r="O178" s="53"/>
      <c r="P178" s="53"/>
      <c r="Q178" s="53"/>
      <c r="R178" s="53"/>
      <c r="T178" s="53"/>
      <c r="U178" s="53"/>
      <c r="W178" s="53"/>
      <c r="Y178" s="53"/>
      <c r="Z178" s="53"/>
      <c r="AB178" s="53"/>
      <c r="AC178" s="53"/>
      <c r="AD178" s="53"/>
      <c r="AE178" s="53"/>
      <c r="AF178" s="53"/>
      <c r="AG178" s="53"/>
      <c r="AH178" s="53"/>
      <c r="AI178" s="53"/>
      <c r="AJ178" s="53"/>
      <c r="AK178" s="53"/>
      <c r="AL178" s="53"/>
      <c r="AM178" s="1928"/>
      <c r="AN178" s="1961">
        <f t="shared" ref="AN178:BW178" si="155">IF(AN177&lt;&gt;0,IF($T8=0,0,$T8/($V8*12)),0)</f>
        <v>0</v>
      </c>
      <c r="AO178" s="1922">
        <f t="shared" si="155"/>
        <v>0</v>
      </c>
      <c r="AP178" s="1922">
        <f t="shared" si="155"/>
        <v>0</v>
      </c>
      <c r="AQ178" s="1922">
        <f t="shared" si="155"/>
        <v>0</v>
      </c>
      <c r="AR178" s="1922">
        <f t="shared" si="155"/>
        <v>0</v>
      </c>
      <c r="AS178" s="1922">
        <f t="shared" si="155"/>
        <v>0</v>
      </c>
      <c r="AT178" s="1922">
        <f t="shared" si="155"/>
        <v>0</v>
      </c>
      <c r="AU178" s="1922">
        <f t="shared" si="155"/>
        <v>0</v>
      </c>
      <c r="AV178" s="1922">
        <f t="shared" si="155"/>
        <v>0</v>
      </c>
      <c r="AW178" s="1922">
        <f t="shared" si="155"/>
        <v>0</v>
      </c>
      <c r="AX178" s="1922">
        <f t="shared" si="155"/>
        <v>0</v>
      </c>
      <c r="AY178" s="1922">
        <f t="shared" si="155"/>
        <v>0</v>
      </c>
      <c r="AZ178" s="1922">
        <f t="shared" si="155"/>
        <v>0</v>
      </c>
      <c r="BA178" s="1922">
        <f t="shared" si="155"/>
        <v>0</v>
      </c>
      <c r="BB178" s="1922">
        <f t="shared" si="155"/>
        <v>0</v>
      </c>
      <c r="BC178" s="1922">
        <f t="shared" si="155"/>
        <v>0</v>
      </c>
      <c r="BD178" s="1922">
        <f t="shared" si="155"/>
        <v>0</v>
      </c>
      <c r="BE178" s="1922">
        <f t="shared" si="155"/>
        <v>0</v>
      </c>
      <c r="BF178" s="1922">
        <f t="shared" si="155"/>
        <v>0</v>
      </c>
      <c r="BG178" s="1922">
        <f t="shared" si="155"/>
        <v>0</v>
      </c>
      <c r="BH178" s="1922">
        <f t="shared" si="155"/>
        <v>0</v>
      </c>
      <c r="BI178" s="1922">
        <f t="shared" si="155"/>
        <v>0</v>
      </c>
      <c r="BJ178" s="1922">
        <f t="shared" si="155"/>
        <v>0</v>
      </c>
      <c r="BK178" s="1922">
        <f t="shared" si="155"/>
        <v>0</v>
      </c>
      <c r="BL178" s="1922">
        <f t="shared" si="155"/>
        <v>0</v>
      </c>
      <c r="BM178" s="1922">
        <f t="shared" si="155"/>
        <v>0</v>
      </c>
      <c r="BN178" s="1922">
        <f t="shared" si="155"/>
        <v>0</v>
      </c>
      <c r="BO178" s="1922">
        <f t="shared" si="155"/>
        <v>0</v>
      </c>
      <c r="BP178" s="1922">
        <f t="shared" si="155"/>
        <v>0</v>
      </c>
      <c r="BQ178" s="1922">
        <f t="shared" si="155"/>
        <v>0</v>
      </c>
      <c r="BR178" s="1922">
        <f t="shared" si="155"/>
        <v>0</v>
      </c>
      <c r="BS178" s="1922">
        <f t="shared" si="155"/>
        <v>0</v>
      </c>
      <c r="BT178" s="1922">
        <f t="shared" si="155"/>
        <v>0</v>
      </c>
      <c r="BU178" s="1922">
        <f t="shared" si="155"/>
        <v>0</v>
      </c>
      <c r="BV178" s="1922">
        <f t="shared" si="155"/>
        <v>0</v>
      </c>
      <c r="BW178" s="1924">
        <f t="shared" si="155"/>
        <v>0</v>
      </c>
      <c r="BX178" s="1926"/>
      <c r="BY178" s="1926"/>
      <c r="BZ178" s="1926"/>
      <c r="CA178" s="1926"/>
      <c r="CB178" s="1926"/>
      <c r="CC178" s="1926"/>
      <c r="CD178" s="1926"/>
      <c r="CE178" s="1926"/>
      <c r="CF178" s="1926"/>
      <c r="CG178" s="1926"/>
      <c r="CH178" s="1926"/>
      <c r="CI178" s="1926"/>
      <c r="CJ178" s="1926"/>
      <c r="CK178" s="1926"/>
      <c r="CL178" s="1926"/>
      <c r="CM178" s="1926"/>
      <c r="CN178" s="1926"/>
      <c r="CO178" s="1926"/>
      <c r="CP178" s="1926"/>
      <c r="CQ178" s="1926"/>
      <c r="CR178" s="1926"/>
      <c r="CS178" s="1926"/>
      <c r="CT178" s="1926"/>
      <c r="CU178" s="1926"/>
      <c r="CV178" s="1926"/>
      <c r="CW178" s="1926"/>
      <c r="CX178" s="1926"/>
      <c r="CY178" s="1926"/>
      <c r="CZ178" s="1926"/>
      <c r="DA178" s="1926"/>
      <c r="DB178" s="1926"/>
      <c r="DC178" s="1926"/>
      <c r="DD178" s="1926"/>
      <c r="DE178" s="1926"/>
      <c r="DF178" s="1926"/>
      <c r="DG178" s="1926"/>
      <c r="DH178" s="1926"/>
      <c r="DI178" s="1926"/>
      <c r="DJ178" s="1926"/>
      <c r="DK178" s="1926"/>
      <c r="DL178" s="1926"/>
      <c r="DM178" s="1926"/>
      <c r="DN178" s="1926"/>
      <c r="DO178" s="1926"/>
      <c r="DP178" s="1926"/>
      <c r="DQ178" s="1926"/>
      <c r="DR178" s="1926"/>
      <c r="DS178" s="1926"/>
      <c r="DT178" s="1926"/>
      <c r="DU178" s="1926"/>
      <c r="DV178" s="1926"/>
      <c r="DW178" s="1926"/>
      <c r="DX178" s="1926"/>
      <c r="DY178" s="1926"/>
      <c r="DZ178" s="1926"/>
      <c r="EA178" s="1926"/>
      <c r="EB178" s="1926"/>
      <c r="EC178" s="1926"/>
      <c r="ED178" s="1926"/>
      <c r="EE178" s="1926"/>
      <c r="EF178" s="1926"/>
      <c r="EG178" s="1926"/>
      <c r="EH178" s="1926"/>
      <c r="EI178" s="1926"/>
      <c r="EJ178" s="1926"/>
      <c r="EK178" s="1926"/>
      <c r="EL178" s="1926"/>
      <c r="EM178" s="1926"/>
      <c r="EN178" s="1926"/>
      <c r="EO178" s="1926"/>
      <c r="EP178" s="1926"/>
      <c r="EQ178" s="1926"/>
      <c r="ER178" s="1926"/>
      <c r="ES178" s="1926"/>
      <c r="ET178" s="1926"/>
      <c r="EU178" s="1926"/>
      <c r="EV178" s="1926"/>
      <c r="EW178" s="1926"/>
      <c r="EX178" s="1926"/>
      <c r="EY178" s="1926"/>
      <c r="EZ178" s="1926"/>
      <c r="FA178" s="1926"/>
      <c r="FB178" s="1926"/>
      <c r="FC178" s="1926"/>
      <c r="FD178" s="1926"/>
      <c r="FE178" s="1926"/>
      <c r="FF178" s="1926"/>
      <c r="FG178" s="1926"/>
      <c r="FH178" s="1926"/>
      <c r="FI178" s="1926"/>
      <c r="FJ178" s="1926"/>
      <c r="FK178" s="1926"/>
      <c r="FL178" s="1926"/>
      <c r="FM178" s="1926"/>
      <c r="FN178" s="1926"/>
      <c r="FO178" s="1926"/>
      <c r="FP178" s="1926"/>
      <c r="FQ178" s="1926"/>
      <c r="FR178" s="1926"/>
    </row>
    <row r="179" spans="2:174" s="37" customFormat="1" ht="14.25" hidden="1" customHeight="1">
      <c r="B179" s="37" t="s">
        <v>570</v>
      </c>
      <c r="H179" s="53"/>
      <c r="M179" s="53"/>
      <c r="O179" s="53"/>
      <c r="P179" s="53"/>
      <c r="Q179" s="53"/>
      <c r="R179" s="53"/>
      <c r="T179" s="53"/>
      <c r="U179" s="53"/>
      <c r="W179" s="53"/>
      <c r="Y179" s="53"/>
      <c r="Z179" s="53"/>
      <c r="AB179" s="53"/>
      <c r="AC179" s="53"/>
      <c r="AD179" s="53"/>
      <c r="AE179" s="53"/>
      <c r="AF179" s="53"/>
      <c r="AG179" s="53"/>
      <c r="AH179" s="53"/>
      <c r="AI179" s="53"/>
      <c r="AJ179" s="53"/>
      <c r="AK179" s="53"/>
      <c r="AL179" s="53"/>
      <c r="AM179" s="1923"/>
      <c r="AN179" s="1959">
        <f t="shared" ref="AN179:BW179" si="156">IF($U9=AN$166,$T9,0)</f>
        <v>0</v>
      </c>
      <c r="AO179" s="1923">
        <f t="shared" si="156"/>
        <v>0</v>
      </c>
      <c r="AP179" s="1923">
        <f t="shared" si="156"/>
        <v>0</v>
      </c>
      <c r="AQ179" s="1923">
        <f t="shared" si="156"/>
        <v>0</v>
      </c>
      <c r="AR179" s="1923">
        <f t="shared" si="156"/>
        <v>0</v>
      </c>
      <c r="AS179" s="1923">
        <f t="shared" si="156"/>
        <v>0</v>
      </c>
      <c r="AT179" s="1923">
        <f t="shared" si="156"/>
        <v>0</v>
      </c>
      <c r="AU179" s="1923">
        <f t="shared" si="156"/>
        <v>0</v>
      </c>
      <c r="AV179" s="1923">
        <f t="shared" si="156"/>
        <v>0</v>
      </c>
      <c r="AW179" s="1923">
        <f t="shared" si="156"/>
        <v>0</v>
      </c>
      <c r="AX179" s="1923">
        <f t="shared" si="156"/>
        <v>0</v>
      </c>
      <c r="AY179" s="1923">
        <f t="shared" si="156"/>
        <v>0</v>
      </c>
      <c r="AZ179" s="1923">
        <f t="shared" si="156"/>
        <v>0</v>
      </c>
      <c r="BA179" s="1923">
        <f t="shared" si="156"/>
        <v>0</v>
      </c>
      <c r="BB179" s="1923">
        <f t="shared" si="156"/>
        <v>0</v>
      </c>
      <c r="BC179" s="1923">
        <f t="shared" si="156"/>
        <v>0</v>
      </c>
      <c r="BD179" s="1923">
        <f t="shared" si="156"/>
        <v>0</v>
      </c>
      <c r="BE179" s="1923">
        <f t="shared" si="156"/>
        <v>0</v>
      </c>
      <c r="BF179" s="1923">
        <f t="shared" si="156"/>
        <v>0</v>
      </c>
      <c r="BG179" s="1923">
        <f t="shared" si="156"/>
        <v>0</v>
      </c>
      <c r="BH179" s="1923">
        <f t="shared" si="156"/>
        <v>0</v>
      </c>
      <c r="BI179" s="1923">
        <f t="shared" si="156"/>
        <v>0</v>
      </c>
      <c r="BJ179" s="1923">
        <f t="shared" si="156"/>
        <v>0</v>
      </c>
      <c r="BK179" s="1923">
        <f t="shared" si="156"/>
        <v>0</v>
      </c>
      <c r="BL179" s="1923">
        <f t="shared" si="156"/>
        <v>0</v>
      </c>
      <c r="BM179" s="1923">
        <f t="shared" si="156"/>
        <v>0</v>
      </c>
      <c r="BN179" s="1923">
        <f t="shared" si="156"/>
        <v>0</v>
      </c>
      <c r="BO179" s="1923">
        <f t="shared" si="156"/>
        <v>0</v>
      </c>
      <c r="BP179" s="1923">
        <f t="shared" si="156"/>
        <v>0</v>
      </c>
      <c r="BQ179" s="1923">
        <f t="shared" si="156"/>
        <v>0</v>
      </c>
      <c r="BR179" s="1923">
        <f t="shared" si="156"/>
        <v>0</v>
      </c>
      <c r="BS179" s="1923">
        <f t="shared" si="156"/>
        <v>0</v>
      </c>
      <c r="BT179" s="1923">
        <f t="shared" si="156"/>
        <v>0</v>
      </c>
      <c r="BU179" s="1923">
        <f t="shared" si="156"/>
        <v>0</v>
      </c>
      <c r="BV179" s="1923">
        <f t="shared" si="156"/>
        <v>0</v>
      </c>
      <c r="BW179" s="1931">
        <f t="shared" si="156"/>
        <v>0</v>
      </c>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c r="DK179" s="54"/>
      <c r="DL179" s="54"/>
      <c r="DM179" s="54"/>
      <c r="DN179" s="54"/>
      <c r="DO179" s="54"/>
      <c r="DP179" s="54"/>
      <c r="DQ179" s="54"/>
      <c r="DR179" s="54"/>
      <c r="DS179" s="54"/>
      <c r="DT179" s="54"/>
      <c r="DU179" s="54"/>
      <c r="DV179" s="54"/>
      <c r="DW179" s="54"/>
      <c r="DX179" s="54"/>
      <c r="DY179" s="54"/>
      <c r="DZ179" s="54"/>
      <c r="EA179" s="54"/>
      <c r="EB179" s="54"/>
      <c r="EC179" s="54"/>
      <c r="ED179" s="54"/>
      <c r="EE179" s="54"/>
      <c r="EF179" s="54"/>
      <c r="EG179" s="54"/>
      <c r="EH179" s="54"/>
      <c r="EI179" s="54"/>
      <c r="EJ179" s="54"/>
      <c r="EK179" s="54"/>
      <c r="EL179" s="54"/>
      <c r="EM179" s="54"/>
      <c r="EN179" s="54"/>
      <c r="EO179" s="54"/>
      <c r="EP179" s="54"/>
      <c r="EQ179" s="54"/>
      <c r="ER179" s="54"/>
      <c r="ES179" s="54"/>
      <c r="ET179" s="54"/>
      <c r="EU179" s="54"/>
      <c r="EV179" s="54"/>
      <c r="EW179" s="54"/>
      <c r="EX179" s="54"/>
      <c r="EY179" s="54"/>
      <c r="EZ179" s="54"/>
      <c r="FA179" s="54"/>
      <c r="FB179" s="54"/>
      <c r="FC179" s="54"/>
      <c r="FD179" s="54"/>
      <c r="FE179" s="54"/>
      <c r="FF179" s="54"/>
      <c r="FG179" s="54"/>
      <c r="FH179" s="54"/>
      <c r="FI179" s="54"/>
      <c r="FJ179" s="54"/>
      <c r="FK179" s="54"/>
      <c r="FL179" s="54"/>
      <c r="FM179" s="54"/>
      <c r="FN179" s="54"/>
      <c r="FO179" s="54"/>
      <c r="FP179" s="54"/>
      <c r="FQ179" s="54"/>
      <c r="FR179" s="54"/>
    </row>
    <row r="180" spans="2:174" s="37" customFormat="1" ht="15" hidden="1" customHeight="1">
      <c r="B180" s="1921" t="s">
        <v>571</v>
      </c>
      <c r="H180" s="53"/>
      <c r="M180" s="53"/>
      <c r="O180" s="53"/>
      <c r="P180" s="53"/>
      <c r="Q180" s="53"/>
      <c r="R180" s="53"/>
      <c r="T180" s="53"/>
      <c r="U180" s="53"/>
      <c r="W180" s="53"/>
      <c r="Y180" s="53"/>
      <c r="Z180" s="53"/>
      <c r="AB180" s="53"/>
      <c r="AC180" s="53"/>
      <c r="AD180" s="53"/>
      <c r="AE180" s="53"/>
      <c r="AF180" s="53"/>
      <c r="AG180" s="53"/>
      <c r="AH180" s="53"/>
      <c r="AI180" s="53"/>
      <c r="AJ180" s="53"/>
      <c r="AK180" s="53"/>
      <c r="AL180" s="53"/>
      <c r="AM180" s="1923">
        <v>0</v>
      </c>
      <c r="AN180" s="1959">
        <f t="shared" ref="AN180:BW180" si="157">IF($U10=AN$166,1,IF(AM180&gt;0,IF(AM180&gt;=$V10*12,0, AM180+1),0))</f>
        <v>1</v>
      </c>
      <c r="AO180" s="1922">
        <f t="shared" si="157"/>
        <v>2</v>
      </c>
      <c r="AP180" s="1922">
        <f t="shared" si="157"/>
        <v>3</v>
      </c>
      <c r="AQ180" s="1922">
        <f t="shared" si="157"/>
        <v>4</v>
      </c>
      <c r="AR180" s="1922">
        <f t="shared" si="157"/>
        <v>5</v>
      </c>
      <c r="AS180" s="1922">
        <f t="shared" si="157"/>
        <v>6</v>
      </c>
      <c r="AT180" s="1922">
        <f t="shared" si="157"/>
        <v>7</v>
      </c>
      <c r="AU180" s="1922">
        <f t="shared" si="157"/>
        <v>8</v>
      </c>
      <c r="AV180" s="1922">
        <f t="shared" si="157"/>
        <v>9</v>
      </c>
      <c r="AW180" s="1922">
        <f t="shared" si="157"/>
        <v>10</v>
      </c>
      <c r="AX180" s="1922">
        <f t="shared" si="157"/>
        <v>11</v>
      </c>
      <c r="AY180" s="1922">
        <f t="shared" si="157"/>
        <v>12</v>
      </c>
      <c r="AZ180" s="1922">
        <f t="shared" si="157"/>
        <v>13</v>
      </c>
      <c r="BA180" s="1922">
        <f t="shared" si="157"/>
        <v>14</v>
      </c>
      <c r="BB180" s="1922">
        <f t="shared" si="157"/>
        <v>15</v>
      </c>
      <c r="BC180" s="1922">
        <f t="shared" si="157"/>
        <v>16</v>
      </c>
      <c r="BD180" s="1922">
        <f t="shared" si="157"/>
        <v>17</v>
      </c>
      <c r="BE180" s="1922">
        <f t="shared" si="157"/>
        <v>18</v>
      </c>
      <c r="BF180" s="1922">
        <f t="shared" si="157"/>
        <v>19</v>
      </c>
      <c r="BG180" s="1922">
        <f t="shared" si="157"/>
        <v>20</v>
      </c>
      <c r="BH180" s="1922">
        <f t="shared" si="157"/>
        <v>21</v>
      </c>
      <c r="BI180" s="1922">
        <f t="shared" si="157"/>
        <v>22</v>
      </c>
      <c r="BJ180" s="1922">
        <f t="shared" si="157"/>
        <v>23</v>
      </c>
      <c r="BK180" s="1922">
        <f t="shared" si="157"/>
        <v>24</v>
      </c>
      <c r="BL180" s="1922">
        <f t="shared" si="157"/>
        <v>25</v>
      </c>
      <c r="BM180" s="1922">
        <f t="shared" si="157"/>
        <v>26</v>
      </c>
      <c r="BN180" s="1922">
        <f t="shared" si="157"/>
        <v>27</v>
      </c>
      <c r="BO180" s="1922">
        <f t="shared" si="157"/>
        <v>28</v>
      </c>
      <c r="BP180" s="1922">
        <f t="shared" si="157"/>
        <v>29</v>
      </c>
      <c r="BQ180" s="1922">
        <f t="shared" si="157"/>
        <v>30</v>
      </c>
      <c r="BR180" s="1922">
        <f t="shared" si="157"/>
        <v>31</v>
      </c>
      <c r="BS180" s="1922">
        <f t="shared" si="157"/>
        <v>32</v>
      </c>
      <c r="BT180" s="1922">
        <f t="shared" si="157"/>
        <v>33</v>
      </c>
      <c r="BU180" s="1922">
        <f t="shared" si="157"/>
        <v>34</v>
      </c>
      <c r="BV180" s="1922">
        <f t="shared" si="157"/>
        <v>35</v>
      </c>
      <c r="BW180" s="1924">
        <f t="shared" si="157"/>
        <v>36</v>
      </c>
      <c r="BX180" s="1926"/>
      <c r="BY180" s="1926"/>
      <c r="BZ180" s="1926"/>
      <c r="CA180" s="1926"/>
      <c r="CB180" s="1926"/>
      <c r="CC180" s="1926"/>
      <c r="CD180" s="1926"/>
      <c r="CE180" s="1926"/>
      <c r="CF180" s="1926"/>
      <c r="CG180" s="1926"/>
      <c r="CH180" s="1926"/>
      <c r="CI180" s="1926"/>
      <c r="CJ180" s="1926"/>
      <c r="CK180" s="1926"/>
      <c r="CL180" s="1926"/>
      <c r="CM180" s="1926"/>
      <c r="CN180" s="1926"/>
      <c r="CO180" s="1926"/>
      <c r="CP180" s="1926"/>
      <c r="CQ180" s="1926"/>
      <c r="CR180" s="1926"/>
      <c r="CS180" s="1926"/>
      <c r="CT180" s="1926"/>
      <c r="CU180" s="1926"/>
      <c r="CV180" s="1926"/>
      <c r="CW180" s="1926"/>
      <c r="CX180" s="1926"/>
      <c r="CY180" s="1926"/>
      <c r="CZ180" s="1926"/>
      <c r="DA180" s="1926"/>
      <c r="DB180" s="1926"/>
      <c r="DC180" s="1926"/>
      <c r="DD180" s="1926"/>
      <c r="DE180" s="1926"/>
      <c r="DF180" s="1926"/>
      <c r="DG180" s="1926"/>
      <c r="DH180" s="1926"/>
      <c r="DI180" s="1926"/>
      <c r="DJ180" s="1926"/>
      <c r="DK180" s="1926"/>
      <c r="DL180" s="1926"/>
      <c r="DM180" s="1926"/>
      <c r="DN180" s="1926"/>
      <c r="DO180" s="1926"/>
      <c r="DP180" s="1926"/>
      <c r="DQ180" s="1926"/>
      <c r="DR180" s="1926"/>
      <c r="DS180" s="1926"/>
      <c r="DT180" s="1926"/>
      <c r="DU180" s="1926"/>
      <c r="DV180" s="1926"/>
      <c r="DW180" s="1926"/>
      <c r="DX180" s="1926"/>
      <c r="DY180" s="1926"/>
      <c r="DZ180" s="1926"/>
      <c r="EA180" s="1926"/>
      <c r="EB180" s="1926"/>
      <c r="EC180" s="1926"/>
      <c r="ED180" s="1926"/>
      <c r="EE180" s="1926"/>
      <c r="EF180" s="1926"/>
      <c r="EG180" s="1926"/>
      <c r="EH180" s="1926"/>
      <c r="EI180" s="1926"/>
      <c r="EJ180" s="1926"/>
      <c r="EK180" s="1926"/>
      <c r="EL180" s="1926"/>
      <c r="EM180" s="1926"/>
      <c r="EN180" s="1926"/>
      <c r="EO180" s="1926"/>
      <c r="EP180" s="1926"/>
      <c r="EQ180" s="1926"/>
      <c r="ER180" s="1926"/>
      <c r="ES180" s="1926"/>
      <c r="ET180" s="1926"/>
      <c r="EU180" s="1926"/>
      <c r="EV180" s="1926"/>
      <c r="EW180" s="1926"/>
      <c r="EX180" s="1926"/>
      <c r="EY180" s="1926"/>
      <c r="EZ180" s="1926"/>
      <c r="FA180" s="1926"/>
      <c r="FB180" s="1926"/>
      <c r="FC180" s="1926"/>
      <c r="FD180" s="1926"/>
      <c r="FE180" s="1926"/>
      <c r="FF180" s="1926"/>
      <c r="FG180" s="1926"/>
      <c r="FH180" s="1926"/>
      <c r="FI180" s="1926"/>
      <c r="FJ180" s="1926"/>
      <c r="FK180" s="1926"/>
      <c r="FL180" s="1926"/>
      <c r="FM180" s="1926"/>
      <c r="FN180" s="1926"/>
      <c r="FO180" s="1926"/>
      <c r="FP180" s="1926"/>
      <c r="FQ180" s="1926"/>
      <c r="FR180" s="1926"/>
    </row>
    <row r="181" spans="2:174" s="37" customFormat="1" ht="14.25" hidden="1" customHeight="1">
      <c r="B181" s="37" t="s">
        <v>572</v>
      </c>
      <c r="H181" s="53"/>
      <c r="M181" s="53"/>
      <c r="O181" s="53"/>
      <c r="P181" s="53"/>
      <c r="Q181" s="53"/>
      <c r="R181" s="53"/>
      <c r="T181" s="53"/>
      <c r="U181" s="53"/>
      <c r="W181" s="53"/>
      <c r="Y181" s="53"/>
      <c r="Z181" s="53"/>
      <c r="AB181" s="53"/>
      <c r="AC181" s="53"/>
      <c r="AD181" s="53"/>
      <c r="AE181" s="53"/>
      <c r="AF181" s="53"/>
      <c r="AG181" s="53"/>
      <c r="AH181" s="53"/>
      <c r="AI181" s="53"/>
      <c r="AJ181" s="53"/>
      <c r="AK181" s="53"/>
      <c r="AL181" s="53"/>
      <c r="AM181" s="1928"/>
      <c r="AN181" s="1922">
        <f>IF(AN180&lt;&gt;0,IF($T9=0,0,$T9/($V9*12)),0)</f>
        <v>0</v>
      </c>
      <c r="AO181" s="1922">
        <f t="shared" ref="AO181:BW181" si="158">IF(AO180&lt;&gt;0,IF($T9=0,0,$T9/($V9*12)),0)</f>
        <v>0</v>
      </c>
      <c r="AP181" s="1922">
        <f t="shared" si="158"/>
        <v>0</v>
      </c>
      <c r="AQ181" s="1922">
        <f t="shared" si="158"/>
        <v>0</v>
      </c>
      <c r="AR181" s="1922">
        <f t="shared" si="158"/>
        <v>0</v>
      </c>
      <c r="AS181" s="1922">
        <f t="shared" si="158"/>
        <v>0</v>
      </c>
      <c r="AT181" s="1922">
        <f t="shared" si="158"/>
        <v>0</v>
      </c>
      <c r="AU181" s="1922">
        <f t="shared" si="158"/>
        <v>0</v>
      </c>
      <c r="AV181" s="1922">
        <f t="shared" si="158"/>
        <v>0</v>
      </c>
      <c r="AW181" s="1922">
        <f t="shared" si="158"/>
        <v>0</v>
      </c>
      <c r="AX181" s="1922">
        <f t="shared" si="158"/>
        <v>0</v>
      </c>
      <c r="AY181" s="1922">
        <f t="shared" si="158"/>
        <v>0</v>
      </c>
      <c r="AZ181" s="1922">
        <f t="shared" si="158"/>
        <v>0</v>
      </c>
      <c r="BA181" s="1922">
        <f t="shared" si="158"/>
        <v>0</v>
      </c>
      <c r="BB181" s="1922">
        <f t="shared" si="158"/>
        <v>0</v>
      </c>
      <c r="BC181" s="1922">
        <f t="shared" si="158"/>
        <v>0</v>
      </c>
      <c r="BD181" s="1922">
        <f t="shared" si="158"/>
        <v>0</v>
      </c>
      <c r="BE181" s="1922">
        <f t="shared" si="158"/>
        <v>0</v>
      </c>
      <c r="BF181" s="1922">
        <f t="shared" si="158"/>
        <v>0</v>
      </c>
      <c r="BG181" s="1922">
        <f t="shared" si="158"/>
        <v>0</v>
      </c>
      <c r="BH181" s="1922">
        <f t="shared" si="158"/>
        <v>0</v>
      </c>
      <c r="BI181" s="1922">
        <f t="shared" si="158"/>
        <v>0</v>
      </c>
      <c r="BJ181" s="1922">
        <f t="shared" si="158"/>
        <v>0</v>
      </c>
      <c r="BK181" s="1922">
        <f t="shared" si="158"/>
        <v>0</v>
      </c>
      <c r="BL181" s="1922">
        <f t="shared" si="158"/>
        <v>0</v>
      </c>
      <c r="BM181" s="1922">
        <f t="shared" si="158"/>
        <v>0</v>
      </c>
      <c r="BN181" s="1922">
        <f t="shared" si="158"/>
        <v>0</v>
      </c>
      <c r="BO181" s="1922">
        <f t="shared" si="158"/>
        <v>0</v>
      </c>
      <c r="BP181" s="1922">
        <f t="shared" si="158"/>
        <v>0</v>
      </c>
      <c r="BQ181" s="1922">
        <f t="shared" si="158"/>
        <v>0</v>
      </c>
      <c r="BR181" s="1922">
        <f t="shared" si="158"/>
        <v>0</v>
      </c>
      <c r="BS181" s="1922">
        <f t="shared" si="158"/>
        <v>0</v>
      </c>
      <c r="BT181" s="1922">
        <f t="shared" si="158"/>
        <v>0</v>
      </c>
      <c r="BU181" s="1922">
        <f t="shared" si="158"/>
        <v>0</v>
      </c>
      <c r="BV181" s="1922">
        <f t="shared" si="158"/>
        <v>0</v>
      </c>
      <c r="BW181" s="1922">
        <f t="shared" si="158"/>
        <v>0</v>
      </c>
      <c r="BX181" s="1926"/>
      <c r="BY181" s="1926"/>
      <c r="BZ181" s="1926"/>
      <c r="CA181" s="1926"/>
      <c r="CB181" s="1926"/>
      <c r="CC181" s="1926"/>
      <c r="CD181" s="1926"/>
      <c r="CE181" s="1926"/>
      <c r="CF181" s="1926"/>
      <c r="CG181" s="1926"/>
      <c r="CH181" s="1926"/>
      <c r="CI181" s="1926"/>
      <c r="CJ181" s="1926"/>
      <c r="CK181" s="1926"/>
      <c r="CL181" s="1926"/>
      <c r="CM181" s="1926"/>
      <c r="CN181" s="1926"/>
      <c r="CO181" s="1926"/>
      <c r="CP181" s="1926"/>
      <c r="CQ181" s="1926"/>
      <c r="CR181" s="1926"/>
      <c r="CS181" s="1926"/>
      <c r="CT181" s="1926"/>
      <c r="CU181" s="1926"/>
      <c r="CV181" s="1926"/>
      <c r="CW181" s="1926"/>
      <c r="CX181" s="1926"/>
      <c r="CY181" s="1926"/>
      <c r="CZ181" s="1926"/>
      <c r="DA181" s="1926"/>
      <c r="DB181" s="1926"/>
      <c r="DC181" s="1926"/>
      <c r="DD181" s="1926"/>
      <c r="DE181" s="1926"/>
      <c r="DF181" s="1926"/>
      <c r="DG181" s="1926"/>
      <c r="DH181" s="1926"/>
      <c r="DI181" s="1926"/>
      <c r="DJ181" s="1926"/>
      <c r="DK181" s="1926"/>
      <c r="DL181" s="1926"/>
      <c r="DM181" s="1926"/>
      <c r="DN181" s="1926"/>
      <c r="DO181" s="1926"/>
      <c r="DP181" s="1926"/>
      <c r="DQ181" s="1926"/>
      <c r="DR181" s="1926"/>
      <c r="DS181" s="1926"/>
      <c r="DT181" s="1926"/>
      <c r="DU181" s="1926"/>
      <c r="DV181" s="1926"/>
      <c r="DW181" s="1926"/>
      <c r="DX181" s="1926"/>
      <c r="DY181" s="1926"/>
      <c r="DZ181" s="1926"/>
      <c r="EA181" s="1926"/>
      <c r="EB181" s="1926"/>
      <c r="EC181" s="1926"/>
      <c r="ED181" s="1926"/>
      <c r="EE181" s="1926"/>
      <c r="EF181" s="1926"/>
      <c r="EG181" s="1926"/>
      <c r="EH181" s="1926"/>
      <c r="EI181" s="1926"/>
      <c r="EJ181" s="1926"/>
      <c r="EK181" s="1926"/>
      <c r="EL181" s="1926"/>
      <c r="EM181" s="1926"/>
      <c r="EN181" s="1926"/>
      <c r="EO181" s="1926"/>
      <c r="EP181" s="1926"/>
      <c r="EQ181" s="1926"/>
      <c r="ER181" s="1926"/>
      <c r="ES181" s="1926"/>
      <c r="ET181" s="1926"/>
      <c r="EU181" s="1926"/>
      <c r="EV181" s="1926"/>
      <c r="EW181" s="1926"/>
      <c r="EX181" s="1926"/>
      <c r="EY181" s="1926"/>
      <c r="EZ181" s="1926"/>
      <c r="FA181" s="1926"/>
      <c r="FB181" s="1926"/>
      <c r="FC181" s="1926"/>
      <c r="FD181" s="1926"/>
      <c r="FE181" s="1926"/>
      <c r="FF181" s="1926"/>
      <c r="FG181" s="1926"/>
      <c r="FH181" s="1926"/>
      <c r="FI181" s="1926"/>
      <c r="FJ181" s="1926"/>
      <c r="FK181" s="1926"/>
      <c r="FL181" s="1926"/>
      <c r="FM181" s="1926"/>
      <c r="FN181" s="1926"/>
      <c r="FO181" s="1926"/>
      <c r="FP181" s="1926"/>
      <c r="FQ181" s="1926"/>
      <c r="FR181" s="1926"/>
    </row>
    <row r="182" spans="2:174" s="37" customFormat="1" ht="14.25" hidden="1" customHeight="1">
      <c r="B182" s="37" t="s">
        <v>573</v>
      </c>
      <c r="H182" s="53"/>
      <c r="M182" s="53"/>
      <c r="O182" s="53"/>
      <c r="P182" s="53"/>
      <c r="Q182" s="53"/>
      <c r="R182" s="53"/>
      <c r="T182" s="53"/>
      <c r="U182" s="53"/>
      <c r="W182" s="53"/>
      <c r="Y182" s="53"/>
      <c r="Z182" s="53"/>
      <c r="AB182" s="53"/>
      <c r="AC182" s="53"/>
      <c r="AD182" s="53"/>
      <c r="AE182" s="53"/>
      <c r="AF182" s="53"/>
      <c r="AG182" s="53"/>
      <c r="AH182" s="53"/>
      <c r="AI182" s="53"/>
      <c r="AJ182" s="53"/>
      <c r="AK182" s="53"/>
      <c r="AL182" s="53"/>
      <c r="AM182" s="1923"/>
      <c r="AN182" s="1959">
        <f t="shared" ref="AN182:BW182" ca="1" si="159">IF($U10=AN$166,$T10,0)</f>
        <v>0</v>
      </c>
      <c r="AO182" s="1923">
        <f t="shared" si="159"/>
        <v>0</v>
      </c>
      <c r="AP182" s="1923">
        <f t="shared" si="159"/>
        <v>0</v>
      </c>
      <c r="AQ182" s="1923">
        <f t="shared" si="159"/>
        <v>0</v>
      </c>
      <c r="AR182" s="1923">
        <f t="shared" si="159"/>
        <v>0</v>
      </c>
      <c r="AS182" s="1923">
        <f t="shared" si="159"/>
        <v>0</v>
      </c>
      <c r="AT182" s="1923">
        <f t="shared" si="159"/>
        <v>0</v>
      </c>
      <c r="AU182" s="1923">
        <f t="shared" si="159"/>
        <v>0</v>
      </c>
      <c r="AV182" s="1923">
        <f t="shared" si="159"/>
        <v>0</v>
      </c>
      <c r="AW182" s="1923">
        <f t="shared" si="159"/>
        <v>0</v>
      </c>
      <c r="AX182" s="1923">
        <f t="shared" si="159"/>
        <v>0</v>
      </c>
      <c r="AY182" s="1923">
        <f t="shared" si="159"/>
        <v>0</v>
      </c>
      <c r="AZ182" s="1923">
        <f t="shared" si="159"/>
        <v>0</v>
      </c>
      <c r="BA182" s="1923">
        <f t="shared" si="159"/>
        <v>0</v>
      </c>
      <c r="BB182" s="1923">
        <f t="shared" si="159"/>
        <v>0</v>
      </c>
      <c r="BC182" s="1923">
        <f t="shared" si="159"/>
        <v>0</v>
      </c>
      <c r="BD182" s="1923">
        <f t="shared" si="159"/>
        <v>0</v>
      </c>
      <c r="BE182" s="1923">
        <f t="shared" si="159"/>
        <v>0</v>
      </c>
      <c r="BF182" s="1923">
        <f t="shared" si="159"/>
        <v>0</v>
      </c>
      <c r="BG182" s="1923">
        <f t="shared" si="159"/>
        <v>0</v>
      </c>
      <c r="BH182" s="1923">
        <f t="shared" si="159"/>
        <v>0</v>
      </c>
      <c r="BI182" s="1923">
        <f t="shared" si="159"/>
        <v>0</v>
      </c>
      <c r="BJ182" s="1923">
        <f t="shared" si="159"/>
        <v>0</v>
      </c>
      <c r="BK182" s="1923">
        <f t="shared" si="159"/>
        <v>0</v>
      </c>
      <c r="BL182" s="1923">
        <f t="shared" si="159"/>
        <v>0</v>
      </c>
      <c r="BM182" s="1923">
        <f t="shared" si="159"/>
        <v>0</v>
      </c>
      <c r="BN182" s="1923">
        <f t="shared" si="159"/>
        <v>0</v>
      </c>
      <c r="BO182" s="1923">
        <f t="shared" si="159"/>
        <v>0</v>
      </c>
      <c r="BP182" s="1923">
        <f t="shared" si="159"/>
        <v>0</v>
      </c>
      <c r="BQ182" s="1923">
        <f t="shared" si="159"/>
        <v>0</v>
      </c>
      <c r="BR182" s="1923">
        <f t="shared" si="159"/>
        <v>0</v>
      </c>
      <c r="BS182" s="1923">
        <f t="shared" si="159"/>
        <v>0</v>
      </c>
      <c r="BT182" s="1923">
        <f t="shared" si="159"/>
        <v>0</v>
      </c>
      <c r="BU182" s="1923">
        <f t="shared" si="159"/>
        <v>0</v>
      </c>
      <c r="BV182" s="1923">
        <f t="shared" si="159"/>
        <v>0</v>
      </c>
      <c r="BW182" s="1931">
        <f t="shared" si="159"/>
        <v>0</v>
      </c>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c r="DK182" s="54"/>
      <c r="DL182" s="54"/>
      <c r="DM182" s="54"/>
      <c r="DN182" s="54"/>
      <c r="DO182" s="54"/>
      <c r="DP182" s="54"/>
      <c r="DQ182" s="54"/>
      <c r="DR182" s="54"/>
      <c r="DS182" s="54"/>
      <c r="DT182" s="54"/>
      <c r="DU182" s="54"/>
      <c r="DV182" s="54"/>
      <c r="DW182" s="54"/>
      <c r="DX182" s="54"/>
      <c r="DY182" s="54"/>
      <c r="DZ182" s="54"/>
      <c r="EA182" s="54"/>
      <c r="EB182" s="54"/>
      <c r="EC182" s="54"/>
      <c r="ED182" s="54"/>
      <c r="EE182" s="54"/>
      <c r="EF182" s="54"/>
      <c r="EG182" s="54"/>
      <c r="EH182" s="54"/>
      <c r="EI182" s="54"/>
      <c r="EJ182" s="54"/>
      <c r="EK182" s="54"/>
      <c r="EL182" s="54"/>
      <c r="EM182" s="54"/>
      <c r="EN182" s="54"/>
      <c r="EO182" s="54"/>
      <c r="EP182" s="54"/>
      <c r="EQ182" s="54"/>
      <c r="ER182" s="54"/>
      <c r="ES182" s="54"/>
      <c r="ET182" s="54"/>
      <c r="EU182" s="54"/>
      <c r="EV182" s="54"/>
      <c r="EW182" s="54"/>
      <c r="EX182" s="54"/>
      <c r="EY182" s="54"/>
      <c r="EZ182" s="54"/>
      <c r="FA182" s="54"/>
      <c r="FB182" s="54"/>
      <c r="FC182" s="54"/>
      <c r="FD182" s="54"/>
      <c r="FE182" s="54"/>
      <c r="FF182" s="54"/>
      <c r="FG182" s="54"/>
      <c r="FH182" s="54"/>
      <c r="FI182" s="54"/>
      <c r="FJ182" s="54"/>
      <c r="FK182" s="54"/>
      <c r="FL182" s="54"/>
      <c r="FM182" s="54"/>
      <c r="FN182" s="54"/>
      <c r="FO182" s="54"/>
      <c r="FP182" s="54"/>
      <c r="FQ182" s="54"/>
      <c r="FR182" s="54"/>
    </row>
    <row r="183" spans="2:174" s="37" customFormat="1" ht="14.25" hidden="1" customHeight="1">
      <c r="B183" s="1921" t="s">
        <v>571</v>
      </c>
      <c r="H183" s="53"/>
      <c r="M183" s="53"/>
      <c r="O183" s="53"/>
      <c r="P183" s="53"/>
      <c r="Q183" s="53"/>
      <c r="R183" s="53"/>
      <c r="T183" s="53"/>
      <c r="U183" s="53"/>
      <c r="W183" s="53"/>
      <c r="Y183" s="53"/>
      <c r="Z183" s="53"/>
      <c r="AB183" s="53"/>
      <c r="AC183" s="53"/>
      <c r="AD183" s="53"/>
      <c r="AE183" s="53"/>
      <c r="AF183" s="53"/>
      <c r="AG183" s="53"/>
      <c r="AH183" s="53"/>
      <c r="AI183" s="53"/>
      <c r="AJ183" s="53"/>
      <c r="AK183" s="53"/>
      <c r="AL183" s="53"/>
      <c r="AM183" s="1923">
        <v>0</v>
      </c>
      <c r="AN183" s="1959">
        <f t="shared" ref="AN183:BW183" si="160">IF($U10=AN$166,1,IF(AM183&gt;0,IF(AM183&gt;=$V10*12,0, AM183+1),0))</f>
        <v>1</v>
      </c>
      <c r="AO183" s="1923">
        <f t="shared" si="160"/>
        <v>2</v>
      </c>
      <c r="AP183" s="1923">
        <f t="shared" si="160"/>
        <v>3</v>
      </c>
      <c r="AQ183" s="1923">
        <f t="shared" si="160"/>
        <v>4</v>
      </c>
      <c r="AR183" s="1923">
        <f t="shared" si="160"/>
        <v>5</v>
      </c>
      <c r="AS183" s="1923">
        <f t="shared" si="160"/>
        <v>6</v>
      </c>
      <c r="AT183" s="1923">
        <f t="shared" si="160"/>
        <v>7</v>
      </c>
      <c r="AU183" s="1923">
        <f t="shared" si="160"/>
        <v>8</v>
      </c>
      <c r="AV183" s="1923">
        <f t="shared" si="160"/>
        <v>9</v>
      </c>
      <c r="AW183" s="1923">
        <f t="shared" si="160"/>
        <v>10</v>
      </c>
      <c r="AX183" s="1923">
        <f t="shared" si="160"/>
        <v>11</v>
      </c>
      <c r="AY183" s="1923">
        <f t="shared" si="160"/>
        <v>12</v>
      </c>
      <c r="AZ183" s="1923">
        <f t="shared" si="160"/>
        <v>13</v>
      </c>
      <c r="BA183" s="1923">
        <f t="shared" si="160"/>
        <v>14</v>
      </c>
      <c r="BB183" s="1923">
        <f t="shared" si="160"/>
        <v>15</v>
      </c>
      <c r="BC183" s="1923">
        <f t="shared" si="160"/>
        <v>16</v>
      </c>
      <c r="BD183" s="1923">
        <f t="shared" si="160"/>
        <v>17</v>
      </c>
      <c r="BE183" s="1923">
        <f t="shared" si="160"/>
        <v>18</v>
      </c>
      <c r="BF183" s="1923">
        <f t="shared" si="160"/>
        <v>19</v>
      </c>
      <c r="BG183" s="1923">
        <f t="shared" si="160"/>
        <v>20</v>
      </c>
      <c r="BH183" s="1923">
        <f t="shared" si="160"/>
        <v>21</v>
      </c>
      <c r="BI183" s="1923">
        <f t="shared" si="160"/>
        <v>22</v>
      </c>
      <c r="BJ183" s="1923">
        <f t="shared" si="160"/>
        <v>23</v>
      </c>
      <c r="BK183" s="1923">
        <f t="shared" si="160"/>
        <v>24</v>
      </c>
      <c r="BL183" s="1923">
        <f t="shared" si="160"/>
        <v>25</v>
      </c>
      <c r="BM183" s="1923">
        <f t="shared" si="160"/>
        <v>26</v>
      </c>
      <c r="BN183" s="1923">
        <f t="shared" si="160"/>
        <v>27</v>
      </c>
      <c r="BO183" s="1923">
        <f t="shared" si="160"/>
        <v>28</v>
      </c>
      <c r="BP183" s="1923">
        <f t="shared" si="160"/>
        <v>29</v>
      </c>
      <c r="BQ183" s="1923">
        <f t="shared" si="160"/>
        <v>30</v>
      </c>
      <c r="BR183" s="1923">
        <f t="shared" si="160"/>
        <v>31</v>
      </c>
      <c r="BS183" s="1923">
        <f t="shared" si="160"/>
        <v>32</v>
      </c>
      <c r="BT183" s="1923">
        <f t="shared" si="160"/>
        <v>33</v>
      </c>
      <c r="BU183" s="1923">
        <f t="shared" si="160"/>
        <v>34</v>
      </c>
      <c r="BV183" s="1923">
        <f t="shared" si="160"/>
        <v>35</v>
      </c>
      <c r="BW183" s="1931">
        <f t="shared" si="160"/>
        <v>36</v>
      </c>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c r="DK183" s="54"/>
      <c r="DL183" s="54"/>
      <c r="DM183" s="54"/>
      <c r="DN183" s="54"/>
      <c r="DO183" s="54"/>
      <c r="DP183" s="54"/>
      <c r="DQ183" s="54"/>
      <c r="DR183" s="54"/>
      <c r="DS183" s="54"/>
      <c r="DT183" s="54"/>
      <c r="DU183" s="54"/>
      <c r="DV183" s="54"/>
      <c r="DW183" s="54"/>
      <c r="DX183" s="54"/>
      <c r="DY183" s="54"/>
      <c r="DZ183" s="54"/>
      <c r="EA183" s="54"/>
      <c r="EB183" s="54"/>
      <c r="EC183" s="54"/>
      <c r="ED183" s="54"/>
      <c r="EE183" s="54"/>
      <c r="EF183" s="54"/>
      <c r="EG183" s="54"/>
      <c r="EH183" s="54"/>
      <c r="EI183" s="54"/>
      <c r="EJ183" s="54"/>
      <c r="EK183" s="54"/>
      <c r="EL183" s="54"/>
      <c r="EM183" s="54"/>
      <c r="EN183" s="54"/>
      <c r="EO183" s="54"/>
      <c r="EP183" s="54"/>
      <c r="EQ183" s="54"/>
      <c r="ER183" s="54"/>
      <c r="ES183" s="54"/>
      <c r="ET183" s="54"/>
      <c r="EU183" s="54"/>
      <c r="EV183" s="54"/>
      <c r="EW183" s="54"/>
      <c r="EX183" s="54"/>
      <c r="EY183" s="54"/>
      <c r="EZ183" s="54"/>
      <c r="FA183" s="54"/>
      <c r="FB183" s="54"/>
      <c r="FC183" s="54"/>
      <c r="FD183" s="54"/>
      <c r="FE183" s="54"/>
      <c r="FF183" s="54"/>
      <c r="FG183" s="54"/>
      <c r="FH183" s="54"/>
      <c r="FI183" s="54"/>
      <c r="FJ183" s="54"/>
      <c r="FK183" s="54"/>
      <c r="FL183" s="54"/>
      <c r="FM183" s="54"/>
      <c r="FN183" s="54"/>
      <c r="FO183" s="54"/>
      <c r="FP183" s="54"/>
      <c r="FQ183" s="54"/>
      <c r="FR183" s="54"/>
    </row>
    <row r="184" spans="2:174" s="1937" customFormat="1" ht="14.25" hidden="1" customHeight="1">
      <c r="B184" s="1937" t="s">
        <v>572</v>
      </c>
      <c r="H184" s="1938"/>
      <c r="M184" s="1938"/>
      <c r="O184" s="1938"/>
      <c r="P184" s="1938"/>
      <c r="Q184" s="1938"/>
      <c r="R184" s="1938"/>
      <c r="T184" s="1938"/>
      <c r="U184" s="1938"/>
      <c r="W184" s="1938"/>
      <c r="Y184" s="1938"/>
      <c r="Z184" s="1938"/>
      <c r="AB184" s="1938"/>
      <c r="AC184" s="1938"/>
      <c r="AD184" s="1938"/>
      <c r="AE184" s="1938"/>
      <c r="AF184" s="1938"/>
      <c r="AG184" s="1938"/>
      <c r="AH184" s="1938"/>
      <c r="AI184" s="1938"/>
      <c r="AJ184" s="1938"/>
      <c r="AK184" s="1938"/>
      <c r="AL184" s="1938"/>
      <c r="AM184" s="1922"/>
      <c r="AN184" s="1955">
        <f t="shared" ref="AN184:BW184" ca="1" si="161">IF(AN183&lt;&gt;0,IF($T10=0,0,$T10/($V10*12)),0)</f>
        <v>0</v>
      </c>
      <c r="AO184" s="1922">
        <f t="shared" ca="1" si="161"/>
        <v>0</v>
      </c>
      <c r="AP184" s="1922">
        <f t="shared" ca="1" si="161"/>
        <v>0</v>
      </c>
      <c r="AQ184" s="1922">
        <f t="shared" ca="1" si="161"/>
        <v>0</v>
      </c>
      <c r="AR184" s="1922">
        <f t="shared" ca="1" si="161"/>
        <v>0</v>
      </c>
      <c r="AS184" s="1922">
        <f t="shared" ca="1" si="161"/>
        <v>0</v>
      </c>
      <c r="AT184" s="1922">
        <f t="shared" ca="1" si="161"/>
        <v>0</v>
      </c>
      <c r="AU184" s="1922">
        <f t="shared" ca="1" si="161"/>
        <v>0</v>
      </c>
      <c r="AV184" s="1922">
        <f t="shared" ca="1" si="161"/>
        <v>0</v>
      </c>
      <c r="AW184" s="1922">
        <f t="shared" ca="1" si="161"/>
        <v>0</v>
      </c>
      <c r="AX184" s="1922">
        <f t="shared" ca="1" si="161"/>
        <v>0</v>
      </c>
      <c r="AY184" s="1922">
        <f t="shared" ca="1" si="161"/>
        <v>0</v>
      </c>
      <c r="AZ184" s="1922">
        <f t="shared" ca="1" si="161"/>
        <v>0</v>
      </c>
      <c r="BA184" s="1922">
        <f t="shared" ca="1" si="161"/>
        <v>0</v>
      </c>
      <c r="BB184" s="1922">
        <f t="shared" ca="1" si="161"/>
        <v>0</v>
      </c>
      <c r="BC184" s="1922">
        <f t="shared" ca="1" si="161"/>
        <v>0</v>
      </c>
      <c r="BD184" s="1922">
        <f t="shared" ca="1" si="161"/>
        <v>0</v>
      </c>
      <c r="BE184" s="1922">
        <f t="shared" ca="1" si="161"/>
        <v>0</v>
      </c>
      <c r="BF184" s="1922">
        <f t="shared" ca="1" si="161"/>
        <v>0</v>
      </c>
      <c r="BG184" s="1922">
        <f t="shared" ca="1" si="161"/>
        <v>0</v>
      </c>
      <c r="BH184" s="1922">
        <f t="shared" ca="1" si="161"/>
        <v>0</v>
      </c>
      <c r="BI184" s="1922">
        <f t="shared" ca="1" si="161"/>
        <v>0</v>
      </c>
      <c r="BJ184" s="1922">
        <f t="shared" ca="1" si="161"/>
        <v>0</v>
      </c>
      <c r="BK184" s="1922">
        <f t="shared" ca="1" si="161"/>
        <v>0</v>
      </c>
      <c r="BL184" s="1922">
        <f t="shared" ca="1" si="161"/>
        <v>0</v>
      </c>
      <c r="BM184" s="1922">
        <f t="shared" ca="1" si="161"/>
        <v>0</v>
      </c>
      <c r="BN184" s="1922">
        <f t="shared" ca="1" si="161"/>
        <v>0</v>
      </c>
      <c r="BO184" s="1922">
        <f t="shared" ca="1" si="161"/>
        <v>0</v>
      </c>
      <c r="BP184" s="1922">
        <f t="shared" ca="1" si="161"/>
        <v>0</v>
      </c>
      <c r="BQ184" s="1922">
        <f t="shared" ca="1" si="161"/>
        <v>0</v>
      </c>
      <c r="BR184" s="1922">
        <f t="shared" ca="1" si="161"/>
        <v>0</v>
      </c>
      <c r="BS184" s="1922">
        <f t="shared" ca="1" si="161"/>
        <v>0</v>
      </c>
      <c r="BT184" s="1922">
        <f t="shared" ca="1" si="161"/>
        <v>0</v>
      </c>
      <c r="BU184" s="1922">
        <f t="shared" ca="1" si="161"/>
        <v>0</v>
      </c>
      <c r="BV184" s="1922">
        <f t="shared" ca="1" si="161"/>
        <v>0</v>
      </c>
      <c r="BW184" s="1924">
        <f t="shared" ca="1" si="161"/>
        <v>0</v>
      </c>
      <c r="BX184" s="1926"/>
      <c r="BY184" s="1926"/>
      <c r="BZ184" s="1926"/>
      <c r="CA184" s="1926"/>
      <c r="CB184" s="1926"/>
      <c r="CC184" s="1926"/>
      <c r="CD184" s="1926"/>
      <c r="CE184" s="1926"/>
      <c r="CF184" s="1926"/>
      <c r="CG184" s="1926"/>
      <c r="CH184" s="1926"/>
      <c r="CI184" s="1926"/>
      <c r="CJ184" s="1926"/>
      <c r="CK184" s="1926"/>
      <c r="CL184" s="1926"/>
      <c r="CM184" s="1926"/>
      <c r="CN184" s="1926"/>
      <c r="CO184" s="1926"/>
      <c r="CP184" s="1926"/>
      <c r="CQ184" s="1926"/>
      <c r="CR184" s="1926"/>
      <c r="CS184" s="1926"/>
      <c r="CT184" s="1926"/>
      <c r="CU184" s="1926"/>
      <c r="CV184" s="1926"/>
      <c r="CW184" s="1926"/>
      <c r="CX184" s="1926"/>
      <c r="CY184" s="1926"/>
      <c r="CZ184" s="1926"/>
      <c r="DA184" s="1926"/>
      <c r="DB184" s="1926"/>
      <c r="DC184" s="1926"/>
      <c r="DD184" s="1926"/>
      <c r="DE184" s="1926"/>
      <c r="DF184" s="1926"/>
      <c r="DG184" s="1926"/>
      <c r="DH184" s="1926"/>
      <c r="DI184" s="1926"/>
      <c r="DJ184" s="1926"/>
      <c r="DK184" s="1926"/>
      <c r="DL184" s="1926"/>
      <c r="DM184" s="1926"/>
      <c r="DN184" s="1926"/>
      <c r="DO184" s="1926"/>
      <c r="DP184" s="1926"/>
      <c r="DQ184" s="1926"/>
      <c r="DR184" s="1926"/>
      <c r="DS184" s="1926"/>
      <c r="DT184" s="1926"/>
      <c r="DU184" s="1926"/>
      <c r="DV184" s="1926"/>
      <c r="DW184" s="1926"/>
      <c r="DX184" s="1926"/>
      <c r="DY184" s="1926"/>
      <c r="DZ184" s="1926"/>
      <c r="EA184" s="1926"/>
      <c r="EB184" s="1926"/>
      <c r="EC184" s="1926"/>
      <c r="ED184" s="1926"/>
      <c r="EE184" s="1926"/>
      <c r="EF184" s="1926"/>
      <c r="EG184" s="1926"/>
      <c r="EH184" s="1926"/>
      <c r="EI184" s="1926"/>
      <c r="EJ184" s="1926"/>
      <c r="EK184" s="1926"/>
      <c r="EL184" s="1926"/>
      <c r="EM184" s="1926"/>
      <c r="EN184" s="1926"/>
      <c r="EO184" s="1926"/>
      <c r="EP184" s="1926"/>
      <c r="EQ184" s="1926"/>
      <c r="ER184" s="1926"/>
      <c r="ES184" s="1926"/>
      <c r="ET184" s="1926"/>
      <c r="EU184" s="1926"/>
      <c r="EV184" s="1926"/>
      <c r="EW184" s="1926"/>
      <c r="EX184" s="1926"/>
      <c r="EY184" s="1926"/>
      <c r="EZ184" s="1926"/>
      <c r="FA184" s="1926"/>
      <c r="FB184" s="1926"/>
      <c r="FC184" s="1926"/>
      <c r="FD184" s="1926"/>
      <c r="FE184" s="1926"/>
      <c r="FF184" s="1926"/>
      <c r="FG184" s="1926"/>
      <c r="FH184" s="1926"/>
      <c r="FI184" s="1926"/>
      <c r="FJ184" s="1926"/>
      <c r="FK184" s="1926"/>
      <c r="FL184" s="1926"/>
      <c r="FM184" s="1926"/>
      <c r="FN184" s="1926"/>
      <c r="FO184" s="1926"/>
      <c r="FP184" s="1926"/>
      <c r="FQ184" s="1926"/>
      <c r="FR184" s="1926"/>
    </row>
    <row r="185" spans="2:174" s="37" customFormat="1" ht="14.25" hidden="1" customHeight="1">
      <c r="B185" s="62" t="str">
        <f>B167</f>
        <v>Invest</v>
      </c>
      <c r="AA185" s="53"/>
      <c r="AB185" s="53"/>
      <c r="AC185" s="53"/>
      <c r="AD185" s="53"/>
      <c r="AE185" s="53"/>
      <c r="AF185" s="53"/>
      <c r="AG185" s="53"/>
      <c r="AH185" s="53"/>
      <c r="AI185" s="53"/>
      <c r="AJ185" s="53"/>
      <c r="AK185" s="53"/>
      <c r="AL185" s="53"/>
      <c r="AM185" s="1922">
        <f t="shared" ref="AM185:BW185" si="162">AM167+AM170+AM173+AM176+AM179</f>
        <v>0</v>
      </c>
      <c r="AN185" s="1955">
        <f t="shared" si="162"/>
        <v>0</v>
      </c>
      <c r="AO185" s="1922">
        <f t="shared" si="162"/>
        <v>0</v>
      </c>
      <c r="AP185" s="1922">
        <f t="shared" si="162"/>
        <v>0</v>
      </c>
      <c r="AQ185" s="1922">
        <f t="shared" si="162"/>
        <v>0</v>
      </c>
      <c r="AR185" s="1922">
        <f t="shared" si="162"/>
        <v>0</v>
      </c>
      <c r="AS185" s="1922">
        <f t="shared" si="162"/>
        <v>0</v>
      </c>
      <c r="AT185" s="1922">
        <f t="shared" si="162"/>
        <v>0</v>
      </c>
      <c r="AU185" s="1922">
        <f t="shared" si="162"/>
        <v>0</v>
      </c>
      <c r="AV185" s="1922">
        <f t="shared" si="162"/>
        <v>0</v>
      </c>
      <c r="AW185" s="1922">
        <f t="shared" si="162"/>
        <v>0</v>
      </c>
      <c r="AX185" s="1922">
        <f t="shared" si="162"/>
        <v>0</v>
      </c>
      <c r="AY185" s="1922">
        <f t="shared" si="162"/>
        <v>0</v>
      </c>
      <c r="AZ185" s="1922">
        <f t="shared" si="162"/>
        <v>0</v>
      </c>
      <c r="BA185" s="1922">
        <f t="shared" si="162"/>
        <v>0</v>
      </c>
      <c r="BB185" s="1922">
        <f t="shared" si="162"/>
        <v>0</v>
      </c>
      <c r="BC185" s="1922">
        <f t="shared" si="162"/>
        <v>0</v>
      </c>
      <c r="BD185" s="1922">
        <f t="shared" si="162"/>
        <v>0</v>
      </c>
      <c r="BE185" s="1922">
        <f t="shared" si="162"/>
        <v>0</v>
      </c>
      <c r="BF185" s="1922">
        <f t="shared" si="162"/>
        <v>0</v>
      </c>
      <c r="BG185" s="1922">
        <f t="shared" si="162"/>
        <v>0</v>
      </c>
      <c r="BH185" s="1922">
        <f t="shared" si="162"/>
        <v>0</v>
      </c>
      <c r="BI185" s="1922">
        <f t="shared" si="162"/>
        <v>0</v>
      </c>
      <c r="BJ185" s="1922">
        <f t="shared" si="162"/>
        <v>0</v>
      </c>
      <c r="BK185" s="1922">
        <f t="shared" si="162"/>
        <v>0</v>
      </c>
      <c r="BL185" s="1922">
        <f t="shared" si="162"/>
        <v>0</v>
      </c>
      <c r="BM185" s="1922">
        <f t="shared" si="162"/>
        <v>0</v>
      </c>
      <c r="BN185" s="1922">
        <f t="shared" si="162"/>
        <v>0</v>
      </c>
      <c r="BO185" s="1922">
        <f t="shared" si="162"/>
        <v>0</v>
      </c>
      <c r="BP185" s="1922">
        <f t="shared" si="162"/>
        <v>0</v>
      </c>
      <c r="BQ185" s="1922">
        <f t="shared" si="162"/>
        <v>0</v>
      </c>
      <c r="BR185" s="1922">
        <f t="shared" si="162"/>
        <v>0</v>
      </c>
      <c r="BS185" s="1922">
        <f t="shared" si="162"/>
        <v>0</v>
      </c>
      <c r="BT185" s="1922">
        <f t="shared" si="162"/>
        <v>0</v>
      </c>
      <c r="BU185" s="1922">
        <f t="shared" si="162"/>
        <v>0</v>
      </c>
      <c r="BV185" s="1922">
        <f t="shared" si="162"/>
        <v>0</v>
      </c>
      <c r="BW185" s="1924">
        <f t="shared" si="162"/>
        <v>0</v>
      </c>
      <c r="BX185" s="1926"/>
      <c r="BY185" s="1926"/>
      <c r="BZ185" s="1926"/>
      <c r="CA185" s="1926"/>
      <c r="CB185" s="1926"/>
      <c r="CC185" s="1926"/>
      <c r="CD185" s="1926"/>
      <c r="CE185" s="1926"/>
      <c r="CF185" s="1926"/>
      <c r="CG185" s="1926"/>
      <c r="CH185" s="1926"/>
      <c r="CI185" s="1926"/>
      <c r="CJ185" s="1926"/>
      <c r="CK185" s="1926"/>
      <c r="CL185" s="1926"/>
      <c r="CM185" s="1926"/>
      <c r="CN185" s="1926"/>
      <c r="CO185" s="1926"/>
      <c r="CP185" s="1926"/>
      <c r="CQ185" s="1926"/>
      <c r="CR185" s="1926"/>
      <c r="CS185" s="1926"/>
      <c r="CT185" s="1926"/>
      <c r="CU185" s="1926"/>
      <c r="CV185" s="1926"/>
      <c r="CW185" s="1926"/>
      <c r="CX185" s="1926"/>
      <c r="CY185" s="1926"/>
      <c r="CZ185" s="1926"/>
      <c r="DA185" s="1926"/>
      <c r="DB185" s="1926"/>
      <c r="DC185" s="1926"/>
      <c r="DD185" s="1926"/>
      <c r="DE185" s="1926"/>
      <c r="DF185" s="1926"/>
      <c r="DG185" s="1926"/>
      <c r="DH185" s="1926"/>
      <c r="DI185" s="1926"/>
      <c r="DJ185" s="1926"/>
      <c r="DK185" s="1926"/>
      <c r="DL185" s="1926"/>
      <c r="DM185" s="1926"/>
      <c r="DN185" s="1926"/>
      <c r="DO185" s="1926"/>
      <c r="DP185" s="1926"/>
      <c r="DQ185" s="1926"/>
      <c r="DR185" s="1926"/>
      <c r="DS185" s="1926"/>
      <c r="DT185" s="1926"/>
      <c r="DU185" s="1926"/>
      <c r="DV185" s="1926"/>
      <c r="DW185" s="1926"/>
      <c r="DX185" s="1926"/>
      <c r="DY185" s="1926"/>
      <c r="DZ185" s="1926"/>
      <c r="EA185" s="1926"/>
      <c r="EB185" s="1926"/>
      <c r="EC185" s="1926"/>
      <c r="ED185" s="1926"/>
      <c r="EE185" s="1926"/>
      <c r="EF185" s="1926"/>
      <c r="EG185" s="1926"/>
      <c r="EH185" s="1926"/>
      <c r="EI185" s="1926"/>
      <c r="EJ185" s="1926"/>
      <c r="EK185" s="1926"/>
      <c r="EL185" s="1926"/>
      <c r="EM185" s="1926"/>
      <c r="EN185" s="1926"/>
      <c r="EO185" s="1926"/>
      <c r="EP185" s="1926"/>
      <c r="EQ185" s="1926"/>
      <c r="ER185" s="1926"/>
      <c r="ES185" s="1926"/>
      <c r="ET185" s="1926"/>
      <c r="EU185" s="1926"/>
      <c r="EV185" s="1926"/>
      <c r="EW185" s="1926"/>
      <c r="EX185" s="1926"/>
      <c r="EY185" s="1926"/>
      <c r="EZ185" s="1926"/>
      <c r="FA185" s="1926"/>
      <c r="FB185" s="1926"/>
      <c r="FC185" s="1926"/>
      <c r="FD185" s="1926"/>
      <c r="FE185" s="1926"/>
      <c r="FF185" s="1926"/>
      <c r="FG185" s="1926"/>
      <c r="FH185" s="1926"/>
      <c r="FI185" s="1926"/>
      <c r="FJ185" s="1926"/>
      <c r="FK185" s="1926"/>
      <c r="FL185" s="1926"/>
      <c r="FM185" s="1926"/>
      <c r="FN185" s="1926"/>
      <c r="FO185" s="1926"/>
      <c r="FP185" s="1926"/>
      <c r="FQ185" s="1926"/>
      <c r="FR185" s="1926"/>
    </row>
    <row r="186" spans="2:174" s="37" customFormat="1" ht="14.25" hidden="1" customHeight="1">
      <c r="H186" s="53"/>
      <c r="M186" s="53"/>
      <c r="O186" s="53"/>
      <c r="P186" s="53"/>
      <c r="Q186" s="53"/>
      <c r="R186" s="53"/>
      <c r="T186" s="53"/>
      <c r="U186" s="53"/>
      <c r="W186" s="53"/>
      <c r="Y186" s="53"/>
      <c r="Z186" s="53"/>
      <c r="AB186" s="53"/>
      <c r="AC186" s="53"/>
      <c r="AD186" s="53"/>
      <c r="AE186" s="53"/>
      <c r="AF186" s="53"/>
      <c r="AG186" s="53"/>
      <c r="AH186" s="53"/>
      <c r="AI186" s="53"/>
      <c r="AJ186" s="53"/>
      <c r="AK186" s="53"/>
      <c r="AL186" s="53"/>
      <c r="AM186" s="53"/>
      <c r="AN186" s="235"/>
      <c r="AO186" s="53"/>
      <c r="AP186" s="53"/>
      <c r="AQ186" s="53"/>
      <c r="AR186" s="53"/>
      <c r="AS186" s="53"/>
      <c r="AT186" s="53"/>
      <c r="AU186" s="53"/>
      <c r="AV186" s="53"/>
      <c r="AW186" s="53"/>
      <c r="AX186" s="53"/>
      <c r="AY186" s="53"/>
      <c r="AZ186" s="53"/>
      <c r="BA186" s="53"/>
      <c r="BB186" s="53"/>
      <c r="BC186" s="53"/>
      <c r="BD186" s="53"/>
      <c r="BE186" s="53"/>
      <c r="BF186" s="53"/>
      <c r="BG186" s="53"/>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row>
    <row r="187" spans="2:174" s="51" customFormat="1" ht="13.5" hidden="1" customHeight="1">
      <c r="C187" s="62">
        <f ca="1">C166+1</f>
        <v>30</v>
      </c>
      <c r="D187" s="37"/>
      <c r="H187" s="1935"/>
      <c r="M187" s="1935"/>
      <c r="O187" s="1935"/>
      <c r="P187" s="1935"/>
      <c r="Q187" s="1935"/>
      <c r="R187" s="1935"/>
      <c r="T187" s="1935"/>
      <c r="U187" s="1935"/>
      <c r="W187" s="1935"/>
      <c r="Y187" s="1935"/>
      <c r="Z187" s="1935"/>
      <c r="AA187" s="1935"/>
      <c r="AB187" s="1935"/>
      <c r="AC187" s="1935"/>
      <c r="AD187" s="1935"/>
      <c r="AE187" s="1935"/>
      <c r="AF187" s="1935"/>
      <c r="AG187" s="1935"/>
      <c r="AH187" s="1935"/>
      <c r="AI187" s="1935"/>
      <c r="AJ187" s="1935"/>
      <c r="AK187" s="1935"/>
      <c r="AL187" s="1935"/>
      <c r="AM187" s="1935"/>
      <c r="AN187" s="696"/>
      <c r="AO187" s="1935"/>
      <c r="AP187" s="1935"/>
      <c r="AQ187" s="1935"/>
      <c r="AR187" s="1935"/>
      <c r="AS187" s="1935"/>
      <c r="AT187" s="1935"/>
      <c r="AU187" s="1935"/>
      <c r="AV187" s="1935"/>
      <c r="AW187" s="1935"/>
      <c r="AX187" s="1935"/>
      <c r="AY187" s="1918" t="s">
        <v>450</v>
      </c>
      <c r="AZ187" s="1916">
        <v>1</v>
      </c>
      <c r="BA187" s="1918">
        <f t="shared" ref="BA187:BW187" si="163">AZ187+1</f>
        <v>2</v>
      </c>
      <c r="BB187" s="1916">
        <f t="shared" si="163"/>
        <v>3</v>
      </c>
      <c r="BC187" s="1918">
        <f t="shared" si="163"/>
        <v>4</v>
      </c>
      <c r="BD187" s="1916">
        <f t="shared" si="163"/>
        <v>5</v>
      </c>
      <c r="BE187" s="1918">
        <f t="shared" si="163"/>
        <v>6</v>
      </c>
      <c r="BF187" s="1916">
        <f t="shared" si="163"/>
        <v>7</v>
      </c>
      <c r="BG187" s="1918">
        <f t="shared" si="163"/>
        <v>8</v>
      </c>
      <c r="BH187" s="1916">
        <f t="shared" si="163"/>
        <v>9</v>
      </c>
      <c r="BI187" s="1918">
        <f t="shared" si="163"/>
        <v>10</v>
      </c>
      <c r="BJ187" s="1916">
        <f t="shared" si="163"/>
        <v>11</v>
      </c>
      <c r="BK187" s="1918">
        <f t="shared" si="163"/>
        <v>12</v>
      </c>
      <c r="BL187" s="1916">
        <f t="shared" si="163"/>
        <v>13</v>
      </c>
      <c r="BM187" s="1918">
        <f t="shared" si="163"/>
        <v>14</v>
      </c>
      <c r="BN187" s="1916">
        <f t="shared" si="163"/>
        <v>15</v>
      </c>
      <c r="BO187" s="1918">
        <f t="shared" si="163"/>
        <v>16</v>
      </c>
      <c r="BP187" s="1916">
        <f t="shared" si="163"/>
        <v>17</v>
      </c>
      <c r="BQ187" s="1918">
        <f t="shared" si="163"/>
        <v>18</v>
      </c>
      <c r="BR187" s="1916">
        <f t="shared" si="163"/>
        <v>19</v>
      </c>
      <c r="BS187" s="1918">
        <f t="shared" si="163"/>
        <v>20</v>
      </c>
      <c r="BT187" s="1916">
        <f t="shared" si="163"/>
        <v>21</v>
      </c>
      <c r="BU187" s="1918">
        <f t="shared" si="163"/>
        <v>22</v>
      </c>
      <c r="BV187" s="1917">
        <f t="shared" si="163"/>
        <v>23</v>
      </c>
      <c r="BW187" s="1917">
        <f t="shared" si="163"/>
        <v>24</v>
      </c>
      <c r="BX187" s="1919"/>
      <c r="BY187" s="1919"/>
      <c r="BZ187" s="1919"/>
      <c r="CA187" s="1919"/>
      <c r="CB187" s="1919"/>
      <c r="CC187" s="1919"/>
      <c r="CD187" s="1919"/>
      <c r="CE187" s="1919"/>
      <c r="CF187" s="1919"/>
      <c r="CG187" s="1919"/>
      <c r="CH187" s="1919"/>
      <c r="CI187" s="1919"/>
      <c r="CJ187" s="1919"/>
      <c r="CK187" s="1919"/>
      <c r="CL187" s="1919"/>
      <c r="CM187" s="1919"/>
      <c r="CN187" s="1919"/>
      <c r="CO187" s="1919"/>
      <c r="CP187" s="1919"/>
      <c r="CQ187" s="1919"/>
      <c r="CR187" s="1919"/>
      <c r="CS187" s="1919"/>
      <c r="CT187" s="1919"/>
      <c r="CU187" s="1919"/>
      <c r="CV187" s="1919"/>
      <c r="CW187" s="1919"/>
      <c r="CX187" s="1919"/>
      <c r="CY187" s="1919"/>
      <c r="CZ187" s="1919"/>
      <c r="DA187" s="1919"/>
      <c r="DB187" s="1919"/>
      <c r="DC187" s="1919"/>
      <c r="DD187" s="1919"/>
      <c r="DE187" s="1919"/>
      <c r="DF187" s="1919"/>
      <c r="DG187" s="1919"/>
      <c r="DH187" s="1919"/>
      <c r="DI187" s="1919"/>
      <c r="DJ187" s="1919"/>
      <c r="DK187" s="1919"/>
      <c r="DL187" s="1919"/>
      <c r="DM187" s="1919"/>
      <c r="DN187" s="1919"/>
      <c r="DO187" s="1919"/>
      <c r="DP187" s="1919"/>
      <c r="DQ187" s="1919"/>
      <c r="DR187" s="1919"/>
      <c r="DS187" s="1919"/>
      <c r="DT187" s="1919"/>
      <c r="DU187" s="1919"/>
      <c r="DV187" s="1919"/>
      <c r="DW187" s="1919"/>
      <c r="DX187" s="1919"/>
      <c r="DY187" s="1919"/>
      <c r="DZ187" s="1919"/>
      <c r="EA187" s="1919"/>
      <c r="EB187" s="1919"/>
      <c r="EC187" s="1919"/>
      <c r="ED187" s="1919"/>
      <c r="EE187" s="1919"/>
      <c r="EF187" s="1919"/>
      <c r="EG187" s="1919"/>
      <c r="EH187" s="1919"/>
      <c r="EI187" s="1919"/>
      <c r="EJ187" s="1919"/>
      <c r="EK187" s="1919"/>
      <c r="EL187" s="1919"/>
      <c r="EM187" s="1919"/>
      <c r="EN187" s="1919"/>
      <c r="EO187" s="1919"/>
      <c r="EP187" s="1919"/>
      <c r="EQ187" s="1919"/>
      <c r="ER187" s="1919"/>
      <c r="ES187" s="1919"/>
      <c r="ET187" s="1919"/>
      <c r="EU187" s="1919"/>
      <c r="EV187" s="1919"/>
      <c r="EW187" s="1919"/>
      <c r="EX187" s="1919"/>
      <c r="EY187" s="1919"/>
      <c r="EZ187" s="1919"/>
      <c r="FA187" s="1919"/>
      <c r="FB187" s="1919"/>
      <c r="FC187" s="1919"/>
      <c r="FD187" s="1919"/>
      <c r="FE187" s="1919"/>
      <c r="FF187" s="1919"/>
      <c r="FG187" s="1919"/>
      <c r="FH187" s="1919"/>
      <c r="FI187" s="1919"/>
      <c r="FJ187" s="1919"/>
      <c r="FK187" s="1919"/>
      <c r="FL187" s="1919"/>
      <c r="FM187" s="1919"/>
      <c r="FN187" s="1919"/>
      <c r="FO187" s="1919"/>
      <c r="FP187" s="1919"/>
      <c r="FQ187" s="1919"/>
      <c r="FR187" s="1919"/>
    </row>
    <row r="188" spans="2:174" s="37" customFormat="1" ht="14.25" hidden="1" customHeight="1">
      <c r="B188" s="37" t="s">
        <v>570</v>
      </c>
      <c r="D188" s="1921"/>
      <c r="E188" s="1920"/>
      <c r="F188" s="140"/>
      <c r="G188" s="140"/>
      <c r="H188" s="140"/>
      <c r="I188" s="1921"/>
      <c r="J188" s="140"/>
      <c r="K188" s="1920"/>
      <c r="L188" s="140"/>
      <c r="M188" s="140"/>
      <c r="N188" s="1921"/>
      <c r="R188" s="140"/>
      <c r="S188" s="1921"/>
      <c r="T188" s="134"/>
      <c r="U188" s="134"/>
      <c r="V188" s="140"/>
      <c r="W188" s="140"/>
      <c r="X188" s="1921"/>
      <c r="Y188" s="134"/>
      <c r="Z188" s="134"/>
      <c r="AA188" s="140"/>
      <c r="AB188" s="134"/>
      <c r="AN188" s="168"/>
      <c r="AY188" s="1923"/>
      <c r="AZ188" s="1923">
        <f t="shared" ref="AZ188:BW188" si="164">IF($Z5=AZ$187,$Y5,0)</f>
        <v>0</v>
      </c>
      <c r="BA188" s="1923">
        <f t="shared" si="164"/>
        <v>0</v>
      </c>
      <c r="BB188" s="1923">
        <f t="shared" si="164"/>
        <v>0</v>
      </c>
      <c r="BC188" s="1923">
        <f t="shared" si="164"/>
        <v>0</v>
      </c>
      <c r="BD188" s="1923">
        <f t="shared" si="164"/>
        <v>0</v>
      </c>
      <c r="BE188" s="1923">
        <f t="shared" si="164"/>
        <v>0</v>
      </c>
      <c r="BF188" s="1923">
        <f t="shared" si="164"/>
        <v>0</v>
      </c>
      <c r="BG188" s="1923">
        <f t="shared" si="164"/>
        <v>0</v>
      </c>
      <c r="BH188" s="1923">
        <f t="shared" si="164"/>
        <v>0</v>
      </c>
      <c r="BI188" s="1923">
        <f t="shared" si="164"/>
        <v>0</v>
      </c>
      <c r="BJ188" s="1923">
        <f t="shared" si="164"/>
        <v>0</v>
      </c>
      <c r="BK188" s="1923">
        <f t="shared" si="164"/>
        <v>0</v>
      </c>
      <c r="BL188" s="1923">
        <f t="shared" si="164"/>
        <v>0</v>
      </c>
      <c r="BM188" s="1923">
        <f t="shared" si="164"/>
        <v>0</v>
      </c>
      <c r="BN188" s="1923">
        <f t="shared" si="164"/>
        <v>0</v>
      </c>
      <c r="BO188" s="1923">
        <f t="shared" si="164"/>
        <v>0</v>
      </c>
      <c r="BP188" s="1923">
        <f t="shared" si="164"/>
        <v>0</v>
      </c>
      <c r="BQ188" s="1923">
        <f t="shared" si="164"/>
        <v>0</v>
      </c>
      <c r="BR188" s="1923">
        <f t="shared" si="164"/>
        <v>0</v>
      </c>
      <c r="BS188" s="1923">
        <f t="shared" si="164"/>
        <v>0</v>
      </c>
      <c r="BT188" s="1923">
        <f t="shared" si="164"/>
        <v>0</v>
      </c>
      <c r="BU188" s="1923">
        <f t="shared" si="164"/>
        <v>0</v>
      </c>
      <c r="BV188" s="1931">
        <f t="shared" si="164"/>
        <v>0</v>
      </c>
      <c r="BW188" s="1931">
        <f t="shared" si="164"/>
        <v>0</v>
      </c>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c r="DK188" s="54"/>
      <c r="DL188" s="54"/>
      <c r="DM188" s="54"/>
      <c r="DN188" s="54"/>
      <c r="DO188" s="54"/>
      <c r="DP188" s="54"/>
      <c r="DQ188" s="54"/>
      <c r="DR188" s="54"/>
      <c r="DS188" s="54"/>
      <c r="DT188" s="54"/>
      <c r="DU188" s="54"/>
      <c r="DV188" s="54"/>
      <c r="DW188" s="54"/>
      <c r="DX188" s="54"/>
      <c r="DY188" s="54"/>
      <c r="DZ188" s="54"/>
      <c r="EA188" s="54"/>
      <c r="EB188" s="54"/>
      <c r="EC188" s="54"/>
      <c r="ED188" s="54"/>
      <c r="EE188" s="54"/>
      <c r="EF188" s="54"/>
      <c r="EG188" s="54"/>
      <c r="EH188" s="54"/>
      <c r="EI188" s="54"/>
      <c r="EJ188" s="54"/>
      <c r="EK188" s="54"/>
      <c r="EL188" s="54"/>
      <c r="EM188" s="54"/>
      <c r="EN188" s="54"/>
      <c r="EO188" s="54"/>
      <c r="EP188" s="54"/>
      <c r="EQ188" s="54"/>
      <c r="ER188" s="54"/>
      <c r="ES188" s="54"/>
      <c r="ET188" s="54"/>
      <c r="EU188" s="54"/>
      <c r="EV188" s="54"/>
      <c r="EW188" s="54"/>
      <c r="EX188" s="54"/>
      <c r="EY188" s="54"/>
      <c r="EZ188" s="54"/>
      <c r="FA188" s="54"/>
      <c r="FB188" s="54"/>
      <c r="FC188" s="54"/>
      <c r="FD188" s="54"/>
      <c r="FE188" s="54"/>
      <c r="FF188" s="54"/>
      <c r="FG188" s="54"/>
      <c r="FH188" s="54"/>
      <c r="FI188" s="54"/>
      <c r="FJ188" s="54"/>
      <c r="FK188" s="54"/>
      <c r="FL188" s="54"/>
      <c r="FM188" s="54"/>
      <c r="FN188" s="54"/>
      <c r="FO188" s="54"/>
      <c r="FP188" s="54"/>
      <c r="FQ188" s="54"/>
      <c r="FR188" s="54"/>
    </row>
    <row r="189" spans="2:174" s="37" customFormat="1" ht="14.25" hidden="1" customHeight="1">
      <c r="B189" s="1921" t="s">
        <v>571</v>
      </c>
      <c r="D189" s="1921"/>
      <c r="E189" s="1920"/>
      <c r="F189" s="140"/>
      <c r="G189" s="140"/>
      <c r="H189" s="140"/>
      <c r="I189" s="1921"/>
      <c r="J189" s="140"/>
      <c r="K189" s="1920"/>
      <c r="L189" s="140"/>
      <c r="M189" s="140"/>
      <c r="N189" s="1921"/>
      <c r="R189" s="140"/>
      <c r="S189" s="1921"/>
      <c r="T189" s="134"/>
      <c r="U189" s="134"/>
      <c r="V189" s="140"/>
      <c r="W189" s="140"/>
      <c r="X189" s="1921"/>
      <c r="Y189" s="1939"/>
      <c r="Z189" s="1939"/>
      <c r="AA189" s="140"/>
      <c r="AB189" s="1939"/>
      <c r="AC189" s="136"/>
      <c r="AD189" s="136"/>
      <c r="AE189" s="136"/>
      <c r="AF189" s="136"/>
      <c r="AG189" s="136"/>
      <c r="AH189" s="136"/>
      <c r="AI189" s="136"/>
      <c r="AJ189" s="136"/>
      <c r="AK189" s="136"/>
      <c r="AL189" s="136"/>
      <c r="AM189" s="136"/>
      <c r="AN189" s="482"/>
      <c r="AO189" s="136"/>
      <c r="AP189" s="136"/>
      <c r="AQ189" s="136"/>
      <c r="AR189" s="136"/>
      <c r="AS189" s="136"/>
      <c r="AV189" s="136"/>
      <c r="AW189" s="136"/>
      <c r="AX189" s="136"/>
      <c r="AY189" s="1923">
        <v>0</v>
      </c>
      <c r="AZ189" s="1923">
        <f t="shared" ref="AZ189:BW189" si="165">IF($Z5=AZ$187,1,IF(AY189&gt;0,IF(AY189&gt;=$AA5*12,0, AY189+1),0))</f>
        <v>0</v>
      </c>
      <c r="BA189" s="1923">
        <f t="shared" si="165"/>
        <v>0</v>
      </c>
      <c r="BB189" s="1923">
        <f t="shared" si="165"/>
        <v>0</v>
      </c>
      <c r="BC189" s="1923">
        <f t="shared" si="165"/>
        <v>0</v>
      </c>
      <c r="BD189" s="1923">
        <f t="shared" si="165"/>
        <v>0</v>
      </c>
      <c r="BE189" s="1923">
        <f t="shared" si="165"/>
        <v>0</v>
      </c>
      <c r="BF189" s="1923">
        <f t="shared" si="165"/>
        <v>0</v>
      </c>
      <c r="BG189" s="1923">
        <f t="shared" si="165"/>
        <v>0</v>
      </c>
      <c r="BH189" s="1923">
        <f t="shared" si="165"/>
        <v>0</v>
      </c>
      <c r="BI189" s="1923">
        <f t="shared" si="165"/>
        <v>0</v>
      </c>
      <c r="BJ189" s="1923">
        <f t="shared" si="165"/>
        <v>0</v>
      </c>
      <c r="BK189" s="1923">
        <f t="shared" si="165"/>
        <v>0</v>
      </c>
      <c r="BL189" s="1923">
        <f t="shared" si="165"/>
        <v>0</v>
      </c>
      <c r="BM189" s="1923">
        <f t="shared" si="165"/>
        <v>0</v>
      </c>
      <c r="BN189" s="1923">
        <f t="shared" si="165"/>
        <v>0</v>
      </c>
      <c r="BO189" s="1923">
        <f t="shared" si="165"/>
        <v>0</v>
      </c>
      <c r="BP189" s="1923">
        <f t="shared" si="165"/>
        <v>0</v>
      </c>
      <c r="BQ189" s="1923">
        <f t="shared" si="165"/>
        <v>0</v>
      </c>
      <c r="BR189" s="1923">
        <f t="shared" si="165"/>
        <v>0</v>
      </c>
      <c r="BS189" s="1923">
        <f t="shared" si="165"/>
        <v>0</v>
      </c>
      <c r="BT189" s="1923">
        <f t="shared" si="165"/>
        <v>0</v>
      </c>
      <c r="BU189" s="1923">
        <f t="shared" si="165"/>
        <v>0</v>
      </c>
      <c r="BV189" s="1931">
        <f t="shared" si="165"/>
        <v>0</v>
      </c>
      <c r="BW189" s="1931">
        <f t="shared" si="165"/>
        <v>0</v>
      </c>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c r="DK189" s="54"/>
      <c r="DL189" s="54"/>
      <c r="DM189" s="54"/>
      <c r="DN189" s="54"/>
      <c r="DO189" s="54"/>
      <c r="DP189" s="54"/>
      <c r="DQ189" s="54"/>
      <c r="DR189" s="54"/>
      <c r="DS189" s="54"/>
      <c r="DT189" s="54"/>
      <c r="DU189" s="54"/>
      <c r="DV189" s="54"/>
      <c r="DW189" s="54"/>
      <c r="DX189" s="54"/>
      <c r="DY189" s="54"/>
      <c r="DZ189" s="54"/>
      <c r="EA189" s="54"/>
      <c r="EB189" s="54"/>
      <c r="EC189" s="54"/>
      <c r="ED189" s="54"/>
      <c r="EE189" s="54"/>
      <c r="EF189" s="54"/>
      <c r="EG189" s="54"/>
      <c r="EH189" s="54"/>
      <c r="EI189" s="54"/>
      <c r="EJ189" s="54"/>
      <c r="EK189" s="54"/>
      <c r="EL189" s="54"/>
      <c r="EM189" s="54"/>
      <c r="EN189" s="54"/>
      <c r="EO189" s="54"/>
      <c r="EP189" s="54"/>
      <c r="EQ189" s="54"/>
      <c r="ER189" s="54"/>
      <c r="ES189" s="54"/>
      <c r="ET189" s="54"/>
      <c r="EU189" s="54"/>
      <c r="EV189" s="54"/>
      <c r="EW189" s="54"/>
      <c r="EX189" s="54"/>
      <c r="EY189" s="54"/>
      <c r="EZ189" s="54"/>
      <c r="FA189" s="54"/>
      <c r="FB189" s="54"/>
      <c r="FC189" s="54"/>
      <c r="FD189" s="54"/>
      <c r="FE189" s="54"/>
      <c r="FF189" s="54"/>
      <c r="FG189" s="54"/>
      <c r="FH189" s="54"/>
      <c r="FI189" s="54"/>
      <c r="FJ189" s="54"/>
      <c r="FK189" s="54"/>
      <c r="FL189" s="54"/>
      <c r="FM189" s="54"/>
      <c r="FN189" s="54"/>
      <c r="FO189" s="54"/>
      <c r="FP189" s="54"/>
      <c r="FQ189" s="54"/>
      <c r="FR189" s="54"/>
    </row>
    <row r="190" spans="2:174" s="37" customFormat="1" ht="14.25" hidden="1" customHeight="1">
      <c r="B190" s="37" t="str">
        <f>B193</f>
        <v>Abschr</v>
      </c>
      <c r="D190" s="1921"/>
      <c r="E190" s="1920"/>
      <c r="F190" s="140"/>
      <c r="G190" s="140"/>
      <c r="H190" s="140"/>
      <c r="I190" s="1921"/>
      <c r="J190" s="140"/>
      <c r="K190" s="1920"/>
      <c r="L190" s="140"/>
      <c r="M190" s="140"/>
      <c r="N190" s="1921"/>
      <c r="R190" s="140"/>
      <c r="S190" s="1921"/>
      <c r="T190" s="134"/>
      <c r="U190" s="134"/>
      <c r="V190" s="140"/>
      <c r="W190" s="140"/>
      <c r="X190" s="1921"/>
      <c r="Y190" s="1939"/>
      <c r="Z190" s="1939"/>
      <c r="AA190" s="140"/>
      <c r="AB190" s="1939"/>
      <c r="AC190" s="136"/>
      <c r="AD190" s="136"/>
      <c r="AE190" s="136"/>
      <c r="AF190" s="136"/>
      <c r="AG190" s="136"/>
      <c r="AH190" s="136"/>
      <c r="AI190" s="136"/>
      <c r="AJ190" s="136"/>
      <c r="AK190" s="136"/>
      <c r="AL190" s="136"/>
      <c r="AM190" s="136"/>
      <c r="AN190" s="482"/>
      <c r="AO190" s="136"/>
      <c r="AP190" s="136"/>
      <c r="AQ190" s="136"/>
      <c r="AR190" s="136"/>
      <c r="AS190" s="136"/>
      <c r="AV190" s="136"/>
      <c r="AW190" s="136"/>
      <c r="AX190" s="136"/>
      <c r="AY190" s="1922"/>
      <c r="AZ190" s="1922">
        <f t="shared" ref="AZ190:BW190" si="166">IF(AZ189&lt;&gt;0,IF($Z5=0,0,$Y5/($AA5*12)),0)</f>
        <v>0</v>
      </c>
      <c r="BA190" s="1922">
        <f t="shared" si="166"/>
        <v>0</v>
      </c>
      <c r="BB190" s="1922">
        <f t="shared" si="166"/>
        <v>0</v>
      </c>
      <c r="BC190" s="1922">
        <f t="shared" si="166"/>
        <v>0</v>
      </c>
      <c r="BD190" s="1922">
        <f t="shared" si="166"/>
        <v>0</v>
      </c>
      <c r="BE190" s="1922">
        <f t="shared" si="166"/>
        <v>0</v>
      </c>
      <c r="BF190" s="1922">
        <f t="shared" si="166"/>
        <v>0</v>
      </c>
      <c r="BG190" s="1922">
        <f t="shared" si="166"/>
        <v>0</v>
      </c>
      <c r="BH190" s="1922">
        <f t="shared" si="166"/>
        <v>0</v>
      </c>
      <c r="BI190" s="1922">
        <f t="shared" si="166"/>
        <v>0</v>
      </c>
      <c r="BJ190" s="1922">
        <f t="shared" si="166"/>
        <v>0</v>
      </c>
      <c r="BK190" s="1922">
        <f t="shared" si="166"/>
        <v>0</v>
      </c>
      <c r="BL190" s="1922">
        <f t="shared" si="166"/>
        <v>0</v>
      </c>
      <c r="BM190" s="1922">
        <f t="shared" si="166"/>
        <v>0</v>
      </c>
      <c r="BN190" s="1922">
        <f t="shared" si="166"/>
        <v>0</v>
      </c>
      <c r="BO190" s="1922">
        <f t="shared" si="166"/>
        <v>0</v>
      </c>
      <c r="BP190" s="1922">
        <f t="shared" si="166"/>
        <v>0</v>
      </c>
      <c r="BQ190" s="1922">
        <f t="shared" si="166"/>
        <v>0</v>
      </c>
      <c r="BR190" s="1922">
        <f t="shared" si="166"/>
        <v>0</v>
      </c>
      <c r="BS190" s="1922">
        <f t="shared" si="166"/>
        <v>0</v>
      </c>
      <c r="BT190" s="1922">
        <f t="shared" si="166"/>
        <v>0</v>
      </c>
      <c r="BU190" s="1922">
        <f t="shared" si="166"/>
        <v>0</v>
      </c>
      <c r="BV190" s="1924">
        <f t="shared" si="166"/>
        <v>0</v>
      </c>
      <c r="BW190" s="1924">
        <f t="shared" si="166"/>
        <v>0</v>
      </c>
      <c r="BX190" s="1926"/>
      <c r="BY190" s="1926"/>
      <c r="BZ190" s="1926"/>
      <c r="CA190" s="1926"/>
      <c r="CB190" s="1926"/>
      <c r="CC190" s="1926"/>
      <c r="CD190" s="1926"/>
      <c r="CE190" s="1926"/>
      <c r="CF190" s="1926"/>
      <c r="CG190" s="1926"/>
      <c r="CH190" s="1926"/>
      <c r="CI190" s="1926"/>
      <c r="CJ190" s="1926"/>
      <c r="CK190" s="1926"/>
      <c r="CL190" s="1926"/>
      <c r="CM190" s="1926"/>
      <c r="CN190" s="1926"/>
      <c r="CO190" s="1926"/>
      <c r="CP190" s="1926"/>
      <c r="CQ190" s="1926"/>
      <c r="CR190" s="1926"/>
      <c r="CS190" s="1926"/>
      <c r="CT190" s="1926"/>
      <c r="CU190" s="1926"/>
      <c r="CV190" s="1926"/>
      <c r="CW190" s="1926"/>
      <c r="CX190" s="1926"/>
      <c r="CY190" s="1926"/>
      <c r="CZ190" s="1926"/>
      <c r="DA190" s="1926"/>
      <c r="DB190" s="1926"/>
      <c r="DC190" s="1926"/>
      <c r="DD190" s="1926"/>
      <c r="DE190" s="1926"/>
      <c r="DF190" s="1926"/>
      <c r="DG190" s="1926"/>
      <c r="DH190" s="1926"/>
      <c r="DI190" s="1926"/>
      <c r="DJ190" s="1926"/>
      <c r="DK190" s="1926"/>
      <c r="DL190" s="1926"/>
      <c r="DM190" s="1926"/>
      <c r="DN190" s="1926"/>
      <c r="DO190" s="1926"/>
      <c r="DP190" s="1926"/>
      <c r="DQ190" s="1926"/>
      <c r="DR190" s="1926"/>
      <c r="DS190" s="1926"/>
      <c r="DT190" s="1926"/>
      <c r="DU190" s="1926"/>
      <c r="DV190" s="1926"/>
      <c r="DW190" s="1926"/>
      <c r="DX190" s="1926"/>
      <c r="DY190" s="1926"/>
      <c r="DZ190" s="1926"/>
      <c r="EA190" s="1926"/>
      <c r="EB190" s="1926"/>
      <c r="EC190" s="1926"/>
      <c r="ED190" s="1926"/>
      <c r="EE190" s="1926"/>
      <c r="EF190" s="1926"/>
      <c r="EG190" s="1926"/>
      <c r="EH190" s="1926"/>
      <c r="EI190" s="1926"/>
      <c r="EJ190" s="1926"/>
      <c r="EK190" s="1926"/>
      <c r="EL190" s="1926"/>
      <c r="EM190" s="1926"/>
      <c r="EN190" s="1926"/>
      <c r="EO190" s="1926"/>
      <c r="EP190" s="1926"/>
      <c r="EQ190" s="1926"/>
      <c r="ER190" s="1926"/>
      <c r="ES190" s="1926"/>
      <c r="ET190" s="1926"/>
      <c r="EU190" s="1926"/>
      <c r="EV190" s="1926"/>
      <c r="EW190" s="1926"/>
      <c r="EX190" s="1926"/>
      <c r="EY190" s="1926"/>
      <c r="EZ190" s="1926"/>
      <c r="FA190" s="1926"/>
      <c r="FB190" s="1926"/>
      <c r="FC190" s="1926"/>
      <c r="FD190" s="1926"/>
      <c r="FE190" s="1926"/>
      <c r="FF190" s="1926"/>
      <c r="FG190" s="1926"/>
      <c r="FH190" s="1926"/>
      <c r="FI190" s="1926"/>
      <c r="FJ190" s="1926"/>
      <c r="FK190" s="1926"/>
      <c r="FL190" s="1926"/>
      <c r="FM190" s="1926"/>
      <c r="FN190" s="1926"/>
      <c r="FO190" s="1926"/>
      <c r="FP190" s="1926"/>
      <c r="FQ190" s="1926"/>
      <c r="FR190" s="1926"/>
    </row>
    <row r="191" spans="2:174" s="68" customFormat="1" ht="14.25" hidden="1" customHeight="1">
      <c r="B191" s="37" t="s">
        <v>570</v>
      </c>
      <c r="D191" s="108"/>
      <c r="E191" s="108"/>
      <c r="F191" s="108"/>
      <c r="G191" s="108"/>
      <c r="H191" s="782"/>
      <c r="I191" s="108"/>
      <c r="J191" s="108"/>
      <c r="K191" s="108"/>
      <c r="L191" s="108"/>
      <c r="M191" s="782"/>
      <c r="N191" s="108"/>
      <c r="O191" s="108"/>
      <c r="P191" s="108"/>
      <c r="Q191" s="108"/>
      <c r="R191" s="782"/>
      <c r="S191" s="108"/>
      <c r="T191" s="108"/>
      <c r="U191" s="1940"/>
      <c r="V191" s="108"/>
      <c r="W191" s="782"/>
      <c r="X191" s="108"/>
      <c r="Y191" s="124"/>
      <c r="Z191" s="124"/>
      <c r="AA191" s="108"/>
      <c r="AB191" s="124"/>
      <c r="AN191" s="79"/>
      <c r="AY191" s="1923"/>
      <c r="AZ191" s="1923">
        <f t="shared" ref="AZ191:BW191" si="167">IF($Z6=AZ$187,$Y6,0)</f>
        <v>0</v>
      </c>
      <c r="BA191" s="1923">
        <f t="shared" si="167"/>
        <v>0</v>
      </c>
      <c r="BB191" s="1923">
        <f t="shared" si="167"/>
        <v>0</v>
      </c>
      <c r="BC191" s="1923">
        <f t="shared" si="167"/>
        <v>0</v>
      </c>
      <c r="BD191" s="1923">
        <f t="shared" si="167"/>
        <v>0</v>
      </c>
      <c r="BE191" s="1923">
        <f t="shared" si="167"/>
        <v>0</v>
      </c>
      <c r="BF191" s="1923">
        <f t="shared" si="167"/>
        <v>0</v>
      </c>
      <c r="BG191" s="1923">
        <f t="shared" si="167"/>
        <v>0</v>
      </c>
      <c r="BH191" s="1923">
        <f t="shared" si="167"/>
        <v>0</v>
      </c>
      <c r="BI191" s="1923">
        <f t="shared" si="167"/>
        <v>0</v>
      </c>
      <c r="BJ191" s="1923">
        <f t="shared" si="167"/>
        <v>0</v>
      </c>
      <c r="BK191" s="1923">
        <f t="shared" si="167"/>
        <v>0</v>
      </c>
      <c r="BL191" s="1923">
        <f t="shared" si="167"/>
        <v>0</v>
      </c>
      <c r="BM191" s="1923">
        <f t="shared" si="167"/>
        <v>0</v>
      </c>
      <c r="BN191" s="1923">
        <f t="shared" si="167"/>
        <v>0</v>
      </c>
      <c r="BO191" s="1923">
        <f t="shared" si="167"/>
        <v>0</v>
      </c>
      <c r="BP191" s="1923">
        <f t="shared" si="167"/>
        <v>0</v>
      </c>
      <c r="BQ191" s="1923">
        <f t="shared" si="167"/>
        <v>0</v>
      </c>
      <c r="BR191" s="1923">
        <f t="shared" si="167"/>
        <v>0</v>
      </c>
      <c r="BS191" s="1923">
        <f t="shared" si="167"/>
        <v>0</v>
      </c>
      <c r="BT191" s="1923">
        <f t="shared" si="167"/>
        <v>0</v>
      </c>
      <c r="BU191" s="1923">
        <f t="shared" si="167"/>
        <v>0</v>
      </c>
      <c r="BV191" s="1931">
        <f t="shared" si="167"/>
        <v>0</v>
      </c>
      <c r="BW191" s="1931">
        <f t="shared" si="167"/>
        <v>0</v>
      </c>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c r="DK191" s="54"/>
      <c r="DL191" s="54"/>
      <c r="DM191" s="54"/>
      <c r="DN191" s="54"/>
      <c r="DO191" s="54"/>
      <c r="DP191" s="54"/>
      <c r="DQ191" s="54"/>
      <c r="DR191" s="54"/>
      <c r="DS191" s="54"/>
      <c r="DT191" s="54"/>
      <c r="DU191" s="54"/>
      <c r="DV191" s="54"/>
      <c r="DW191" s="54"/>
      <c r="DX191" s="54"/>
      <c r="DY191" s="54"/>
      <c r="DZ191" s="54"/>
      <c r="EA191" s="54"/>
      <c r="EB191" s="54"/>
      <c r="EC191" s="54"/>
      <c r="ED191" s="54"/>
      <c r="EE191" s="54"/>
      <c r="EF191" s="54"/>
      <c r="EG191" s="54"/>
      <c r="EH191" s="54"/>
      <c r="EI191" s="54"/>
      <c r="EJ191" s="54"/>
      <c r="EK191" s="54"/>
      <c r="EL191" s="54"/>
      <c r="EM191" s="54"/>
      <c r="EN191" s="54"/>
      <c r="EO191" s="54"/>
      <c r="EP191" s="54"/>
      <c r="EQ191" s="54"/>
      <c r="ER191" s="54"/>
      <c r="ES191" s="54"/>
      <c r="ET191" s="54"/>
      <c r="EU191" s="54"/>
      <c r="EV191" s="54"/>
      <c r="EW191" s="54"/>
      <c r="EX191" s="54"/>
      <c r="EY191" s="54"/>
      <c r="EZ191" s="54"/>
      <c r="FA191" s="54"/>
      <c r="FB191" s="54"/>
      <c r="FC191" s="54"/>
      <c r="FD191" s="54"/>
      <c r="FE191" s="54"/>
      <c r="FF191" s="54"/>
      <c r="FG191" s="54"/>
      <c r="FH191" s="54"/>
      <c r="FI191" s="54"/>
      <c r="FJ191" s="54"/>
      <c r="FK191" s="54"/>
      <c r="FL191" s="54"/>
      <c r="FM191" s="54"/>
      <c r="FN191" s="54"/>
      <c r="FO191" s="54"/>
      <c r="FP191" s="54"/>
      <c r="FQ191" s="54"/>
      <c r="FR191" s="54"/>
    </row>
    <row r="192" spans="2:174" s="68" customFormat="1" ht="14.25" hidden="1" customHeight="1">
      <c r="B192" s="1921" t="s">
        <v>571</v>
      </c>
      <c r="D192" s="108"/>
      <c r="E192" s="108"/>
      <c r="F192" s="108"/>
      <c r="G192" s="108"/>
      <c r="H192" s="782"/>
      <c r="I192" s="108"/>
      <c r="J192" s="108"/>
      <c r="K192" s="108"/>
      <c r="L192" s="108"/>
      <c r="M192" s="782"/>
      <c r="N192" s="108"/>
      <c r="O192" s="108"/>
      <c r="P192" s="108"/>
      <c r="Q192" s="108"/>
      <c r="R192" s="782"/>
      <c r="S192" s="108"/>
      <c r="T192" s="108"/>
      <c r="U192" s="1940"/>
      <c r="V192" s="108"/>
      <c r="W192" s="782"/>
      <c r="X192" s="108"/>
      <c r="Y192" s="124"/>
      <c r="Z192" s="124"/>
      <c r="AA192" s="108"/>
      <c r="AB192" s="124"/>
      <c r="AN192" s="79"/>
      <c r="AY192" s="1923">
        <v>0</v>
      </c>
      <c r="AZ192" s="1923">
        <f t="shared" ref="AZ192:BW192" si="168">IF($Z6=AZ$187,1,IF(AY192&gt;0,IF(AY192&gt;=$AA6*12,0, AY192+1),0))</f>
        <v>0</v>
      </c>
      <c r="BA192" s="1923">
        <f t="shared" si="168"/>
        <v>0</v>
      </c>
      <c r="BB192" s="1923">
        <f t="shared" si="168"/>
        <v>0</v>
      </c>
      <c r="BC192" s="1923">
        <f t="shared" si="168"/>
        <v>0</v>
      </c>
      <c r="BD192" s="1923">
        <f t="shared" si="168"/>
        <v>0</v>
      </c>
      <c r="BE192" s="1923">
        <f t="shared" si="168"/>
        <v>0</v>
      </c>
      <c r="BF192" s="1923">
        <f t="shared" si="168"/>
        <v>0</v>
      </c>
      <c r="BG192" s="1923">
        <f t="shared" si="168"/>
        <v>0</v>
      </c>
      <c r="BH192" s="1923">
        <f t="shared" si="168"/>
        <v>0</v>
      </c>
      <c r="BI192" s="1923">
        <f t="shared" si="168"/>
        <v>0</v>
      </c>
      <c r="BJ192" s="1923">
        <f t="shared" si="168"/>
        <v>0</v>
      </c>
      <c r="BK192" s="1923">
        <f t="shared" si="168"/>
        <v>0</v>
      </c>
      <c r="BL192" s="1923">
        <f t="shared" si="168"/>
        <v>0</v>
      </c>
      <c r="BM192" s="1923">
        <f t="shared" si="168"/>
        <v>0</v>
      </c>
      <c r="BN192" s="1923">
        <f t="shared" si="168"/>
        <v>0</v>
      </c>
      <c r="BO192" s="1923">
        <f t="shared" si="168"/>
        <v>0</v>
      </c>
      <c r="BP192" s="1923">
        <f t="shared" si="168"/>
        <v>0</v>
      </c>
      <c r="BQ192" s="1923">
        <f t="shared" si="168"/>
        <v>0</v>
      </c>
      <c r="BR192" s="1923">
        <f t="shared" si="168"/>
        <v>0</v>
      </c>
      <c r="BS192" s="1923">
        <f t="shared" si="168"/>
        <v>0</v>
      </c>
      <c r="BT192" s="1923">
        <f t="shared" si="168"/>
        <v>0</v>
      </c>
      <c r="BU192" s="1923">
        <f t="shared" si="168"/>
        <v>0</v>
      </c>
      <c r="BV192" s="1931">
        <f t="shared" si="168"/>
        <v>0</v>
      </c>
      <c r="BW192" s="1931">
        <f t="shared" si="168"/>
        <v>0</v>
      </c>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c r="DK192" s="54"/>
      <c r="DL192" s="54"/>
      <c r="DM192" s="54"/>
      <c r="DN192" s="54"/>
      <c r="DO192" s="54"/>
      <c r="DP192" s="54"/>
      <c r="DQ192" s="54"/>
      <c r="DR192" s="54"/>
      <c r="DS192" s="54"/>
      <c r="DT192" s="54"/>
      <c r="DU192" s="54"/>
      <c r="DV192" s="54"/>
      <c r="DW192" s="54"/>
      <c r="DX192" s="54"/>
      <c r="DY192" s="54"/>
      <c r="DZ192" s="54"/>
      <c r="EA192" s="54"/>
      <c r="EB192" s="54"/>
      <c r="EC192" s="54"/>
      <c r="ED192" s="54"/>
      <c r="EE192" s="54"/>
      <c r="EF192" s="54"/>
      <c r="EG192" s="54"/>
      <c r="EH192" s="54"/>
      <c r="EI192" s="54"/>
      <c r="EJ192" s="54"/>
      <c r="EK192" s="54"/>
      <c r="EL192" s="54"/>
      <c r="EM192" s="54"/>
      <c r="EN192" s="54"/>
      <c r="EO192" s="54"/>
      <c r="EP192" s="54"/>
      <c r="EQ192" s="54"/>
      <c r="ER192" s="54"/>
      <c r="ES192" s="54"/>
      <c r="ET192" s="54"/>
      <c r="EU192" s="54"/>
      <c r="EV192" s="54"/>
      <c r="EW192" s="54"/>
      <c r="EX192" s="54"/>
      <c r="EY192" s="54"/>
      <c r="EZ192" s="54"/>
      <c r="FA192" s="54"/>
      <c r="FB192" s="54"/>
      <c r="FC192" s="54"/>
      <c r="FD192" s="54"/>
      <c r="FE192" s="54"/>
      <c r="FF192" s="54"/>
      <c r="FG192" s="54"/>
      <c r="FH192" s="54"/>
      <c r="FI192" s="54"/>
      <c r="FJ192" s="54"/>
      <c r="FK192" s="54"/>
      <c r="FL192" s="54"/>
      <c r="FM192" s="54"/>
      <c r="FN192" s="54"/>
      <c r="FO192" s="54"/>
      <c r="FP192" s="54"/>
      <c r="FQ192" s="54"/>
      <c r="FR192" s="54"/>
    </row>
    <row r="193" spans="1:174" s="68" customFormat="1" ht="14.25" hidden="1" customHeight="1">
      <c r="B193" s="37" t="s">
        <v>572</v>
      </c>
      <c r="D193" s="108"/>
      <c r="E193" s="108"/>
      <c r="F193" s="108"/>
      <c r="G193" s="108"/>
      <c r="H193" s="782"/>
      <c r="I193" s="108"/>
      <c r="J193" s="108"/>
      <c r="K193" s="108"/>
      <c r="L193" s="108"/>
      <c r="M193" s="782"/>
      <c r="N193" s="108"/>
      <c r="O193" s="108"/>
      <c r="P193" s="108"/>
      <c r="Q193" s="108"/>
      <c r="R193" s="782"/>
      <c r="S193" s="108"/>
      <c r="T193" s="108"/>
      <c r="U193" s="134"/>
      <c r="V193" s="108"/>
      <c r="W193" s="782"/>
      <c r="X193" s="108"/>
      <c r="Y193" s="134"/>
      <c r="Z193" s="134"/>
      <c r="AA193" s="108"/>
      <c r="AB193" s="134"/>
      <c r="AC193" s="37"/>
      <c r="AF193" s="37"/>
      <c r="AI193" s="37"/>
      <c r="AL193" s="37"/>
      <c r="AN193" s="79"/>
      <c r="AO193" s="37"/>
      <c r="AY193" s="1922"/>
      <c r="AZ193" s="1922">
        <f t="shared" ref="AZ193:BW193" si="169">IF(AZ192&lt;&gt;0,IF($Z6=0,0,$Y6/($AA6*12)),0)</f>
        <v>0</v>
      </c>
      <c r="BA193" s="1922">
        <f t="shared" si="169"/>
        <v>0</v>
      </c>
      <c r="BB193" s="1922">
        <f t="shared" si="169"/>
        <v>0</v>
      </c>
      <c r="BC193" s="1922">
        <f t="shared" si="169"/>
        <v>0</v>
      </c>
      <c r="BD193" s="1922">
        <f t="shared" si="169"/>
        <v>0</v>
      </c>
      <c r="BE193" s="1922">
        <f t="shared" si="169"/>
        <v>0</v>
      </c>
      <c r="BF193" s="1922">
        <f t="shared" si="169"/>
        <v>0</v>
      </c>
      <c r="BG193" s="1922">
        <f t="shared" si="169"/>
        <v>0</v>
      </c>
      <c r="BH193" s="1922">
        <f t="shared" si="169"/>
        <v>0</v>
      </c>
      <c r="BI193" s="1922">
        <f t="shared" si="169"/>
        <v>0</v>
      </c>
      <c r="BJ193" s="1922">
        <f t="shared" si="169"/>
        <v>0</v>
      </c>
      <c r="BK193" s="1922">
        <f t="shared" si="169"/>
        <v>0</v>
      </c>
      <c r="BL193" s="1922">
        <f t="shared" si="169"/>
        <v>0</v>
      </c>
      <c r="BM193" s="1922">
        <f t="shared" si="169"/>
        <v>0</v>
      </c>
      <c r="BN193" s="1922">
        <f t="shared" si="169"/>
        <v>0</v>
      </c>
      <c r="BO193" s="1922">
        <f t="shared" si="169"/>
        <v>0</v>
      </c>
      <c r="BP193" s="1922">
        <f t="shared" si="169"/>
        <v>0</v>
      </c>
      <c r="BQ193" s="1922">
        <f t="shared" si="169"/>
        <v>0</v>
      </c>
      <c r="BR193" s="1922">
        <f t="shared" si="169"/>
        <v>0</v>
      </c>
      <c r="BS193" s="1922">
        <f t="shared" si="169"/>
        <v>0</v>
      </c>
      <c r="BT193" s="1922">
        <f t="shared" si="169"/>
        <v>0</v>
      </c>
      <c r="BU193" s="1922">
        <f t="shared" si="169"/>
        <v>0</v>
      </c>
      <c r="BV193" s="1924">
        <f t="shared" si="169"/>
        <v>0</v>
      </c>
      <c r="BW193" s="1924">
        <f t="shared" si="169"/>
        <v>0</v>
      </c>
      <c r="BX193" s="1926"/>
      <c r="BY193" s="1926"/>
      <c r="BZ193" s="1926"/>
      <c r="CA193" s="1926"/>
      <c r="CB193" s="1926"/>
      <c r="CC193" s="1926"/>
      <c r="CD193" s="1926"/>
      <c r="CE193" s="1926"/>
      <c r="CF193" s="1926"/>
      <c r="CG193" s="1926"/>
      <c r="CH193" s="1926"/>
      <c r="CI193" s="1926"/>
      <c r="CJ193" s="1926"/>
      <c r="CK193" s="1926"/>
      <c r="CL193" s="1926"/>
      <c r="CM193" s="1926"/>
      <c r="CN193" s="1926"/>
      <c r="CO193" s="1926"/>
      <c r="CP193" s="1926"/>
      <c r="CQ193" s="1926"/>
      <c r="CR193" s="1926"/>
      <c r="CS193" s="1926"/>
      <c r="CT193" s="1926"/>
      <c r="CU193" s="1926"/>
      <c r="CV193" s="1926"/>
      <c r="CW193" s="1926"/>
      <c r="CX193" s="1926"/>
      <c r="CY193" s="1926"/>
      <c r="CZ193" s="1926"/>
      <c r="DA193" s="1926"/>
      <c r="DB193" s="1926"/>
      <c r="DC193" s="1926"/>
      <c r="DD193" s="1926"/>
      <c r="DE193" s="1926"/>
      <c r="DF193" s="1926"/>
      <c r="DG193" s="1926"/>
      <c r="DH193" s="1926"/>
      <c r="DI193" s="1926"/>
      <c r="DJ193" s="1926"/>
      <c r="DK193" s="1926"/>
      <c r="DL193" s="1926"/>
      <c r="DM193" s="1926"/>
      <c r="DN193" s="1926"/>
      <c r="DO193" s="1926"/>
      <c r="DP193" s="1926"/>
      <c r="DQ193" s="1926"/>
      <c r="DR193" s="1926"/>
      <c r="DS193" s="1926"/>
      <c r="DT193" s="1926"/>
      <c r="DU193" s="1926"/>
      <c r="DV193" s="1926"/>
      <c r="DW193" s="1926"/>
      <c r="DX193" s="1926"/>
      <c r="DY193" s="1926"/>
      <c r="DZ193" s="1926"/>
      <c r="EA193" s="1926"/>
      <c r="EB193" s="1926"/>
      <c r="EC193" s="1926"/>
      <c r="ED193" s="1926"/>
      <c r="EE193" s="1926"/>
      <c r="EF193" s="1926"/>
      <c r="EG193" s="1926"/>
      <c r="EH193" s="1926"/>
      <c r="EI193" s="1926"/>
      <c r="EJ193" s="1926"/>
      <c r="EK193" s="1926"/>
      <c r="EL193" s="1926"/>
      <c r="EM193" s="1926"/>
      <c r="EN193" s="1926"/>
      <c r="EO193" s="1926"/>
      <c r="EP193" s="1926"/>
      <c r="EQ193" s="1926"/>
      <c r="ER193" s="1926"/>
      <c r="ES193" s="1926"/>
      <c r="ET193" s="1926"/>
      <c r="EU193" s="1926"/>
      <c r="EV193" s="1926"/>
      <c r="EW193" s="1926"/>
      <c r="EX193" s="1926"/>
      <c r="EY193" s="1926"/>
      <c r="EZ193" s="1926"/>
      <c r="FA193" s="1926"/>
      <c r="FB193" s="1926"/>
      <c r="FC193" s="1926"/>
      <c r="FD193" s="1926"/>
      <c r="FE193" s="1926"/>
      <c r="FF193" s="1926"/>
      <c r="FG193" s="1926"/>
      <c r="FH193" s="1926"/>
      <c r="FI193" s="1926"/>
      <c r="FJ193" s="1926"/>
      <c r="FK193" s="1926"/>
      <c r="FL193" s="1926"/>
      <c r="FM193" s="1926"/>
      <c r="FN193" s="1926"/>
      <c r="FO193" s="1926"/>
      <c r="FP193" s="1926"/>
      <c r="FQ193" s="1926"/>
      <c r="FR193" s="1926"/>
    </row>
    <row r="194" spans="1:174" s="68" customFormat="1" ht="14.25" hidden="1" customHeight="1">
      <c r="B194" s="37" t="s">
        <v>570</v>
      </c>
      <c r="D194" s="108"/>
      <c r="E194" s="108"/>
      <c r="F194" s="108"/>
      <c r="G194" s="108"/>
      <c r="H194" s="782"/>
      <c r="I194" s="108"/>
      <c r="J194" s="108"/>
      <c r="K194" s="108"/>
      <c r="L194" s="108"/>
      <c r="M194" s="782"/>
      <c r="N194" s="108"/>
      <c r="O194" s="108"/>
      <c r="P194" s="108"/>
      <c r="Q194" s="108"/>
      <c r="R194" s="782"/>
      <c r="S194" s="108"/>
      <c r="T194" s="108"/>
      <c r="U194" s="134"/>
      <c r="V194" s="108"/>
      <c r="W194" s="782"/>
      <c r="X194" s="108"/>
      <c r="Y194" s="134"/>
      <c r="Z194" s="134"/>
      <c r="AA194" s="108"/>
      <c r="AB194" s="134"/>
      <c r="AC194" s="37"/>
      <c r="AF194" s="37"/>
      <c r="AI194" s="37"/>
      <c r="AL194" s="37"/>
      <c r="AN194" s="79"/>
      <c r="AO194" s="37"/>
      <c r="AY194" s="1923"/>
      <c r="AZ194" s="1923">
        <f t="shared" ref="AZ194:BW194" si="170">IF($Z7=AZ$187,$Y7,0)</f>
        <v>0</v>
      </c>
      <c r="BA194" s="1923">
        <f t="shared" si="170"/>
        <v>0</v>
      </c>
      <c r="BB194" s="1923">
        <f t="shared" si="170"/>
        <v>0</v>
      </c>
      <c r="BC194" s="1923">
        <f t="shared" si="170"/>
        <v>0</v>
      </c>
      <c r="BD194" s="1923">
        <f t="shared" si="170"/>
        <v>0</v>
      </c>
      <c r="BE194" s="1923">
        <f t="shared" si="170"/>
        <v>0</v>
      </c>
      <c r="BF194" s="1923">
        <f t="shared" si="170"/>
        <v>0</v>
      </c>
      <c r="BG194" s="1923">
        <f t="shared" si="170"/>
        <v>0</v>
      </c>
      <c r="BH194" s="1923">
        <f t="shared" si="170"/>
        <v>0</v>
      </c>
      <c r="BI194" s="1923">
        <f t="shared" si="170"/>
        <v>0</v>
      </c>
      <c r="BJ194" s="1923">
        <f t="shared" si="170"/>
        <v>0</v>
      </c>
      <c r="BK194" s="1923">
        <f t="shared" si="170"/>
        <v>0</v>
      </c>
      <c r="BL194" s="1923">
        <f t="shared" si="170"/>
        <v>0</v>
      </c>
      <c r="BM194" s="1923">
        <f t="shared" si="170"/>
        <v>0</v>
      </c>
      <c r="BN194" s="1923">
        <f t="shared" si="170"/>
        <v>0</v>
      </c>
      <c r="BO194" s="1923">
        <f t="shared" si="170"/>
        <v>0</v>
      </c>
      <c r="BP194" s="1923">
        <f t="shared" si="170"/>
        <v>0</v>
      </c>
      <c r="BQ194" s="1923">
        <f t="shared" si="170"/>
        <v>0</v>
      </c>
      <c r="BR194" s="1923">
        <f t="shared" si="170"/>
        <v>0</v>
      </c>
      <c r="BS194" s="1923">
        <f t="shared" si="170"/>
        <v>0</v>
      </c>
      <c r="BT194" s="1923">
        <f t="shared" si="170"/>
        <v>0</v>
      </c>
      <c r="BU194" s="1923">
        <f t="shared" si="170"/>
        <v>0</v>
      </c>
      <c r="BV194" s="1931">
        <f t="shared" si="170"/>
        <v>0</v>
      </c>
      <c r="BW194" s="1931">
        <f t="shared" si="170"/>
        <v>0</v>
      </c>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c r="DK194" s="54"/>
      <c r="DL194" s="54"/>
      <c r="DM194" s="54"/>
      <c r="DN194" s="54"/>
      <c r="DO194" s="54"/>
      <c r="DP194" s="54"/>
      <c r="DQ194" s="54"/>
      <c r="DR194" s="54"/>
      <c r="DS194" s="54"/>
      <c r="DT194" s="54"/>
      <c r="DU194" s="54"/>
      <c r="DV194" s="54"/>
      <c r="DW194" s="54"/>
      <c r="DX194" s="54"/>
      <c r="DY194" s="54"/>
      <c r="DZ194" s="54"/>
      <c r="EA194" s="54"/>
      <c r="EB194" s="54"/>
      <c r="EC194" s="54"/>
      <c r="ED194" s="54"/>
      <c r="EE194" s="54"/>
      <c r="EF194" s="54"/>
      <c r="EG194" s="54"/>
      <c r="EH194" s="54"/>
      <c r="EI194" s="54"/>
      <c r="EJ194" s="54"/>
      <c r="EK194" s="54"/>
      <c r="EL194" s="54"/>
      <c r="EM194" s="54"/>
      <c r="EN194" s="54"/>
      <c r="EO194" s="54"/>
      <c r="EP194" s="54"/>
      <c r="EQ194" s="54"/>
      <c r="ER194" s="54"/>
      <c r="ES194" s="54"/>
      <c r="ET194" s="54"/>
      <c r="EU194" s="54"/>
      <c r="EV194" s="54"/>
      <c r="EW194" s="54"/>
      <c r="EX194" s="54"/>
      <c r="EY194" s="54"/>
      <c r="EZ194" s="54"/>
      <c r="FA194" s="54"/>
      <c r="FB194" s="54"/>
      <c r="FC194" s="54"/>
      <c r="FD194" s="54"/>
      <c r="FE194" s="54"/>
      <c r="FF194" s="54"/>
      <c r="FG194" s="54"/>
      <c r="FH194" s="54"/>
      <c r="FI194" s="54"/>
      <c r="FJ194" s="54"/>
      <c r="FK194" s="54"/>
      <c r="FL194" s="54"/>
      <c r="FM194" s="54"/>
      <c r="FN194" s="54"/>
      <c r="FO194" s="54"/>
      <c r="FP194" s="54"/>
      <c r="FQ194" s="54"/>
      <c r="FR194" s="54"/>
    </row>
    <row r="195" spans="1:174" s="30" customFormat="1" ht="14.25" hidden="1" customHeight="1">
      <c r="A195" s="37"/>
      <c r="B195" s="1921" t="s">
        <v>571</v>
      </c>
      <c r="D195" s="108"/>
      <c r="E195" s="108"/>
      <c r="F195" s="108"/>
      <c r="G195" s="108"/>
      <c r="H195" s="782"/>
      <c r="I195" s="108"/>
      <c r="J195" s="108"/>
      <c r="K195" s="108"/>
      <c r="L195" s="108"/>
      <c r="M195" s="782"/>
      <c r="N195" s="108"/>
      <c r="O195" s="108"/>
      <c r="P195" s="108"/>
      <c r="Q195" s="108"/>
      <c r="R195" s="782"/>
      <c r="S195" s="108"/>
      <c r="T195" s="108"/>
      <c r="U195" s="1941"/>
      <c r="V195" s="108"/>
      <c r="W195" s="782"/>
      <c r="X195" s="108"/>
      <c r="Y195" s="37"/>
      <c r="Z195" s="37"/>
      <c r="AA195" s="108"/>
      <c r="AB195" s="37"/>
      <c r="AC195" s="37"/>
      <c r="AD195" s="37"/>
      <c r="AE195" s="37"/>
      <c r="AF195" s="37"/>
      <c r="AG195" s="37"/>
      <c r="AH195" s="37"/>
      <c r="AI195" s="37"/>
      <c r="AJ195" s="37"/>
      <c r="AK195" s="37"/>
      <c r="AL195" s="37"/>
      <c r="AM195" s="37"/>
      <c r="AN195" s="168"/>
      <c r="AO195" s="37"/>
      <c r="AP195" s="37"/>
      <c r="AQ195" s="37"/>
      <c r="AR195" s="37"/>
      <c r="AS195" s="37"/>
      <c r="AT195" s="37"/>
      <c r="AU195" s="37"/>
      <c r="AV195" s="37"/>
      <c r="AW195" s="37"/>
      <c r="AX195" s="37"/>
      <c r="AY195" s="1923">
        <v>0</v>
      </c>
      <c r="AZ195" s="1923">
        <f t="shared" ref="AZ195:BW195" si="171">IF($Z7=AZ$187,1,IF(AY195&gt;0,IF(AY195&gt;=$AA7*12,0, AY195+1),0))</f>
        <v>0</v>
      </c>
      <c r="BA195" s="1923">
        <f t="shared" si="171"/>
        <v>0</v>
      </c>
      <c r="BB195" s="1923">
        <f t="shared" si="171"/>
        <v>0</v>
      </c>
      <c r="BC195" s="1923">
        <f t="shared" si="171"/>
        <v>0</v>
      </c>
      <c r="BD195" s="1923">
        <f t="shared" si="171"/>
        <v>0</v>
      </c>
      <c r="BE195" s="1923">
        <f t="shared" si="171"/>
        <v>0</v>
      </c>
      <c r="BF195" s="1923">
        <f t="shared" si="171"/>
        <v>0</v>
      </c>
      <c r="BG195" s="1923">
        <f t="shared" si="171"/>
        <v>0</v>
      </c>
      <c r="BH195" s="1923">
        <f t="shared" si="171"/>
        <v>0</v>
      </c>
      <c r="BI195" s="1923">
        <f t="shared" si="171"/>
        <v>0</v>
      </c>
      <c r="BJ195" s="1923">
        <f t="shared" si="171"/>
        <v>0</v>
      </c>
      <c r="BK195" s="1923">
        <f t="shared" si="171"/>
        <v>0</v>
      </c>
      <c r="BL195" s="1923">
        <f t="shared" si="171"/>
        <v>0</v>
      </c>
      <c r="BM195" s="1923">
        <f t="shared" si="171"/>
        <v>0</v>
      </c>
      <c r="BN195" s="1923">
        <f t="shared" si="171"/>
        <v>0</v>
      </c>
      <c r="BO195" s="1923">
        <f t="shared" si="171"/>
        <v>0</v>
      </c>
      <c r="BP195" s="1923">
        <f t="shared" si="171"/>
        <v>0</v>
      </c>
      <c r="BQ195" s="1923">
        <f t="shared" si="171"/>
        <v>0</v>
      </c>
      <c r="BR195" s="1923">
        <f t="shared" si="171"/>
        <v>0</v>
      </c>
      <c r="BS195" s="1923">
        <f t="shared" si="171"/>
        <v>0</v>
      </c>
      <c r="BT195" s="1923">
        <f t="shared" si="171"/>
        <v>0</v>
      </c>
      <c r="BU195" s="1923">
        <f t="shared" si="171"/>
        <v>0</v>
      </c>
      <c r="BV195" s="1931">
        <f t="shared" si="171"/>
        <v>0</v>
      </c>
      <c r="BW195" s="1931">
        <f t="shared" si="171"/>
        <v>0</v>
      </c>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c r="DK195" s="54"/>
      <c r="DL195" s="54"/>
      <c r="DM195" s="54"/>
      <c r="DN195" s="54"/>
      <c r="DO195" s="54"/>
      <c r="DP195" s="54"/>
      <c r="DQ195" s="54"/>
      <c r="DR195" s="54"/>
      <c r="DS195" s="54"/>
      <c r="DT195" s="54"/>
      <c r="DU195" s="54"/>
      <c r="DV195" s="54"/>
      <c r="DW195" s="54"/>
      <c r="DX195" s="54"/>
      <c r="DY195" s="54"/>
      <c r="DZ195" s="54"/>
      <c r="EA195" s="54"/>
      <c r="EB195" s="54"/>
      <c r="EC195" s="54"/>
      <c r="ED195" s="54"/>
      <c r="EE195" s="54"/>
      <c r="EF195" s="54"/>
      <c r="EG195" s="54"/>
      <c r="EH195" s="54"/>
      <c r="EI195" s="54"/>
      <c r="EJ195" s="54"/>
      <c r="EK195" s="54"/>
      <c r="EL195" s="54"/>
      <c r="EM195" s="54"/>
      <c r="EN195" s="54"/>
      <c r="EO195" s="54"/>
      <c r="EP195" s="54"/>
      <c r="EQ195" s="54"/>
      <c r="ER195" s="54"/>
      <c r="ES195" s="54"/>
      <c r="ET195" s="54"/>
      <c r="EU195" s="54"/>
      <c r="EV195" s="54"/>
      <c r="EW195" s="54"/>
      <c r="EX195" s="54"/>
      <c r="EY195" s="54"/>
      <c r="EZ195" s="54"/>
      <c r="FA195" s="54"/>
      <c r="FB195" s="54"/>
      <c r="FC195" s="54"/>
      <c r="FD195" s="54"/>
      <c r="FE195" s="54"/>
      <c r="FF195" s="54"/>
      <c r="FG195" s="54"/>
      <c r="FH195" s="54"/>
      <c r="FI195" s="54"/>
      <c r="FJ195" s="54"/>
      <c r="FK195" s="54"/>
      <c r="FL195" s="54"/>
      <c r="FM195" s="54"/>
      <c r="FN195" s="54"/>
      <c r="FO195" s="54"/>
      <c r="FP195" s="54"/>
      <c r="FQ195" s="54"/>
      <c r="FR195" s="54"/>
    </row>
    <row r="196" spans="1:174" s="30" customFormat="1" ht="14.25" hidden="1" customHeight="1">
      <c r="A196" s="37"/>
      <c r="B196" s="37" t="s">
        <v>572</v>
      </c>
      <c r="D196" s="108"/>
      <c r="E196" s="108"/>
      <c r="F196" s="108"/>
      <c r="G196" s="108"/>
      <c r="H196" s="782"/>
      <c r="I196" s="108"/>
      <c r="J196" s="108"/>
      <c r="K196" s="108"/>
      <c r="L196" s="108"/>
      <c r="M196" s="782"/>
      <c r="N196" s="108"/>
      <c r="O196" s="108"/>
      <c r="P196" s="108"/>
      <c r="Q196" s="108"/>
      <c r="R196" s="782"/>
      <c r="S196" s="108"/>
      <c r="T196" s="108"/>
      <c r="U196" s="1941"/>
      <c r="V196" s="108"/>
      <c r="W196" s="782"/>
      <c r="X196" s="108"/>
      <c r="Y196" s="37"/>
      <c r="Z196" s="37"/>
      <c r="AA196" s="108"/>
      <c r="AB196" s="37"/>
      <c r="AC196" s="37"/>
      <c r="AD196" s="37"/>
      <c r="AE196" s="37"/>
      <c r="AF196" s="37"/>
      <c r="AG196" s="37"/>
      <c r="AH196" s="37"/>
      <c r="AI196" s="37"/>
      <c r="AJ196" s="37"/>
      <c r="AK196" s="37"/>
      <c r="AL196" s="37"/>
      <c r="AM196" s="37"/>
      <c r="AN196" s="168"/>
      <c r="AO196" s="37"/>
      <c r="AP196" s="37"/>
      <c r="AQ196" s="37"/>
      <c r="AR196" s="37"/>
      <c r="AS196" s="37"/>
      <c r="AT196" s="37"/>
      <c r="AU196" s="37"/>
      <c r="AV196" s="37"/>
      <c r="AW196" s="37"/>
      <c r="AX196" s="37"/>
      <c r="AY196" s="1922"/>
      <c r="AZ196" s="1922">
        <f t="shared" ref="AZ196:BW196" si="172">IF(AZ195&lt;&gt;0,IF($Z7=0,0,$Y7/($AA7*12)),0)</f>
        <v>0</v>
      </c>
      <c r="BA196" s="1922">
        <f t="shared" si="172"/>
        <v>0</v>
      </c>
      <c r="BB196" s="1922">
        <f t="shared" si="172"/>
        <v>0</v>
      </c>
      <c r="BC196" s="1922">
        <f t="shared" si="172"/>
        <v>0</v>
      </c>
      <c r="BD196" s="1922">
        <f t="shared" si="172"/>
        <v>0</v>
      </c>
      <c r="BE196" s="1922">
        <f t="shared" si="172"/>
        <v>0</v>
      </c>
      <c r="BF196" s="1922">
        <f t="shared" si="172"/>
        <v>0</v>
      </c>
      <c r="BG196" s="1922">
        <f t="shared" si="172"/>
        <v>0</v>
      </c>
      <c r="BH196" s="1922">
        <f t="shared" si="172"/>
        <v>0</v>
      </c>
      <c r="BI196" s="1922">
        <f t="shared" si="172"/>
        <v>0</v>
      </c>
      <c r="BJ196" s="1922">
        <f t="shared" si="172"/>
        <v>0</v>
      </c>
      <c r="BK196" s="1922">
        <f t="shared" si="172"/>
        <v>0</v>
      </c>
      <c r="BL196" s="1922">
        <f t="shared" si="172"/>
        <v>0</v>
      </c>
      <c r="BM196" s="1922">
        <f t="shared" si="172"/>
        <v>0</v>
      </c>
      <c r="BN196" s="1922">
        <f t="shared" si="172"/>
        <v>0</v>
      </c>
      <c r="BO196" s="1922">
        <f t="shared" si="172"/>
        <v>0</v>
      </c>
      <c r="BP196" s="1922">
        <f t="shared" si="172"/>
        <v>0</v>
      </c>
      <c r="BQ196" s="1922">
        <f t="shared" si="172"/>
        <v>0</v>
      </c>
      <c r="BR196" s="1922">
        <f t="shared" si="172"/>
        <v>0</v>
      </c>
      <c r="BS196" s="1922">
        <f t="shared" si="172"/>
        <v>0</v>
      </c>
      <c r="BT196" s="1922">
        <f t="shared" si="172"/>
        <v>0</v>
      </c>
      <c r="BU196" s="1922">
        <f t="shared" si="172"/>
        <v>0</v>
      </c>
      <c r="BV196" s="1924">
        <f t="shared" si="172"/>
        <v>0</v>
      </c>
      <c r="BW196" s="1924">
        <f t="shared" si="172"/>
        <v>0</v>
      </c>
      <c r="BX196" s="1926"/>
      <c r="BY196" s="1926"/>
      <c r="BZ196" s="1926"/>
      <c r="CA196" s="1926"/>
      <c r="CB196" s="1926"/>
      <c r="CC196" s="1926"/>
      <c r="CD196" s="1926"/>
      <c r="CE196" s="1926"/>
      <c r="CF196" s="1926"/>
      <c r="CG196" s="1926"/>
      <c r="CH196" s="1926"/>
      <c r="CI196" s="1926"/>
      <c r="CJ196" s="1926"/>
      <c r="CK196" s="1926"/>
      <c r="CL196" s="1926"/>
      <c r="CM196" s="1926"/>
      <c r="CN196" s="1926"/>
      <c r="CO196" s="1926"/>
      <c r="CP196" s="1926"/>
      <c r="CQ196" s="1926"/>
      <c r="CR196" s="1926"/>
      <c r="CS196" s="1926"/>
      <c r="CT196" s="1926"/>
      <c r="CU196" s="1926"/>
      <c r="CV196" s="1926"/>
      <c r="CW196" s="1926"/>
      <c r="CX196" s="1926"/>
      <c r="CY196" s="1926"/>
      <c r="CZ196" s="1926"/>
      <c r="DA196" s="1926"/>
      <c r="DB196" s="1926"/>
      <c r="DC196" s="1926"/>
      <c r="DD196" s="1926"/>
      <c r="DE196" s="1926"/>
      <c r="DF196" s="1926"/>
      <c r="DG196" s="1926"/>
      <c r="DH196" s="1926"/>
      <c r="DI196" s="1926"/>
      <c r="DJ196" s="1926"/>
      <c r="DK196" s="1926"/>
      <c r="DL196" s="1926"/>
      <c r="DM196" s="1926"/>
      <c r="DN196" s="1926"/>
      <c r="DO196" s="1926"/>
      <c r="DP196" s="1926"/>
      <c r="DQ196" s="1926"/>
      <c r="DR196" s="1926"/>
      <c r="DS196" s="1926"/>
      <c r="DT196" s="1926"/>
      <c r="DU196" s="1926"/>
      <c r="DV196" s="1926"/>
      <c r="DW196" s="1926"/>
      <c r="DX196" s="1926"/>
      <c r="DY196" s="1926"/>
      <c r="DZ196" s="1926"/>
      <c r="EA196" s="1926"/>
      <c r="EB196" s="1926"/>
      <c r="EC196" s="1926"/>
      <c r="ED196" s="1926"/>
      <c r="EE196" s="1926"/>
      <c r="EF196" s="1926"/>
      <c r="EG196" s="1926"/>
      <c r="EH196" s="1926"/>
      <c r="EI196" s="1926"/>
      <c r="EJ196" s="1926"/>
      <c r="EK196" s="1926"/>
      <c r="EL196" s="1926"/>
      <c r="EM196" s="1926"/>
      <c r="EN196" s="1926"/>
      <c r="EO196" s="1926"/>
      <c r="EP196" s="1926"/>
      <c r="EQ196" s="1926"/>
      <c r="ER196" s="1926"/>
      <c r="ES196" s="1926"/>
      <c r="ET196" s="1926"/>
      <c r="EU196" s="1926"/>
      <c r="EV196" s="1926"/>
      <c r="EW196" s="1926"/>
      <c r="EX196" s="1926"/>
      <c r="EY196" s="1926"/>
      <c r="EZ196" s="1926"/>
      <c r="FA196" s="1926"/>
      <c r="FB196" s="1926"/>
      <c r="FC196" s="1926"/>
      <c r="FD196" s="1926"/>
      <c r="FE196" s="1926"/>
      <c r="FF196" s="1926"/>
      <c r="FG196" s="1926"/>
      <c r="FH196" s="1926"/>
      <c r="FI196" s="1926"/>
      <c r="FJ196" s="1926"/>
      <c r="FK196" s="1926"/>
      <c r="FL196" s="1926"/>
      <c r="FM196" s="1926"/>
      <c r="FN196" s="1926"/>
      <c r="FO196" s="1926"/>
      <c r="FP196" s="1926"/>
      <c r="FQ196" s="1926"/>
      <c r="FR196" s="1926"/>
    </row>
    <row r="197" spans="1:174" s="30" customFormat="1" ht="14.25" hidden="1" customHeight="1">
      <c r="A197" s="37"/>
      <c r="B197" s="37" t="s">
        <v>570</v>
      </c>
      <c r="D197" s="108"/>
      <c r="E197" s="108"/>
      <c r="F197" s="108"/>
      <c r="G197" s="108"/>
      <c r="H197" s="782"/>
      <c r="I197" s="108"/>
      <c r="J197" s="108"/>
      <c r="K197" s="108"/>
      <c r="L197" s="108"/>
      <c r="M197" s="782"/>
      <c r="N197" s="108"/>
      <c r="O197" s="108"/>
      <c r="P197" s="108"/>
      <c r="Q197" s="108"/>
      <c r="R197" s="782"/>
      <c r="S197" s="108"/>
      <c r="T197" s="108"/>
      <c r="U197" s="1941"/>
      <c r="V197" s="108"/>
      <c r="W197" s="782"/>
      <c r="X197" s="108"/>
      <c r="Y197" s="37"/>
      <c r="Z197" s="37"/>
      <c r="AA197" s="108"/>
      <c r="AB197" s="37"/>
      <c r="AC197" s="37"/>
      <c r="AD197" s="37"/>
      <c r="AE197" s="37"/>
      <c r="AF197" s="37"/>
      <c r="AG197" s="37"/>
      <c r="AH197" s="37"/>
      <c r="AI197" s="37"/>
      <c r="AJ197" s="37"/>
      <c r="AK197" s="37"/>
      <c r="AL197" s="37"/>
      <c r="AM197" s="37"/>
      <c r="AN197" s="168"/>
      <c r="AO197" s="37"/>
      <c r="AP197" s="37"/>
      <c r="AQ197" s="37"/>
      <c r="AR197" s="37"/>
      <c r="AS197" s="37"/>
      <c r="AT197" s="37"/>
      <c r="AU197" s="37"/>
      <c r="AV197" s="37"/>
      <c r="AW197" s="37"/>
      <c r="AX197" s="37"/>
      <c r="AY197" s="1923"/>
      <c r="AZ197" s="1923">
        <f t="shared" ref="AZ197:BW197" si="173">IF($Z8=AZ$187,$Y8,0)</f>
        <v>0</v>
      </c>
      <c r="BA197" s="1923">
        <f t="shared" si="173"/>
        <v>0</v>
      </c>
      <c r="BB197" s="1923">
        <f t="shared" si="173"/>
        <v>0</v>
      </c>
      <c r="BC197" s="1923">
        <f t="shared" si="173"/>
        <v>0</v>
      </c>
      <c r="BD197" s="1923">
        <f t="shared" si="173"/>
        <v>0</v>
      </c>
      <c r="BE197" s="1923">
        <f t="shared" si="173"/>
        <v>0</v>
      </c>
      <c r="BF197" s="1923">
        <f t="shared" si="173"/>
        <v>0</v>
      </c>
      <c r="BG197" s="1923">
        <f t="shared" si="173"/>
        <v>0</v>
      </c>
      <c r="BH197" s="1923">
        <f t="shared" si="173"/>
        <v>0</v>
      </c>
      <c r="BI197" s="1923">
        <f t="shared" si="173"/>
        <v>0</v>
      </c>
      <c r="BJ197" s="1923">
        <f t="shared" si="173"/>
        <v>0</v>
      </c>
      <c r="BK197" s="1923">
        <f t="shared" si="173"/>
        <v>0</v>
      </c>
      <c r="BL197" s="1923">
        <f t="shared" si="173"/>
        <v>0</v>
      </c>
      <c r="BM197" s="1923">
        <f t="shared" si="173"/>
        <v>0</v>
      </c>
      <c r="BN197" s="1923">
        <f t="shared" si="173"/>
        <v>0</v>
      </c>
      <c r="BO197" s="1923">
        <f t="shared" si="173"/>
        <v>0</v>
      </c>
      <c r="BP197" s="1923">
        <f t="shared" si="173"/>
        <v>0</v>
      </c>
      <c r="BQ197" s="1923">
        <f t="shared" si="173"/>
        <v>0</v>
      </c>
      <c r="BR197" s="1923">
        <f t="shared" si="173"/>
        <v>0</v>
      </c>
      <c r="BS197" s="1923">
        <f t="shared" si="173"/>
        <v>0</v>
      </c>
      <c r="BT197" s="1923">
        <f t="shared" si="173"/>
        <v>0</v>
      </c>
      <c r="BU197" s="1923">
        <f t="shared" si="173"/>
        <v>0</v>
      </c>
      <c r="BV197" s="1931">
        <f t="shared" si="173"/>
        <v>0</v>
      </c>
      <c r="BW197" s="1931">
        <f t="shared" si="173"/>
        <v>0</v>
      </c>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c r="DK197" s="54"/>
      <c r="DL197" s="54"/>
      <c r="DM197" s="54"/>
      <c r="DN197" s="54"/>
      <c r="DO197" s="54"/>
      <c r="DP197" s="54"/>
      <c r="DQ197" s="54"/>
      <c r="DR197" s="54"/>
      <c r="DS197" s="54"/>
      <c r="DT197" s="54"/>
      <c r="DU197" s="54"/>
      <c r="DV197" s="54"/>
      <c r="DW197" s="54"/>
      <c r="DX197" s="54"/>
      <c r="DY197" s="54"/>
      <c r="DZ197" s="54"/>
      <c r="EA197" s="54"/>
      <c r="EB197" s="54"/>
      <c r="EC197" s="54"/>
      <c r="ED197" s="54"/>
      <c r="EE197" s="54"/>
      <c r="EF197" s="54"/>
      <c r="EG197" s="54"/>
      <c r="EH197" s="54"/>
      <c r="EI197" s="54"/>
      <c r="EJ197" s="54"/>
      <c r="EK197" s="54"/>
      <c r="EL197" s="54"/>
      <c r="EM197" s="54"/>
      <c r="EN197" s="54"/>
      <c r="EO197" s="54"/>
      <c r="EP197" s="54"/>
      <c r="EQ197" s="54"/>
      <c r="ER197" s="54"/>
      <c r="ES197" s="54"/>
      <c r="ET197" s="54"/>
      <c r="EU197" s="54"/>
      <c r="EV197" s="54"/>
      <c r="EW197" s="54"/>
      <c r="EX197" s="54"/>
      <c r="EY197" s="54"/>
      <c r="EZ197" s="54"/>
      <c r="FA197" s="54"/>
      <c r="FB197" s="54"/>
      <c r="FC197" s="54"/>
      <c r="FD197" s="54"/>
      <c r="FE197" s="54"/>
      <c r="FF197" s="54"/>
      <c r="FG197" s="54"/>
      <c r="FH197" s="54"/>
      <c r="FI197" s="54"/>
      <c r="FJ197" s="54"/>
      <c r="FK197" s="54"/>
      <c r="FL197" s="54"/>
      <c r="FM197" s="54"/>
      <c r="FN197" s="54"/>
      <c r="FO197" s="54"/>
      <c r="FP197" s="54"/>
      <c r="FQ197" s="54"/>
      <c r="FR197" s="54"/>
    </row>
    <row r="198" spans="1:174" s="30" customFormat="1" ht="14.25" hidden="1" customHeight="1">
      <c r="A198" s="37"/>
      <c r="B198" s="1921" t="s">
        <v>571</v>
      </c>
      <c r="D198" s="108"/>
      <c r="E198" s="108"/>
      <c r="F198" s="108"/>
      <c r="G198" s="108"/>
      <c r="H198" s="782"/>
      <c r="I198" s="108"/>
      <c r="J198" s="108"/>
      <c r="K198" s="108"/>
      <c r="L198" s="108"/>
      <c r="M198" s="782"/>
      <c r="N198" s="108"/>
      <c r="O198" s="108"/>
      <c r="P198" s="108"/>
      <c r="Q198" s="108"/>
      <c r="R198" s="782"/>
      <c r="S198" s="108"/>
      <c r="T198" s="108"/>
      <c r="U198" s="134"/>
      <c r="V198" s="108"/>
      <c r="W198" s="782"/>
      <c r="X198" s="108"/>
      <c r="Y198" s="134"/>
      <c r="Z198" s="134"/>
      <c r="AA198" s="108"/>
      <c r="AB198" s="134"/>
      <c r="AC198" s="37"/>
      <c r="AD198" s="37"/>
      <c r="AE198" s="37"/>
      <c r="AF198" s="37"/>
      <c r="AG198" s="37"/>
      <c r="AH198" s="37"/>
      <c r="AI198" s="37"/>
      <c r="AJ198" s="37"/>
      <c r="AK198" s="37"/>
      <c r="AL198" s="37"/>
      <c r="AM198" s="37"/>
      <c r="AN198" s="168"/>
      <c r="AO198" s="37"/>
      <c r="AP198" s="37"/>
      <c r="AQ198" s="37"/>
      <c r="AR198" s="37"/>
      <c r="AS198" s="37"/>
      <c r="AT198" s="37"/>
      <c r="AU198" s="37"/>
      <c r="AV198" s="37"/>
      <c r="AW198" s="37"/>
      <c r="AX198" s="37"/>
      <c r="AY198" s="1923">
        <v>0</v>
      </c>
      <c r="AZ198" s="1923">
        <f t="shared" ref="AZ198:BW198" si="174">IF($Z8=AZ$187,1,IF(AY198&gt;0,IF(AY198&gt;=$AA8*12,0, AY198+1),0))</f>
        <v>0</v>
      </c>
      <c r="BA198" s="1923">
        <f t="shared" si="174"/>
        <v>0</v>
      </c>
      <c r="BB198" s="1923">
        <f t="shared" si="174"/>
        <v>0</v>
      </c>
      <c r="BC198" s="1923">
        <f t="shared" si="174"/>
        <v>0</v>
      </c>
      <c r="BD198" s="1923">
        <f t="shared" si="174"/>
        <v>0</v>
      </c>
      <c r="BE198" s="1923">
        <f t="shared" si="174"/>
        <v>0</v>
      </c>
      <c r="BF198" s="1923">
        <f t="shared" si="174"/>
        <v>0</v>
      </c>
      <c r="BG198" s="1923">
        <f t="shared" si="174"/>
        <v>0</v>
      </c>
      <c r="BH198" s="1923">
        <f t="shared" si="174"/>
        <v>0</v>
      </c>
      <c r="BI198" s="1923">
        <f t="shared" si="174"/>
        <v>0</v>
      </c>
      <c r="BJ198" s="1923">
        <f t="shared" si="174"/>
        <v>0</v>
      </c>
      <c r="BK198" s="1923">
        <f t="shared" si="174"/>
        <v>0</v>
      </c>
      <c r="BL198" s="1923">
        <f t="shared" si="174"/>
        <v>0</v>
      </c>
      <c r="BM198" s="1923">
        <f t="shared" si="174"/>
        <v>0</v>
      </c>
      <c r="BN198" s="1923">
        <f t="shared" si="174"/>
        <v>0</v>
      </c>
      <c r="BO198" s="1923">
        <f t="shared" si="174"/>
        <v>0</v>
      </c>
      <c r="BP198" s="1923">
        <f t="shared" si="174"/>
        <v>0</v>
      </c>
      <c r="BQ198" s="1923">
        <f t="shared" si="174"/>
        <v>0</v>
      </c>
      <c r="BR198" s="1923">
        <f t="shared" si="174"/>
        <v>0</v>
      </c>
      <c r="BS198" s="1923">
        <f t="shared" si="174"/>
        <v>0</v>
      </c>
      <c r="BT198" s="1923">
        <f t="shared" si="174"/>
        <v>0</v>
      </c>
      <c r="BU198" s="1923">
        <f t="shared" si="174"/>
        <v>0</v>
      </c>
      <c r="BV198" s="1931">
        <f t="shared" si="174"/>
        <v>0</v>
      </c>
      <c r="BW198" s="1931">
        <f t="shared" si="174"/>
        <v>0</v>
      </c>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c r="DK198" s="54"/>
      <c r="DL198" s="54"/>
      <c r="DM198" s="54"/>
      <c r="DN198" s="54"/>
      <c r="DO198" s="54"/>
      <c r="DP198" s="54"/>
      <c r="DQ198" s="54"/>
      <c r="DR198" s="54"/>
      <c r="DS198" s="54"/>
      <c r="DT198" s="54"/>
      <c r="DU198" s="54"/>
      <c r="DV198" s="54"/>
      <c r="DW198" s="54"/>
      <c r="DX198" s="54"/>
      <c r="DY198" s="54"/>
      <c r="DZ198" s="54"/>
      <c r="EA198" s="54"/>
      <c r="EB198" s="54"/>
      <c r="EC198" s="54"/>
      <c r="ED198" s="54"/>
      <c r="EE198" s="54"/>
      <c r="EF198" s="54"/>
      <c r="EG198" s="54"/>
      <c r="EH198" s="54"/>
      <c r="EI198" s="54"/>
      <c r="EJ198" s="54"/>
      <c r="EK198" s="54"/>
      <c r="EL198" s="54"/>
      <c r="EM198" s="54"/>
      <c r="EN198" s="54"/>
      <c r="EO198" s="54"/>
      <c r="EP198" s="54"/>
      <c r="EQ198" s="54"/>
      <c r="ER198" s="54"/>
      <c r="ES198" s="54"/>
      <c r="ET198" s="54"/>
      <c r="EU198" s="54"/>
      <c r="EV198" s="54"/>
      <c r="EW198" s="54"/>
      <c r="EX198" s="54"/>
      <c r="EY198" s="54"/>
      <c r="EZ198" s="54"/>
      <c r="FA198" s="54"/>
      <c r="FB198" s="54"/>
      <c r="FC198" s="54"/>
      <c r="FD198" s="54"/>
      <c r="FE198" s="54"/>
      <c r="FF198" s="54"/>
      <c r="FG198" s="54"/>
      <c r="FH198" s="54"/>
      <c r="FI198" s="54"/>
      <c r="FJ198" s="54"/>
      <c r="FK198" s="54"/>
      <c r="FL198" s="54"/>
      <c r="FM198" s="54"/>
      <c r="FN198" s="54"/>
      <c r="FO198" s="54"/>
      <c r="FP198" s="54"/>
      <c r="FQ198" s="54"/>
      <c r="FR198" s="54"/>
    </row>
    <row r="199" spans="1:174" ht="14.25" hidden="1" customHeight="1">
      <c r="B199" s="37" t="s">
        <v>572</v>
      </c>
      <c r="D199" s="108"/>
      <c r="E199" s="108"/>
      <c r="F199" s="108"/>
      <c r="G199" s="108"/>
      <c r="H199" s="782"/>
      <c r="I199" s="108"/>
      <c r="J199" s="108"/>
      <c r="K199" s="108"/>
      <c r="L199" s="108"/>
      <c r="M199" s="782"/>
      <c r="N199" s="108"/>
      <c r="O199" s="108"/>
      <c r="P199" s="108"/>
      <c r="Q199" s="108"/>
      <c r="R199" s="782"/>
      <c r="S199" s="108"/>
      <c r="T199" s="108"/>
      <c r="U199" s="1940"/>
      <c r="V199" s="108"/>
      <c r="W199" s="782"/>
      <c r="X199" s="108"/>
      <c r="AA199" s="108"/>
      <c r="AN199" s="79"/>
      <c r="AY199" s="1922"/>
      <c r="AZ199" s="1922">
        <f t="shared" ref="AZ199:BW199" si="175">IF(AZ198&lt;&gt;0,IF($Y8=0,0,$Y8/($AA8*12)),0)</f>
        <v>0</v>
      </c>
      <c r="BA199" s="1922">
        <f t="shared" si="175"/>
        <v>0</v>
      </c>
      <c r="BB199" s="1922">
        <f t="shared" si="175"/>
        <v>0</v>
      </c>
      <c r="BC199" s="1922">
        <f t="shared" si="175"/>
        <v>0</v>
      </c>
      <c r="BD199" s="1922">
        <f t="shared" si="175"/>
        <v>0</v>
      </c>
      <c r="BE199" s="1922">
        <f t="shared" si="175"/>
        <v>0</v>
      </c>
      <c r="BF199" s="1922">
        <f t="shared" si="175"/>
        <v>0</v>
      </c>
      <c r="BG199" s="1922">
        <f t="shared" si="175"/>
        <v>0</v>
      </c>
      <c r="BH199" s="1922">
        <f t="shared" si="175"/>
        <v>0</v>
      </c>
      <c r="BI199" s="1922">
        <f t="shared" si="175"/>
        <v>0</v>
      </c>
      <c r="BJ199" s="1922">
        <f t="shared" si="175"/>
        <v>0</v>
      </c>
      <c r="BK199" s="1922">
        <f t="shared" si="175"/>
        <v>0</v>
      </c>
      <c r="BL199" s="1922">
        <f t="shared" si="175"/>
        <v>0</v>
      </c>
      <c r="BM199" s="1922">
        <f t="shared" si="175"/>
        <v>0</v>
      </c>
      <c r="BN199" s="1922">
        <f t="shared" si="175"/>
        <v>0</v>
      </c>
      <c r="BO199" s="1922">
        <f t="shared" si="175"/>
        <v>0</v>
      </c>
      <c r="BP199" s="1922">
        <f t="shared" si="175"/>
        <v>0</v>
      </c>
      <c r="BQ199" s="1922">
        <f t="shared" si="175"/>
        <v>0</v>
      </c>
      <c r="BR199" s="1922">
        <f t="shared" si="175"/>
        <v>0</v>
      </c>
      <c r="BS199" s="1922">
        <f t="shared" si="175"/>
        <v>0</v>
      </c>
      <c r="BT199" s="1922">
        <f t="shared" si="175"/>
        <v>0</v>
      </c>
      <c r="BU199" s="1922">
        <f t="shared" si="175"/>
        <v>0</v>
      </c>
      <c r="BV199" s="1924">
        <f t="shared" si="175"/>
        <v>0</v>
      </c>
      <c r="BW199" s="1924">
        <f t="shared" si="175"/>
        <v>0</v>
      </c>
      <c r="BX199" s="1926"/>
      <c r="BY199" s="1926"/>
      <c r="BZ199" s="1926"/>
      <c r="CA199" s="1926"/>
      <c r="CB199" s="1926"/>
      <c r="CC199" s="1926"/>
      <c r="CD199" s="1926"/>
      <c r="CE199" s="1926"/>
      <c r="CF199" s="1926"/>
      <c r="CG199" s="1926"/>
      <c r="CH199" s="1926"/>
      <c r="CI199" s="1926"/>
      <c r="CJ199" s="1926"/>
      <c r="CK199" s="1926"/>
      <c r="CL199" s="1926"/>
      <c r="CM199" s="1926"/>
      <c r="CN199" s="1926"/>
      <c r="CO199" s="1926"/>
      <c r="CP199" s="1926"/>
      <c r="CQ199" s="1926"/>
      <c r="CR199" s="1926"/>
      <c r="CS199" s="1926"/>
      <c r="CT199" s="1926"/>
      <c r="CU199" s="1926"/>
      <c r="CV199" s="1926"/>
      <c r="CW199" s="1926"/>
      <c r="CX199" s="1926"/>
      <c r="CY199" s="1926"/>
      <c r="CZ199" s="1926"/>
      <c r="DA199" s="1926"/>
      <c r="DB199" s="1926"/>
      <c r="DC199" s="1926"/>
      <c r="DD199" s="1926"/>
      <c r="DE199" s="1926"/>
      <c r="DF199" s="1926"/>
      <c r="DG199" s="1926"/>
      <c r="DH199" s="1926"/>
      <c r="DI199" s="1926"/>
      <c r="DJ199" s="1926"/>
      <c r="DK199" s="1926"/>
      <c r="DL199" s="1926"/>
      <c r="DM199" s="1926"/>
      <c r="DN199" s="1926"/>
      <c r="DO199" s="1926"/>
      <c r="DP199" s="1926"/>
      <c r="DQ199" s="1926"/>
      <c r="DR199" s="1926"/>
      <c r="DS199" s="1926"/>
      <c r="DT199" s="1926"/>
      <c r="DU199" s="1926"/>
      <c r="DV199" s="1926"/>
      <c r="DW199" s="1926"/>
      <c r="DX199" s="1926"/>
      <c r="DY199" s="1926"/>
      <c r="DZ199" s="1926"/>
      <c r="EA199" s="1926"/>
      <c r="EB199" s="1926"/>
      <c r="EC199" s="1926"/>
      <c r="ED199" s="1926"/>
      <c r="EE199" s="1926"/>
      <c r="EF199" s="1926"/>
      <c r="EG199" s="1926"/>
      <c r="EH199" s="1926"/>
      <c r="EI199" s="1926"/>
      <c r="EJ199" s="1926"/>
      <c r="EK199" s="1926"/>
      <c r="EL199" s="1926"/>
      <c r="EM199" s="1926"/>
      <c r="EN199" s="1926"/>
      <c r="EO199" s="1926"/>
      <c r="EP199" s="1926"/>
      <c r="EQ199" s="1926"/>
      <c r="ER199" s="1926"/>
      <c r="ES199" s="1926"/>
      <c r="ET199" s="1926"/>
      <c r="EU199" s="1926"/>
      <c r="EV199" s="1926"/>
      <c r="EW199" s="1926"/>
      <c r="EX199" s="1926"/>
      <c r="EY199" s="1926"/>
      <c r="EZ199" s="1926"/>
      <c r="FA199" s="1926"/>
      <c r="FB199" s="1926"/>
      <c r="FC199" s="1926"/>
      <c r="FD199" s="1926"/>
      <c r="FE199" s="1926"/>
      <c r="FF199" s="1926"/>
      <c r="FG199" s="1926"/>
      <c r="FH199" s="1926"/>
      <c r="FI199" s="1926"/>
      <c r="FJ199" s="1926"/>
      <c r="FK199" s="1926"/>
      <c r="FL199" s="1926"/>
      <c r="FM199" s="1926"/>
      <c r="FN199" s="1926"/>
      <c r="FO199" s="1926"/>
      <c r="FP199" s="1926"/>
      <c r="FQ199" s="1926"/>
      <c r="FR199" s="1926"/>
    </row>
    <row r="200" spans="1:174" ht="14.25" hidden="1" customHeight="1">
      <c r="B200" s="37" t="s">
        <v>570</v>
      </c>
      <c r="D200" s="108"/>
      <c r="E200" s="108"/>
      <c r="F200" s="108"/>
      <c r="G200" s="108"/>
      <c r="H200" s="782"/>
      <c r="I200" s="108"/>
      <c r="J200" s="108"/>
      <c r="K200" s="108"/>
      <c r="L200" s="108"/>
      <c r="M200" s="782"/>
      <c r="N200" s="108"/>
      <c r="O200" s="108"/>
      <c r="P200" s="108"/>
      <c r="Q200" s="108"/>
      <c r="R200" s="782"/>
      <c r="S200" s="108"/>
      <c r="T200" s="108"/>
      <c r="U200" s="134"/>
      <c r="V200" s="108"/>
      <c r="W200" s="782"/>
      <c r="X200" s="108"/>
      <c r="Y200" s="134"/>
      <c r="Z200" s="134"/>
      <c r="AA200" s="108"/>
      <c r="AB200" s="134"/>
      <c r="AC200" s="37"/>
      <c r="AF200" s="37"/>
      <c r="AI200" s="37"/>
      <c r="AL200" s="37"/>
      <c r="AN200" s="79"/>
      <c r="AO200" s="37"/>
      <c r="AY200" s="1923"/>
      <c r="AZ200" s="1923">
        <f t="shared" ref="AZ200:BW200" si="176">IF($Z$9=AZ$187,$Y$9,0)</f>
        <v>0</v>
      </c>
      <c r="BA200" s="1923">
        <f t="shared" si="176"/>
        <v>0</v>
      </c>
      <c r="BB200" s="1923">
        <f t="shared" si="176"/>
        <v>0</v>
      </c>
      <c r="BC200" s="1923">
        <f t="shared" si="176"/>
        <v>0</v>
      </c>
      <c r="BD200" s="1923">
        <f t="shared" si="176"/>
        <v>0</v>
      </c>
      <c r="BE200" s="1923">
        <f t="shared" si="176"/>
        <v>0</v>
      </c>
      <c r="BF200" s="1923">
        <f t="shared" si="176"/>
        <v>0</v>
      </c>
      <c r="BG200" s="1923">
        <f t="shared" si="176"/>
        <v>0</v>
      </c>
      <c r="BH200" s="1923">
        <f t="shared" si="176"/>
        <v>0</v>
      </c>
      <c r="BI200" s="1923">
        <f t="shared" si="176"/>
        <v>0</v>
      </c>
      <c r="BJ200" s="1923">
        <f t="shared" si="176"/>
        <v>0</v>
      </c>
      <c r="BK200" s="1923">
        <f t="shared" si="176"/>
        <v>0</v>
      </c>
      <c r="BL200" s="1923">
        <f t="shared" si="176"/>
        <v>0</v>
      </c>
      <c r="BM200" s="1923">
        <f t="shared" si="176"/>
        <v>0</v>
      </c>
      <c r="BN200" s="1923">
        <f t="shared" si="176"/>
        <v>0</v>
      </c>
      <c r="BO200" s="1923">
        <f t="shared" si="176"/>
        <v>0</v>
      </c>
      <c r="BP200" s="1923">
        <f t="shared" si="176"/>
        <v>0</v>
      </c>
      <c r="BQ200" s="1923">
        <f t="shared" si="176"/>
        <v>0</v>
      </c>
      <c r="BR200" s="1923">
        <f t="shared" si="176"/>
        <v>0</v>
      </c>
      <c r="BS200" s="1923">
        <f t="shared" si="176"/>
        <v>0</v>
      </c>
      <c r="BT200" s="1923">
        <f t="shared" si="176"/>
        <v>0</v>
      </c>
      <c r="BU200" s="1923">
        <f t="shared" si="176"/>
        <v>0</v>
      </c>
      <c r="BV200" s="1931">
        <f t="shared" si="176"/>
        <v>0</v>
      </c>
      <c r="BW200" s="1931">
        <f t="shared" si="176"/>
        <v>0</v>
      </c>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c r="DK200" s="54"/>
      <c r="DL200" s="54"/>
      <c r="DM200" s="54"/>
      <c r="DN200" s="54"/>
      <c r="DO200" s="54"/>
      <c r="DP200" s="54"/>
      <c r="DQ200" s="54"/>
      <c r="DR200" s="54"/>
      <c r="DS200" s="54"/>
      <c r="DT200" s="54"/>
      <c r="DU200" s="54"/>
      <c r="DV200" s="54"/>
      <c r="DW200" s="54"/>
      <c r="DX200" s="54"/>
      <c r="DY200" s="54"/>
      <c r="DZ200" s="54"/>
      <c r="EA200" s="54"/>
      <c r="EB200" s="54"/>
      <c r="EC200" s="54"/>
      <c r="ED200" s="54"/>
      <c r="EE200" s="54"/>
      <c r="EF200" s="54"/>
      <c r="EG200" s="54"/>
      <c r="EH200" s="54"/>
      <c r="EI200" s="54"/>
      <c r="EJ200" s="54"/>
      <c r="EK200" s="54"/>
      <c r="EL200" s="54"/>
      <c r="EM200" s="54"/>
      <c r="EN200" s="54"/>
      <c r="EO200" s="54"/>
      <c r="EP200" s="54"/>
      <c r="EQ200" s="54"/>
      <c r="ER200" s="54"/>
      <c r="ES200" s="54"/>
      <c r="ET200" s="54"/>
      <c r="EU200" s="54"/>
      <c r="EV200" s="54"/>
      <c r="EW200" s="54"/>
      <c r="EX200" s="54"/>
      <c r="EY200" s="54"/>
      <c r="EZ200" s="54"/>
      <c r="FA200" s="54"/>
      <c r="FB200" s="54"/>
      <c r="FC200" s="54"/>
      <c r="FD200" s="54"/>
      <c r="FE200" s="54"/>
      <c r="FF200" s="54"/>
      <c r="FG200" s="54"/>
      <c r="FH200" s="54"/>
      <c r="FI200" s="54"/>
      <c r="FJ200" s="54"/>
      <c r="FK200" s="54"/>
      <c r="FL200" s="54"/>
      <c r="FM200" s="54"/>
      <c r="FN200" s="54"/>
      <c r="FO200" s="54"/>
      <c r="FP200" s="54"/>
      <c r="FQ200" s="54"/>
      <c r="FR200" s="54"/>
    </row>
    <row r="201" spans="1:174" s="30" customFormat="1" ht="14.25" hidden="1" customHeight="1">
      <c r="A201" s="37"/>
      <c r="B201" s="1921" t="s">
        <v>571</v>
      </c>
      <c r="D201" s="108"/>
      <c r="E201" s="108"/>
      <c r="F201" s="108"/>
      <c r="G201" s="108"/>
      <c r="H201" s="54"/>
      <c r="I201" s="108"/>
      <c r="J201" s="108"/>
      <c r="K201" s="108"/>
      <c r="L201" s="108"/>
      <c r="M201" s="54"/>
      <c r="N201" s="108"/>
      <c r="O201" s="108"/>
      <c r="P201" s="108"/>
      <c r="Q201" s="108"/>
      <c r="R201" s="54"/>
      <c r="S201" s="108"/>
      <c r="T201" s="108"/>
      <c r="U201" s="1941"/>
      <c r="V201" s="108"/>
      <c r="W201" s="54"/>
      <c r="X201" s="108"/>
      <c r="Y201" s="37"/>
      <c r="Z201" s="37"/>
      <c r="AA201" s="108"/>
      <c r="AB201" s="37"/>
      <c r="AC201" s="37"/>
      <c r="AD201" s="37"/>
      <c r="AE201" s="37"/>
      <c r="AF201" s="37"/>
      <c r="AG201" s="37"/>
      <c r="AH201" s="37"/>
      <c r="AI201" s="37"/>
      <c r="AJ201" s="37"/>
      <c r="AK201" s="37"/>
      <c r="AL201" s="37"/>
      <c r="AM201" s="37"/>
      <c r="AN201" s="168"/>
      <c r="AO201" s="37"/>
      <c r="AP201" s="37"/>
      <c r="AQ201" s="37"/>
      <c r="AR201" s="37"/>
      <c r="AS201" s="37"/>
      <c r="AT201" s="37"/>
      <c r="AU201" s="37"/>
      <c r="AV201" s="37"/>
      <c r="AW201" s="37"/>
      <c r="AX201" s="37"/>
      <c r="AY201" s="1923">
        <v>0</v>
      </c>
      <c r="AZ201" s="1923">
        <f t="shared" ref="AZ201:BW201" si="177">IF($Z$9=AZ$187,1,IF(AY201&gt;0,IF(AY201&gt;=$AA$9*12,0, AY201+1),0))</f>
        <v>0</v>
      </c>
      <c r="BA201" s="1923">
        <f t="shared" si="177"/>
        <v>0</v>
      </c>
      <c r="BB201" s="1923">
        <f t="shared" si="177"/>
        <v>0</v>
      </c>
      <c r="BC201" s="1923">
        <f t="shared" si="177"/>
        <v>0</v>
      </c>
      <c r="BD201" s="1923">
        <f t="shared" si="177"/>
        <v>0</v>
      </c>
      <c r="BE201" s="1923">
        <f t="shared" si="177"/>
        <v>0</v>
      </c>
      <c r="BF201" s="1923">
        <f t="shared" si="177"/>
        <v>0</v>
      </c>
      <c r="BG201" s="1923">
        <f t="shared" si="177"/>
        <v>0</v>
      </c>
      <c r="BH201" s="1923">
        <f t="shared" si="177"/>
        <v>0</v>
      </c>
      <c r="BI201" s="1923">
        <f t="shared" si="177"/>
        <v>0</v>
      </c>
      <c r="BJ201" s="1923">
        <f t="shared" si="177"/>
        <v>0</v>
      </c>
      <c r="BK201" s="1923">
        <f t="shared" si="177"/>
        <v>0</v>
      </c>
      <c r="BL201" s="1923">
        <f t="shared" si="177"/>
        <v>0</v>
      </c>
      <c r="BM201" s="1923">
        <f t="shared" si="177"/>
        <v>0</v>
      </c>
      <c r="BN201" s="1923">
        <f t="shared" si="177"/>
        <v>0</v>
      </c>
      <c r="BO201" s="1923">
        <f t="shared" si="177"/>
        <v>0</v>
      </c>
      <c r="BP201" s="1923">
        <f t="shared" si="177"/>
        <v>0</v>
      </c>
      <c r="BQ201" s="1923">
        <f t="shared" si="177"/>
        <v>0</v>
      </c>
      <c r="BR201" s="1923">
        <f t="shared" si="177"/>
        <v>0</v>
      </c>
      <c r="BS201" s="1923">
        <f t="shared" si="177"/>
        <v>0</v>
      </c>
      <c r="BT201" s="1923">
        <f t="shared" si="177"/>
        <v>0</v>
      </c>
      <c r="BU201" s="1923">
        <f t="shared" si="177"/>
        <v>0</v>
      </c>
      <c r="BV201" s="1931">
        <f t="shared" si="177"/>
        <v>0</v>
      </c>
      <c r="BW201" s="1931">
        <f t="shared" si="177"/>
        <v>0</v>
      </c>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c r="DK201" s="54"/>
      <c r="DL201" s="54"/>
      <c r="DM201" s="54"/>
      <c r="DN201" s="54"/>
      <c r="DO201" s="54"/>
      <c r="DP201" s="54"/>
      <c r="DQ201" s="54"/>
      <c r="DR201" s="54"/>
      <c r="DS201" s="54"/>
      <c r="DT201" s="54"/>
      <c r="DU201" s="54"/>
      <c r="DV201" s="54"/>
      <c r="DW201" s="54"/>
      <c r="DX201" s="54"/>
      <c r="DY201" s="54"/>
      <c r="DZ201" s="54"/>
      <c r="EA201" s="54"/>
      <c r="EB201" s="54"/>
      <c r="EC201" s="54"/>
      <c r="ED201" s="54"/>
      <c r="EE201" s="54"/>
      <c r="EF201" s="54"/>
      <c r="EG201" s="54"/>
      <c r="EH201" s="54"/>
      <c r="EI201" s="54"/>
      <c r="EJ201" s="54"/>
      <c r="EK201" s="54"/>
      <c r="EL201" s="54"/>
      <c r="EM201" s="54"/>
      <c r="EN201" s="54"/>
      <c r="EO201" s="54"/>
      <c r="EP201" s="54"/>
      <c r="EQ201" s="54"/>
      <c r="ER201" s="54"/>
      <c r="ES201" s="54"/>
      <c r="ET201" s="54"/>
      <c r="EU201" s="54"/>
      <c r="EV201" s="54"/>
      <c r="EW201" s="54"/>
      <c r="EX201" s="54"/>
      <c r="EY201" s="54"/>
      <c r="EZ201" s="54"/>
      <c r="FA201" s="54"/>
      <c r="FB201" s="54"/>
      <c r="FC201" s="54"/>
      <c r="FD201" s="54"/>
      <c r="FE201" s="54"/>
      <c r="FF201" s="54"/>
      <c r="FG201" s="54"/>
      <c r="FH201" s="54"/>
      <c r="FI201" s="54"/>
      <c r="FJ201" s="54"/>
      <c r="FK201" s="54"/>
      <c r="FL201" s="54"/>
      <c r="FM201" s="54"/>
      <c r="FN201" s="54"/>
      <c r="FO201" s="54"/>
      <c r="FP201" s="54"/>
      <c r="FQ201" s="54"/>
      <c r="FR201" s="54"/>
    </row>
    <row r="202" spans="1:174" s="30" customFormat="1" ht="14.25" hidden="1" customHeight="1">
      <c r="A202" s="37"/>
      <c r="B202" s="37" t="s">
        <v>572</v>
      </c>
      <c r="D202" s="108"/>
      <c r="E202" s="108"/>
      <c r="F202" s="108"/>
      <c r="G202" s="108"/>
      <c r="H202" s="782"/>
      <c r="I202" s="108"/>
      <c r="J202" s="108"/>
      <c r="K202" s="108"/>
      <c r="L202" s="108"/>
      <c r="M202" s="782"/>
      <c r="N202" s="108"/>
      <c r="O202" s="108"/>
      <c r="P202" s="108"/>
      <c r="Q202" s="108"/>
      <c r="R202" s="782"/>
      <c r="S202" s="108"/>
      <c r="T202" s="108"/>
      <c r="U202" s="1941"/>
      <c r="V202" s="108"/>
      <c r="W202" s="782"/>
      <c r="X202" s="108"/>
      <c r="Y202" s="37"/>
      <c r="Z202" s="37"/>
      <c r="AA202" s="108"/>
      <c r="AB202" s="37"/>
      <c r="AC202" s="37"/>
      <c r="AD202" s="37"/>
      <c r="AE202" s="37"/>
      <c r="AF202" s="37"/>
      <c r="AG202" s="37"/>
      <c r="AH202" s="37"/>
      <c r="AI202" s="37"/>
      <c r="AJ202" s="37"/>
      <c r="AK202" s="37"/>
      <c r="AL202" s="37"/>
      <c r="AM202" s="37"/>
      <c r="AN202" s="168"/>
      <c r="AO202" s="37"/>
      <c r="AP202" s="37"/>
      <c r="AQ202" s="37"/>
      <c r="AR202" s="37"/>
      <c r="AS202" s="37"/>
      <c r="AT202" s="37"/>
      <c r="AU202" s="37"/>
      <c r="AV202" s="37"/>
      <c r="AW202" s="37"/>
      <c r="AX202" s="37"/>
      <c r="AY202" s="1922"/>
      <c r="AZ202" s="1922">
        <f>IF(AZ201&lt;&gt;0,IF($Z$9=0,0,$Y$9/($AA$9*12)),0)</f>
        <v>0</v>
      </c>
      <c r="BA202" s="1922">
        <f t="shared" ref="BA202:BV202" si="178">IF(BA201&lt;&gt;0,IF($Z$9=0,0,$Y$9/($AA$9*12)),0)</f>
        <v>0</v>
      </c>
      <c r="BB202" s="1922">
        <f t="shared" si="178"/>
        <v>0</v>
      </c>
      <c r="BC202" s="1922">
        <f t="shared" si="178"/>
        <v>0</v>
      </c>
      <c r="BD202" s="1922">
        <f t="shared" si="178"/>
        <v>0</v>
      </c>
      <c r="BE202" s="1922">
        <f t="shared" si="178"/>
        <v>0</v>
      </c>
      <c r="BF202" s="1922">
        <f t="shared" si="178"/>
        <v>0</v>
      </c>
      <c r="BG202" s="1922">
        <f t="shared" si="178"/>
        <v>0</v>
      </c>
      <c r="BH202" s="1922">
        <f t="shared" si="178"/>
        <v>0</v>
      </c>
      <c r="BI202" s="1922">
        <f t="shared" si="178"/>
        <v>0</v>
      </c>
      <c r="BJ202" s="1922">
        <f t="shared" si="178"/>
        <v>0</v>
      </c>
      <c r="BK202" s="1922">
        <f t="shared" si="178"/>
        <v>0</v>
      </c>
      <c r="BL202" s="1922">
        <f t="shared" si="178"/>
        <v>0</v>
      </c>
      <c r="BM202" s="1922">
        <f t="shared" si="178"/>
        <v>0</v>
      </c>
      <c r="BN202" s="1922">
        <f t="shared" si="178"/>
        <v>0</v>
      </c>
      <c r="BO202" s="1922">
        <f t="shared" si="178"/>
        <v>0</v>
      </c>
      <c r="BP202" s="1922">
        <f t="shared" si="178"/>
        <v>0</v>
      </c>
      <c r="BQ202" s="1922">
        <f t="shared" si="178"/>
        <v>0</v>
      </c>
      <c r="BR202" s="1922">
        <f t="shared" si="178"/>
        <v>0</v>
      </c>
      <c r="BS202" s="1922">
        <f t="shared" si="178"/>
        <v>0</v>
      </c>
      <c r="BT202" s="1922">
        <f t="shared" si="178"/>
        <v>0</v>
      </c>
      <c r="BU202" s="1922">
        <f t="shared" si="178"/>
        <v>0</v>
      </c>
      <c r="BV202" s="1924">
        <f t="shared" si="178"/>
        <v>0</v>
      </c>
      <c r="BW202" s="1924">
        <f t="shared" ref="BW202" si="179">IF(BW201&lt;&gt;0,IF($Z$9=0,0,$Y$9/($AA$9*12)),0)</f>
        <v>0</v>
      </c>
      <c r="BX202" s="1926"/>
      <c r="BY202" s="1926"/>
      <c r="BZ202" s="1926"/>
      <c r="CA202" s="1926"/>
      <c r="CB202" s="1926"/>
      <c r="CC202" s="1926"/>
      <c r="CD202" s="1926"/>
      <c r="CE202" s="1926"/>
      <c r="CF202" s="1926"/>
      <c r="CG202" s="1926"/>
      <c r="CH202" s="1926"/>
      <c r="CI202" s="1926"/>
      <c r="CJ202" s="1926"/>
      <c r="CK202" s="1926"/>
      <c r="CL202" s="1926"/>
      <c r="CM202" s="1926"/>
      <c r="CN202" s="1926"/>
      <c r="CO202" s="1926"/>
      <c r="CP202" s="1926"/>
      <c r="CQ202" s="1926"/>
      <c r="CR202" s="1926"/>
      <c r="CS202" s="1926"/>
      <c r="CT202" s="1926"/>
      <c r="CU202" s="1926"/>
      <c r="CV202" s="1926"/>
      <c r="CW202" s="1926"/>
      <c r="CX202" s="1926"/>
      <c r="CY202" s="1926"/>
      <c r="CZ202" s="1926"/>
      <c r="DA202" s="1926"/>
      <c r="DB202" s="1926"/>
      <c r="DC202" s="1926"/>
      <c r="DD202" s="1926"/>
      <c r="DE202" s="1926"/>
      <c r="DF202" s="1926"/>
      <c r="DG202" s="1926"/>
      <c r="DH202" s="1926"/>
      <c r="DI202" s="1926"/>
      <c r="DJ202" s="1926"/>
      <c r="DK202" s="1926"/>
      <c r="DL202" s="1926"/>
      <c r="DM202" s="1926"/>
      <c r="DN202" s="1926"/>
      <c r="DO202" s="1926"/>
      <c r="DP202" s="1926"/>
      <c r="DQ202" s="1926"/>
      <c r="DR202" s="1926"/>
      <c r="DS202" s="1926"/>
      <c r="DT202" s="1926"/>
      <c r="DU202" s="1926"/>
      <c r="DV202" s="1926"/>
      <c r="DW202" s="1926"/>
      <c r="DX202" s="1926"/>
      <c r="DY202" s="1926"/>
      <c r="DZ202" s="1926"/>
      <c r="EA202" s="1926"/>
      <c r="EB202" s="1926"/>
      <c r="EC202" s="1926"/>
      <c r="ED202" s="1926"/>
      <c r="EE202" s="1926"/>
      <c r="EF202" s="1926"/>
      <c r="EG202" s="1926"/>
      <c r="EH202" s="1926"/>
      <c r="EI202" s="1926"/>
      <c r="EJ202" s="1926"/>
      <c r="EK202" s="1926"/>
      <c r="EL202" s="1926"/>
      <c r="EM202" s="1926"/>
      <c r="EN202" s="1926"/>
      <c r="EO202" s="1926"/>
      <c r="EP202" s="1926"/>
      <c r="EQ202" s="1926"/>
      <c r="ER202" s="1926"/>
      <c r="ES202" s="1926"/>
      <c r="ET202" s="1926"/>
      <c r="EU202" s="1926"/>
      <c r="EV202" s="1926"/>
      <c r="EW202" s="1926"/>
      <c r="EX202" s="1926"/>
      <c r="EY202" s="1926"/>
      <c r="EZ202" s="1926"/>
      <c r="FA202" s="1926"/>
      <c r="FB202" s="1926"/>
      <c r="FC202" s="1926"/>
      <c r="FD202" s="1926"/>
      <c r="FE202" s="1926"/>
      <c r="FF202" s="1926"/>
      <c r="FG202" s="1926"/>
      <c r="FH202" s="1926"/>
      <c r="FI202" s="1926"/>
      <c r="FJ202" s="1926"/>
      <c r="FK202" s="1926"/>
      <c r="FL202" s="1926"/>
      <c r="FM202" s="1926"/>
      <c r="FN202" s="1926"/>
      <c r="FO202" s="1926"/>
      <c r="FP202" s="1926"/>
      <c r="FQ202" s="1926"/>
      <c r="FR202" s="1926"/>
    </row>
    <row r="203" spans="1:174" s="30" customFormat="1" ht="14.25" hidden="1" customHeight="1">
      <c r="A203" s="37"/>
      <c r="B203" s="37" t="s">
        <v>573</v>
      </c>
      <c r="D203" s="108"/>
      <c r="E203" s="108"/>
      <c r="F203" s="108"/>
      <c r="G203" s="108"/>
      <c r="H203" s="782"/>
      <c r="I203" s="108"/>
      <c r="J203" s="108"/>
      <c r="K203" s="108"/>
      <c r="L203" s="108"/>
      <c r="M203" s="782"/>
      <c r="N203" s="108"/>
      <c r="O203" s="108"/>
      <c r="P203" s="108"/>
      <c r="Q203" s="108"/>
      <c r="R203" s="782"/>
      <c r="S203" s="108"/>
      <c r="T203" s="108"/>
      <c r="U203" s="1941"/>
      <c r="V203" s="108"/>
      <c r="W203" s="782"/>
      <c r="X203" s="108"/>
      <c r="Y203" s="37"/>
      <c r="Z203" s="37"/>
      <c r="AA203" s="108"/>
      <c r="AB203" s="37"/>
      <c r="AC203" s="37"/>
      <c r="AD203" s="37"/>
      <c r="AE203" s="37"/>
      <c r="AF203" s="37"/>
      <c r="AG203" s="37"/>
      <c r="AH203" s="37"/>
      <c r="AI203" s="37"/>
      <c r="AJ203" s="37"/>
      <c r="AK203" s="37"/>
      <c r="AL203" s="37"/>
      <c r="AM203" s="37"/>
      <c r="AN203" s="168"/>
      <c r="AO203" s="37"/>
      <c r="AP203" s="37"/>
      <c r="AQ203" s="37"/>
      <c r="AR203" s="37"/>
      <c r="AS203" s="37"/>
      <c r="AT203" s="37"/>
      <c r="AU203" s="37"/>
      <c r="AV203" s="37"/>
      <c r="AW203" s="37"/>
      <c r="AX203" s="37"/>
      <c r="AY203" s="1922"/>
      <c r="AZ203" s="1922">
        <f t="shared" ref="AZ203:BW203" ca="1" si="180">IF($Z10=AZ$187,$Y10,0)</f>
        <v>0</v>
      </c>
      <c r="BA203" s="1922">
        <f t="shared" si="180"/>
        <v>0</v>
      </c>
      <c r="BB203" s="1922">
        <f t="shared" si="180"/>
        <v>0</v>
      </c>
      <c r="BC203" s="1922">
        <f t="shared" si="180"/>
        <v>0</v>
      </c>
      <c r="BD203" s="1922">
        <f t="shared" si="180"/>
        <v>0</v>
      </c>
      <c r="BE203" s="1922">
        <f t="shared" si="180"/>
        <v>0</v>
      </c>
      <c r="BF203" s="1922">
        <f t="shared" si="180"/>
        <v>0</v>
      </c>
      <c r="BG203" s="1922">
        <f t="shared" si="180"/>
        <v>0</v>
      </c>
      <c r="BH203" s="1922">
        <f t="shared" si="180"/>
        <v>0</v>
      </c>
      <c r="BI203" s="1922">
        <f t="shared" si="180"/>
        <v>0</v>
      </c>
      <c r="BJ203" s="1922">
        <f t="shared" si="180"/>
        <v>0</v>
      </c>
      <c r="BK203" s="1922">
        <f t="shared" si="180"/>
        <v>0</v>
      </c>
      <c r="BL203" s="1922">
        <f t="shared" si="180"/>
        <v>0</v>
      </c>
      <c r="BM203" s="1922">
        <f t="shared" si="180"/>
        <v>0</v>
      </c>
      <c r="BN203" s="1922">
        <f t="shared" si="180"/>
        <v>0</v>
      </c>
      <c r="BO203" s="1922">
        <f t="shared" si="180"/>
        <v>0</v>
      </c>
      <c r="BP203" s="1922">
        <f t="shared" si="180"/>
        <v>0</v>
      </c>
      <c r="BQ203" s="1922">
        <f t="shared" si="180"/>
        <v>0</v>
      </c>
      <c r="BR203" s="1922">
        <f t="shared" si="180"/>
        <v>0</v>
      </c>
      <c r="BS203" s="1922">
        <f t="shared" si="180"/>
        <v>0</v>
      </c>
      <c r="BT203" s="1922">
        <f t="shared" si="180"/>
        <v>0</v>
      </c>
      <c r="BU203" s="1922">
        <f t="shared" si="180"/>
        <v>0</v>
      </c>
      <c r="BV203" s="1924">
        <f t="shared" si="180"/>
        <v>0</v>
      </c>
      <c r="BW203" s="1924">
        <f t="shared" si="180"/>
        <v>0</v>
      </c>
      <c r="BX203" s="1926"/>
      <c r="BY203" s="1926"/>
      <c r="BZ203" s="1926"/>
      <c r="CA203" s="1926"/>
      <c r="CB203" s="1926"/>
      <c r="CC203" s="1926"/>
      <c r="CD203" s="1926"/>
      <c r="CE203" s="1926"/>
      <c r="CF203" s="1926"/>
      <c r="CG203" s="1926"/>
      <c r="CH203" s="1926"/>
      <c r="CI203" s="1926"/>
      <c r="CJ203" s="1926"/>
      <c r="CK203" s="1926"/>
      <c r="CL203" s="1926"/>
      <c r="CM203" s="1926"/>
      <c r="CN203" s="1926"/>
      <c r="CO203" s="1926"/>
      <c r="CP203" s="1926"/>
      <c r="CQ203" s="1926"/>
      <c r="CR203" s="1926"/>
      <c r="CS203" s="1926"/>
      <c r="CT203" s="1926"/>
      <c r="CU203" s="1926"/>
      <c r="CV203" s="1926"/>
      <c r="CW203" s="1926"/>
      <c r="CX203" s="1926"/>
      <c r="CY203" s="1926"/>
      <c r="CZ203" s="1926"/>
      <c r="DA203" s="1926"/>
      <c r="DB203" s="1926"/>
      <c r="DC203" s="1926"/>
      <c r="DD203" s="1926"/>
      <c r="DE203" s="1926"/>
      <c r="DF203" s="1926"/>
      <c r="DG203" s="1926"/>
      <c r="DH203" s="1926"/>
      <c r="DI203" s="1926"/>
      <c r="DJ203" s="1926"/>
      <c r="DK203" s="1926"/>
      <c r="DL203" s="1926"/>
      <c r="DM203" s="1926"/>
      <c r="DN203" s="1926"/>
      <c r="DO203" s="1926"/>
      <c r="DP203" s="1926"/>
      <c r="DQ203" s="1926"/>
      <c r="DR203" s="1926"/>
      <c r="DS203" s="1926"/>
      <c r="DT203" s="1926"/>
      <c r="DU203" s="1926"/>
      <c r="DV203" s="1926"/>
      <c r="DW203" s="1926"/>
      <c r="DX203" s="1926"/>
      <c r="DY203" s="1926"/>
      <c r="DZ203" s="1926"/>
      <c r="EA203" s="1926"/>
      <c r="EB203" s="1926"/>
      <c r="EC203" s="1926"/>
      <c r="ED203" s="1926"/>
      <c r="EE203" s="1926"/>
      <c r="EF203" s="1926"/>
      <c r="EG203" s="1926"/>
      <c r="EH203" s="1926"/>
      <c r="EI203" s="1926"/>
      <c r="EJ203" s="1926"/>
      <c r="EK203" s="1926"/>
      <c r="EL203" s="1926"/>
      <c r="EM203" s="1926"/>
      <c r="EN203" s="1926"/>
      <c r="EO203" s="1926"/>
      <c r="EP203" s="1926"/>
      <c r="EQ203" s="1926"/>
      <c r="ER203" s="1926"/>
      <c r="ES203" s="1926"/>
      <c r="ET203" s="1926"/>
      <c r="EU203" s="1926"/>
      <c r="EV203" s="1926"/>
      <c r="EW203" s="1926"/>
      <c r="EX203" s="1926"/>
      <c r="EY203" s="1926"/>
      <c r="EZ203" s="1926"/>
      <c r="FA203" s="1926"/>
      <c r="FB203" s="1926"/>
      <c r="FC203" s="1926"/>
      <c r="FD203" s="1926"/>
      <c r="FE203" s="1926"/>
      <c r="FF203" s="1926"/>
      <c r="FG203" s="1926"/>
      <c r="FH203" s="1926"/>
      <c r="FI203" s="1926"/>
      <c r="FJ203" s="1926"/>
      <c r="FK203" s="1926"/>
      <c r="FL203" s="1926"/>
      <c r="FM203" s="1926"/>
      <c r="FN203" s="1926"/>
      <c r="FO203" s="1926"/>
      <c r="FP203" s="1926"/>
      <c r="FQ203" s="1926"/>
      <c r="FR203" s="1926"/>
    </row>
    <row r="204" spans="1:174" s="30" customFormat="1" ht="14.25" hidden="1" customHeight="1">
      <c r="A204" s="37"/>
      <c r="B204" s="37" t="s">
        <v>571</v>
      </c>
      <c r="D204" s="108"/>
      <c r="E204" s="108"/>
      <c r="F204" s="108"/>
      <c r="G204" s="108"/>
      <c r="H204" s="782"/>
      <c r="I204" s="108"/>
      <c r="J204" s="108"/>
      <c r="K204" s="108"/>
      <c r="L204" s="108"/>
      <c r="M204" s="782"/>
      <c r="N204" s="108"/>
      <c r="O204" s="108"/>
      <c r="P204" s="108"/>
      <c r="Q204" s="108"/>
      <c r="R204" s="782"/>
      <c r="S204" s="108"/>
      <c r="T204" s="108"/>
      <c r="U204" s="1941"/>
      <c r="V204" s="108"/>
      <c r="W204" s="782"/>
      <c r="X204" s="108"/>
      <c r="Y204" s="37"/>
      <c r="Z204" s="37"/>
      <c r="AA204" s="108"/>
      <c r="AB204" s="37"/>
      <c r="AC204" s="37"/>
      <c r="AD204" s="37"/>
      <c r="AE204" s="37"/>
      <c r="AF204" s="37"/>
      <c r="AG204" s="37"/>
      <c r="AH204" s="37"/>
      <c r="AI204" s="37"/>
      <c r="AJ204" s="37"/>
      <c r="AK204" s="37"/>
      <c r="AL204" s="37"/>
      <c r="AM204" s="37"/>
      <c r="AN204" s="168"/>
      <c r="AO204" s="37"/>
      <c r="AP204" s="37"/>
      <c r="AQ204" s="37"/>
      <c r="AR204" s="37"/>
      <c r="AS204" s="37"/>
      <c r="AT204" s="37"/>
      <c r="AU204" s="37"/>
      <c r="AV204" s="37"/>
      <c r="AW204" s="37"/>
      <c r="AX204" s="37"/>
      <c r="AY204" s="1922">
        <v>0</v>
      </c>
      <c r="AZ204" s="1922">
        <f t="shared" ref="AZ204:BW204" si="181">IF($Z10=AZ$187,1,IF(AY204&gt;0,IF(AY204&gt;=$AA10*12,0, AY204+1),0))</f>
        <v>1</v>
      </c>
      <c r="BA204" s="1922">
        <f t="shared" si="181"/>
        <v>2</v>
      </c>
      <c r="BB204" s="1922">
        <f t="shared" si="181"/>
        <v>3</v>
      </c>
      <c r="BC204" s="1922">
        <f t="shared" si="181"/>
        <v>4</v>
      </c>
      <c r="BD204" s="1922">
        <f t="shared" si="181"/>
        <v>5</v>
      </c>
      <c r="BE204" s="1922">
        <f t="shared" si="181"/>
        <v>6</v>
      </c>
      <c r="BF204" s="1922">
        <f t="shared" si="181"/>
        <v>7</v>
      </c>
      <c r="BG204" s="1922">
        <f t="shared" si="181"/>
        <v>8</v>
      </c>
      <c r="BH204" s="1922">
        <f t="shared" si="181"/>
        <v>9</v>
      </c>
      <c r="BI204" s="1922">
        <f t="shared" si="181"/>
        <v>10</v>
      </c>
      <c r="BJ204" s="1922">
        <f t="shared" si="181"/>
        <v>11</v>
      </c>
      <c r="BK204" s="1922">
        <f t="shared" si="181"/>
        <v>12</v>
      </c>
      <c r="BL204" s="1922">
        <f t="shared" si="181"/>
        <v>13</v>
      </c>
      <c r="BM204" s="1922">
        <f t="shared" si="181"/>
        <v>14</v>
      </c>
      <c r="BN204" s="1922">
        <f t="shared" si="181"/>
        <v>15</v>
      </c>
      <c r="BO204" s="1922">
        <f t="shared" si="181"/>
        <v>16</v>
      </c>
      <c r="BP204" s="1922">
        <f t="shared" si="181"/>
        <v>17</v>
      </c>
      <c r="BQ204" s="1922">
        <f t="shared" si="181"/>
        <v>18</v>
      </c>
      <c r="BR204" s="1922">
        <f t="shared" si="181"/>
        <v>19</v>
      </c>
      <c r="BS204" s="1922">
        <f t="shared" si="181"/>
        <v>20</v>
      </c>
      <c r="BT204" s="1922">
        <f t="shared" si="181"/>
        <v>21</v>
      </c>
      <c r="BU204" s="1922">
        <f t="shared" si="181"/>
        <v>22</v>
      </c>
      <c r="BV204" s="1924">
        <f t="shared" si="181"/>
        <v>23</v>
      </c>
      <c r="BW204" s="1924">
        <f t="shared" si="181"/>
        <v>24</v>
      </c>
      <c r="BX204" s="1926"/>
      <c r="BY204" s="1926"/>
      <c r="BZ204" s="1926"/>
      <c r="CA204" s="1926"/>
      <c r="CB204" s="1926"/>
      <c r="CC204" s="1926"/>
      <c r="CD204" s="1926"/>
      <c r="CE204" s="1926"/>
      <c r="CF204" s="1926"/>
      <c r="CG204" s="1926"/>
      <c r="CH204" s="1926"/>
      <c r="CI204" s="1926"/>
      <c r="CJ204" s="1926"/>
      <c r="CK204" s="1926"/>
      <c r="CL204" s="1926"/>
      <c r="CM204" s="1926"/>
      <c r="CN204" s="1926"/>
      <c r="CO204" s="1926"/>
      <c r="CP204" s="1926"/>
      <c r="CQ204" s="1926"/>
      <c r="CR204" s="1926"/>
      <c r="CS204" s="1926"/>
      <c r="CT204" s="1926"/>
      <c r="CU204" s="1926"/>
      <c r="CV204" s="1926"/>
      <c r="CW204" s="1926"/>
      <c r="CX204" s="1926"/>
      <c r="CY204" s="1926"/>
      <c r="CZ204" s="1926"/>
      <c r="DA204" s="1926"/>
      <c r="DB204" s="1926"/>
      <c r="DC204" s="1926"/>
      <c r="DD204" s="1926"/>
      <c r="DE204" s="1926"/>
      <c r="DF204" s="1926"/>
      <c r="DG204" s="1926"/>
      <c r="DH204" s="1926"/>
      <c r="DI204" s="1926"/>
      <c r="DJ204" s="1926"/>
      <c r="DK204" s="1926"/>
      <c r="DL204" s="1926"/>
      <c r="DM204" s="1926"/>
      <c r="DN204" s="1926"/>
      <c r="DO204" s="1926"/>
      <c r="DP204" s="1926"/>
      <c r="DQ204" s="1926"/>
      <c r="DR204" s="1926"/>
      <c r="DS204" s="1926"/>
      <c r="DT204" s="1926"/>
      <c r="DU204" s="1926"/>
      <c r="DV204" s="1926"/>
      <c r="DW204" s="1926"/>
      <c r="DX204" s="1926"/>
      <c r="DY204" s="1926"/>
      <c r="DZ204" s="1926"/>
      <c r="EA204" s="1926"/>
      <c r="EB204" s="1926"/>
      <c r="EC204" s="1926"/>
      <c r="ED204" s="1926"/>
      <c r="EE204" s="1926"/>
      <c r="EF204" s="1926"/>
      <c r="EG204" s="1926"/>
      <c r="EH204" s="1926"/>
      <c r="EI204" s="1926"/>
      <c r="EJ204" s="1926"/>
      <c r="EK204" s="1926"/>
      <c r="EL204" s="1926"/>
      <c r="EM204" s="1926"/>
      <c r="EN204" s="1926"/>
      <c r="EO204" s="1926"/>
      <c r="EP204" s="1926"/>
      <c r="EQ204" s="1926"/>
      <c r="ER204" s="1926"/>
      <c r="ES204" s="1926"/>
      <c r="ET204" s="1926"/>
      <c r="EU204" s="1926"/>
      <c r="EV204" s="1926"/>
      <c r="EW204" s="1926"/>
      <c r="EX204" s="1926"/>
      <c r="EY204" s="1926"/>
      <c r="EZ204" s="1926"/>
      <c r="FA204" s="1926"/>
      <c r="FB204" s="1926"/>
      <c r="FC204" s="1926"/>
      <c r="FD204" s="1926"/>
      <c r="FE204" s="1926"/>
      <c r="FF204" s="1926"/>
      <c r="FG204" s="1926"/>
      <c r="FH204" s="1926"/>
      <c r="FI204" s="1926"/>
      <c r="FJ204" s="1926"/>
      <c r="FK204" s="1926"/>
      <c r="FL204" s="1926"/>
      <c r="FM204" s="1926"/>
      <c r="FN204" s="1926"/>
      <c r="FO204" s="1926"/>
      <c r="FP204" s="1926"/>
      <c r="FQ204" s="1926"/>
      <c r="FR204" s="1926"/>
    </row>
    <row r="205" spans="1:174" s="30" customFormat="1" ht="14.25" hidden="1" customHeight="1">
      <c r="A205" s="37"/>
      <c r="B205" s="37" t="s">
        <v>572</v>
      </c>
      <c r="D205" s="108"/>
      <c r="E205" s="108"/>
      <c r="F205" s="108"/>
      <c r="G205" s="108"/>
      <c r="H205" s="782"/>
      <c r="I205" s="108"/>
      <c r="J205" s="108"/>
      <c r="K205" s="108"/>
      <c r="L205" s="108"/>
      <c r="M205" s="782"/>
      <c r="N205" s="108"/>
      <c r="O205" s="108"/>
      <c r="P205" s="108"/>
      <c r="Q205" s="108"/>
      <c r="R205" s="782"/>
      <c r="S205" s="108"/>
      <c r="T205" s="108"/>
      <c r="U205" s="1941"/>
      <c r="V205" s="108"/>
      <c r="W205" s="782"/>
      <c r="X205" s="108"/>
      <c r="Y205" s="37"/>
      <c r="Z205" s="37"/>
      <c r="AA205" s="108"/>
      <c r="AB205" s="37"/>
      <c r="AC205" s="37"/>
      <c r="AD205" s="37"/>
      <c r="AE205" s="37"/>
      <c r="AF205" s="37"/>
      <c r="AG205" s="37"/>
      <c r="AH205" s="37"/>
      <c r="AI205" s="37"/>
      <c r="AJ205" s="37"/>
      <c r="AK205" s="37"/>
      <c r="AL205" s="37"/>
      <c r="AM205" s="37"/>
      <c r="AN205" s="168"/>
      <c r="AO205" s="37"/>
      <c r="AP205" s="37"/>
      <c r="AQ205" s="37"/>
      <c r="AR205" s="37"/>
      <c r="AS205" s="37"/>
      <c r="AT205" s="37"/>
      <c r="AU205" s="37"/>
      <c r="AV205" s="37"/>
      <c r="AW205" s="37"/>
      <c r="AX205" s="37"/>
      <c r="AY205" s="1922"/>
      <c r="AZ205" s="1922">
        <f t="shared" ref="AZ205:BW205" ca="1" si="182">IF(AZ204&lt;&gt;0,IF($Z10=0,0,$Y10/($AA10*12)),0)</f>
        <v>0</v>
      </c>
      <c r="BA205" s="1922">
        <f t="shared" ca="1" si="182"/>
        <v>0</v>
      </c>
      <c r="BB205" s="1922">
        <f t="shared" ca="1" si="182"/>
        <v>0</v>
      </c>
      <c r="BC205" s="1922">
        <f t="shared" ca="1" si="182"/>
        <v>0</v>
      </c>
      <c r="BD205" s="1922">
        <f t="shared" ca="1" si="182"/>
        <v>0</v>
      </c>
      <c r="BE205" s="1922">
        <f t="shared" ca="1" si="182"/>
        <v>0</v>
      </c>
      <c r="BF205" s="1922">
        <f t="shared" ca="1" si="182"/>
        <v>0</v>
      </c>
      <c r="BG205" s="1922">
        <f t="shared" ca="1" si="182"/>
        <v>0</v>
      </c>
      <c r="BH205" s="1922">
        <f t="shared" ca="1" si="182"/>
        <v>0</v>
      </c>
      <c r="BI205" s="1922">
        <f t="shared" ca="1" si="182"/>
        <v>0</v>
      </c>
      <c r="BJ205" s="1922">
        <f t="shared" ca="1" si="182"/>
        <v>0</v>
      </c>
      <c r="BK205" s="1922">
        <f t="shared" ca="1" si="182"/>
        <v>0</v>
      </c>
      <c r="BL205" s="1922">
        <f t="shared" ca="1" si="182"/>
        <v>0</v>
      </c>
      <c r="BM205" s="1922">
        <f t="shared" ca="1" si="182"/>
        <v>0</v>
      </c>
      <c r="BN205" s="1922">
        <f t="shared" ca="1" si="182"/>
        <v>0</v>
      </c>
      <c r="BO205" s="1922">
        <f t="shared" ca="1" si="182"/>
        <v>0</v>
      </c>
      <c r="BP205" s="1922">
        <f t="shared" ca="1" si="182"/>
        <v>0</v>
      </c>
      <c r="BQ205" s="1922">
        <f t="shared" ca="1" si="182"/>
        <v>0</v>
      </c>
      <c r="BR205" s="1922">
        <f t="shared" ca="1" si="182"/>
        <v>0</v>
      </c>
      <c r="BS205" s="1922">
        <f t="shared" ca="1" si="182"/>
        <v>0</v>
      </c>
      <c r="BT205" s="1922">
        <f t="shared" ca="1" si="182"/>
        <v>0</v>
      </c>
      <c r="BU205" s="1922">
        <f t="shared" ca="1" si="182"/>
        <v>0</v>
      </c>
      <c r="BV205" s="1924">
        <f t="shared" ca="1" si="182"/>
        <v>0</v>
      </c>
      <c r="BW205" s="1924">
        <f t="shared" ca="1" si="182"/>
        <v>0</v>
      </c>
      <c r="BX205" s="1926"/>
      <c r="BY205" s="1926"/>
      <c r="BZ205" s="1926"/>
      <c r="CA205" s="1926"/>
      <c r="CB205" s="1926"/>
      <c r="CC205" s="1926"/>
      <c r="CD205" s="1926"/>
      <c r="CE205" s="1926"/>
      <c r="CF205" s="1926"/>
      <c r="CG205" s="1926"/>
      <c r="CH205" s="1926"/>
      <c r="CI205" s="1926"/>
      <c r="CJ205" s="1926"/>
      <c r="CK205" s="1926"/>
      <c r="CL205" s="1926"/>
      <c r="CM205" s="1926"/>
      <c r="CN205" s="1926"/>
      <c r="CO205" s="1926"/>
      <c r="CP205" s="1926"/>
      <c r="CQ205" s="1926"/>
      <c r="CR205" s="1926"/>
      <c r="CS205" s="1926"/>
      <c r="CT205" s="1926"/>
      <c r="CU205" s="1926"/>
      <c r="CV205" s="1926"/>
      <c r="CW205" s="1926"/>
      <c r="CX205" s="1926"/>
      <c r="CY205" s="1926"/>
      <c r="CZ205" s="1926"/>
      <c r="DA205" s="1926"/>
      <c r="DB205" s="1926"/>
      <c r="DC205" s="1926"/>
      <c r="DD205" s="1926"/>
      <c r="DE205" s="1926"/>
      <c r="DF205" s="1926"/>
      <c r="DG205" s="1926"/>
      <c r="DH205" s="1926"/>
      <c r="DI205" s="1926"/>
      <c r="DJ205" s="1926"/>
      <c r="DK205" s="1926"/>
      <c r="DL205" s="1926"/>
      <c r="DM205" s="1926"/>
      <c r="DN205" s="1926"/>
      <c r="DO205" s="1926"/>
      <c r="DP205" s="1926"/>
      <c r="DQ205" s="1926"/>
      <c r="DR205" s="1926"/>
      <c r="DS205" s="1926"/>
      <c r="DT205" s="1926"/>
      <c r="DU205" s="1926"/>
      <c r="DV205" s="1926"/>
      <c r="DW205" s="1926"/>
      <c r="DX205" s="1926"/>
      <c r="DY205" s="1926"/>
      <c r="DZ205" s="1926"/>
      <c r="EA205" s="1926"/>
      <c r="EB205" s="1926"/>
      <c r="EC205" s="1926"/>
      <c r="ED205" s="1926"/>
      <c r="EE205" s="1926"/>
      <c r="EF205" s="1926"/>
      <c r="EG205" s="1926"/>
      <c r="EH205" s="1926"/>
      <c r="EI205" s="1926"/>
      <c r="EJ205" s="1926"/>
      <c r="EK205" s="1926"/>
      <c r="EL205" s="1926"/>
      <c r="EM205" s="1926"/>
      <c r="EN205" s="1926"/>
      <c r="EO205" s="1926"/>
      <c r="EP205" s="1926"/>
      <c r="EQ205" s="1926"/>
      <c r="ER205" s="1926"/>
      <c r="ES205" s="1926"/>
      <c r="ET205" s="1926"/>
      <c r="EU205" s="1926"/>
      <c r="EV205" s="1926"/>
      <c r="EW205" s="1926"/>
      <c r="EX205" s="1926"/>
      <c r="EY205" s="1926"/>
      <c r="EZ205" s="1926"/>
      <c r="FA205" s="1926"/>
      <c r="FB205" s="1926"/>
      <c r="FC205" s="1926"/>
      <c r="FD205" s="1926"/>
      <c r="FE205" s="1926"/>
      <c r="FF205" s="1926"/>
      <c r="FG205" s="1926"/>
      <c r="FH205" s="1926"/>
      <c r="FI205" s="1926"/>
      <c r="FJ205" s="1926"/>
      <c r="FK205" s="1926"/>
      <c r="FL205" s="1926"/>
      <c r="FM205" s="1926"/>
      <c r="FN205" s="1926"/>
      <c r="FO205" s="1926"/>
      <c r="FP205" s="1926"/>
      <c r="FQ205" s="1926"/>
      <c r="FR205" s="1926"/>
    </row>
    <row r="206" spans="1:174" s="37" customFormat="1" ht="14.25" hidden="1" customHeight="1">
      <c r="B206" s="62" t="str">
        <f>B188</f>
        <v>Invest</v>
      </c>
      <c r="AA206" s="53"/>
      <c r="AB206" s="53"/>
      <c r="AC206" s="53"/>
      <c r="AD206" s="53"/>
      <c r="AE206" s="53"/>
      <c r="AF206" s="53"/>
      <c r="AG206" s="53"/>
      <c r="AH206" s="53"/>
      <c r="AI206" s="53"/>
      <c r="AJ206" s="53"/>
      <c r="AK206" s="53"/>
      <c r="AL206" s="53"/>
      <c r="AM206" s="53"/>
      <c r="AN206" s="235"/>
      <c r="AO206" s="53"/>
      <c r="AP206" s="53"/>
      <c r="AQ206" s="53"/>
      <c r="AY206" s="1922">
        <f t="shared" ref="AY206:BV206" si="183">AY188+AY191+AY194+AY197+AY200</f>
        <v>0</v>
      </c>
      <c r="AZ206" s="1922">
        <f t="shared" si="183"/>
        <v>0</v>
      </c>
      <c r="BA206" s="1922">
        <f t="shared" si="183"/>
        <v>0</v>
      </c>
      <c r="BB206" s="1922">
        <f t="shared" si="183"/>
        <v>0</v>
      </c>
      <c r="BC206" s="1922">
        <f t="shared" si="183"/>
        <v>0</v>
      </c>
      <c r="BD206" s="1922">
        <f t="shared" si="183"/>
        <v>0</v>
      </c>
      <c r="BE206" s="1922">
        <f t="shared" si="183"/>
        <v>0</v>
      </c>
      <c r="BF206" s="1922">
        <f t="shared" si="183"/>
        <v>0</v>
      </c>
      <c r="BG206" s="1922">
        <f t="shared" si="183"/>
        <v>0</v>
      </c>
      <c r="BH206" s="1922">
        <f t="shared" si="183"/>
        <v>0</v>
      </c>
      <c r="BI206" s="1922">
        <f t="shared" si="183"/>
        <v>0</v>
      </c>
      <c r="BJ206" s="1922">
        <f t="shared" si="183"/>
        <v>0</v>
      </c>
      <c r="BK206" s="1922">
        <f t="shared" si="183"/>
        <v>0</v>
      </c>
      <c r="BL206" s="1922">
        <f t="shared" si="183"/>
        <v>0</v>
      </c>
      <c r="BM206" s="1922">
        <f t="shared" si="183"/>
        <v>0</v>
      </c>
      <c r="BN206" s="1922">
        <f t="shared" si="183"/>
        <v>0</v>
      </c>
      <c r="BO206" s="1922">
        <f t="shared" si="183"/>
        <v>0</v>
      </c>
      <c r="BP206" s="1922">
        <f t="shared" si="183"/>
        <v>0</v>
      </c>
      <c r="BQ206" s="1922">
        <f t="shared" si="183"/>
        <v>0</v>
      </c>
      <c r="BR206" s="1922">
        <f t="shared" si="183"/>
        <v>0</v>
      </c>
      <c r="BS206" s="1922">
        <f t="shared" si="183"/>
        <v>0</v>
      </c>
      <c r="BT206" s="1922">
        <f t="shared" si="183"/>
        <v>0</v>
      </c>
      <c r="BU206" s="1922">
        <f t="shared" si="183"/>
        <v>0</v>
      </c>
      <c r="BV206" s="1924">
        <f t="shared" si="183"/>
        <v>0</v>
      </c>
      <c r="BW206" s="1924">
        <f t="shared" ref="BW206" si="184">BW188+BW191+BW194+BW197+BW200</f>
        <v>0</v>
      </c>
      <c r="BX206" s="1926"/>
      <c r="BY206" s="1926"/>
      <c r="BZ206" s="1926"/>
      <c r="CA206" s="1926"/>
      <c r="CB206" s="1926"/>
      <c r="CC206" s="1926"/>
      <c r="CD206" s="1926"/>
      <c r="CE206" s="1926"/>
      <c r="CF206" s="1926"/>
      <c r="CG206" s="1926"/>
      <c r="CH206" s="1926"/>
      <c r="CI206" s="1926"/>
      <c r="CJ206" s="1926"/>
      <c r="CK206" s="1926"/>
      <c r="CL206" s="1926"/>
      <c r="CM206" s="1926"/>
      <c r="CN206" s="1926"/>
      <c r="CO206" s="1926"/>
      <c r="CP206" s="1926"/>
      <c r="CQ206" s="1926"/>
      <c r="CR206" s="1926"/>
      <c r="CS206" s="1926"/>
      <c r="CT206" s="1926"/>
      <c r="CU206" s="1926"/>
      <c r="CV206" s="1926"/>
      <c r="CW206" s="1926"/>
      <c r="CX206" s="1926"/>
      <c r="CY206" s="1926"/>
      <c r="CZ206" s="1926"/>
      <c r="DA206" s="1926"/>
      <c r="DB206" s="1926"/>
      <c r="DC206" s="1926"/>
      <c r="DD206" s="1926"/>
      <c r="DE206" s="1926"/>
      <c r="DF206" s="1926"/>
      <c r="DG206" s="1926"/>
      <c r="DH206" s="1926"/>
      <c r="DI206" s="1926"/>
      <c r="DJ206" s="1926"/>
      <c r="DK206" s="1926"/>
      <c r="DL206" s="1926"/>
      <c r="DM206" s="1926"/>
      <c r="DN206" s="1926"/>
      <c r="DO206" s="1926"/>
      <c r="DP206" s="1926"/>
      <c r="DQ206" s="1926"/>
      <c r="DR206" s="1926"/>
      <c r="DS206" s="1926"/>
      <c r="DT206" s="1926"/>
      <c r="DU206" s="1926"/>
      <c r="DV206" s="1926"/>
      <c r="DW206" s="1926"/>
      <c r="DX206" s="1926"/>
      <c r="DY206" s="1926"/>
      <c r="DZ206" s="1926"/>
      <c r="EA206" s="1926"/>
      <c r="EB206" s="1926"/>
      <c r="EC206" s="1926"/>
      <c r="ED206" s="1926"/>
      <c r="EE206" s="1926"/>
      <c r="EF206" s="1926"/>
      <c r="EG206" s="1926"/>
      <c r="EH206" s="1926"/>
      <c r="EI206" s="1926"/>
      <c r="EJ206" s="1926"/>
      <c r="EK206" s="1926"/>
      <c r="EL206" s="1926"/>
      <c r="EM206" s="1926"/>
      <c r="EN206" s="1926"/>
      <c r="EO206" s="1926"/>
      <c r="EP206" s="1926"/>
      <c r="EQ206" s="1926"/>
      <c r="ER206" s="1926"/>
      <c r="ES206" s="1926"/>
      <c r="ET206" s="1926"/>
      <c r="EU206" s="1926"/>
      <c r="EV206" s="1926"/>
      <c r="EW206" s="1926"/>
      <c r="EX206" s="1926"/>
      <c r="EY206" s="1926"/>
      <c r="EZ206" s="1926"/>
      <c r="FA206" s="1926"/>
      <c r="FB206" s="1926"/>
      <c r="FC206" s="1926"/>
      <c r="FD206" s="1926"/>
      <c r="FE206" s="1926"/>
      <c r="FF206" s="1926"/>
      <c r="FG206" s="1926"/>
      <c r="FH206" s="1926"/>
      <c r="FI206" s="1926"/>
      <c r="FJ206" s="1926"/>
      <c r="FK206" s="1926"/>
      <c r="FL206" s="1926"/>
      <c r="FM206" s="1926"/>
      <c r="FN206" s="1926"/>
      <c r="FO206" s="1926"/>
      <c r="FP206" s="1926"/>
      <c r="FQ206" s="1926"/>
      <c r="FR206" s="1926"/>
    </row>
    <row r="207" spans="1:174" s="68" customFormat="1" ht="14.25" hidden="1" customHeight="1">
      <c r="C207" s="9"/>
      <c r="D207" s="307" t="str">
        <f ca="1">B103</f>
        <v>26</v>
      </c>
      <c r="E207" s="9"/>
      <c r="F207" s="9"/>
      <c r="G207" s="9"/>
      <c r="H207" s="307"/>
      <c r="I207" s="9"/>
      <c r="J207" s="9"/>
      <c r="K207" s="9"/>
      <c r="L207" s="9"/>
      <c r="M207" s="307"/>
      <c r="N207" s="9"/>
      <c r="P207" s="68">
        <f ca="1">C124</f>
        <v>27</v>
      </c>
      <c r="Q207" s="9"/>
      <c r="R207" s="307"/>
      <c r="S207" s="9"/>
      <c r="V207" s="9"/>
      <c r="W207" s="307"/>
      <c r="X207" s="9"/>
      <c r="AB207" s="307">
        <f ca="1">P207+1</f>
        <v>28</v>
      </c>
      <c r="AN207" s="503">
        <f ca="1">AB207+1</f>
        <v>29</v>
      </c>
      <c r="AZ207" s="307">
        <f ca="1">AN207+1</f>
        <v>30</v>
      </c>
      <c r="BL207" s="9">
        <f ca="1">AZ207+1</f>
        <v>31</v>
      </c>
      <c r="BX207" s="71"/>
      <c r="BY207" s="71"/>
      <c r="BZ207" s="71"/>
      <c r="CA207" s="71"/>
      <c r="CB207" s="71"/>
      <c r="CC207" s="71"/>
      <c r="CD207" s="71"/>
      <c r="CE207" s="71"/>
      <c r="CF207" s="71"/>
      <c r="CG207" s="71"/>
      <c r="CH207" s="71"/>
      <c r="CI207" s="71"/>
      <c r="CJ207" s="71"/>
      <c r="CK207" s="71"/>
      <c r="CL207" s="71"/>
      <c r="CM207" s="71"/>
      <c r="CN207" s="71"/>
      <c r="CO207" s="71"/>
      <c r="CP207" s="71"/>
      <c r="CQ207" s="71"/>
      <c r="CR207" s="71"/>
      <c r="CS207" s="71"/>
      <c r="CT207" s="71"/>
      <c r="CU207" s="71"/>
      <c r="CV207" s="71"/>
      <c r="CW207" s="71"/>
      <c r="CX207" s="71"/>
      <c r="CY207" s="71"/>
      <c r="CZ207" s="71"/>
      <c r="DA207" s="71"/>
      <c r="DB207" s="71"/>
      <c r="DC207" s="71"/>
      <c r="DD207" s="71"/>
      <c r="DE207" s="71"/>
      <c r="DF207" s="71"/>
      <c r="DG207" s="71"/>
      <c r="DH207" s="71"/>
      <c r="DI207" s="71"/>
      <c r="DJ207" s="71"/>
      <c r="DK207" s="71"/>
      <c r="DL207" s="71"/>
      <c r="DM207" s="71"/>
      <c r="DN207" s="71"/>
      <c r="DO207" s="71"/>
      <c r="DP207" s="71"/>
      <c r="DQ207" s="71"/>
      <c r="DR207" s="71"/>
      <c r="DS207" s="71"/>
      <c r="DT207" s="71"/>
      <c r="DU207" s="71"/>
      <c r="DV207" s="71"/>
      <c r="DW207" s="71"/>
      <c r="DX207" s="71"/>
      <c r="DY207" s="71"/>
      <c r="DZ207" s="71"/>
      <c r="EA207" s="71"/>
      <c r="EB207" s="71"/>
      <c r="EC207" s="71"/>
      <c r="ED207" s="71"/>
      <c r="EE207" s="71"/>
      <c r="EF207" s="71"/>
      <c r="EG207" s="71"/>
      <c r="EH207" s="71"/>
      <c r="EI207" s="71"/>
      <c r="EJ207" s="71"/>
      <c r="EK207" s="71"/>
      <c r="EL207" s="71"/>
      <c r="EM207" s="71"/>
      <c r="EN207" s="71"/>
      <c r="EO207" s="71"/>
      <c r="EP207" s="71"/>
      <c r="EQ207" s="71"/>
      <c r="ER207" s="71"/>
      <c r="ES207" s="71"/>
      <c r="ET207" s="71"/>
      <c r="EU207" s="71"/>
      <c r="EV207" s="71"/>
      <c r="EW207" s="71"/>
      <c r="EX207" s="71"/>
      <c r="EY207" s="71"/>
      <c r="EZ207" s="71"/>
      <c r="FA207" s="71"/>
      <c r="FB207" s="71"/>
      <c r="FC207" s="71"/>
      <c r="FD207" s="71"/>
      <c r="FE207" s="71"/>
      <c r="FF207" s="71"/>
      <c r="FG207" s="71"/>
      <c r="FH207" s="71"/>
      <c r="FI207" s="71"/>
      <c r="FJ207" s="71"/>
      <c r="FK207" s="71"/>
      <c r="FL207" s="71"/>
      <c r="FM207" s="71"/>
      <c r="FN207" s="71"/>
      <c r="FO207" s="71"/>
      <c r="FP207" s="71"/>
      <c r="FQ207" s="71"/>
      <c r="FR207" s="71"/>
    </row>
    <row r="208" spans="1:174" s="68" customFormat="1" ht="14.25" hidden="1" customHeight="1">
      <c r="D208" s="1942">
        <f t="shared" ref="D208:AF208" si="185">D103</f>
        <v>1</v>
      </c>
      <c r="E208" s="1942">
        <f t="shared" si="185"/>
        <v>2</v>
      </c>
      <c r="F208" s="1942">
        <f t="shared" si="185"/>
        <v>3</v>
      </c>
      <c r="G208" s="1942">
        <f t="shared" si="185"/>
        <v>4</v>
      </c>
      <c r="H208" s="533">
        <f t="shared" si="185"/>
        <v>5</v>
      </c>
      <c r="I208" s="1942">
        <f t="shared" si="185"/>
        <v>6</v>
      </c>
      <c r="J208" s="1942">
        <f t="shared" si="185"/>
        <v>7</v>
      </c>
      <c r="K208" s="1942">
        <f t="shared" si="185"/>
        <v>8</v>
      </c>
      <c r="L208" s="1942">
        <f t="shared" si="185"/>
        <v>9</v>
      </c>
      <c r="M208" s="533">
        <f t="shared" si="185"/>
        <v>10</v>
      </c>
      <c r="N208" s="1942">
        <f t="shared" si="185"/>
        <v>11</v>
      </c>
      <c r="O208" s="1942">
        <f t="shared" si="185"/>
        <v>12</v>
      </c>
      <c r="P208" s="1942">
        <f t="shared" si="185"/>
        <v>13</v>
      </c>
      <c r="Q208" s="1942">
        <f t="shared" si="185"/>
        <v>14</v>
      </c>
      <c r="R208" s="533">
        <f t="shared" si="185"/>
        <v>15</v>
      </c>
      <c r="S208" s="1942">
        <f t="shared" si="185"/>
        <v>16</v>
      </c>
      <c r="T208" s="1942">
        <f t="shared" si="185"/>
        <v>17</v>
      </c>
      <c r="U208" s="1942">
        <f t="shared" si="185"/>
        <v>18</v>
      </c>
      <c r="V208" s="1942">
        <f t="shared" si="185"/>
        <v>19</v>
      </c>
      <c r="W208" s="533">
        <f t="shared" si="185"/>
        <v>20</v>
      </c>
      <c r="X208" s="1942">
        <f t="shared" si="185"/>
        <v>21</v>
      </c>
      <c r="Y208" s="1942">
        <f t="shared" si="185"/>
        <v>22</v>
      </c>
      <c r="Z208" s="1943">
        <f t="shared" si="185"/>
        <v>23</v>
      </c>
      <c r="AA208" s="1942">
        <f t="shared" si="185"/>
        <v>24</v>
      </c>
      <c r="AB208" s="1944">
        <f t="shared" si="185"/>
        <v>25</v>
      </c>
      <c r="AC208" s="1942">
        <f t="shared" si="185"/>
        <v>26</v>
      </c>
      <c r="AD208" s="1942">
        <f t="shared" si="185"/>
        <v>27</v>
      </c>
      <c r="AE208" s="1942">
        <f t="shared" si="185"/>
        <v>28</v>
      </c>
      <c r="AF208" s="1942">
        <f t="shared" si="185"/>
        <v>29</v>
      </c>
      <c r="AG208" s="1942">
        <f t="shared" ref="AG208:AM208" si="186">AG103</f>
        <v>30</v>
      </c>
      <c r="AH208" s="1942">
        <f t="shared" si="186"/>
        <v>31</v>
      </c>
      <c r="AI208" s="1942">
        <f t="shared" si="186"/>
        <v>32</v>
      </c>
      <c r="AJ208" s="1942">
        <f t="shared" si="186"/>
        <v>33</v>
      </c>
      <c r="AK208" s="1942">
        <f t="shared" si="186"/>
        <v>34</v>
      </c>
      <c r="AL208" s="1942">
        <f t="shared" si="186"/>
        <v>35</v>
      </c>
      <c r="AM208" s="1942">
        <f t="shared" si="186"/>
        <v>36</v>
      </c>
      <c r="AN208" s="1962">
        <f t="shared" ref="AN208:BS208" si="187">AN103</f>
        <v>37</v>
      </c>
      <c r="AO208" s="1942">
        <f t="shared" si="187"/>
        <v>38</v>
      </c>
      <c r="AP208" s="1942">
        <f t="shared" si="187"/>
        <v>39</v>
      </c>
      <c r="AQ208" s="1942">
        <f t="shared" si="187"/>
        <v>40</v>
      </c>
      <c r="AR208" s="1942">
        <f t="shared" si="187"/>
        <v>41</v>
      </c>
      <c r="AS208" s="1942">
        <f t="shared" si="187"/>
        <v>42</v>
      </c>
      <c r="AT208" s="1942">
        <f t="shared" si="187"/>
        <v>43</v>
      </c>
      <c r="AU208" s="1942">
        <f t="shared" si="187"/>
        <v>44</v>
      </c>
      <c r="AV208" s="1942">
        <f t="shared" si="187"/>
        <v>45</v>
      </c>
      <c r="AW208" s="1942">
        <f t="shared" si="187"/>
        <v>46</v>
      </c>
      <c r="AX208" s="1942">
        <f t="shared" si="187"/>
        <v>47</v>
      </c>
      <c r="AY208" s="1942">
        <f t="shared" si="187"/>
        <v>48</v>
      </c>
      <c r="AZ208" s="1942">
        <f t="shared" si="187"/>
        <v>49</v>
      </c>
      <c r="BA208" s="1942">
        <f t="shared" si="187"/>
        <v>50</v>
      </c>
      <c r="BB208" s="1942">
        <f t="shared" si="187"/>
        <v>51</v>
      </c>
      <c r="BC208" s="1942">
        <f t="shared" si="187"/>
        <v>52</v>
      </c>
      <c r="BD208" s="1942">
        <f t="shared" si="187"/>
        <v>53</v>
      </c>
      <c r="BE208" s="1942">
        <f t="shared" si="187"/>
        <v>54</v>
      </c>
      <c r="BF208" s="1942">
        <f t="shared" si="187"/>
        <v>55</v>
      </c>
      <c r="BG208" s="1942">
        <f t="shared" si="187"/>
        <v>56</v>
      </c>
      <c r="BH208" s="1942">
        <f t="shared" si="187"/>
        <v>57</v>
      </c>
      <c r="BI208" s="1942">
        <f t="shared" si="187"/>
        <v>58</v>
      </c>
      <c r="BJ208" s="1942">
        <f t="shared" si="187"/>
        <v>59</v>
      </c>
      <c r="BK208" s="1942">
        <f t="shared" si="187"/>
        <v>60</v>
      </c>
      <c r="BL208" s="1942">
        <f t="shared" si="187"/>
        <v>61</v>
      </c>
      <c r="BM208" s="1942">
        <f t="shared" si="187"/>
        <v>62</v>
      </c>
      <c r="BN208" s="1942">
        <f t="shared" si="187"/>
        <v>63</v>
      </c>
      <c r="BO208" s="1942">
        <f t="shared" si="187"/>
        <v>64</v>
      </c>
      <c r="BP208" s="1942">
        <f t="shared" si="187"/>
        <v>65</v>
      </c>
      <c r="BQ208" s="1942">
        <f t="shared" si="187"/>
        <v>66</v>
      </c>
      <c r="BR208" s="1942">
        <f t="shared" si="187"/>
        <v>67</v>
      </c>
      <c r="BS208" s="1942">
        <f t="shared" si="187"/>
        <v>68</v>
      </c>
      <c r="BT208" s="1942">
        <f t="shared" ref="BT208:BW208" si="188">BT103</f>
        <v>69</v>
      </c>
      <c r="BU208" s="1942">
        <f t="shared" si="188"/>
        <v>70</v>
      </c>
      <c r="BV208" s="1942">
        <f t="shared" si="188"/>
        <v>71</v>
      </c>
      <c r="BW208" s="1943">
        <f t="shared" si="188"/>
        <v>72</v>
      </c>
      <c r="BX208" s="1945"/>
      <c r="BY208" s="1945"/>
      <c r="BZ208" s="1945"/>
      <c r="CA208" s="1945"/>
      <c r="CB208" s="1945"/>
      <c r="CC208" s="1945"/>
      <c r="CD208" s="1945"/>
      <c r="CE208" s="1945"/>
      <c r="CF208" s="1945"/>
      <c r="CG208" s="1945"/>
      <c r="CH208" s="1945"/>
      <c r="CI208" s="1945"/>
      <c r="CJ208" s="1945"/>
      <c r="CK208" s="1945"/>
      <c r="CL208" s="1945"/>
      <c r="CM208" s="1945"/>
      <c r="CN208" s="1945"/>
      <c r="CO208" s="1945"/>
      <c r="CP208" s="1945"/>
      <c r="CQ208" s="1945"/>
      <c r="CR208" s="1945"/>
      <c r="CS208" s="1945"/>
      <c r="CT208" s="1945"/>
      <c r="CU208" s="1945"/>
      <c r="CV208" s="1945"/>
      <c r="CW208" s="1945"/>
      <c r="CX208" s="1945"/>
      <c r="CY208" s="1945"/>
      <c r="CZ208" s="1945"/>
      <c r="DA208" s="1945"/>
      <c r="DB208" s="1945"/>
      <c r="DC208" s="1945"/>
      <c r="DD208" s="1945"/>
      <c r="DE208" s="1945"/>
      <c r="DF208" s="1945"/>
      <c r="DG208" s="1945"/>
      <c r="DH208" s="1945"/>
      <c r="DI208" s="1945"/>
      <c r="DJ208" s="1945"/>
      <c r="DK208" s="1945"/>
      <c r="DL208" s="1945"/>
      <c r="DM208" s="1945"/>
      <c r="DN208" s="1945"/>
      <c r="DO208" s="1945"/>
      <c r="DP208" s="1945"/>
      <c r="DQ208" s="1945"/>
      <c r="DR208" s="1945"/>
      <c r="DS208" s="1945"/>
      <c r="DT208" s="1945"/>
      <c r="DU208" s="1945"/>
      <c r="DV208" s="1945"/>
      <c r="DW208" s="1945"/>
      <c r="DX208" s="1945"/>
      <c r="DY208" s="1945"/>
      <c r="DZ208" s="1945"/>
      <c r="EA208" s="1945"/>
      <c r="EB208" s="1945"/>
      <c r="EC208" s="1945"/>
      <c r="ED208" s="1945"/>
      <c r="EE208" s="1945"/>
      <c r="EF208" s="1945"/>
      <c r="EG208" s="1945"/>
      <c r="EH208" s="1945"/>
      <c r="EI208" s="1945"/>
      <c r="EJ208" s="1945"/>
      <c r="EK208" s="1945"/>
      <c r="EL208" s="1945"/>
      <c r="EM208" s="1945"/>
      <c r="EN208" s="1945"/>
      <c r="EO208" s="1945"/>
      <c r="EP208" s="1945"/>
      <c r="EQ208" s="1945"/>
      <c r="ER208" s="1945"/>
      <c r="ES208" s="1945"/>
      <c r="ET208" s="1945"/>
      <c r="EU208" s="1945"/>
      <c r="EV208" s="1945"/>
      <c r="EW208" s="1945"/>
      <c r="EX208" s="1945"/>
      <c r="EY208" s="1945"/>
      <c r="EZ208" s="1945"/>
      <c r="FA208" s="1945"/>
      <c r="FB208" s="1945"/>
      <c r="FC208" s="1945"/>
      <c r="FD208" s="1945"/>
      <c r="FE208" s="1945"/>
      <c r="FF208" s="1945"/>
      <c r="FG208" s="1945"/>
      <c r="FH208" s="1945"/>
      <c r="FI208" s="1945"/>
      <c r="FJ208" s="1945"/>
      <c r="FK208" s="1945"/>
      <c r="FL208" s="1945"/>
      <c r="FM208" s="1945"/>
      <c r="FN208" s="1945"/>
      <c r="FO208" s="1945"/>
      <c r="FP208" s="1945"/>
      <c r="FQ208" s="1945"/>
      <c r="FR208" s="1945"/>
    </row>
    <row r="209" spans="1:174" s="68" customFormat="1" ht="14.25" hidden="1" customHeight="1">
      <c r="A209" s="68">
        <v>1</v>
      </c>
      <c r="B209" s="37" t="s">
        <v>570</v>
      </c>
      <c r="C209" s="37"/>
      <c r="D209" s="1946">
        <f t="shared" ref="D209:E223" si="189">D188+D167+D146+D125+D104</f>
        <v>0</v>
      </c>
      <c r="E209" s="1946">
        <f t="shared" si="189"/>
        <v>0</v>
      </c>
      <c r="F209" s="1946">
        <f t="shared" ref="F209:Q209" si="190">F188+F167+F146+F125+F104</f>
        <v>0</v>
      </c>
      <c r="G209" s="1946">
        <f t="shared" si="190"/>
        <v>0</v>
      </c>
      <c r="H209" s="1946">
        <f t="shared" si="190"/>
        <v>0</v>
      </c>
      <c r="I209" s="1946">
        <f t="shared" si="190"/>
        <v>0</v>
      </c>
      <c r="J209" s="1946">
        <f t="shared" si="190"/>
        <v>0</v>
      </c>
      <c r="K209" s="1946">
        <f t="shared" si="190"/>
        <v>0</v>
      </c>
      <c r="L209" s="1946">
        <f t="shared" si="190"/>
        <v>0</v>
      </c>
      <c r="M209" s="1946">
        <f t="shared" si="190"/>
        <v>0</v>
      </c>
      <c r="N209" s="1946">
        <f t="shared" si="190"/>
        <v>0</v>
      </c>
      <c r="O209" s="1946">
        <f t="shared" si="190"/>
        <v>0</v>
      </c>
      <c r="P209" s="1946">
        <f t="shared" si="190"/>
        <v>0</v>
      </c>
      <c r="Q209" s="1946">
        <f t="shared" si="190"/>
        <v>0</v>
      </c>
      <c r="R209" s="1946">
        <f t="shared" ref="R209:AL209" si="191">R188+R167+R146+R125+R104</f>
        <v>0</v>
      </c>
      <c r="S209" s="1946">
        <f t="shared" si="191"/>
        <v>0</v>
      </c>
      <c r="T209" s="1946">
        <f t="shared" si="191"/>
        <v>0</v>
      </c>
      <c r="U209" s="1946">
        <f t="shared" si="191"/>
        <v>0</v>
      </c>
      <c r="V209" s="1946">
        <f t="shared" si="191"/>
        <v>0</v>
      </c>
      <c r="W209" s="1946">
        <f t="shared" si="191"/>
        <v>0</v>
      </c>
      <c r="X209" s="1946">
        <f t="shared" si="191"/>
        <v>0</v>
      </c>
      <c r="Y209" s="1946">
        <f t="shared" si="191"/>
        <v>0</v>
      </c>
      <c r="Z209" s="1946">
        <f t="shared" si="191"/>
        <v>0</v>
      </c>
      <c r="AA209" s="1946">
        <f t="shared" si="191"/>
        <v>0</v>
      </c>
      <c r="AB209" s="1946">
        <f t="shared" si="191"/>
        <v>0</v>
      </c>
      <c r="AC209" s="1946">
        <f t="shared" si="191"/>
        <v>0</v>
      </c>
      <c r="AD209" s="1946">
        <f t="shared" si="191"/>
        <v>0</v>
      </c>
      <c r="AE209" s="1946">
        <f t="shared" si="191"/>
        <v>0</v>
      </c>
      <c r="AF209" s="1946">
        <f t="shared" si="191"/>
        <v>0</v>
      </c>
      <c r="AG209" s="1946">
        <f t="shared" si="191"/>
        <v>0</v>
      </c>
      <c r="AH209" s="1946">
        <f t="shared" si="191"/>
        <v>0</v>
      </c>
      <c r="AI209" s="1946">
        <f t="shared" si="191"/>
        <v>0</v>
      </c>
      <c r="AJ209" s="1946">
        <f t="shared" si="191"/>
        <v>0</v>
      </c>
      <c r="AK209" s="1946">
        <f t="shared" si="191"/>
        <v>0</v>
      </c>
      <c r="AL209" s="1946">
        <f t="shared" si="191"/>
        <v>0</v>
      </c>
      <c r="AM209" s="1946">
        <f t="shared" ref="AM209:AR209" si="192">AM188+AM167+AM146+AM125+AM104</f>
        <v>0</v>
      </c>
      <c r="AN209" s="1963">
        <f t="shared" si="192"/>
        <v>0</v>
      </c>
      <c r="AO209" s="1946">
        <f t="shared" si="192"/>
        <v>0</v>
      </c>
      <c r="AP209" s="1946">
        <f t="shared" si="192"/>
        <v>0</v>
      </c>
      <c r="AQ209" s="1946">
        <f t="shared" si="192"/>
        <v>0</v>
      </c>
      <c r="AR209" s="1946">
        <f t="shared" si="192"/>
        <v>0</v>
      </c>
      <c r="AS209" s="1946">
        <f t="shared" ref="AS209:AS222" si="193">AS188+AM167+AS146+AS125+AS104</f>
        <v>0</v>
      </c>
      <c r="AT209" s="1946">
        <f t="shared" ref="AT209:AT223" si="194">AT188+AN167+AT146+AT125+AT104</f>
        <v>0</v>
      </c>
      <c r="AU209" s="1946">
        <f t="shared" ref="AU209:AU223" si="195">AU188+AO167+AU146+AU125+AU104</f>
        <v>0</v>
      </c>
      <c r="AV209" s="1946">
        <f t="shared" ref="AV209:AV223" si="196">AV188+AP167+AV146+AV125+AV104</f>
        <v>0</v>
      </c>
      <c r="AW209" s="1946">
        <f t="shared" ref="AW209:AW223" si="197">AW188+AQ167+AW146+AW125+AW104</f>
        <v>0</v>
      </c>
      <c r="AX209" s="1946">
        <f t="shared" ref="AX209:BA223" si="198">AX188+AR167+AX146+AX125+AX104</f>
        <v>0</v>
      </c>
      <c r="AY209" s="1946">
        <f t="shared" si="198"/>
        <v>0</v>
      </c>
      <c r="AZ209" s="1946">
        <f t="shared" si="198"/>
        <v>0</v>
      </c>
      <c r="BA209" s="1946">
        <f t="shared" si="198"/>
        <v>0</v>
      </c>
      <c r="BB209" s="1946">
        <f t="shared" ref="BB209:BF210" si="199">BA188+AV167+BB146+BB125+BB104</f>
        <v>0</v>
      </c>
      <c r="BC209" s="1946">
        <f t="shared" si="199"/>
        <v>0</v>
      </c>
      <c r="BD209" s="1946">
        <f t="shared" si="199"/>
        <v>0</v>
      </c>
      <c r="BE209" s="1946">
        <f t="shared" si="199"/>
        <v>0</v>
      </c>
      <c r="BF209" s="1946">
        <f t="shared" si="199"/>
        <v>0</v>
      </c>
      <c r="BG209" s="1946">
        <f t="shared" ref="BG209:BW209" si="200">BA188+BA167+BG146+BG125+BG104</f>
        <v>0</v>
      </c>
      <c r="BH209" s="1946">
        <f t="shared" si="200"/>
        <v>0</v>
      </c>
      <c r="BI209" s="1946">
        <f t="shared" si="200"/>
        <v>0</v>
      </c>
      <c r="BJ209" s="1946">
        <f t="shared" si="200"/>
        <v>0</v>
      </c>
      <c r="BK209" s="1946">
        <f t="shared" si="200"/>
        <v>0</v>
      </c>
      <c r="BL209" s="1946">
        <f t="shared" si="200"/>
        <v>0</v>
      </c>
      <c r="BM209" s="1946">
        <f t="shared" si="200"/>
        <v>0</v>
      </c>
      <c r="BN209" s="1946">
        <f t="shared" si="200"/>
        <v>0</v>
      </c>
      <c r="BO209" s="1946">
        <f t="shared" si="200"/>
        <v>0</v>
      </c>
      <c r="BP209" s="1946">
        <f t="shared" si="200"/>
        <v>0</v>
      </c>
      <c r="BQ209" s="1946">
        <f t="shared" si="200"/>
        <v>0</v>
      </c>
      <c r="BR209" s="1946">
        <f t="shared" si="200"/>
        <v>0</v>
      </c>
      <c r="BS209" s="1946">
        <f t="shared" si="200"/>
        <v>0</v>
      </c>
      <c r="BT209" s="1946">
        <f t="shared" si="200"/>
        <v>0</v>
      </c>
      <c r="BU209" s="1946">
        <f t="shared" si="200"/>
        <v>0</v>
      </c>
      <c r="BV209" s="1946">
        <f t="shared" si="200"/>
        <v>0</v>
      </c>
      <c r="BW209" s="1947">
        <f t="shared" si="200"/>
        <v>0</v>
      </c>
      <c r="BX209" s="710"/>
      <c r="BY209" s="710"/>
      <c r="BZ209" s="710"/>
      <c r="CA209" s="710"/>
      <c r="CB209" s="710"/>
      <c r="CC209" s="710"/>
      <c r="CD209" s="710"/>
      <c r="CE209" s="710"/>
      <c r="CF209" s="710"/>
      <c r="CG209" s="710"/>
      <c r="CH209" s="710"/>
      <c r="CI209" s="710"/>
      <c r="CJ209" s="710"/>
      <c r="CK209" s="710"/>
      <c r="CL209" s="710"/>
      <c r="CM209" s="710"/>
      <c r="CN209" s="710"/>
      <c r="CO209" s="710"/>
      <c r="CP209" s="710"/>
      <c r="CQ209" s="710"/>
      <c r="CR209" s="710"/>
      <c r="CS209" s="710"/>
      <c r="CT209" s="710"/>
      <c r="CU209" s="710"/>
      <c r="CV209" s="710"/>
      <c r="CW209" s="710"/>
      <c r="CX209" s="710"/>
      <c r="CY209" s="710"/>
      <c r="CZ209" s="710"/>
      <c r="DA209" s="710"/>
      <c r="DB209" s="710"/>
      <c r="DC209" s="710"/>
      <c r="DD209" s="710"/>
      <c r="DE209" s="710"/>
      <c r="DF209" s="710"/>
      <c r="DG209" s="710"/>
      <c r="DH209" s="710"/>
      <c r="DI209" s="710"/>
      <c r="DJ209" s="710"/>
      <c r="DK209" s="710"/>
      <c r="DL209" s="710"/>
      <c r="DM209" s="710"/>
      <c r="DN209" s="710"/>
      <c r="DO209" s="710"/>
      <c r="DP209" s="710"/>
      <c r="DQ209" s="710"/>
      <c r="DR209" s="710"/>
      <c r="DS209" s="710"/>
      <c r="DT209" s="710"/>
      <c r="DU209" s="710"/>
      <c r="DV209" s="710"/>
      <c r="DW209" s="710"/>
      <c r="DX209" s="710"/>
      <c r="DY209" s="710"/>
      <c r="DZ209" s="710"/>
      <c r="EA209" s="710"/>
      <c r="EB209" s="710"/>
      <c r="EC209" s="710"/>
      <c r="ED209" s="710"/>
      <c r="EE209" s="710"/>
      <c r="EF209" s="710"/>
      <c r="EG209" s="710"/>
      <c r="EH209" s="710"/>
      <c r="EI209" s="710"/>
      <c r="EJ209" s="710"/>
      <c r="EK209" s="710"/>
      <c r="EL209" s="710"/>
      <c r="EM209" s="710"/>
      <c r="EN209" s="710"/>
      <c r="EO209" s="710"/>
      <c r="EP209" s="710"/>
      <c r="EQ209" s="710"/>
      <c r="ER209" s="710"/>
      <c r="ES209" s="710"/>
      <c r="ET209" s="710"/>
      <c r="EU209" s="710"/>
      <c r="EV209" s="710"/>
      <c r="EW209" s="710"/>
      <c r="EX209" s="710"/>
      <c r="EY209" s="710"/>
      <c r="EZ209" s="710"/>
      <c r="FA209" s="710"/>
      <c r="FB209" s="710"/>
      <c r="FC209" s="710"/>
      <c r="FD209" s="710"/>
      <c r="FE209" s="710"/>
      <c r="FF209" s="710"/>
      <c r="FG209" s="710"/>
      <c r="FH209" s="710"/>
      <c r="FI209" s="710"/>
      <c r="FJ209" s="710"/>
      <c r="FK209" s="710"/>
      <c r="FL209" s="710"/>
      <c r="FM209" s="710"/>
      <c r="FN209" s="710"/>
      <c r="FO209" s="710"/>
      <c r="FP209" s="710"/>
      <c r="FQ209" s="710"/>
      <c r="FR209" s="710"/>
    </row>
    <row r="210" spans="1:174" s="68" customFormat="1" ht="14.25" hidden="1" customHeight="1">
      <c r="B210" s="1921" t="s">
        <v>571</v>
      </c>
      <c r="C210" s="37"/>
      <c r="D210" s="1946">
        <f t="shared" si="189"/>
        <v>1</v>
      </c>
      <c r="E210" s="1946">
        <f t="shared" si="189"/>
        <v>1</v>
      </c>
      <c r="F210" s="1946">
        <f t="shared" ref="F210:Q210" si="201">F189+F168+F147+F126+F105</f>
        <v>1</v>
      </c>
      <c r="G210" s="1946">
        <f t="shared" si="201"/>
        <v>1</v>
      </c>
      <c r="H210" s="1946">
        <f t="shared" si="201"/>
        <v>1</v>
      </c>
      <c r="I210" s="1946">
        <f t="shared" si="201"/>
        <v>1</v>
      </c>
      <c r="J210" s="1946">
        <f t="shared" si="201"/>
        <v>1</v>
      </c>
      <c r="K210" s="1946">
        <f t="shared" si="201"/>
        <v>1</v>
      </c>
      <c r="L210" s="1946">
        <f t="shared" si="201"/>
        <v>1</v>
      </c>
      <c r="M210" s="1946">
        <f t="shared" si="201"/>
        <v>1</v>
      </c>
      <c r="N210" s="1946">
        <f t="shared" si="201"/>
        <v>1</v>
      </c>
      <c r="O210" s="1946">
        <f t="shared" si="201"/>
        <v>1</v>
      </c>
      <c r="P210" s="1946">
        <f t="shared" si="201"/>
        <v>2</v>
      </c>
      <c r="Q210" s="1946">
        <f t="shared" si="201"/>
        <v>2</v>
      </c>
      <c r="R210" s="1946">
        <f t="shared" ref="R210:AL210" si="202">R189+R168+R147+R126+R105</f>
        <v>2</v>
      </c>
      <c r="S210" s="1946">
        <f t="shared" si="202"/>
        <v>2</v>
      </c>
      <c r="T210" s="1946">
        <f t="shared" si="202"/>
        <v>2</v>
      </c>
      <c r="U210" s="1946">
        <f t="shared" si="202"/>
        <v>2</v>
      </c>
      <c r="V210" s="1946">
        <f t="shared" si="202"/>
        <v>2</v>
      </c>
      <c r="W210" s="1946">
        <f t="shared" si="202"/>
        <v>2</v>
      </c>
      <c r="X210" s="1946">
        <f t="shared" si="202"/>
        <v>2</v>
      </c>
      <c r="Y210" s="1946">
        <f t="shared" si="202"/>
        <v>2</v>
      </c>
      <c r="Z210" s="1946">
        <f t="shared" si="202"/>
        <v>2</v>
      </c>
      <c r="AA210" s="1946">
        <f t="shared" si="202"/>
        <v>2</v>
      </c>
      <c r="AB210" s="1946">
        <f t="shared" si="202"/>
        <v>3</v>
      </c>
      <c r="AC210" s="1946">
        <f t="shared" si="202"/>
        <v>3</v>
      </c>
      <c r="AD210" s="1946">
        <f t="shared" si="202"/>
        <v>3</v>
      </c>
      <c r="AE210" s="1946">
        <f t="shared" si="202"/>
        <v>3</v>
      </c>
      <c r="AF210" s="1946">
        <f t="shared" si="202"/>
        <v>3</v>
      </c>
      <c r="AG210" s="1946">
        <f t="shared" si="202"/>
        <v>3</v>
      </c>
      <c r="AH210" s="1946">
        <f t="shared" si="202"/>
        <v>3</v>
      </c>
      <c r="AI210" s="1946">
        <f t="shared" si="202"/>
        <v>3</v>
      </c>
      <c r="AJ210" s="1946">
        <f t="shared" si="202"/>
        <v>3</v>
      </c>
      <c r="AK210" s="1946">
        <f t="shared" si="202"/>
        <v>3</v>
      </c>
      <c r="AL210" s="1946">
        <f t="shared" si="202"/>
        <v>3</v>
      </c>
      <c r="AM210" s="1946">
        <f t="shared" ref="AM210:AR210" si="203">AM189+AM168+AM147+AM126+AM105</f>
        <v>3</v>
      </c>
      <c r="AN210" s="1963">
        <f t="shared" si="203"/>
        <v>4</v>
      </c>
      <c r="AO210" s="1946">
        <f t="shared" si="203"/>
        <v>4</v>
      </c>
      <c r="AP210" s="1946">
        <f t="shared" si="203"/>
        <v>4</v>
      </c>
      <c r="AQ210" s="1946">
        <f t="shared" si="203"/>
        <v>4</v>
      </c>
      <c r="AR210" s="1946">
        <f t="shared" si="203"/>
        <v>4</v>
      </c>
      <c r="AS210" s="1946">
        <f t="shared" si="193"/>
        <v>3</v>
      </c>
      <c r="AT210" s="1946">
        <f t="shared" si="194"/>
        <v>4</v>
      </c>
      <c r="AU210" s="1946">
        <f t="shared" si="195"/>
        <v>4</v>
      </c>
      <c r="AV210" s="1946">
        <f t="shared" si="196"/>
        <v>4</v>
      </c>
      <c r="AW210" s="1946">
        <f t="shared" si="197"/>
        <v>4</v>
      </c>
      <c r="AX210" s="1946">
        <f t="shared" si="198"/>
        <v>4</v>
      </c>
      <c r="AY210" s="1946">
        <f t="shared" si="198"/>
        <v>4</v>
      </c>
      <c r="AZ210" s="1946">
        <f t="shared" si="198"/>
        <v>4</v>
      </c>
      <c r="BA210" s="1946">
        <f>AZ189+AU168+BA147+BA126+BA105</f>
        <v>4</v>
      </c>
      <c r="BB210" s="1946">
        <f t="shared" si="199"/>
        <v>4</v>
      </c>
      <c r="BC210" s="1946">
        <f t="shared" si="199"/>
        <v>4</v>
      </c>
      <c r="BD210" s="1946">
        <f t="shared" si="199"/>
        <v>4</v>
      </c>
      <c r="BE210" s="1946">
        <f t="shared" si="199"/>
        <v>4</v>
      </c>
      <c r="BF210" s="1946">
        <f t="shared" si="199"/>
        <v>4</v>
      </c>
      <c r="BG210" s="1946">
        <f>BF189+BA168+BG147+BG126+BG105</f>
        <v>4</v>
      </c>
      <c r="BH210" s="1946">
        <f t="shared" ref="BH210:BW214" si="204">BB189+BB168+BH147+BH126+BH105</f>
        <v>4</v>
      </c>
      <c r="BI210" s="1946">
        <f t="shared" si="204"/>
        <v>4</v>
      </c>
      <c r="BJ210" s="1946">
        <f t="shared" si="204"/>
        <v>4</v>
      </c>
      <c r="BK210" s="1946">
        <f t="shared" si="204"/>
        <v>4</v>
      </c>
      <c r="BL210" s="1946">
        <f t="shared" si="204"/>
        <v>4</v>
      </c>
      <c r="BM210" s="1946">
        <f t="shared" si="204"/>
        <v>4</v>
      </c>
      <c r="BN210" s="1946">
        <f t="shared" si="204"/>
        <v>4</v>
      </c>
      <c r="BO210" s="1946">
        <f t="shared" si="204"/>
        <v>4</v>
      </c>
      <c r="BP210" s="1946">
        <f t="shared" si="204"/>
        <v>4</v>
      </c>
      <c r="BQ210" s="1946">
        <f t="shared" si="204"/>
        <v>4</v>
      </c>
      <c r="BR210" s="1946">
        <f t="shared" si="204"/>
        <v>4</v>
      </c>
      <c r="BS210" s="1946">
        <f t="shared" si="204"/>
        <v>4</v>
      </c>
      <c r="BT210" s="1946">
        <f t="shared" si="204"/>
        <v>4</v>
      </c>
      <c r="BU210" s="1946">
        <f t="shared" si="204"/>
        <v>4</v>
      </c>
      <c r="BV210" s="1946">
        <f t="shared" si="204"/>
        <v>4</v>
      </c>
      <c r="BW210" s="1947">
        <f t="shared" si="204"/>
        <v>4</v>
      </c>
      <c r="BX210" s="710"/>
      <c r="BY210" s="710"/>
      <c r="BZ210" s="710"/>
      <c r="CA210" s="710"/>
      <c r="CB210" s="710"/>
      <c r="CC210" s="710"/>
      <c r="CD210" s="710"/>
      <c r="CE210" s="710"/>
      <c r="CF210" s="710"/>
      <c r="CG210" s="710"/>
      <c r="CH210" s="710"/>
      <c r="CI210" s="710"/>
      <c r="CJ210" s="710"/>
      <c r="CK210" s="710"/>
      <c r="CL210" s="710"/>
      <c r="CM210" s="710"/>
      <c r="CN210" s="710"/>
      <c r="CO210" s="710"/>
      <c r="CP210" s="710"/>
      <c r="CQ210" s="710"/>
      <c r="CR210" s="710"/>
      <c r="CS210" s="710"/>
      <c r="CT210" s="710"/>
      <c r="CU210" s="710"/>
      <c r="CV210" s="710"/>
      <c r="CW210" s="710"/>
      <c r="CX210" s="710"/>
      <c r="CY210" s="710"/>
      <c r="CZ210" s="710"/>
      <c r="DA210" s="710"/>
      <c r="DB210" s="710"/>
      <c r="DC210" s="710"/>
      <c r="DD210" s="710"/>
      <c r="DE210" s="710"/>
      <c r="DF210" s="710"/>
      <c r="DG210" s="710"/>
      <c r="DH210" s="710"/>
      <c r="DI210" s="710"/>
      <c r="DJ210" s="710"/>
      <c r="DK210" s="710"/>
      <c r="DL210" s="710"/>
      <c r="DM210" s="710"/>
      <c r="DN210" s="710"/>
      <c r="DO210" s="710"/>
      <c r="DP210" s="710"/>
      <c r="DQ210" s="710"/>
      <c r="DR210" s="710"/>
      <c r="DS210" s="710"/>
      <c r="DT210" s="710"/>
      <c r="DU210" s="710"/>
      <c r="DV210" s="710"/>
      <c r="DW210" s="710"/>
      <c r="DX210" s="710"/>
      <c r="DY210" s="710"/>
      <c r="DZ210" s="710"/>
      <c r="EA210" s="710"/>
      <c r="EB210" s="710"/>
      <c r="EC210" s="710"/>
      <c r="ED210" s="710"/>
      <c r="EE210" s="710"/>
      <c r="EF210" s="710"/>
      <c r="EG210" s="710"/>
      <c r="EH210" s="710"/>
      <c r="EI210" s="710"/>
      <c r="EJ210" s="710"/>
      <c r="EK210" s="710"/>
      <c r="EL210" s="710"/>
      <c r="EM210" s="710"/>
      <c r="EN210" s="710"/>
      <c r="EO210" s="710"/>
      <c r="EP210" s="710"/>
      <c r="EQ210" s="710"/>
      <c r="ER210" s="710"/>
      <c r="ES210" s="710"/>
      <c r="ET210" s="710"/>
      <c r="EU210" s="710"/>
      <c r="EV210" s="710"/>
      <c r="EW210" s="710"/>
      <c r="EX210" s="710"/>
      <c r="EY210" s="710"/>
      <c r="EZ210" s="710"/>
      <c r="FA210" s="710"/>
      <c r="FB210" s="710"/>
      <c r="FC210" s="710"/>
      <c r="FD210" s="710"/>
      <c r="FE210" s="710"/>
      <c r="FF210" s="710"/>
      <c r="FG210" s="710"/>
      <c r="FH210" s="710"/>
      <c r="FI210" s="710"/>
      <c r="FJ210" s="710"/>
      <c r="FK210" s="710"/>
      <c r="FL210" s="710"/>
      <c r="FM210" s="710"/>
      <c r="FN210" s="710"/>
      <c r="FO210" s="710"/>
      <c r="FP210" s="710"/>
      <c r="FQ210" s="710"/>
      <c r="FR210" s="710"/>
    </row>
    <row r="211" spans="1:174" s="68" customFormat="1" ht="14.25" hidden="1" customHeight="1">
      <c r="B211" s="37" t="s">
        <v>110</v>
      </c>
      <c r="C211" s="37"/>
      <c r="D211" s="1946">
        <f t="shared" si="189"/>
        <v>0</v>
      </c>
      <c r="E211" s="1946">
        <f t="shared" si="189"/>
        <v>0</v>
      </c>
      <c r="F211" s="1946">
        <f t="shared" ref="F211:Q211" si="205">F190+F169+F148+F127+F106</f>
        <v>0</v>
      </c>
      <c r="G211" s="1946">
        <f t="shared" si="205"/>
        <v>0</v>
      </c>
      <c r="H211" s="1946">
        <f t="shared" si="205"/>
        <v>0</v>
      </c>
      <c r="I211" s="1946">
        <f t="shared" si="205"/>
        <v>0</v>
      </c>
      <c r="J211" s="1946">
        <f t="shared" si="205"/>
        <v>0</v>
      </c>
      <c r="K211" s="1946">
        <f t="shared" si="205"/>
        <v>0</v>
      </c>
      <c r="L211" s="1946">
        <f t="shared" si="205"/>
        <v>0</v>
      </c>
      <c r="M211" s="1946">
        <f t="shared" si="205"/>
        <v>0</v>
      </c>
      <c r="N211" s="1946">
        <f t="shared" si="205"/>
        <v>0</v>
      </c>
      <c r="O211" s="1946">
        <f t="shared" si="205"/>
        <v>0</v>
      </c>
      <c r="P211" s="1946">
        <f t="shared" si="205"/>
        <v>0</v>
      </c>
      <c r="Q211" s="1946">
        <f t="shared" si="205"/>
        <v>0</v>
      </c>
      <c r="R211" s="1946">
        <f t="shared" ref="R211:AL211" si="206">R190+R169+R148+R127+R106</f>
        <v>0</v>
      </c>
      <c r="S211" s="1946">
        <f t="shared" si="206"/>
        <v>0</v>
      </c>
      <c r="T211" s="1946">
        <f t="shared" si="206"/>
        <v>0</v>
      </c>
      <c r="U211" s="1946">
        <f t="shared" si="206"/>
        <v>0</v>
      </c>
      <c r="V211" s="1946">
        <f t="shared" si="206"/>
        <v>0</v>
      </c>
      <c r="W211" s="1946">
        <f t="shared" si="206"/>
        <v>0</v>
      </c>
      <c r="X211" s="1946">
        <f t="shared" si="206"/>
        <v>0</v>
      </c>
      <c r="Y211" s="1946">
        <f t="shared" si="206"/>
        <v>0</v>
      </c>
      <c r="Z211" s="1946">
        <f t="shared" si="206"/>
        <v>0</v>
      </c>
      <c r="AA211" s="1946">
        <f t="shared" si="206"/>
        <v>0</v>
      </c>
      <c r="AB211" s="1946">
        <f t="shared" si="206"/>
        <v>0</v>
      </c>
      <c r="AC211" s="1946">
        <f t="shared" si="206"/>
        <v>0</v>
      </c>
      <c r="AD211" s="1946">
        <f t="shared" si="206"/>
        <v>0</v>
      </c>
      <c r="AE211" s="1946">
        <f t="shared" si="206"/>
        <v>0</v>
      </c>
      <c r="AF211" s="1946">
        <f t="shared" si="206"/>
        <v>0</v>
      </c>
      <c r="AG211" s="1946">
        <f t="shared" si="206"/>
        <v>0</v>
      </c>
      <c r="AH211" s="1946">
        <f t="shared" si="206"/>
        <v>0</v>
      </c>
      <c r="AI211" s="1946">
        <f t="shared" si="206"/>
        <v>0</v>
      </c>
      <c r="AJ211" s="1946">
        <f t="shared" si="206"/>
        <v>0</v>
      </c>
      <c r="AK211" s="1946">
        <f t="shared" si="206"/>
        <v>0</v>
      </c>
      <c r="AL211" s="1946">
        <f t="shared" si="206"/>
        <v>0</v>
      </c>
      <c r="AM211" s="1946">
        <f t="shared" ref="AM211:AS211" si="207">AM190+AM169+AM148+AM127+AM106</f>
        <v>0</v>
      </c>
      <c r="AN211" s="1963">
        <f t="shared" si="207"/>
        <v>0</v>
      </c>
      <c r="AO211" s="1946">
        <f t="shared" si="207"/>
        <v>0</v>
      </c>
      <c r="AP211" s="1946">
        <f t="shared" si="207"/>
        <v>0</v>
      </c>
      <c r="AQ211" s="1946">
        <f t="shared" si="207"/>
        <v>0</v>
      </c>
      <c r="AR211" s="1946">
        <f t="shared" si="207"/>
        <v>0</v>
      </c>
      <c r="AS211" s="1946">
        <f t="shared" si="207"/>
        <v>0</v>
      </c>
      <c r="AT211" s="1946">
        <f t="shared" si="194"/>
        <v>0</v>
      </c>
      <c r="AU211" s="1946">
        <f t="shared" si="195"/>
        <v>0</v>
      </c>
      <c r="AV211" s="1946">
        <f t="shared" si="196"/>
        <v>0</v>
      </c>
      <c r="AW211" s="1946">
        <f t="shared" si="197"/>
        <v>0</v>
      </c>
      <c r="AX211" s="1946">
        <f t="shared" si="198"/>
        <v>0</v>
      </c>
      <c r="AY211" s="1946">
        <f t="shared" si="198"/>
        <v>0</v>
      </c>
      <c r="AZ211" s="1946">
        <f t="shared" si="198"/>
        <v>0</v>
      </c>
      <c r="BA211" s="1946">
        <f>AZ190+AU169+BA148+BA127+BA106</f>
        <v>0</v>
      </c>
      <c r="BB211" s="1946">
        <f t="shared" ref="BB211:BE214" si="208">BA190+AV169+BB148+BB127+BB106</f>
        <v>0</v>
      </c>
      <c r="BC211" s="1946">
        <f t="shared" si="208"/>
        <v>0</v>
      </c>
      <c r="BD211" s="1946">
        <f t="shared" si="208"/>
        <v>0</v>
      </c>
      <c r="BE211" s="1946">
        <f t="shared" si="208"/>
        <v>0</v>
      </c>
      <c r="BF211" s="1946">
        <f>AZ190+AZ169+BF148+BF127+BF106</f>
        <v>0</v>
      </c>
      <c r="BG211" s="1946">
        <f>BA190+BA169+BG148+BG127+BG106</f>
        <v>0</v>
      </c>
      <c r="BH211" s="1946">
        <f t="shared" si="204"/>
        <v>0</v>
      </c>
      <c r="BI211" s="1946">
        <f t="shared" si="204"/>
        <v>0</v>
      </c>
      <c r="BJ211" s="1946">
        <f t="shared" si="204"/>
        <v>0</v>
      </c>
      <c r="BK211" s="1946">
        <f t="shared" si="204"/>
        <v>0</v>
      </c>
      <c r="BL211" s="1946">
        <f t="shared" si="204"/>
        <v>0</v>
      </c>
      <c r="BM211" s="1946">
        <f t="shared" si="204"/>
        <v>0</v>
      </c>
      <c r="BN211" s="1946">
        <f t="shared" si="204"/>
        <v>0</v>
      </c>
      <c r="BO211" s="1946">
        <f t="shared" si="204"/>
        <v>0</v>
      </c>
      <c r="BP211" s="1946">
        <f t="shared" si="204"/>
        <v>0</v>
      </c>
      <c r="BQ211" s="1946">
        <f t="shared" si="204"/>
        <v>0</v>
      </c>
      <c r="BR211" s="1946">
        <f t="shared" si="204"/>
        <v>0</v>
      </c>
      <c r="BS211" s="1946">
        <f t="shared" si="204"/>
        <v>0</v>
      </c>
      <c r="BT211" s="1946">
        <f t="shared" si="204"/>
        <v>0</v>
      </c>
      <c r="BU211" s="1946">
        <f t="shared" si="204"/>
        <v>0</v>
      </c>
      <c r="BV211" s="1946">
        <f t="shared" si="204"/>
        <v>0</v>
      </c>
      <c r="BW211" s="1947">
        <f t="shared" si="204"/>
        <v>0</v>
      </c>
      <c r="BX211" s="710"/>
      <c r="BY211" s="710"/>
      <c r="BZ211" s="710"/>
      <c r="CA211" s="710"/>
      <c r="CB211" s="710"/>
      <c r="CC211" s="710"/>
      <c r="CD211" s="710"/>
      <c r="CE211" s="710"/>
      <c r="CF211" s="710"/>
      <c r="CG211" s="710"/>
      <c r="CH211" s="710"/>
      <c r="CI211" s="710"/>
      <c r="CJ211" s="710"/>
      <c r="CK211" s="710"/>
      <c r="CL211" s="710"/>
      <c r="CM211" s="710"/>
      <c r="CN211" s="710"/>
      <c r="CO211" s="710"/>
      <c r="CP211" s="710"/>
      <c r="CQ211" s="710"/>
      <c r="CR211" s="710"/>
      <c r="CS211" s="710"/>
      <c r="CT211" s="710"/>
      <c r="CU211" s="710"/>
      <c r="CV211" s="710"/>
      <c r="CW211" s="710"/>
      <c r="CX211" s="710"/>
      <c r="CY211" s="710"/>
      <c r="CZ211" s="710"/>
      <c r="DA211" s="710"/>
      <c r="DB211" s="710"/>
      <c r="DC211" s="710"/>
      <c r="DD211" s="710"/>
      <c r="DE211" s="710"/>
      <c r="DF211" s="710"/>
      <c r="DG211" s="710"/>
      <c r="DH211" s="710"/>
      <c r="DI211" s="710"/>
      <c r="DJ211" s="710"/>
      <c r="DK211" s="710"/>
      <c r="DL211" s="710"/>
      <c r="DM211" s="710"/>
      <c r="DN211" s="710"/>
      <c r="DO211" s="710"/>
      <c r="DP211" s="710"/>
      <c r="DQ211" s="710"/>
      <c r="DR211" s="710"/>
      <c r="DS211" s="710"/>
      <c r="DT211" s="710"/>
      <c r="DU211" s="710"/>
      <c r="DV211" s="710"/>
      <c r="DW211" s="710"/>
      <c r="DX211" s="710"/>
      <c r="DY211" s="710"/>
      <c r="DZ211" s="710"/>
      <c r="EA211" s="710"/>
      <c r="EB211" s="710"/>
      <c r="EC211" s="710"/>
      <c r="ED211" s="710"/>
      <c r="EE211" s="710"/>
      <c r="EF211" s="710"/>
      <c r="EG211" s="710"/>
      <c r="EH211" s="710"/>
      <c r="EI211" s="710"/>
      <c r="EJ211" s="710"/>
      <c r="EK211" s="710"/>
      <c r="EL211" s="710"/>
      <c r="EM211" s="710"/>
      <c r="EN211" s="710"/>
      <c r="EO211" s="710"/>
      <c r="EP211" s="710"/>
      <c r="EQ211" s="710"/>
      <c r="ER211" s="710"/>
      <c r="ES211" s="710"/>
      <c r="ET211" s="710"/>
      <c r="EU211" s="710"/>
      <c r="EV211" s="710"/>
      <c r="EW211" s="710"/>
      <c r="EX211" s="710"/>
      <c r="EY211" s="710"/>
      <c r="EZ211" s="710"/>
      <c r="FA211" s="710"/>
      <c r="FB211" s="710"/>
      <c r="FC211" s="710"/>
      <c r="FD211" s="710"/>
      <c r="FE211" s="710"/>
      <c r="FF211" s="710"/>
      <c r="FG211" s="710"/>
      <c r="FH211" s="710"/>
      <c r="FI211" s="710"/>
      <c r="FJ211" s="710"/>
      <c r="FK211" s="710"/>
      <c r="FL211" s="710"/>
      <c r="FM211" s="710"/>
      <c r="FN211" s="710"/>
      <c r="FO211" s="710"/>
      <c r="FP211" s="710"/>
      <c r="FQ211" s="710"/>
      <c r="FR211" s="710"/>
    </row>
    <row r="212" spans="1:174" s="68" customFormat="1" ht="14.25" hidden="1" customHeight="1">
      <c r="A212" s="68">
        <v>2</v>
      </c>
      <c r="B212" s="37" t="s">
        <v>570</v>
      </c>
      <c r="D212" s="1946">
        <f t="shared" si="189"/>
        <v>0</v>
      </c>
      <c r="E212" s="1946">
        <f t="shared" si="189"/>
        <v>0</v>
      </c>
      <c r="F212" s="1946">
        <f t="shared" ref="F212:Q212" si="209">F191+F170+F149+F128+F107</f>
        <v>0</v>
      </c>
      <c r="G212" s="1946">
        <f t="shared" si="209"/>
        <v>0</v>
      </c>
      <c r="H212" s="1946">
        <f t="shared" si="209"/>
        <v>0</v>
      </c>
      <c r="I212" s="1946">
        <f t="shared" si="209"/>
        <v>0</v>
      </c>
      <c r="J212" s="1946">
        <f t="shared" si="209"/>
        <v>0</v>
      </c>
      <c r="K212" s="1946">
        <f t="shared" si="209"/>
        <v>0</v>
      </c>
      <c r="L212" s="1946">
        <f t="shared" si="209"/>
        <v>0</v>
      </c>
      <c r="M212" s="1946">
        <f t="shared" si="209"/>
        <v>0</v>
      </c>
      <c r="N212" s="1946">
        <f t="shared" si="209"/>
        <v>0</v>
      </c>
      <c r="O212" s="1946">
        <f t="shared" si="209"/>
        <v>0</v>
      </c>
      <c r="P212" s="1946">
        <f t="shared" si="209"/>
        <v>0</v>
      </c>
      <c r="Q212" s="1946">
        <f t="shared" si="209"/>
        <v>0</v>
      </c>
      <c r="R212" s="1946">
        <f t="shared" ref="R212:AL212" si="210">R191+R170+R149+R128+R107</f>
        <v>0</v>
      </c>
      <c r="S212" s="1946">
        <f t="shared" si="210"/>
        <v>0</v>
      </c>
      <c r="T212" s="1946">
        <f t="shared" si="210"/>
        <v>0</v>
      </c>
      <c r="U212" s="1946">
        <f t="shared" si="210"/>
        <v>0</v>
      </c>
      <c r="V212" s="1946">
        <f t="shared" si="210"/>
        <v>0</v>
      </c>
      <c r="W212" s="1946">
        <f t="shared" si="210"/>
        <v>0</v>
      </c>
      <c r="X212" s="1946">
        <f t="shared" si="210"/>
        <v>0</v>
      </c>
      <c r="Y212" s="1946">
        <f t="shared" si="210"/>
        <v>0</v>
      </c>
      <c r="Z212" s="1946">
        <f t="shared" si="210"/>
        <v>0</v>
      </c>
      <c r="AA212" s="1946">
        <f t="shared" si="210"/>
        <v>0</v>
      </c>
      <c r="AB212" s="1946">
        <f t="shared" si="210"/>
        <v>0</v>
      </c>
      <c r="AC212" s="1946">
        <f t="shared" si="210"/>
        <v>0</v>
      </c>
      <c r="AD212" s="1946">
        <f t="shared" si="210"/>
        <v>0</v>
      </c>
      <c r="AE212" s="1946">
        <f t="shared" si="210"/>
        <v>0</v>
      </c>
      <c r="AF212" s="1946">
        <f t="shared" si="210"/>
        <v>0</v>
      </c>
      <c r="AG212" s="1946">
        <f t="shared" si="210"/>
        <v>0</v>
      </c>
      <c r="AH212" s="1946">
        <f t="shared" si="210"/>
        <v>0</v>
      </c>
      <c r="AI212" s="1946">
        <f t="shared" si="210"/>
        <v>0</v>
      </c>
      <c r="AJ212" s="1946">
        <f t="shared" si="210"/>
        <v>0</v>
      </c>
      <c r="AK212" s="1946">
        <f t="shared" si="210"/>
        <v>0</v>
      </c>
      <c r="AL212" s="1946">
        <f t="shared" si="210"/>
        <v>0</v>
      </c>
      <c r="AM212" s="1946">
        <f t="shared" ref="AM212:AR212" si="211">AM191+AM170+AM149+AM128+AM107</f>
        <v>0</v>
      </c>
      <c r="AN212" s="1963">
        <f t="shared" si="211"/>
        <v>0</v>
      </c>
      <c r="AO212" s="1946">
        <f t="shared" si="211"/>
        <v>0</v>
      </c>
      <c r="AP212" s="1946">
        <f t="shared" si="211"/>
        <v>0</v>
      </c>
      <c r="AQ212" s="1946">
        <f t="shared" si="211"/>
        <v>0</v>
      </c>
      <c r="AR212" s="1946">
        <f t="shared" si="211"/>
        <v>0</v>
      </c>
      <c r="AS212" s="1946">
        <f t="shared" si="193"/>
        <v>0</v>
      </c>
      <c r="AT212" s="1946">
        <f t="shared" si="194"/>
        <v>0</v>
      </c>
      <c r="AU212" s="1946">
        <f t="shared" si="195"/>
        <v>0</v>
      </c>
      <c r="AV212" s="1946">
        <f t="shared" si="196"/>
        <v>0</v>
      </c>
      <c r="AW212" s="1946">
        <f t="shared" si="197"/>
        <v>0</v>
      </c>
      <c r="AX212" s="1946">
        <f t="shared" si="198"/>
        <v>0</v>
      </c>
      <c r="AY212" s="1946">
        <f t="shared" si="198"/>
        <v>0</v>
      </c>
      <c r="AZ212" s="1946">
        <f>AZ191+AT170+AZ149+AZ128+AZ107</f>
        <v>0</v>
      </c>
      <c r="BA212" s="1946">
        <f t="shared" si="198"/>
        <v>0</v>
      </c>
      <c r="BB212" s="1946">
        <f t="shared" si="208"/>
        <v>0</v>
      </c>
      <c r="BC212" s="1946">
        <f t="shared" si="208"/>
        <v>0</v>
      </c>
      <c r="BD212" s="1946">
        <f t="shared" si="208"/>
        <v>0</v>
      </c>
      <c r="BE212" s="1946">
        <f t="shared" si="208"/>
        <v>0</v>
      </c>
      <c r="BF212" s="1946">
        <f t="shared" ref="BF212:BG212" si="212">BE191+AZ170+BF149+BF128+BF107</f>
        <v>0</v>
      </c>
      <c r="BG212" s="1946">
        <f t="shared" si="212"/>
        <v>0</v>
      </c>
      <c r="BH212" s="1946">
        <f t="shared" si="204"/>
        <v>0</v>
      </c>
      <c r="BI212" s="1946">
        <f t="shared" si="204"/>
        <v>0</v>
      </c>
      <c r="BJ212" s="1946">
        <f t="shared" si="204"/>
        <v>0</v>
      </c>
      <c r="BK212" s="1946">
        <f t="shared" si="204"/>
        <v>0</v>
      </c>
      <c r="BL212" s="1946">
        <f t="shared" si="204"/>
        <v>0</v>
      </c>
      <c r="BM212" s="1946">
        <f t="shared" si="204"/>
        <v>0</v>
      </c>
      <c r="BN212" s="1946">
        <f t="shared" si="204"/>
        <v>0</v>
      </c>
      <c r="BO212" s="1946">
        <f t="shared" si="204"/>
        <v>0</v>
      </c>
      <c r="BP212" s="1946">
        <f t="shared" si="204"/>
        <v>0</v>
      </c>
      <c r="BQ212" s="1946">
        <f t="shared" si="204"/>
        <v>0</v>
      </c>
      <c r="BR212" s="1946">
        <f t="shared" si="204"/>
        <v>0</v>
      </c>
      <c r="BS212" s="1946">
        <f t="shared" si="204"/>
        <v>0</v>
      </c>
      <c r="BT212" s="1946">
        <f t="shared" si="204"/>
        <v>0</v>
      </c>
      <c r="BU212" s="1946">
        <f t="shared" si="204"/>
        <v>0</v>
      </c>
      <c r="BV212" s="1946">
        <f t="shared" si="204"/>
        <v>0</v>
      </c>
      <c r="BW212" s="1947">
        <f t="shared" si="204"/>
        <v>0</v>
      </c>
      <c r="BX212" s="710"/>
      <c r="BY212" s="710"/>
      <c r="BZ212" s="710"/>
      <c r="CA212" s="710"/>
      <c r="CB212" s="710"/>
      <c r="CC212" s="710"/>
      <c r="CD212" s="710"/>
      <c r="CE212" s="710"/>
      <c r="CF212" s="710"/>
      <c r="CG212" s="710"/>
      <c r="CH212" s="710"/>
      <c r="CI212" s="710"/>
      <c r="CJ212" s="710"/>
      <c r="CK212" s="710"/>
      <c r="CL212" s="710"/>
      <c r="CM212" s="710"/>
      <c r="CN212" s="710"/>
      <c r="CO212" s="710"/>
      <c r="CP212" s="710"/>
      <c r="CQ212" s="710"/>
      <c r="CR212" s="710"/>
      <c r="CS212" s="710"/>
      <c r="CT212" s="710"/>
      <c r="CU212" s="710"/>
      <c r="CV212" s="710"/>
      <c r="CW212" s="710"/>
      <c r="CX212" s="710"/>
      <c r="CY212" s="710"/>
      <c r="CZ212" s="710"/>
      <c r="DA212" s="710"/>
      <c r="DB212" s="710"/>
      <c r="DC212" s="710"/>
      <c r="DD212" s="710"/>
      <c r="DE212" s="710"/>
      <c r="DF212" s="710"/>
      <c r="DG212" s="710"/>
      <c r="DH212" s="710"/>
      <c r="DI212" s="710"/>
      <c r="DJ212" s="710"/>
      <c r="DK212" s="710"/>
      <c r="DL212" s="710"/>
      <c r="DM212" s="710"/>
      <c r="DN212" s="710"/>
      <c r="DO212" s="710"/>
      <c r="DP212" s="710"/>
      <c r="DQ212" s="710"/>
      <c r="DR212" s="710"/>
      <c r="DS212" s="710"/>
      <c r="DT212" s="710"/>
      <c r="DU212" s="710"/>
      <c r="DV212" s="710"/>
      <c r="DW212" s="710"/>
      <c r="DX212" s="710"/>
      <c r="DY212" s="710"/>
      <c r="DZ212" s="710"/>
      <c r="EA212" s="710"/>
      <c r="EB212" s="710"/>
      <c r="EC212" s="710"/>
      <c r="ED212" s="710"/>
      <c r="EE212" s="710"/>
      <c r="EF212" s="710"/>
      <c r="EG212" s="710"/>
      <c r="EH212" s="710"/>
      <c r="EI212" s="710"/>
      <c r="EJ212" s="710"/>
      <c r="EK212" s="710"/>
      <c r="EL212" s="710"/>
      <c r="EM212" s="710"/>
      <c r="EN212" s="710"/>
      <c r="EO212" s="710"/>
      <c r="EP212" s="710"/>
      <c r="EQ212" s="710"/>
      <c r="ER212" s="710"/>
      <c r="ES212" s="710"/>
      <c r="ET212" s="710"/>
      <c r="EU212" s="710"/>
      <c r="EV212" s="710"/>
      <c r="EW212" s="710"/>
      <c r="EX212" s="710"/>
      <c r="EY212" s="710"/>
      <c r="EZ212" s="710"/>
      <c r="FA212" s="710"/>
      <c r="FB212" s="710"/>
      <c r="FC212" s="710"/>
      <c r="FD212" s="710"/>
      <c r="FE212" s="710"/>
      <c r="FF212" s="710"/>
      <c r="FG212" s="710"/>
      <c r="FH212" s="710"/>
      <c r="FI212" s="710"/>
      <c r="FJ212" s="710"/>
      <c r="FK212" s="710"/>
      <c r="FL212" s="710"/>
      <c r="FM212" s="710"/>
      <c r="FN212" s="710"/>
      <c r="FO212" s="710"/>
      <c r="FP212" s="710"/>
      <c r="FQ212" s="710"/>
      <c r="FR212" s="710"/>
    </row>
    <row r="213" spans="1:174" s="68" customFormat="1" ht="14.25" hidden="1" customHeight="1">
      <c r="B213" s="1921" t="s">
        <v>571</v>
      </c>
      <c r="D213" s="1946">
        <f t="shared" si="189"/>
        <v>1</v>
      </c>
      <c r="E213" s="1946">
        <f t="shared" si="189"/>
        <v>1</v>
      </c>
      <c r="F213" s="1946">
        <f t="shared" ref="F213:Q213" si="213">F192+F171+F150+F129+F108</f>
        <v>1</v>
      </c>
      <c r="G213" s="1946">
        <f t="shared" si="213"/>
        <v>1</v>
      </c>
      <c r="H213" s="1946">
        <f t="shared" si="213"/>
        <v>1</v>
      </c>
      <c r="I213" s="1946">
        <f t="shared" si="213"/>
        <v>1</v>
      </c>
      <c r="J213" s="1946">
        <f t="shared" si="213"/>
        <v>1</v>
      </c>
      <c r="K213" s="1946">
        <f t="shared" si="213"/>
        <v>1</v>
      </c>
      <c r="L213" s="1946">
        <f t="shared" si="213"/>
        <v>1</v>
      </c>
      <c r="M213" s="1946">
        <f t="shared" si="213"/>
        <v>1</v>
      </c>
      <c r="N213" s="1946">
        <f t="shared" si="213"/>
        <v>1</v>
      </c>
      <c r="O213" s="1946">
        <f t="shared" si="213"/>
        <v>1</v>
      </c>
      <c r="P213" s="1946">
        <f t="shared" si="213"/>
        <v>2</v>
      </c>
      <c r="Q213" s="1946">
        <f t="shared" si="213"/>
        <v>2</v>
      </c>
      <c r="R213" s="1946">
        <f t="shared" ref="R213:AL213" si="214">R192+R171+R150+R129+R108</f>
        <v>2</v>
      </c>
      <c r="S213" s="1946">
        <f t="shared" si="214"/>
        <v>2</v>
      </c>
      <c r="T213" s="1946">
        <f t="shared" si="214"/>
        <v>2</v>
      </c>
      <c r="U213" s="1946">
        <f t="shared" si="214"/>
        <v>2</v>
      </c>
      <c r="V213" s="1946">
        <f t="shared" si="214"/>
        <v>2</v>
      </c>
      <c r="W213" s="1946">
        <f t="shared" si="214"/>
        <v>2</v>
      </c>
      <c r="X213" s="1946">
        <f t="shared" si="214"/>
        <v>2</v>
      </c>
      <c r="Y213" s="1946">
        <f t="shared" si="214"/>
        <v>2</v>
      </c>
      <c r="Z213" s="1946">
        <f t="shared" si="214"/>
        <v>2</v>
      </c>
      <c r="AA213" s="1946">
        <f t="shared" si="214"/>
        <v>2</v>
      </c>
      <c r="AB213" s="1946">
        <f t="shared" si="214"/>
        <v>3</v>
      </c>
      <c r="AC213" s="1946">
        <f t="shared" si="214"/>
        <v>3</v>
      </c>
      <c r="AD213" s="1946">
        <f t="shared" si="214"/>
        <v>3</v>
      </c>
      <c r="AE213" s="1946">
        <f t="shared" si="214"/>
        <v>3</v>
      </c>
      <c r="AF213" s="1946">
        <f t="shared" si="214"/>
        <v>3</v>
      </c>
      <c r="AG213" s="1946">
        <f t="shared" si="214"/>
        <v>3</v>
      </c>
      <c r="AH213" s="1946">
        <f t="shared" si="214"/>
        <v>3</v>
      </c>
      <c r="AI213" s="1946">
        <f t="shared" si="214"/>
        <v>3</v>
      </c>
      <c r="AJ213" s="1946">
        <f t="shared" si="214"/>
        <v>3</v>
      </c>
      <c r="AK213" s="1946">
        <f t="shared" si="214"/>
        <v>3</v>
      </c>
      <c r="AL213" s="1946">
        <f t="shared" si="214"/>
        <v>3</v>
      </c>
      <c r="AM213" s="1946">
        <f t="shared" ref="AM213:AR213" si="215">AM192+AM171+AM150+AM129+AM108</f>
        <v>3</v>
      </c>
      <c r="AN213" s="1963">
        <f t="shared" si="215"/>
        <v>3</v>
      </c>
      <c r="AO213" s="1946">
        <f t="shared" si="215"/>
        <v>3</v>
      </c>
      <c r="AP213" s="1946">
        <f t="shared" si="215"/>
        <v>3</v>
      </c>
      <c r="AQ213" s="1946">
        <f t="shared" si="215"/>
        <v>3</v>
      </c>
      <c r="AR213" s="1946">
        <f t="shared" si="215"/>
        <v>3</v>
      </c>
      <c r="AS213" s="1946">
        <f t="shared" si="193"/>
        <v>3</v>
      </c>
      <c r="AT213" s="1946">
        <f t="shared" si="194"/>
        <v>3</v>
      </c>
      <c r="AU213" s="1946">
        <f t="shared" si="195"/>
        <v>3</v>
      </c>
      <c r="AV213" s="1946">
        <f t="shared" si="196"/>
        <v>3</v>
      </c>
      <c r="AW213" s="1946">
        <f t="shared" si="197"/>
        <v>3</v>
      </c>
      <c r="AX213" s="1946">
        <f t="shared" si="198"/>
        <v>3</v>
      </c>
      <c r="AY213" s="1946">
        <f t="shared" si="198"/>
        <v>3</v>
      </c>
      <c r="AZ213" s="1946">
        <f t="shared" si="198"/>
        <v>3</v>
      </c>
      <c r="BA213" s="1946">
        <f>AZ192+AU171+BA150+BA129+BA108</f>
        <v>3</v>
      </c>
      <c r="BB213" s="1946">
        <f t="shared" si="208"/>
        <v>3</v>
      </c>
      <c r="BC213" s="1946">
        <f t="shared" si="208"/>
        <v>3</v>
      </c>
      <c r="BD213" s="1946">
        <f t="shared" si="208"/>
        <v>3</v>
      </c>
      <c r="BE213" s="1946">
        <f t="shared" si="208"/>
        <v>3</v>
      </c>
      <c r="BF213" s="1946">
        <f>AZ192+AZ171+BF150+BF129+BF108</f>
        <v>3</v>
      </c>
      <c r="BG213" s="1946">
        <f>BA192+BA171+BG150+BG129+BG108</f>
        <v>3</v>
      </c>
      <c r="BH213" s="1946">
        <f t="shared" si="204"/>
        <v>3</v>
      </c>
      <c r="BI213" s="1946">
        <f t="shared" si="204"/>
        <v>3</v>
      </c>
      <c r="BJ213" s="1946">
        <f t="shared" si="204"/>
        <v>3</v>
      </c>
      <c r="BK213" s="1946">
        <f t="shared" si="204"/>
        <v>3</v>
      </c>
      <c r="BL213" s="1946">
        <f t="shared" si="204"/>
        <v>3</v>
      </c>
      <c r="BM213" s="1946">
        <f t="shared" si="204"/>
        <v>3</v>
      </c>
      <c r="BN213" s="1946">
        <f t="shared" si="204"/>
        <v>3</v>
      </c>
      <c r="BO213" s="1946">
        <f t="shared" si="204"/>
        <v>3</v>
      </c>
      <c r="BP213" s="1946">
        <f t="shared" si="204"/>
        <v>3</v>
      </c>
      <c r="BQ213" s="1946">
        <f t="shared" si="204"/>
        <v>3</v>
      </c>
      <c r="BR213" s="1946">
        <f t="shared" si="204"/>
        <v>3</v>
      </c>
      <c r="BS213" s="1946">
        <f t="shared" si="204"/>
        <v>3</v>
      </c>
      <c r="BT213" s="1946">
        <f t="shared" si="204"/>
        <v>3</v>
      </c>
      <c r="BU213" s="1946">
        <f t="shared" si="204"/>
        <v>3</v>
      </c>
      <c r="BV213" s="1946">
        <f t="shared" si="204"/>
        <v>3</v>
      </c>
      <c r="BW213" s="1947">
        <f t="shared" si="204"/>
        <v>3</v>
      </c>
      <c r="BX213" s="710"/>
      <c r="BY213" s="710"/>
      <c r="BZ213" s="710"/>
      <c r="CA213" s="710"/>
      <c r="CB213" s="710"/>
      <c r="CC213" s="710"/>
      <c r="CD213" s="710"/>
      <c r="CE213" s="710"/>
      <c r="CF213" s="710"/>
      <c r="CG213" s="710"/>
      <c r="CH213" s="710"/>
      <c r="CI213" s="710"/>
      <c r="CJ213" s="710"/>
      <c r="CK213" s="710"/>
      <c r="CL213" s="710"/>
      <c r="CM213" s="710"/>
      <c r="CN213" s="710"/>
      <c r="CO213" s="710"/>
      <c r="CP213" s="710"/>
      <c r="CQ213" s="710"/>
      <c r="CR213" s="710"/>
      <c r="CS213" s="710"/>
      <c r="CT213" s="710"/>
      <c r="CU213" s="710"/>
      <c r="CV213" s="710"/>
      <c r="CW213" s="710"/>
      <c r="CX213" s="710"/>
      <c r="CY213" s="710"/>
      <c r="CZ213" s="710"/>
      <c r="DA213" s="710"/>
      <c r="DB213" s="710"/>
      <c r="DC213" s="710"/>
      <c r="DD213" s="710"/>
      <c r="DE213" s="710"/>
      <c r="DF213" s="710"/>
      <c r="DG213" s="710"/>
      <c r="DH213" s="710"/>
      <c r="DI213" s="710"/>
      <c r="DJ213" s="710"/>
      <c r="DK213" s="710"/>
      <c r="DL213" s="710"/>
      <c r="DM213" s="710"/>
      <c r="DN213" s="710"/>
      <c r="DO213" s="710"/>
      <c r="DP213" s="710"/>
      <c r="DQ213" s="710"/>
      <c r="DR213" s="710"/>
      <c r="DS213" s="710"/>
      <c r="DT213" s="710"/>
      <c r="DU213" s="710"/>
      <c r="DV213" s="710"/>
      <c r="DW213" s="710"/>
      <c r="DX213" s="710"/>
      <c r="DY213" s="710"/>
      <c r="DZ213" s="710"/>
      <c r="EA213" s="710"/>
      <c r="EB213" s="710"/>
      <c r="EC213" s="710"/>
      <c r="ED213" s="710"/>
      <c r="EE213" s="710"/>
      <c r="EF213" s="710"/>
      <c r="EG213" s="710"/>
      <c r="EH213" s="710"/>
      <c r="EI213" s="710"/>
      <c r="EJ213" s="710"/>
      <c r="EK213" s="710"/>
      <c r="EL213" s="710"/>
      <c r="EM213" s="710"/>
      <c r="EN213" s="710"/>
      <c r="EO213" s="710"/>
      <c r="EP213" s="710"/>
      <c r="EQ213" s="710"/>
      <c r="ER213" s="710"/>
      <c r="ES213" s="710"/>
      <c r="ET213" s="710"/>
      <c r="EU213" s="710"/>
      <c r="EV213" s="710"/>
      <c r="EW213" s="710"/>
      <c r="EX213" s="710"/>
      <c r="EY213" s="710"/>
      <c r="EZ213" s="710"/>
      <c r="FA213" s="710"/>
      <c r="FB213" s="710"/>
      <c r="FC213" s="710"/>
      <c r="FD213" s="710"/>
      <c r="FE213" s="710"/>
      <c r="FF213" s="710"/>
      <c r="FG213" s="710"/>
      <c r="FH213" s="710"/>
      <c r="FI213" s="710"/>
      <c r="FJ213" s="710"/>
      <c r="FK213" s="710"/>
      <c r="FL213" s="710"/>
      <c r="FM213" s="710"/>
      <c r="FN213" s="710"/>
      <c r="FO213" s="710"/>
      <c r="FP213" s="710"/>
      <c r="FQ213" s="710"/>
      <c r="FR213" s="710"/>
    </row>
    <row r="214" spans="1:174" s="68" customFormat="1" ht="14.25" hidden="1" customHeight="1">
      <c r="B214" s="37" t="s">
        <v>572</v>
      </c>
      <c r="D214" s="1946">
        <f t="shared" si="189"/>
        <v>0</v>
      </c>
      <c r="E214" s="1946">
        <f t="shared" si="189"/>
        <v>0</v>
      </c>
      <c r="F214" s="1946">
        <f t="shared" ref="F214:N214" si="216">F193+F172+F151+F130+F109</f>
        <v>0</v>
      </c>
      <c r="G214" s="1946">
        <f t="shared" si="216"/>
        <v>0</v>
      </c>
      <c r="H214" s="1946">
        <f t="shared" si="216"/>
        <v>0</v>
      </c>
      <c r="I214" s="1946">
        <f t="shared" si="216"/>
        <v>0</v>
      </c>
      <c r="J214" s="1946">
        <f t="shared" si="216"/>
        <v>0</v>
      </c>
      <c r="K214" s="1946">
        <f t="shared" si="216"/>
        <v>0</v>
      </c>
      <c r="L214" s="1946">
        <f t="shared" si="216"/>
        <v>0</v>
      </c>
      <c r="M214" s="1946">
        <f t="shared" si="216"/>
        <v>0</v>
      </c>
      <c r="N214" s="1946">
        <f t="shared" si="216"/>
        <v>0</v>
      </c>
      <c r="O214" s="1946">
        <f>O109</f>
        <v>0</v>
      </c>
      <c r="P214" s="1946">
        <f>P130+P109</f>
        <v>0</v>
      </c>
      <c r="Q214" s="1946">
        <f t="shared" ref="Q214:AA214" si="217">Q130+Q109</f>
        <v>0</v>
      </c>
      <c r="R214" s="1946">
        <f t="shared" si="217"/>
        <v>0</v>
      </c>
      <c r="S214" s="1946">
        <f t="shared" si="217"/>
        <v>0</v>
      </c>
      <c r="T214" s="1946">
        <f t="shared" si="217"/>
        <v>0</v>
      </c>
      <c r="U214" s="1946">
        <f t="shared" si="217"/>
        <v>0</v>
      </c>
      <c r="V214" s="1946">
        <f t="shared" si="217"/>
        <v>0</v>
      </c>
      <c r="W214" s="1946">
        <f t="shared" si="217"/>
        <v>0</v>
      </c>
      <c r="X214" s="1946">
        <f t="shared" si="217"/>
        <v>0</v>
      </c>
      <c r="Y214" s="1946">
        <f t="shared" si="217"/>
        <v>0</v>
      </c>
      <c r="Z214" s="1946">
        <f t="shared" si="217"/>
        <v>0</v>
      </c>
      <c r="AA214" s="1946">
        <f t="shared" si="217"/>
        <v>0</v>
      </c>
      <c r="AB214" s="1946">
        <f>AB151+AB130+AB109</f>
        <v>0</v>
      </c>
      <c r="AC214" s="1946">
        <f t="shared" ref="AC214:AM214" si="218">AC151+AC130+AC109</f>
        <v>0</v>
      </c>
      <c r="AD214" s="1946">
        <f t="shared" si="218"/>
        <v>0</v>
      </c>
      <c r="AE214" s="1946">
        <f t="shared" si="218"/>
        <v>0</v>
      </c>
      <c r="AF214" s="1946">
        <f t="shared" si="218"/>
        <v>0</v>
      </c>
      <c r="AG214" s="1946">
        <f t="shared" si="218"/>
        <v>0</v>
      </c>
      <c r="AH214" s="1946">
        <f t="shared" si="218"/>
        <v>0</v>
      </c>
      <c r="AI214" s="1946">
        <f t="shared" si="218"/>
        <v>0</v>
      </c>
      <c r="AJ214" s="1946">
        <f t="shared" si="218"/>
        <v>0</v>
      </c>
      <c r="AK214" s="1946">
        <f t="shared" si="218"/>
        <v>0</v>
      </c>
      <c r="AL214" s="1946">
        <f t="shared" si="218"/>
        <v>0</v>
      </c>
      <c r="AM214" s="1946">
        <f t="shared" si="218"/>
        <v>0</v>
      </c>
      <c r="AN214" s="1963">
        <f t="shared" ref="AN214:AS214" si="219">AN193+AN172+AN151+AN130+AN109</f>
        <v>0</v>
      </c>
      <c r="AO214" s="1946">
        <f t="shared" si="219"/>
        <v>0</v>
      </c>
      <c r="AP214" s="1946">
        <f t="shared" si="219"/>
        <v>0</v>
      </c>
      <c r="AQ214" s="1946">
        <f t="shared" si="219"/>
        <v>0</v>
      </c>
      <c r="AR214" s="1946">
        <f t="shared" si="219"/>
        <v>0</v>
      </c>
      <c r="AS214" s="1946">
        <f t="shared" si="219"/>
        <v>0</v>
      </c>
      <c r="AT214" s="1946">
        <f t="shared" si="194"/>
        <v>0</v>
      </c>
      <c r="AU214" s="1946">
        <f t="shared" si="195"/>
        <v>0</v>
      </c>
      <c r="AV214" s="1946">
        <f t="shared" si="196"/>
        <v>0</v>
      </c>
      <c r="AW214" s="1946">
        <f t="shared" si="197"/>
        <v>0</v>
      </c>
      <c r="AX214" s="1946">
        <f t="shared" si="198"/>
        <v>0</v>
      </c>
      <c r="AY214" s="1946">
        <f t="shared" si="198"/>
        <v>0</v>
      </c>
      <c r="AZ214" s="1946">
        <f t="shared" si="198"/>
        <v>0</v>
      </c>
      <c r="BA214" s="1946">
        <f>AZ193+AU172+BA151+BA130+BA109</f>
        <v>0</v>
      </c>
      <c r="BB214" s="1946">
        <f t="shared" si="208"/>
        <v>0</v>
      </c>
      <c r="BC214" s="1946">
        <f t="shared" si="208"/>
        <v>0</v>
      </c>
      <c r="BD214" s="1946">
        <f t="shared" si="208"/>
        <v>0</v>
      </c>
      <c r="BE214" s="1946">
        <f t="shared" si="208"/>
        <v>0</v>
      </c>
      <c r="BF214" s="1946">
        <f>AZ193+AZ172+BF151+BF130+BF109</f>
        <v>0</v>
      </c>
      <c r="BG214" s="1946">
        <f>BA193+BA172+BG151+BG130+BG109</f>
        <v>0</v>
      </c>
      <c r="BH214" s="1946">
        <f t="shared" si="204"/>
        <v>0</v>
      </c>
      <c r="BI214" s="1946">
        <f t="shared" si="204"/>
        <v>0</v>
      </c>
      <c r="BJ214" s="1946">
        <f t="shared" si="204"/>
        <v>0</v>
      </c>
      <c r="BK214" s="1946">
        <f t="shared" si="204"/>
        <v>0</v>
      </c>
      <c r="BL214" s="1946">
        <f t="shared" si="204"/>
        <v>0</v>
      </c>
      <c r="BM214" s="1946">
        <f t="shared" si="204"/>
        <v>0</v>
      </c>
      <c r="BN214" s="1946">
        <f t="shared" si="204"/>
        <v>0</v>
      </c>
      <c r="BO214" s="1946">
        <f t="shared" si="204"/>
        <v>0</v>
      </c>
      <c r="BP214" s="1946">
        <f t="shared" si="204"/>
        <v>0</v>
      </c>
      <c r="BQ214" s="1946">
        <f t="shared" si="204"/>
        <v>0</v>
      </c>
      <c r="BR214" s="1946">
        <f t="shared" si="204"/>
        <v>0</v>
      </c>
      <c r="BS214" s="1946">
        <f t="shared" si="204"/>
        <v>0</v>
      </c>
      <c r="BT214" s="1946">
        <f t="shared" si="204"/>
        <v>0</v>
      </c>
      <c r="BU214" s="1946">
        <f t="shared" si="204"/>
        <v>0</v>
      </c>
      <c r="BV214" s="1946">
        <f t="shared" si="204"/>
        <v>0</v>
      </c>
      <c r="BW214" s="1947">
        <f t="shared" si="204"/>
        <v>0</v>
      </c>
      <c r="BX214" s="710"/>
      <c r="BY214" s="710"/>
      <c r="BZ214" s="710"/>
      <c r="CA214" s="710"/>
      <c r="CB214" s="710"/>
      <c r="CC214" s="710"/>
      <c r="CD214" s="710"/>
      <c r="CE214" s="710"/>
      <c r="CF214" s="710"/>
      <c r="CG214" s="710"/>
      <c r="CH214" s="710"/>
      <c r="CI214" s="710"/>
      <c r="CJ214" s="710"/>
      <c r="CK214" s="710"/>
      <c r="CL214" s="710"/>
      <c r="CM214" s="710"/>
      <c r="CN214" s="710"/>
      <c r="CO214" s="710"/>
      <c r="CP214" s="710"/>
      <c r="CQ214" s="710"/>
      <c r="CR214" s="710"/>
      <c r="CS214" s="710"/>
      <c r="CT214" s="710"/>
      <c r="CU214" s="710"/>
      <c r="CV214" s="710"/>
      <c r="CW214" s="710"/>
      <c r="CX214" s="710"/>
      <c r="CY214" s="710"/>
      <c r="CZ214" s="710"/>
      <c r="DA214" s="710"/>
      <c r="DB214" s="710"/>
      <c r="DC214" s="710"/>
      <c r="DD214" s="710"/>
      <c r="DE214" s="710"/>
      <c r="DF214" s="710"/>
      <c r="DG214" s="710"/>
      <c r="DH214" s="710"/>
      <c r="DI214" s="710"/>
      <c r="DJ214" s="710"/>
      <c r="DK214" s="710"/>
      <c r="DL214" s="710"/>
      <c r="DM214" s="710"/>
      <c r="DN214" s="710"/>
      <c r="DO214" s="710"/>
      <c r="DP214" s="710"/>
      <c r="DQ214" s="710"/>
      <c r="DR214" s="710"/>
      <c r="DS214" s="710"/>
      <c r="DT214" s="710"/>
      <c r="DU214" s="710"/>
      <c r="DV214" s="710"/>
      <c r="DW214" s="710"/>
      <c r="DX214" s="710"/>
      <c r="DY214" s="710"/>
      <c r="DZ214" s="710"/>
      <c r="EA214" s="710"/>
      <c r="EB214" s="710"/>
      <c r="EC214" s="710"/>
      <c r="ED214" s="710"/>
      <c r="EE214" s="710"/>
      <c r="EF214" s="710"/>
      <c r="EG214" s="710"/>
      <c r="EH214" s="710"/>
      <c r="EI214" s="710"/>
      <c r="EJ214" s="710"/>
      <c r="EK214" s="710"/>
      <c r="EL214" s="710"/>
      <c r="EM214" s="710"/>
      <c r="EN214" s="710"/>
      <c r="EO214" s="710"/>
      <c r="EP214" s="710"/>
      <c r="EQ214" s="710"/>
      <c r="ER214" s="710"/>
      <c r="ES214" s="710"/>
      <c r="ET214" s="710"/>
      <c r="EU214" s="710"/>
      <c r="EV214" s="710"/>
      <c r="EW214" s="710"/>
      <c r="EX214" s="710"/>
      <c r="EY214" s="710"/>
      <c r="EZ214" s="710"/>
      <c r="FA214" s="710"/>
      <c r="FB214" s="710"/>
      <c r="FC214" s="710"/>
      <c r="FD214" s="710"/>
      <c r="FE214" s="710"/>
      <c r="FF214" s="710"/>
      <c r="FG214" s="710"/>
      <c r="FH214" s="710"/>
      <c r="FI214" s="710"/>
      <c r="FJ214" s="710"/>
      <c r="FK214" s="710"/>
      <c r="FL214" s="710"/>
      <c r="FM214" s="710"/>
      <c r="FN214" s="710"/>
      <c r="FO214" s="710"/>
      <c r="FP214" s="710"/>
      <c r="FQ214" s="710"/>
      <c r="FR214" s="710"/>
    </row>
    <row r="215" spans="1:174" s="68" customFormat="1" ht="14.25" hidden="1" customHeight="1">
      <c r="A215" s="68">
        <v>3</v>
      </c>
      <c r="B215" s="37" t="s">
        <v>570</v>
      </c>
      <c r="D215" s="1946">
        <f t="shared" si="189"/>
        <v>0</v>
      </c>
      <c r="E215" s="1946">
        <f t="shared" si="189"/>
        <v>0</v>
      </c>
      <c r="F215" s="1946">
        <f t="shared" ref="F215:Q215" si="220">F194+F173+F152+F131+F110</f>
        <v>0</v>
      </c>
      <c r="G215" s="1946">
        <f t="shared" si="220"/>
        <v>0</v>
      </c>
      <c r="H215" s="1946">
        <f t="shared" si="220"/>
        <v>0</v>
      </c>
      <c r="I215" s="1946">
        <f t="shared" si="220"/>
        <v>0</v>
      </c>
      <c r="J215" s="1946">
        <f t="shared" si="220"/>
        <v>0</v>
      </c>
      <c r="K215" s="1946">
        <f t="shared" si="220"/>
        <v>0</v>
      </c>
      <c r="L215" s="1946">
        <f t="shared" si="220"/>
        <v>0</v>
      </c>
      <c r="M215" s="1946">
        <f t="shared" si="220"/>
        <v>0</v>
      </c>
      <c r="N215" s="1946">
        <f t="shared" si="220"/>
        <v>0</v>
      </c>
      <c r="O215" s="1946">
        <f t="shared" si="220"/>
        <v>0</v>
      </c>
      <c r="P215" s="1946">
        <f t="shared" si="220"/>
        <v>0</v>
      </c>
      <c r="Q215" s="1946">
        <f t="shared" si="220"/>
        <v>0</v>
      </c>
      <c r="R215" s="1946">
        <f t="shared" ref="R215:AL215" si="221">R194+R173+R152+R131+R110</f>
        <v>0</v>
      </c>
      <c r="S215" s="1946">
        <f t="shared" si="221"/>
        <v>0</v>
      </c>
      <c r="T215" s="1946">
        <f t="shared" si="221"/>
        <v>0</v>
      </c>
      <c r="U215" s="1946">
        <f t="shared" si="221"/>
        <v>0</v>
      </c>
      <c r="V215" s="1946">
        <f t="shared" si="221"/>
        <v>0</v>
      </c>
      <c r="W215" s="1946">
        <f t="shared" si="221"/>
        <v>0</v>
      </c>
      <c r="X215" s="1946">
        <f t="shared" si="221"/>
        <v>0</v>
      </c>
      <c r="Y215" s="1946">
        <f t="shared" si="221"/>
        <v>0</v>
      </c>
      <c r="Z215" s="1946">
        <f t="shared" si="221"/>
        <v>0</v>
      </c>
      <c r="AA215" s="1946">
        <f t="shared" si="221"/>
        <v>0</v>
      </c>
      <c r="AB215" s="1946">
        <f t="shared" si="221"/>
        <v>0</v>
      </c>
      <c r="AC215" s="1946">
        <f t="shared" si="221"/>
        <v>0</v>
      </c>
      <c r="AD215" s="1946">
        <f t="shared" si="221"/>
        <v>0</v>
      </c>
      <c r="AE215" s="1946">
        <f t="shared" si="221"/>
        <v>0</v>
      </c>
      <c r="AF215" s="1946">
        <f t="shared" si="221"/>
        <v>0</v>
      </c>
      <c r="AG215" s="1946">
        <f t="shared" si="221"/>
        <v>0</v>
      </c>
      <c r="AH215" s="1946">
        <f t="shared" si="221"/>
        <v>0</v>
      </c>
      <c r="AI215" s="1946">
        <f t="shared" si="221"/>
        <v>0</v>
      </c>
      <c r="AJ215" s="1946">
        <f t="shared" si="221"/>
        <v>0</v>
      </c>
      <c r="AK215" s="1946">
        <f t="shared" si="221"/>
        <v>0</v>
      </c>
      <c r="AL215" s="1946">
        <f t="shared" si="221"/>
        <v>0</v>
      </c>
      <c r="AM215" s="1946">
        <f t="shared" ref="AM215:AR215" si="222">AM194+AM173+AM152+AM131+AM110</f>
        <v>0</v>
      </c>
      <c r="AN215" s="1963">
        <f t="shared" si="222"/>
        <v>0</v>
      </c>
      <c r="AO215" s="1946">
        <f t="shared" si="222"/>
        <v>0</v>
      </c>
      <c r="AP215" s="1946">
        <f t="shared" si="222"/>
        <v>0</v>
      </c>
      <c r="AQ215" s="1946">
        <f t="shared" si="222"/>
        <v>0</v>
      </c>
      <c r="AR215" s="1946">
        <f t="shared" si="222"/>
        <v>0</v>
      </c>
      <c r="AS215" s="1946">
        <f t="shared" si="193"/>
        <v>0</v>
      </c>
      <c r="AT215" s="1946">
        <f t="shared" si="194"/>
        <v>0</v>
      </c>
      <c r="AU215" s="1946">
        <f t="shared" si="195"/>
        <v>0</v>
      </c>
      <c r="AV215" s="1946">
        <f t="shared" si="196"/>
        <v>0</v>
      </c>
      <c r="AW215" s="1946">
        <f t="shared" si="197"/>
        <v>0</v>
      </c>
      <c r="AX215" s="1946">
        <f t="shared" si="198"/>
        <v>0</v>
      </c>
      <c r="AY215" s="1946">
        <f t="shared" si="198"/>
        <v>0</v>
      </c>
      <c r="AZ215" s="1946">
        <f>AZ194+AU173+BA152+BA131+BA110</f>
        <v>0</v>
      </c>
      <c r="BA215" s="1946">
        <f t="shared" ref="BA215:BE215" si="223">BA194+AV173+BB152+BB131+BB110</f>
        <v>0</v>
      </c>
      <c r="BB215" s="1946">
        <f t="shared" si="223"/>
        <v>0</v>
      </c>
      <c r="BC215" s="1946">
        <f t="shared" si="223"/>
        <v>0</v>
      </c>
      <c r="BD215" s="1946">
        <f t="shared" si="223"/>
        <v>0</v>
      </c>
      <c r="BE215" s="1946">
        <f t="shared" si="223"/>
        <v>0</v>
      </c>
      <c r="BF215" s="1946">
        <f t="shared" ref="BF215" si="224">BF194+BA173+BG152+BG131+BG110</f>
        <v>0</v>
      </c>
      <c r="BG215" s="1946">
        <f t="shared" ref="BG215" si="225">BG194+BB173+BH152+BH131+BH110</f>
        <v>0</v>
      </c>
      <c r="BH215" s="1946">
        <f t="shared" ref="BH215" si="226">BH194+BC173+BI152+BI131+BI110</f>
        <v>0</v>
      </c>
      <c r="BI215" s="1946">
        <f t="shared" ref="BI215:BJ215" si="227">BI194+BD173+BJ152+BJ131+BJ110</f>
        <v>0</v>
      </c>
      <c r="BJ215" s="1946">
        <f t="shared" si="227"/>
        <v>0</v>
      </c>
      <c r="BK215" s="1946">
        <f t="shared" ref="BK215" si="228">BK194+BF173+BL152+BL131+BL110</f>
        <v>0</v>
      </c>
      <c r="BL215" s="1946">
        <f t="shared" ref="BL215" si="229">BL194+BG173+BM152+BM131+BM110</f>
        <v>0</v>
      </c>
      <c r="BM215" s="1946">
        <f t="shared" ref="BM215" si="230">BM194+BH173+BN152+BN131+BN110</f>
        <v>0</v>
      </c>
      <c r="BN215" s="1946">
        <f t="shared" ref="BN215:BO215" si="231">BN194+BI173+BO152+BO131+BO110</f>
        <v>0</v>
      </c>
      <c r="BO215" s="1946">
        <f t="shared" si="231"/>
        <v>0</v>
      </c>
      <c r="BP215" s="1946">
        <f t="shared" ref="BP215" si="232">BP194+BK173+BQ152+BQ131+BQ110</f>
        <v>0</v>
      </c>
      <c r="BQ215" s="1946">
        <f t="shared" ref="BQ215" si="233">BQ194+BL173+BR152+BR131+BR110</f>
        <v>0</v>
      </c>
      <c r="BR215" s="1946">
        <f t="shared" ref="BR215" si="234">BR194+BM173+BS152+BS131+BS110</f>
        <v>0</v>
      </c>
      <c r="BS215" s="1946">
        <f t="shared" ref="BS215:BT215" si="235">BS194+BN173+BT152+BT131+BT110</f>
        <v>0</v>
      </c>
      <c r="BT215" s="1946">
        <f t="shared" si="235"/>
        <v>0</v>
      </c>
      <c r="BU215" s="1946">
        <f t="shared" ref="BU215" si="236">BU194+BP173+BV152+BV131+BV110</f>
        <v>0</v>
      </c>
      <c r="BV215" s="1946">
        <f t="shared" ref="BV215" si="237">BV194+BQ173+BW152+BW131+BW110</f>
        <v>0</v>
      </c>
      <c r="BW215" s="1946">
        <f t="shared" ref="BW215" si="238">BW194+BR173+BX152+BX131+BX110</f>
        <v>0</v>
      </c>
      <c r="BX215" s="710"/>
      <c r="BY215" s="710"/>
      <c r="BZ215" s="710"/>
      <c r="CA215" s="710"/>
      <c r="CB215" s="710"/>
      <c r="CC215" s="710"/>
      <c r="CD215" s="710"/>
      <c r="CE215" s="710"/>
      <c r="CF215" s="710"/>
      <c r="CG215" s="710"/>
      <c r="CH215" s="710"/>
      <c r="CI215" s="710"/>
      <c r="CJ215" s="710"/>
      <c r="CK215" s="710"/>
      <c r="CL215" s="710"/>
      <c r="CM215" s="710"/>
      <c r="CN215" s="710"/>
      <c r="CO215" s="710"/>
      <c r="CP215" s="710"/>
      <c r="CQ215" s="710"/>
      <c r="CR215" s="710"/>
      <c r="CS215" s="710"/>
      <c r="CT215" s="710"/>
      <c r="CU215" s="710"/>
      <c r="CV215" s="710"/>
      <c r="CW215" s="710"/>
      <c r="CX215" s="710"/>
      <c r="CY215" s="710"/>
      <c r="CZ215" s="710"/>
      <c r="DA215" s="710"/>
      <c r="DB215" s="710"/>
      <c r="DC215" s="710"/>
      <c r="DD215" s="710"/>
      <c r="DE215" s="710"/>
      <c r="DF215" s="710"/>
      <c r="DG215" s="710"/>
      <c r="DH215" s="710"/>
      <c r="DI215" s="710"/>
      <c r="DJ215" s="710"/>
      <c r="DK215" s="710"/>
      <c r="DL215" s="710"/>
      <c r="DM215" s="710"/>
      <c r="DN215" s="710"/>
      <c r="DO215" s="710"/>
      <c r="DP215" s="710"/>
      <c r="DQ215" s="710"/>
      <c r="DR215" s="710"/>
      <c r="DS215" s="710"/>
      <c r="DT215" s="710"/>
      <c r="DU215" s="710"/>
      <c r="DV215" s="710"/>
      <c r="DW215" s="710"/>
      <c r="DX215" s="710"/>
      <c r="DY215" s="710"/>
      <c r="DZ215" s="710"/>
      <c r="EA215" s="710"/>
      <c r="EB215" s="710"/>
      <c r="EC215" s="710"/>
      <c r="ED215" s="710"/>
      <c r="EE215" s="710"/>
      <c r="EF215" s="710"/>
      <c r="EG215" s="710"/>
      <c r="EH215" s="710"/>
      <c r="EI215" s="710"/>
      <c r="EJ215" s="710"/>
      <c r="EK215" s="710"/>
      <c r="EL215" s="710"/>
      <c r="EM215" s="710"/>
      <c r="EN215" s="710"/>
      <c r="EO215" s="710"/>
      <c r="EP215" s="710"/>
      <c r="EQ215" s="710"/>
      <c r="ER215" s="710"/>
      <c r="ES215" s="710"/>
      <c r="ET215" s="710"/>
      <c r="EU215" s="710"/>
      <c r="EV215" s="710"/>
      <c r="EW215" s="710"/>
      <c r="EX215" s="710"/>
      <c r="EY215" s="710"/>
      <c r="EZ215" s="710"/>
      <c r="FA215" s="710"/>
      <c r="FB215" s="710"/>
      <c r="FC215" s="710"/>
      <c r="FD215" s="710"/>
      <c r="FE215" s="710"/>
      <c r="FF215" s="710"/>
      <c r="FG215" s="710"/>
      <c r="FH215" s="710"/>
      <c r="FI215" s="710"/>
      <c r="FJ215" s="710"/>
      <c r="FK215" s="710"/>
      <c r="FL215" s="710"/>
      <c r="FM215" s="710"/>
      <c r="FN215" s="710"/>
      <c r="FO215" s="710"/>
      <c r="FP215" s="710"/>
      <c r="FQ215" s="710"/>
      <c r="FR215" s="710"/>
    </row>
    <row r="216" spans="1:174" s="68" customFormat="1" ht="14.25" hidden="1" customHeight="1">
      <c r="B216" s="1921" t="s">
        <v>571</v>
      </c>
      <c r="C216" s="30"/>
      <c r="D216" s="1946">
        <f t="shared" si="189"/>
        <v>1</v>
      </c>
      <c r="E216" s="1946">
        <f t="shared" si="189"/>
        <v>1</v>
      </c>
      <c r="F216" s="1946">
        <f t="shared" ref="F216:Q216" si="239">F195+F174+F153+F132+F111</f>
        <v>1</v>
      </c>
      <c r="G216" s="1946">
        <f t="shared" si="239"/>
        <v>1</v>
      </c>
      <c r="H216" s="1946">
        <f t="shared" si="239"/>
        <v>1</v>
      </c>
      <c r="I216" s="1946">
        <f t="shared" si="239"/>
        <v>1</v>
      </c>
      <c r="J216" s="1946">
        <f t="shared" si="239"/>
        <v>1</v>
      </c>
      <c r="K216" s="1946">
        <f t="shared" si="239"/>
        <v>1</v>
      </c>
      <c r="L216" s="1946">
        <f t="shared" si="239"/>
        <v>1</v>
      </c>
      <c r="M216" s="1946">
        <f t="shared" si="239"/>
        <v>1</v>
      </c>
      <c r="N216" s="1946">
        <f t="shared" si="239"/>
        <v>1</v>
      </c>
      <c r="O216" s="1946">
        <f t="shared" si="239"/>
        <v>1</v>
      </c>
      <c r="P216" s="1946">
        <f t="shared" si="239"/>
        <v>2</v>
      </c>
      <c r="Q216" s="1946">
        <f t="shared" si="239"/>
        <v>2</v>
      </c>
      <c r="R216" s="1946">
        <f t="shared" ref="R216:AL216" si="240">R195+R174+R153+R132+R111</f>
        <v>2</v>
      </c>
      <c r="S216" s="1946">
        <f t="shared" si="240"/>
        <v>2</v>
      </c>
      <c r="T216" s="1946">
        <f t="shared" si="240"/>
        <v>2</v>
      </c>
      <c r="U216" s="1946">
        <f t="shared" si="240"/>
        <v>2</v>
      </c>
      <c r="V216" s="1946">
        <f t="shared" si="240"/>
        <v>2</v>
      </c>
      <c r="W216" s="1946">
        <f t="shared" si="240"/>
        <v>2</v>
      </c>
      <c r="X216" s="1946">
        <f t="shared" si="240"/>
        <v>2</v>
      </c>
      <c r="Y216" s="1946">
        <f t="shared" si="240"/>
        <v>2</v>
      </c>
      <c r="Z216" s="1946">
        <f t="shared" si="240"/>
        <v>2</v>
      </c>
      <c r="AA216" s="1946">
        <f t="shared" si="240"/>
        <v>2</v>
      </c>
      <c r="AB216" s="1946">
        <f t="shared" si="240"/>
        <v>3</v>
      </c>
      <c r="AC216" s="1946">
        <f t="shared" si="240"/>
        <v>3</v>
      </c>
      <c r="AD216" s="1946">
        <f t="shared" si="240"/>
        <v>3</v>
      </c>
      <c r="AE216" s="1946">
        <f t="shared" si="240"/>
        <v>3</v>
      </c>
      <c r="AF216" s="1946">
        <f t="shared" si="240"/>
        <v>3</v>
      </c>
      <c r="AG216" s="1946">
        <f t="shared" si="240"/>
        <v>3</v>
      </c>
      <c r="AH216" s="1946">
        <f t="shared" si="240"/>
        <v>3</v>
      </c>
      <c r="AI216" s="1946">
        <f t="shared" si="240"/>
        <v>3</v>
      </c>
      <c r="AJ216" s="1946">
        <f t="shared" si="240"/>
        <v>3</v>
      </c>
      <c r="AK216" s="1946">
        <f t="shared" si="240"/>
        <v>3</v>
      </c>
      <c r="AL216" s="1946">
        <f t="shared" si="240"/>
        <v>3</v>
      </c>
      <c r="AM216" s="1946">
        <f t="shared" ref="AM216:AR216" si="241">AM195+AM174+AM153+AM132+AM111</f>
        <v>3</v>
      </c>
      <c r="AN216" s="1963">
        <f t="shared" si="241"/>
        <v>3</v>
      </c>
      <c r="AO216" s="1946">
        <f t="shared" si="241"/>
        <v>3</v>
      </c>
      <c r="AP216" s="1946">
        <f t="shared" si="241"/>
        <v>3</v>
      </c>
      <c r="AQ216" s="1946">
        <f t="shared" si="241"/>
        <v>3</v>
      </c>
      <c r="AR216" s="1946">
        <f t="shared" si="241"/>
        <v>3</v>
      </c>
      <c r="AS216" s="1946">
        <f t="shared" si="193"/>
        <v>3</v>
      </c>
      <c r="AT216" s="1946">
        <f t="shared" si="194"/>
        <v>3</v>
      </c>
      <c r="AU216" s="1946">
        <f t="shared" si="195"/>
        <v>3</v>
      </c>
      <c r="AV216" s="1946">
        <f t="shared" si="196"/>
        <v>3</v>
      </c>
      <c r="AW216" s="1946">
        <f t="shared" si="197"/>
        <v>3</v>
      </c>
      <c r="AX216" s="1946">
        <f t="shared" si="198"/>
        <v>3</v>
      </c>
      <c r="AY216" s="1946">
        <f t="shared" si="198"/>
        <v>3</v>
      </c>
      <c r="AZ216" s="1946">
        <f t="shared" ref="AZ216:BE216" si="242">AY195+AT174+AZ153+AZ132+AZ111</f>
        <v>3</v>
      </c>
      <c r="BA216" s="1946">
        <f t="shared" si="242"/>
        <v>3</v>
      </c>
      <c r="BB216" s="1946">
        <f t="shared" si="242"/>
        <v>3</v>
      </c>
      <c r="BC216" s="1946">
        <f t="shared" si="242"/>
        <v>3</v>
      </c>
      <c r="BD216" s="1946">
        <f t="shared" si="242"/>
        <v>3</v>
      </c>
      <c r="BE216" s="1946">
        <f t="shared" si="242"/>
        <v>3</v>
      </c>
      <c r="BF216" s="1946">
        <f t="shared" ref="BF216:BO217" si="243">AZ195+AZ174+BF153+BF132+BF111</f>
        <v>3</v>
      </c>
      <c r="BG216" s="1946">
        <f t="shared" si="243"/>
        <v>3</v>
      </c>
      <c r="BH216" s="1946">
        <f t="shared" si="243"/>
        <v>3</v>
      </c>
      <c r="BI216" s="1946">
        <f t="shared" si="243"/>
        <v>3</v>
      </c>
      <c r="BJ216" s="1946">
        <f t="shared" si="243"/>
        <v>3</v>
      </c>
      <c r="BK216" s="1946">
        <f t="shared" si="243"/>
        <v>3</v>
      </c>
      <c r="BL216" s="1946">
        <f t="shared" si="243"/>
        <v>3</v>
      </c>
      <c r="BM216" s="1946">
        <f t="shared" si="243"/>
        <v>3</v>
      </c>
      <c r="BN216" s="1946">
        <f t="shared" si="243"/>
        <v>3</v>
      </c>
      <c r="BO216" s="1946">
        <f t="shared" si="243"/>
        <v>3</v>
      </c>
      <c r="BP216" s="1946">
        <f t="shared" ref="BP216:BW217" si="244">BJ195+BJ174+BP153+BP132+BP111</f>
        <v>3</v>
      </c>
      <c r="BQ216" s="1946">
        <f t="shared" si="244"/>
        <v>3</v>
      </c>
      <c r="BR216" s="1946">
        <f t="shared" si="244"/>
        <v>3</v>
      </c>
      <c r="BS216" s="1946">
        <f t="shared" si="244"/>
        <v>3</v>
      </c>
      <c r="BT216" s="1946">
        <f t="shared" si="244"/>
        <v>3</v>
      </c>
      <c r="BU216" s="1946">
        <f t="shared" si="244"/>
        <v>3</v>
      </c>
      <c r="BV216" s="1946">
        <f t="shared" si="244"/>
        <v>3</v>
      </c>
      <c r="BW216" s="1947">
        <f t="shared" si="244"/>
        <v>3</v>
      </c>
      <c r="BX216" s="710"/>
      <c r="BY216" s="710"/>
      <c r="BZ216" s="710"/>
      <c r="CA216" s="710"/>
      <c r="CB216" s="710"/>
      <c r="CC216" s="710"/>
      <c r="CD216" s="710"/>
      <c r="CE216" s="710"/>
      <c r="CF216" s="710"/>
      <c r="CG216" s="710"/>
      <c r="CH216" s="710"/>
      <c r="CI216" s="710"/>
      <c r="CJ216" s="710"/>
      <c r="CK216" s="710"/>
      <c r="CL216" s="710"/>
      <c r="CM216" s="710"/>
      <c r="CN216" s="710"/>
      <c r="CO216" s="710"/>
      <c r="CP216" s="710"/>
      <c r="CQ216" s="710"/>
      <c r="CR216" s="710"/>
      <c r="CS216" s="710"/>
      <c r="CT216" s="710"/>
      <c r="CU216" s="710"/>
      <c r="CV216" s="710"/>
      <c r="CW216" s="710"/>
      <c r="CX216" s="710"/>
      <c r="CY216" s="710"/>
      <c r="CZ216" s="710"/>
      <c r="DA216" s="710"/>
      <c r="DB216" s="710"/>
      <c r="DC216" s="710"/>
      <c r="DD216" s="710"/>
      <c r="DE216" s="710"/>
      <c r="DF216" s="710"/>
      <c r="DG216" s="710"/>
      <c r="DH216" s="710"/>
      <c r="DI216" s="710"/>
      <c r="DJ216" s="710"/>
      <c r="DK216" s="710"/>
      <c r="DL216" s="710"/>
      <c r="DM216" s="710"/>
      <c r="DN216" s="710"/>
      <c r="DO216" s="710"/>
      <c r="DP216" s="710"/>
      <c r="DQ216" s="710"/>
      <c r="DR216" s="710"/>
      <c r="DS216" s="710"/>
      <c r="DT216" s="710"/>
      <c r="DU216" s="710"/>
      <c r="DV216" s="710"/>
      <c r="DW216" s="710"/>
      <c r="DX216" s="710"/>
      <c r="DY216" s="710"/>
      <c r="DZ216" s="710"/>
      <c r="EA216" s="710"/>
      <c r="EB216" s="710"/>
      <c r="EC216" s="710"/>
      <c r="ED216" s="710"/>
      <c r="EE216" s="710"/>
      <c r="EF216" s="710"/>
      <c r="EG216" s="710"/>
      <c r="EH216" s="710"/>
      <c r="EI216" s="710"/>
      <c r="EJ216" s="710"/>
      <c r="EK216" s="710"/>
      <c r="EL216" s="710"/>
      <c r="EM216" s="710"/>
      <c r="EN216" s="710"/>
      <c r="EO216" s="710"/>
      <c r="EP216" s="710"/>
      <c r="EQ216" s="710"/>
      <c r="ER216" s="710"/>
      <c r="ES216" s="710"/>
      <c r="ET216" s="710"/>
      <c r="EU216" s="710"/>
      <c r="EV216" s="710"/>
      <c r="EW216" s="710"/>
      <c r="EX216" s="710"/>
      <c r="EY216" s="710"/>
      <c r="EZ216" s="710"/>
      <c r="FA216" s="710"/>
      <c r="FB216" s="710"/>
      <c r="FC216" s="710"/>
      <c r="FD216" s="710"/>
      <c r="FE216" s="710"/>
      <c r="FF216" s="710"/>
      <c r="FG216" s="710"/>
      <c r="FH216" s="710"/>
      <c r="FI216" s="710"/>
      <c r="FJ216" s="710"/>
      <c r="FK216" s="710"/>
      <c r="FL216" s="710"/>
      <c r="FM216" s="710"/>
      <c r="FN216" s="710"/>
      <c r="FO216" s="710"/>
      <c r="FP216" s="710"/>
      <c r="FQ216" s="710"/>
      <c r="FR216" s="710"/>
    </row>
    <row r="217" spans="1:174" s="68" customFormat="1" ht="14.25" hidden="1" customHeight="1">
      <c r="B217" s="37" t="s">
        <v>572</v>
      </c>
      <c r="C217" s="30"/>
      <c r="D217" s="1946">
        <f t="shared" si="189"/>
        <v>0</v>
      </c>
      <c r="E217" s="1946">
        <f t="shared" si="189"/>
        <v>0</v>
      </c>
      <c r="F217" s="1946">
        <f t="shared" ref="F217:Q217" si="245">F196+F175+F154+F133+F112</f>
        <v>0</v>
      </c>
      <c r="G217" s="1946">
        <f t="shared" si="245"/>
        <v>0</v>
      </c>
      <c r="H217" s="1946">
        <f t="shared" si="245"/>
        <v>0</v>
      </c>
      <c r="I217" s="1946">
        <f t="shared" si="245"/>
        <v>0</v>
      </c>
      <c r="J217" s="1946">
        <f t="shared" si="245"/>
        <v>0</v>
      </c>
      <c r="K217" s="1946">
        <f t="shared" si="245"/>
        <v>0</v>
      </c>
      <c r="L217" s="1946">
        <f t="shared" si="245"/>
        <v>0</v>
      </c>
      <c r="M217" s="1946">
        <f t="shared" si="245"/>
        <v>0</v>
      </c>
      <c r="N217" s="1946">
        <f t="shared" si="245"/>
        <v>0</v>
      </c>
      <c r="O217" s="1946">
        <f t="shared" si="245"/>
        <v>0</v>
      </c>
      <c r="P217" s="1946">
        <f t="shared" si="245"/>
        <v>0</v>
      </c>
      <c r="Q217" s="1946">
        <f t="shared" si="245"/>
        <v>0</v>
      </c>
      <c r="R217" s="1946">
        <f t="shared" ref="R217:AL217" si="246">R196+R175+R154+R133+R112</f>
        <v>0</v>
      </c>
      <c r="S217" s="1946">
        <f t="shared" si="246"/>
        <v>0</v>
      </c>
      <c r="T217" s="1946">
        <f t="shared" si="246"/>
        <v>0</v>
      </c>
      <c r="U217" s="1946">
        <f t="shared" si="246"/>
        <v>0</v>
      </c>
      <c r="V217" s="1946">
        <f t="shared" si="246"/>
        <v>0</v>
      </c>
      <c r="W217" s="1946">
        <f t="shared" si="246"/>
        <v>0</v>
      </c>
      <c r="X217" s="1946">
        <f t="shared" si="246"/>
        <v>0</v>
      </c>
      <c r="Y217" s="1946">
        <f t="shared" si="246"/>
        <v>0</v>
      </c>
      <c r="Z217" s="1946">
        <f t="shared" si="246"/>
        <v>0</v>
      </c>
      <c r="AA217" s="1946">
        <f t="shared" si="246"/>
        <v>0</v>
      </c>
      <c r="AB217" s="1946">
        <f t="shared" si="246"/>
        <v>0</v>
      </c>
      <c r="AC217" s="1946">
        <f t="shared" si="246"/>
        <v>0</v>
      </c>
      <c r="AD217" s="1946">
        <f t="shared" si="246"/>
        <v>0</v>
      </c>
      <c r="AE217" s="1946">
        <f>AE196+AE175+AE154+AE133+AE112</f>
        <v>0</v>
      </c>
      <c r="AF217" s="1946">
        <f t="shared" si="246"/>
        <v>0</v>
      </c>
      <c r="AG217" s="1946">
        <f t="shared" si="246"/>
        <v>0</v>
      </c>
      <c r="AH217" s="1946">
        <f t="shared" si="246"/>
        <v>0</v>
      </c>
      <c r="AI217" s="1946">
        <f t="shared" si="246"/>
        <v>0</v>
      </c>
      <c r="AJ217" s="1946">
        <f t="shared" si="246"/>
        <v>0</v>
      </c>
      <c r="AK217" s="1946">
        <f t="shared" si="246"/>
        <v>0</v>
      </c>
      <c r="AL217" s="1946">
        <f t="shared" si="246"/>
        <v>0</v>
      </c>
      <c r="AM217" s="1946">
        <f t="shared" ref="AM217:AS217" si="247">AM196+AM175+AM154+AM133+AM112</f>
        <v>0</v>
      </c>
      <c r="AN217" s="1963">
        <f t="shared" si="247"/>
        <v>0</v>
      </c>
      <c r="AO217" s="1946">
        <f t="shared" si="247"/>
        <v>0</v>
      </c>
      <c r="AP217" s="1946">
        <f t="shared" si="247"/>
        <v>0</v>
      </c>
      <c r="AQ217" s="1946">
        <f t="shared" si="247"/>
        <v>0</v>
      </c>
      <c r="AR217" s="1946">
        <f t="shared" si="247"/>
        <v>0</v>
      </c>
      <c r="AS217" s="1946">
        <f t="shared" si="247"/>
        <v>0</v>
      </c>
      <c r="AT217" s="1946">
        <f t="shared" si="194"/>
        <v>0</v>
      </c>
      <c r="AU217" s="1946">
        <f t="shared" si="195"/>
        <v>0</v>
      </c>
      <c r="AV217" s="1946">
        <f t="shared" si="196"/>
        <v>0</v>
      </c>
      <c r="AW217" s="1946">
        <f t="shared" si="197"/>
        <v>0</v>
      </c>
      <c r="AX217" s="1946">
        <f t="shared" si="198"/>
        <v>0</v>
      </c>
      <c r="AY217" s="1946">
        <f t="shared" si="198"/>
        <v>0</v>
      </c>
      <c r="AZ217" s="1946">
        <f t="shared" si="198"/>
        <v>0</v>
      </c>
      <c r="BA217" s="1946">
        <f>AZ196+AU175+BA154+BA133+BA112</f>
        <v>0</v>
      </c>
      <c r="BB217" s="1946">
        <f>BA196+AV175+BB154+BB133+BB112</f>
        <v>0</v>
      </c>
      <c r="BC217" s="1946">
        <f>BB196+AW175+BC154+BC133+BC112</f>
        <v>0</v>
      </c>
      <c r="BD217" s="1946">
        <f>BC196+AX175+BD154+BD133+BD112</f>
        <v>0</v>
      </c>
      <c r="BE217" s="1946">
        <f>BD196+AY175+BE154+BE133+BE112</f>
        <v>0</v>
      </c>
      <c r="BF217" s="1946">
        <f t="shared" si="243"/>
        <v>0</v>
      </c>
      <c r="BG217" s="1946">
        <f t="shared" si="243"/>
        <v>0</v>
      </c>
      <c r="BH217" s="1946">
        <f t="shared" si="243"/>
        <v>0</v>
      </c>
      <c r="BI217" s="1946">
        <f t="shared" si="243"/>
        <v>0</v>
      </c>
      <c r="BJ217" s="1946">
        <f t="shared" si="243"/>
        <v>0</v>
      </c>
      <c r="BK217" s="1946">
        <f t="shared" si="243"/>
        <v>0</v>
      </c>
      <c r="BL217" s="1946">
        <f t="shared" si="243"/>
        <v>0</v>
      </c>
      <c r="BM217" s="1946">
        <f t="shared" si="243"/>
        <v>0</v>
      </c>
      <c r="BN217" s="1946">
        <f t="shared" si="243"/>
        <v>0</v>
      </c>
      <c r="BO217" s="1946">
        <f t="shared" si="243"/>
        <v>0</v>
      </c>
      <c r="BP217" s="1946">
        <f t="shared" si="244"/>
        <v>0</v>
      </c>
      <c r="BQ217" s="1946">
        <f t="shared" si="244"/>
        <v>0</v>
      </c>
      <c r="BR217" s="1946">
        <f t="shared" si="244"/>
        <v>0</v>
      </c>
      <c r="BS217" s="1946">
        <f t="shared" si="244"/>
        <v>0</v>
      </c>
      <c r="BT217" s="1946">
        <f t="shared" si="244"/>
        <v>0</v>
      </c>
      <c r="BU217" s="1946">
        <f t="shared" si="244"/>
        <v>0</v>
      </c>
      <c r="BV217" s="1946">
        <f t="shared" si="244"/>
        <v>0</v>
      </c>
      <c r="BW217" s="1947">
        <f t="shared" si="244"/>
        <v>0</v>
      </c>
      <c r="BX217" s="710"/>
      <c r="BY217" s="710"/>
      <c r="BZ217" s="710"/>
      <c r="CA217" s="710"/>
      <c r="CB217" s="710"/>
      <c r="CC217" s="710"/>
      <c r="CD217" s="710"/>
      <c r="CE217" s="710"/>
      <c r="CF217" s="710"/>
      <c r="CG217" s="710"/>
      <c r="CH217" s="710"/>
      <c r="CI217" s="710"/>
      <c r="CJ217" s="710"/>
      <c r="CK217" s="710"/>
      <c r="CL217" s="710"/>
      <c r="CM217" s="710"/>
      <c r="CN217" s="710"/>
      <c r="CO217" s="710"/>
      <c r="CP217" s="710"/>
      <c r="CQ217" s="710"/>
      <c r="CR217" s="710"/>
      <c r="CS217" s="710"/>
      <c r="CT217" s="710"/>
      <c r="CU217" s="710"/>
      <c r="CV217" s="710"/>
      <c r="CW217" s="710"/>
      <c r="CX217" s="710"/>
      <c r="CY217" s="710"/>
      <c r="CZ217" s="710"/>
      <c r="DA217" s="710"/>
      <c r="DB217" s="710"/>
      <c r="DC217" s="710"/>
      <c r="DD217" s="710"/>
      <c r="DE217" s="710"/>
      <c r="DF217" s="710"/>
      <c r="DG217" s="710"/>
      <c r="DH217" s="710"/>
      <c r="DI217" s="710"/>
      <c r="DJ217" s="710"/>
      <c r="DK217" s="710"/>
      <c r="DL217" s="710"/>
      <c r="DM217" s="710"/>
      <c r="DN217" s="710"/>
      <c r="DO217" s="710"/>
      <c r="DP217" s="710"/>
      <c r="DQ217" s="710"/>
      <c r="DR217" s="710"/>
      <c r="DS217" s="710"/>
      <c r="DT217" s="710"/>
      <c r="DU217" s="710"/>
      <c r="DV217" s="710"/>
      <c r="DW217" s="710"/>
      <c r="DX217" s="710"/>
      <c r="DY217" s="710"/>
      <c r="DZ217" s="710"/>
      <c r="EA217" s="710"/>
      <c r="EB217" s="710"/>
      <c r="EC217" s="710"/>
      <c r="ED217" s="710"/>
      <c r="EE217" s="710"/>
      <c r="EF217" s="710"/>
      <c r="EG217" s="710"/>
      <c r="EH217" s="710"/>
      <c r="EI217" s="710"/>
      <c r="EJ217" s="710"/>
      <c r="EK217" s="710"/>
      <c r="EL217" s="710"/>
      <c r="EM217" s="710"/>
      <c r="EN217" s="710"/>
      <c r="EO217" s="710"/>
      <c r="EP217" s="710"/>
      <c r="EQ217" s="710"/>
      <c r="ER217" s="710"/>
      <c r="ES217" s="710"/>
      <c r="ET217" s="710"/>
      <c r="EU217" s="710"/>
      <c r="EV217" s="710"/>
      <c r="EW217" s="710"/>
      <c r="EX217" s="710"/>
      <c r="EY217" s="710"/>
      <c r="EZ217" s="710"/>
      <c r="FA217" s="710"/>
      <c r="FB217" s="710"/>
      <c r="FC217" s="710"/>
      <c r="FD217" s="710"/>
      <c r="FE217" s="710"/>
      <c r="FF217" s="710"/>
      <c r="FG217" s="710"/>
      <c r="FH217" s="710"/>
      <c r="FI217" s="710"/>
      <c r="FJ217" s="710"/>
      <c r="FK217" s="710"/>
      <c r="FL217" s="710"/>
      <c r="FM217" s="710"/>
      <c r="FN217" s="710"/>
      <c r="FO217" s="710"/>
      <c r="FP217" s="710"/>
      <c r="FQ217" s="710"/>
      <c r="FR217" s="710"/>
    </row>
    <row r="218" spans="1:174" s="68" customFormat="1" ht="14.25" hidden="1" customHeight="1">
      <c r="A218" s="68">
        <v>4</v>
      </c>
      <c r="B218" s="37" t="s">
        <v>570</v>
      </c>
      <c r="C218" s="30"/>
      <c r="D218" s="1946">
        <f t="shared" si="189"/>
        <v>0</v>
      </c>
      <c r="E218" s="1946">
        <f t="shared" si="189"/>
        <v>0</v>
      </c>
      <c r="F218" s="1946">
        <f t="shared" ref="F218:Q218" si="248">F197+F176+F155+F134+F113</f>
        <v>0</v>
      </c>
      <c r="G218" s="1946">
        <f t="shared" si="248"/>
        <v>0</v>
      </c>
      <c r="H218" s="1946">
        <f t="shared" si="248"/>
        <v>0</v>
      </c>
      <c r="I218" s="1946">
        <f t="shared" si="248"/>
        <v>0</v>
      </c>
      <c r="J218" s="1946">
        <f t="shared" si="248"/>
        <v>0</v>
      </c>
      <c r="K218" s="1946">
        <f t="shared" si="248"/>
        <v>0</v>
      </c>
      <c r="L218" s="1946">
        <f t="shared" si="248"/>
        <v>0</v>
      </c>
      <c r="M218" s="1946">
        <f t="shared" si="248"/>
        <v>0</v>
      </c>
      <c r="N218" s="1946">
        <f t="shared" si="248"/>
        <v>0</v>
      </c>
      <c r="O218" s="1946">
        <f t="shared" si="248"/>
        <v>0</v>
      </c>
      <c r="P218" s="1946">
        <f t="shared" si="248"/>
        <v>0</v>
      </c>
      <c r="Q218" s="1946">
        <f t="shared" si="248"/>
        <v>0</v>
      </c>
      <c r="R218" s="1946">
        <f t="shared" ref="R218:AL218" si="249">R197+R176+R155+R134+R113</f>
        <v>0</v>
      </c>
      <c r="S218" s="1946">
        <f t="shared" si="249"/>
        <v>0</v>
      </c>
      <c r="T218" s="1946">
        <f t="shared" si="249"/>
        <v>0</v>
      </c>
      <c r="U218" s="1946">
        <f t="shared" si="249"/>
        <v>0</v>
      </c>
      <c r="V218" s="1946">
        <f t="shared" si="249"/>
        <v>0</v>
      </c>
      <c r="W218" s="1946">
        <f t="shared" si="249"/>
        <v>0</v>
      </c>
      <c r="X218" s="1946">
        <f t="shared" si="249"/>
        <v>0</v>
      </c>
      <c r="Y218" s="1946">
        <f t="shared" si="249"/>
        <v>0</v>
      </c>
      <c r="Z218" s="1946">
        <f t="shared" si="249"/>
        <v>0</v>
      </c>
      <c r="AA218" s="1946">
        <f t="shared" si="249"/>
        <v>0</v>
      </c>
      <c r="AB218" s="1946">
        <f t="shared" si="249"/>
        <v>0</v>
      </c>
      <c r="AC218" s="1946">
        <f t="shared" si="249"/>
        <v>0</v>
      </c>
      <c r="AD218" s="1946">
        <f t="shared" si="249"/>
        <v>0</v>
      </c>
      <c r="AE218" s="1946">
        <f t="shared" si="249"/>
        <v>0</v>
      </c>
      <c r="AF218" s="1946">
        <f t="shared" si="249"/>
        <v>0</v>
      </c>
      <c r="AG218" s="1946">
        <f t="shared" si="249"/>
        <v>0</v>
      </c>
      <c r="AH218" s="1946">
        <f t="shared" si="249"/>
        <v>0</v>
      </c>
      <c r="AI218" s="1946">
        <f t="shared" si="249"/>
        <v>0</v>
      </c>
      <c r="AJ218" s="1946">
        <f t="shared" si="249"/>
        <v>0</v>
      </c>
      <c r="AK218" s="1946">
        <f t="shared" si="249"/>
        <v>0</v>
      </c>
      <c r="AL218" s="1946">
        <f t="shared" si="249"/>
        <v>0</v>
      </c>
      <c r="AM218" s="1946">
        <f t="shared" ref="AM218:AR218" si="250">AM197+AM176+AM155+AM134+AM113</f>
        <v>0</v>
      </c>
      <c r="AN218" s="1963">
        <f t="shared" si="250"/>
        <v>0</v>
      </c>
      <c r="AO218" s="1946">
        <f t="shared" si="250"/>
        <v>0</v>
      </c>
      <c r="AP218" s="1946">
        <f t="shared" si="250"/>
        <v>0</v>
      </c>
      <c r="AQ218" s="1946">
        <f t="shared" si="250"/>
        <v>0</v>
      </c>
      <c r="AR218" s="1946">
        <f t="shared" si="250"/>
        <v>0</v>
      </c>
      <c r="AS218" s="1946">
        <f t="shared" si="193"/>
        <v>0</v>
      </c>
      <c r="AT218" s="1946">
        <f t="shared" si="194"/>
        <v>0</v>
      </c>
      <c r="AU218" s="1946">
        <f t="shared" si="195"/>
        <v>0</v>
      </c>
      <c r="AV218" s="1946">
        <f t="shared" si="196"/>
        <v>0</v>
      </c>
      <c r="AW218" s="1946">
        <f t="shared" si="197"/>
        <v>0</v>
      </c>
      <c r="AX218" s="1946">
        <f t="shared" si="198"/>
        <v>0</v>
      </c>
      <c r="AY218" s="1946">
        <f t="shared" si="198"/>
        <v>0</v>
      </c>
      <c r="AZ218" s="1946">
        <f>AZ197+AU176+BA155+BA134+BA113</f>
        <v>0</v>
      </c>
      <c r="BA218" s="1946">
        <f t="shared" ref="BA218:BW218" si="251">BA197+AV176+BB155+BB134+BB113</f>
        <v>0</v>
      </c>
      <c r="BB218" s="1946">
        <f t="shared" si="251"/>
        <v>0</v>
      </c>
      <c r="BC218" s="1946">
        <f t="shared" si="251"/>
        <v>0</v>
      </c>
      <c r="BD218" s="1946">
        <f t="shared" si="251"/>
        <v>0</v>
      </c>
      <c r="BE218" s="1946">
        <f t="shared" si="251"/>
        <v>0</v>
      </c>
      <c r="BF218" s="1946">
        <f t="shared" si="251"/>
        <v>0</v>
      </c>
      <c r="BG218" s="1946">
        <f t="shared" si="251"/>
        <v>0</v>
      </c>
      <c r="BH218" s="1946">
        <f t="shared" si="251"/>
        <v>0</v>
      </c>
      <c r="BI218" s="1946">
        <f t="shared" si="251"/>
        <v>0</v>
      </c>
      <c r="BJ218" s="1946">
        <f t="shared" si="251"/>
        <v>0</v>
      </c>
      <c r="BK218" s="1946">
        <f t="shared" si="251"/>
        <v>0</v>
      </c>
      <c r="BL218" s="1946">
        <f t="shared" si="251"/>
        <v>0</v>
      </c>
      <c r="BM218" s="1946">
        <f t="shared" si="251"/>
        <v>0</v>
      </c>
      <c r="BN218" s="1946">
        <f t="shared" si="251"/>
        <v>0</v>
      </c>
      <c r="BO218" s="1946">
        <f t="shared" si="251"/>
        <v>0</v>
      </c>
      <c r="BP218" s="1946">
        <f t="shared" si="251"/>
        <v>0</v>
      </c>
      <c r="BQ218" s="1946">
        <f t="shared" si="251"/>
        <v>0</v>
      </c>
      <c r="BR218" s="1946">
        <f t="shared" si="251"/>
        <v>0</v>
      </c>
      <c r="BS218" s="1946">
        <f t="shared" si="251"/>
        <v>0</v>
      </c>
      <c r="BT218" s="1946">
        <f t="shared" si="251"/>
        <v>0</v>
      </c>
      <c r="BU218" s="1946">
        <f t="shared" si="251"/>
        <v>0</v>
      </c>
      <c r="BV218" s="1946">
        <f t="shared" si="251"/>
        <v>0</v>
      </c>
      <c r="BW218" s="1946">
        <f t="shared" si="251"/>
        <v>0</v>
      </c>
      <c r="BX218" s="710"/>
      <c r="BY218" s="710"/>
      <c r="BZ218" s="710"/>
      <c r="CA218" s="710"/>
      <c r="CB218" s="710"/>
      <c r="CC218" s="710"/>
      <c r="CD218" s="710"/>
      <c r="CE218" s="710"/>
      <c r="CF218" s="710"/>
      <c r="CG218" s="710"/>
      <c r="CH218" s="710"/>
      <c r="CI218" s="710"/>
      <c r="CJ218" s="710"/>
      <c r="CK218" s="710"/>
      <c r="CL218" s="710"/>
      <c r="CM218" s="710"/>
      <c r="CN218" s="710"/>
      <c r="CO218" s="710"/>
      <c r="CP218" s="710"/>
      <c r="CQ218" s="710"/>
      <c r="CR218" s="710"/>
      <c r="CS218" s="710"/>
      <c r="CT218" s="710"/>
      <c r="CU218" s="710"/>
      <c r="CV218" s="710"/>
      <c r="CW218" s="710"/>
      <c r="CX218" s="710"/>
      <c r="CY218" s="710"/>
      <c r="CZ218" s="710"/>
      <c r="DA218" s="710"/>
      <c r="DB218" s="710"/>
      <c r="DC218" s="710"/>
      <c r="DD218" s="710"/>
      <c r="DE218" s="710"/>
      <c r="DF218" s="710"/>
      <c r="DG218" s="710"/>
      <c r="DH218" s="710"/>
      <c r="DI218" s="710"/>
      <c r="DJ218" s="710"/>
      <c r="DK218" s="710"/>
      <c r="DL218" s="710"/>
      <c r="DM218" s="710"/>
      <c r="DN218" s="710"/>
      <c r="DO218" s="710"/>
      <c r="DP218" s="710"/>
      <c r="DQ218" s="710"/>
      <c r="DR218" s="710"/>
      <c r="DS218" s="710"/>
      <c r="DT218" s="710"/>
      <c r="DU218" s="710"/>
      <c r="DV218" s="710"/>
      <c r="DW218" s="710"/>
      <c r="DX218" s="710"/>
      <c r="DY218" s="710"/>
      <c r="DZ218" s="710"/>
      <c r="EA218" s="710"/>
      <c r="EB218" s="710"/>
      <c r="EC218" s="710"/>
      <c r="ED218" s="710"/>
      <c r="EE218" s="710"/>
      <c r="EF218" s="710"/>
      <c r="EG218" s="710"/>
      <c r="EH218" s="710"/>
      <c r="EI218" s="710"/>
      <c r="EJ218" s="710"/>
      <c r="EK218" s="710"/>
      <c r="EL218" s="710"/>
      <c r="EM218" s="710"/>
      <c r="EN218" s="710"/>
      <c r="EO218" s="710"/>
      <c r="EP218" s="710"/>
      <c r="EQ218" s="710"/>
      <c r="ER218" s="710"/>
      <c r="ES218" s="710"/>
      <c r="ET218" s="710"/>
      <c r="EU218" s="710"/>
      <c r="EV218" s="710"/>
      <c r="EW218" s="710"/>
      <c r="EX218" s="710"/>
      <c r="EY218" s="710"/>
      <c r="EZ218" s="710"/>
      <c r="FA218" s="710"/>
      <c r="FB218" s="710"/>
      <c r="FC218" s="710"/>
      <c r="FD218" s="710"/>
      <c r="FE218" s="710"/>
      <c r="FF218" s="710"/>
      <c r="FG218" s="710"/>
      <c r="FH218" s="710"/>
      <c r="FI218" s="710"/>
      <c r="FJ218" s="710"/>
      <c r="FK218" s="710"/>
      <c r="FL218" s="710"/>
      <c r="FM218" s="710"/>
      <c r="FN218" s="710"/>
      <c r="FO218" s="710"/>
      <c r="FP218" s="710"/>
      <c r="FQ218" s="710"/>
      <c r="FR218" s="710"/>
    </row>
    <row r="219" spans="1:174" s="68" customFormat="1" ht="14.25" hidden="1" customHeight="1">
      <c r="B219" s="1921" t="s">
        <v>571</v>
      </c>
      <c r="C219" s="30"/>
      <c r="D219" s="1946">
        <f t="shared" si="189"/>
        <v>1</v>
      </c>
      <c r="E219" s="1946">
        <f t="shared" si="189"/>
        <v>1</v>
      </c>
      <c r="F219" s="1946">
        <f t="shared" ref="F219:Q219" si="252">F198+F177+F156+F135+F114</f>
        <v>1</v>
      </c>
      <c r="G219" s="1946">
        <f t="shared" si="252"/>
        <v>1</v>
      </c>
      <c r="H219" s="1946">
        <f t="shared" si="252"/>
        <v>1</v>
      </c>
      <c r="I219" s="1946">
        <f t="shared" si="252"/>
        <v>1</v>
      </c>
      <c r="J219" s="1946">
        <f t="shared" si="252"/>
        <v>1</v>
      </c>
      <c r="K219" s="1946">
        <f t="shared" si="252"/>
        <v>1</v>
      </c>
      <c r="L219" s="1946">
        <f t="shared" si="252"/>
        <v>1</v>
      </c>
      <c r="M219" s="1946">
        <f t="shared" si="252"/>
        <v>1</v>
      </c>
      <c r="N219" s="1946">
        <f t="shared" si="252"/>
        <v>1</v>
      </c>
      <c r="O219" s="1946">
        <f t="shared" si="252"/>
        <v>1</v>
      </c>
      <c r="P219" s="1946">
        <f t="shared" si="252"/>
        <v>2</v>
      </c>
      <c r="Q219" s="1946">
        <f t="shared" si="252"/>
        <v>2</v>
      </c>
      <c r="R219" s="1946">
        <f t="shared" ref="R219:AL219" si="253">R198+R177+R156+R135+R114</f>
        <v>2</v>
      </c>
      <c r="S219" s="1946">
        <f t="shared" si="253"/>
        <v>2</v>
      </c>
      <c r="T219" s="1946">
        <f t="shared" si="253"/>
        <v>2</v>
      </c>
      <c r="U219" s="1946">
        <f t="shared" si="253"/>
        <v>2</v>
      </c>
      <c r="V219" s="1946">
        <f t="shared" si="253"/>
        <v>2</v>
      </c>
      <c r="W219" s="1946">
        <f t="shared" si="253"/>
        <v>2</v>
      </c>
      <c r="X219" s="1946">
        <f t="shared" si="253"/>
        <v>2</v>
      </c>
      <c r="Y219" s="1946">
        <f t="shared" si="253"/>
        <v>2</v>
      </c>
      <c r="Z219" s="1946">
        <f t="shared" si="253"/>
        <v>2</v>
      </c>
      <c r="AA219" s="1946">
        <f t="shared" si="253"/>
        <v>2</v>
      </c>
      <c r="AB219" s="1946">
        <f t="shared" si="253"/>
        <v>3</v>
      </c>
      <c r="AC219" s="1946">
        <f t="shared" si="253"/>
        <v>3</v>
      </c>
      <c r="AD219" s="1946">
        <f t="shared" si="253"/>
        <v>3</v>
      </c>
      <c r="AE219" s="1946">
        <f t="shared" si="253"/>
        <v>3</v>
      </c>
      <c r="AF219" s="1946">
        <f t="shared" si="253"/>
        <v>3</v>
      </c>
      <c r="AG219" s="1946">
        <f t="shared" si="253"/>
        <v>3</v>
      </c>
      <c r="AH219" s="1946">
        <f t="shared" si="253"/>
        <v>3</v>
      </c>
      <c r="AI219" s="1946">
        <f t="shared" si="253"/>
        <v>3</v>
      </c>
      <c r="AJ219" s="1946">
        <f t="shared" si="253"/>
        <v>3</v>
      </c>
      <c r="AK219" s="1946">
        <f t="shared" si="253"/>
        <v>3</v>
      </c>
      <c r="AL219" s="1946">
        <f t="shared" si="253"/>
        <v>3</v>
      </c>
      <c r="AM219" s="1946">
        <f t="shared" ref="AM219:AR219" si="254">AM198+AM177+AM156+AM135+AM114</f>
        <v>3</v>
      </c>
      <c r="AN219" s="1963">
        <f t="shared" si="254"/>
        <v>3</v>
      </c>
      <c r="AO219" s="1946">
        <f t="shared" si="254"/>
        <v>3</v>
      </c>
      <c r="AP219" s="1946">
        <f t="shared" si="254"/>
        <v>3</v>
      </c>
      <c r="AQ219" s="1946">
        <f t="shared" si="254"/>
        <v>3</v>
      </c>
      <c r="AR219" s="1946">
        <f t="shared" si="254"/>
        <v>3</v>
      </c>
      <c r="AS219" s="1946">
        <f t="shared" si="193"/>
        <v>3</v>
      </c>
      <c r="AT219" s="1946">
        <f t="shared" si="194"/>
        <v>3</v>
      </c>
      <c r="AU219" s="1946">
        <f t="shared" si="195"/>
        <v>3</v>
      </c>
      <c r="AV219" s="1946">
        <f t="shared" si="196"/>
        <v>3</v>
      </c>
      <c r="AW219" s="1946">
        <f t="shared" si="197"/>
        <v>3</v>
      </c>
      <c r="AX219" s="1946">
        <f t="shared" si="198"/>
        <v>3</v>
      </c>
      <c r="AY219" s="1946">
        <f t="shared" si="198"/>
        <v>3</v>
      </c>
      <c r="AZ219" s="1946">
        <f>AY198+AT177+AZ156+AZ135+AZ114</f>
        <v>3</v>
      </c>
      <c r="BA219" s="1946">
        <f t="shared" ref="BA219:BW219" si="255">AZ198+AU177+BA156+BA135+BA114</f>
        <v>3</v>
      </c>
      <c r="BB219" s="1946">
        <f t="shared" si="255"/>
        <v>3</v>
      </c>
      <c r="BC219" s="1946">
        <f t="shared" si="255"/>
        <v>3</v>
      </c>
      <c r="BD219" s="1946">
        <f t="shared" si="255"/>
        <v>3</v>
      </c>
      <c r="BE219" s="1946">
        <f t="shared" si="255"/>
        <v>3</v>
      </c>
      <c r="BF219" s="1946">
        <f t="shared" si="255"/>
        <v>3</v>
      </c>
      <c r="BG219" s="1946">
        <f t="shared" si="255"/>
        <v>3</v>
      </c>
      <c r="BH219" s="1946">
        <f t="shared" si="255"/>
        <v>3</v>
      </c>
      <c r="BI219" s="1946">
        <f t="shared" si="255"/>
        <v>3</v>
      </c>
      <c r="BJ219" s="1946">
        <f t="shared" si="255"/>
        <v>3</v>
      </c>
      <c r="BK219" s="1946">
        <f t="shared" si="255"/>
        <v>3</v>
      </c>
      <c r="BL219" s="1946">
        <f t="shared" si="255"/>
        <v>3</v>
      </c>
      <c r="BM219" s="1946">
        <f t="shared" si="255"/>
        <v>3</v>
      </c>
      <c r="BN219" s="1946">
        <f t="shared" si="255"/>
        <v>3</v>
      </c>
      <c r="BO219" s="1946">
        <f t="shared" si="255"/>
        <v>3</v>
      </c>
      <c r="BP219" s="1946">
        <f t="shared" si="255"/>
        <v>3</v>
      </c>
      <c r="BQ219" s="1946">
        <f t="shared" si="255"/>
        <v>3</v>
      </c>
      <c r="BR219" s="1946">
        <f t="shared" si="255"/>
        <v>3</v>
      </c>
      <c r="BS219" s="1946">
        <f t="shared" si="255"/>
        <v>3</v>
      </c>
      <c r="BT219" s="1946">
        <f t="shared" si="255"/>
        <v>3</v>
      </c>
      <c r="BU219" s="1946">
        <f t="shared" si="255"/>
        <v>3</v>
      </c>
      <c r="BV219" s="1946">
        <f t="shared" si="255"/>
        <v>3</v>
      </c>
      <c r="BW219" s="1946">
        <f t="shared" si="255"/>
        <v>3</v>
      </c>
      <c r="BX219" s="710"/>
      <c r="BY219" s="710"/>
      <c r="BZ219" s="710"/>
      <c r="CA219" s="710"/>
      <c r="CB219" s="710"/>
      <c r="CC219" s="710"/>
      <c r="CD219" s="710"/>
      <c r="CE219" s="710"/>
      <c r="CF219" s="710"/>
      <c r="CG219" s="710"/>
      <c r="CH219" s="710"/>
      <c r="CI219" s="710"/>
      <c r="CJ219" s="710"/>
      <c r="CK219" s="710"/>
      <c r="CL219" s="710"/>
      <c r="CM219" s="710"/>
      <c r="CN219" s="710"/>
      <c r="CO219" s="710"/>
      <c r="CP219" s="710"/>
      <c r="CQ219" s="710"/>
      <c r="CR219" s="710"/>
      <c r="CS219" s="710"/>
      <c r="CT219" s="710"/>
      <c r="CU219" s="710"/>
      <c r="CV219" s="710"/>
      <c r="CW219" s="710"/>
      <c r="CX219" s="710"/>
      <c r="CY219" s="710"/>
      <c r="CZ219" s="710"/>
      <c r="DA219" s="710"/>
      <c r="DB219" s="710"/>
      <c r="DC219" s="710"/>
      <c r="DD219" s="710"/>
      <c r="DE219" s="710"/>
      <c r="DF219" s="710"/>
      <c r="DG219" s="710"/>
      <c r="DH219" s="710"/>
      <c r="DI219" s="710"/>
      <c r="DJ219" s="710"/>
      <c r="DK219" s="710"/>
      <c r="DL219" s="710"/>
      <c r="DM219" s="710"/>
      <c r="DN219" s="710"/>
      <c r="DO219" s="710"/>
      <c r="DP219" s="710"/>
      <c r="DQ219" s="710"/>
      <c r="DR219" s="710"/>
      <c r="DS219" s="710"/>
      <c r="DT219" s="710"/>
      <c r="DU219" s="710"/>
      <c r="DV219" s="710"/>
      <c r="DW219" s="710"/>
      <c r="DX219" s="710"/>
      <c r="DY219" s="710"/>
      <c r="DZ219" s="710"/>
      <c r="EA219" s="710"/>
      <c r="EB219" s="710"/>
      <c r="EC219" s="710"/>
      <c r="ED219" s="710"/>
      <c r="EE219" s="710"/>
      <c r="EF219" s="710"/>
      <c r="EG219" s="710"/>
      <c r="EH219" s="710"/>
      <c r="EI219" s="710"/>
      <c r="EJ219" s="710"/>
      <c r="EK219" s="710"/>
      <c r="EL219" s="710"/>
      <c r="EM219" s="710"/>
      <c r="EN219" s="710"/>
      <c r="EO219" s="710"/>
      <c r="EP219" s="710"/>
      <c r="EQ219" s="710"/>
      <c r="ER219" s="710"/>
      <c r="ES219" s="710"/>
      <c r="ET219" s="710"/>
      <c r="EU219" s="710"/>
      <c r="EV219" s="710"/>
      <c r="EW219" s="710"/>
      <c r="EX219" s="710"/>
      <c r="EY219" s="710"/>
      <c r="EZ219" s="710"/>
      <c r="FA219" s="710"/>
      <c r="FB219" s="710"/>
      <c r="FC219" s="710"/>
      <c r="FD219" s="710"/>
      <c r="FE219" s="710"/>
      <c r="FF219" s="710"/>
      <c r="FG219" s="710"/>
      <c r="FH219" s="710"/>
      <c r="FI219" s="710"/>
      <c r="FJ219" s="710"/>
      <c r="FK219" s="710"/>
      <c r="FL219" s="710"/>
      <c r="FM219" s="710"/>
      <c r="FN219" s="710"/>
      <c r="FO219" s="710"/>
      <c r="FP219" s="710"/>
      <c r="FQ219" s="710"/>
      <c r="FR219" s="710"/>
    </row>
    <row r="220" spans="1:174" s="68" customFormat="1" ht="14.25" hidden="1" customHeight="1">
      <c r="B220" s="37" t="s">
        <v>572</v>
      </c>
      <c r="C220" s="71"/>
      <c r="D220" s="1946">
        <f t="shared" si="189"/>
        <v>0</v>
      </c>
      <c r="E220" s="1946">
        <f t="shared" si="189"/>
        <v>0</v>
      </c>
      <c r="F220" s="1946">
        <f t="shared" ref="F220:Q220" si="256">F199+F178+F157+F136+F115</f>
        <v>0</v>
      </c>
      <c r="G220" s="1946">
        <f t="shared" si="256"/>
        <v>0</v>
      </c>
      <c r="H220" s="1946">
        <f t="shared" si="256"/>
        <v>0</v>
      </c>
      <c r="I220" s="1946">
        <f t="shared" si="256"/>
        <v>0</v>
      </c>
      <c r="J220" s="1946">
        <f t="shared" si="256"/>
        <v>0</v>
      </c>
      <c r="K220" s="1946">
        <f t="shared" si="256"/>
        <v>0</v>
      </c>
      <c r="L220" s="1946">
        <f t="shared" si="256"/>
        <v>0</v>
      </c>
      <c r="M220" s="1946">
        <f t="shared" si="256"/>
        <v>0</v>
      </c>
      <c r="N220" s="1946">
        <f t="shared" si="256"/>
        <v>0</v>
      </c>
      <c r="O220" s="1946">
        <f t="shared" si="256"/>
        <v>0</v>
      </c>
      <c r="P220" s="1946">
        <f t="shared" si="256"/>
        <v>0</v>
      </c>
      <c r="Q220" s="1946">
        <f t="shared" si="256"/>
        <v>0</v>
      </c>
      <c r="R220" s="1946">
        <f t="shared" ref="R220:AL220" si="257">R199+R178+R157+R136+R115</f>
        <v>0</v>
      </c>
      <c r="S220" s="1946">
        <f t="shared" si="257"/>
        <v>0</v>
      </c>
      <c r="T220" s="1946">
        <f t="shared" si="257"/>
        <v>0</v>
      </c>
      <c r="U220" s="1946">
        <f t="shared" si="257"/>
        <v>0</v>
      </c>
      <c r="V220" s="1946">
        <f t="shared" si="257"/>
        <v>0</v>
      </c>
      <c r="W220" s="1946">
        <f t="shared" si="257"/>
        <v>0</v>
      </c>
      <c r="X220" s="1946">
        <f t="shared" si="257"/>
        <v>0</v>
      </c>
      <c r="Y220" s="1946">
        <f t="shared" si="257"/>
        <v>0</v>
      </c>
      <c r="Z220" s="1946">
        <f t="shared" si="257"/>
        <v>0</v>
      </c>
      <c r="AA220" s="1946">
        <f t="shared" si="257"/>
        <v>0</v>
      </c>
      <c r="AB220" s="1946">
        <f t="shared" si="257"/>
        <v>0</v>
      </c>
      <c r="AC220" s="1946">
        <f t="shared" si="257"/>
        <v>0</v>
      </c>
      <c r="AD220" s="1946">
        <f t="shared" si="257"/>
        <v>0</v>
      </c>
      <c r="AE220" s="1946">
        <f t="shared" si="257"/>
        <v>0</v>
      </c>
      <c r="AF220" s="1946">
        <f t="shared" si="257"/>
        <v>0</v>
      </c>
      <c r="AG220" s="1946">
        <f t="shared" si="257"/>
        <v>0</v>
      </c>
      <c r="AH220" s="1946">
        <f t="shared" si="257"/>
        <v>0</v>
      </c>
      <c r="AI220" s="1946">
        <f t="shared" si="257"/>
        <v>0</v>
      </c>
      <c r="AJ220" s="1946">
        <f t="shared" si="257"/>
        <v>0</v>
      </c>
      <c r="AK220" s="1946">
        <f t="shared" si="257"/>
        <v>0</v>
      </c>
      <c r="AL220" s="1946">
        <f t="shared" si="257"/>
        <v>0</v>
      </c>
      <c r="AM220" s="1946">
        <f t="shared" ref="AM220:AS220" si="258">AM199+AM178+AM157+AM136+AM115</f>
        <v>0</v>
      </c>
      <c r="AN220" s="1963">
        <f t="shared" si="258"/>
        <v>0</v>
      </c>
      <c r="AO220" s="1946">
        <f t="shared" si="258"/>
        <v>0</v>
      </c>
      <c r="AP220" s="1946">
        <f t="shared" si="258"/>
        <v>0</v>
      </c>
      <c r="AQ220" s="1946">
        <f t="shared" si="258"/>
        <v>0</v>
      </c>
      <c r="AR220" s="1946">
        <f t="shared" si="258"/>
        <v>0</v>
      </c>
      <c r="AS220" s="1946">
        <f t="shared" si="258"/>
        <v>0</v>
      </c>
      <c r="AT220" s="1946">
        <f t="shared" si="194"/>
        <v>0</v>
      </c>
      <c r="AU220" s="1946">
        <f t="shared" si="195"/>
        <v>0</v>
      </c>
      <c r="AV220" s="1946">
        <f t="shared" si="196"/>
        <v>0</v>
      </c>
      <c r="AW220" s="1946">
        <f t="shared" si="197"/>
        <v>0</v>
      </c>
      <c r="AX220" s="1946">
        <f t="shared" si="198"/>
        <v>0</v>
      </c>
      <c r="AY220" s="1946">
        <f t="shared" si="198"/>
        <v>0</v>
      </c>
      <c r="AZ220" s="1946">
        <f t="shared" ref="AZ220" si="259">AZ199+AT178+AZ157+AZ136+AZ115</f>
        <v>0</v>
      </c>
      <c r="BA220" s="1946">
        <f t="shared" ref="BA220" si="260">BA199+AU178+BA157+BA136+BA115</f>
        <v>0</v>
      </c>
      <c r="BB220" s="1946">
        <f t="shared" ref="BB220:BW220" si="261">BA199+AV178+BB157+BB136+BB115</f>
        <v>0</v>
      </c>
      <c r="BC220" s="1946">
        <f t="shared" si="261"/>
        <v>0</v>
      </c>
      <c r="BD220" s="1946">
        <f t="shared" si="261"/>
        <v>0</v>
      </c>
      <c r="BE220" s="1946">
        <f t="shared" si="261"/>
        <v>0</v>
      </c>
      <c r="BF220" s="1946">
        <f t="shared" si="261"/>
        <v>0</v>
      </c>
      <c r="BG220" s="1946">
        <f t="shared" si="261"/>
        <v>0</v>
      </c>
      <c r="BH220" s="1946">
        <f t="shared" si="261"/>
        <v>0</v>
      </c>
      <c r="BI220" s="1946">
        <f t="shared" si="261"/>
        <v>0</v>
      </c>
      <c r="BJ220" s="1946">
        <f t="shared" si="261"/>
        <v>0</v>
      </c>
      <c r="BK220" s="1946">
        <f t="shared" si="261"/>
        <v>0</v>
      </c>
      <c r="BL220" s="1946">
        <f t="shared" si="261"/>
        <v>0</v>
      </c>
      <c r="BM220" s="1946">
        <f t="shared" si="261"/>
        <v>0</v>
      </c>
      <c r="BN220" s="1946">
        <f t="shared" si="261"/>
        <v>0</v>
      </c>
      <c r="BO220" s="1946">
        <f t="shared" si="261"/>
        <v>0</v>
      </c>
      <c r="BP220" s="1946">
        <f t="shared" si="261"/>
        <v>0</v>
      </c>
      <c r="BQ220" s="1946">
        <f t="shared" si="261"/>
        <v>0</v>
      </c>
      <c r="BR220" s="1946">
        <f t="shared" si="261"/>
        <v>0</v>
      </c>
      <c r="BS220" s="1946">
        <f t="shared" si="261"/>
        <v>0</v>
      </c>
      <c r="BT220" s="1946">
        <f t="shared" si="261"/>
        <v>0</v>
      </c>
      <c r="BU220" s="1946">
        <f t="shared" si="261"/>
        <v>0</v>
      </c>
      <c r="BV220" s="1946">
        <f t="shared" si="261"/>
        <v>0</v>
      </c>
      <c r="BW220" s="1946">
        <f t="shared" si="261"/>
        <v>0</v>
      </c>
      <c r="BX220" s="710"/>
      <c r="BY220" s="710"/>
      <c r="BZ220" s="710"/>
      <c r="CA220" s="710"/>
      <c r="CB220" s="710"/>
      <c r="CC220" s="710"/>
      <c r="CD220" s="710"/>
      <c r="CE220" s="710"/>
      <c r="CF220" s="710"/>
      <c r="CG220" s="710"/>
      <c r="CH220" s="710"/>
      <c r="CI220" s="710"/>
      <c r="CJ220" s="710"/>
      <c r="CK220" s="710"/>
      <c r="CL220" s="710"/>
      <c r="CM220" s="710"/>
      <c r="CN220" s="710"/>
      <c r="CO220" s="710"/>
      <c r="CP220" s="710"/>
      <c r="CQ220" s="710"/>
      <c r="CR220" s="710"/>
      <c r="CS220" s="710"/>
      <c r="CT220" s="710"/>
      <c r="CU220" s="710"/>
      <c r="CV220" s="710"/>
      <c r="CW220" s="710"/>
      <c r="CX220" s="710"/>
      <c r="CY220" s="710"/>
      <c r="CZ220" s="710"/>
      <c r="DA220" s="710"/>
      <c r="DB220" s="710"/>
      <c r="DC220" s="710"/>
      <c r="DD220" s="710"/>
      <c r="DE220" s="710"/>
      <c r="DF220" s="710"/>
      <c r="DG220" s="710"/>
      <c r="DH220" s="710"/>
      <c r="DI220" s="710"/>
      <c r="DJ220" s="710"/>
      <c r="DK220" s="710"/>
      <c r="DL220" s="710"/>
      <c r="DM220" s="710"/>
      <c r="DN220" s="710"/>
      <c r="DO220" s="710"/>
      <c r="DP220" s="710"/>
      <c r="DQ220" s="710"/>
      <c r="DR220" s="710"/>
      <c r="DS220" s="710"/>
      <c r="DT220" s="710"/>
      <c r="DU220" s="710"/>
      <c r="DV220" s="710"/>
      <c r="DW220" s="710"/>
      <c r="DX220" s="710"/>
      <c r="DY220" s="710"/>
      <c r="DZ220" s="710"/>
      <c r="EA220" s="710"/>
      <c r="EB220" s="710"/>
      <c r="EC220" s="710"/>
      <c r="ED220" s="710"/>
      <c r="EE220" s="710"/>
      <c r="EF220" s="710"/>
      <c r="EG220" s="710"/>
      <c r="EH220" s="710"/>
      <c r="EI220" s="710"/>
      <c r="EJ220" s="710"/>
      <c r="EK220" s="710"/>
      <c r="EL220" s="710"/>
      <c r="EM220" s="710"/>
      <c r="EN220" s="710"/>
      <c r="EO220" s="710"/>
      <c r="EP220" s="710"/>
      <c r="EQ220" s="710"/>
      <c r="ER220" s="710"/>
      <c r="ES220" s="710"/>
      <c r="ET220" s="710"/>
      <c r="EU220" s="710"/>
      <c r="EV220" s="710"/>
      <c r="EW220" s="710"/>
      <c r="EX220" s="710"/>
      <c r="EY220" s="710"/>
      <c r="EZ220" s="710"/>
      <c r="FA220" s="710"/>
      <c r="FB220" s="710"/>
      <c r="FC220" s="710"/>
      <c r="FD220" s="710"/>
      <c r="FE220" s="710"/>
      <c r="FF220" s="710"/>
      <c r="FG220" s="710"/>
      <c r="FH220" s="710"/>
      <c r="FI220" s="710"/>
      <c r="FJ220" s="710"/>
      <c r="FK220" s="710"/>
      <c r="FL220" s="710"/>
      <c r="FM220" s="710"/>
      <c r="FN220" s="710"/>
      <c r="FO220" s="710"/>
      <c r="FP220" s="710"/>
      <c r="FQ220" s="710"/>
      <c r="FR220" s="710"/>
    </row>
    <row r="221" spans="1:174" s="68" customFormat="1" ht="14.25" hidden="1" customHeight="1">
      <c r="A221" s="68">
        <v>5</v>
      </c>
      <c r="B221" s="37" t="s">
        <v>570</v>
      </c>
      <c r="C221" s="71"/>
      <c r="D221" s="1946">
        <f t="shared" si="189"/>
        <v>0</v>
      </c>
      <c r="E221" s="1946">
        <f t="shared" si="189"/>
        <v>0</v>
      </c>
      <c r="F221" s="1946">
        <f t="shared" ref="F221:Q221" si="262">F200+F179+F158+F137+F116</f>
        <v>0</v>
      </c>
      <c r="G221" s="1946">
        <f t="shared" si="262"/>
        <v>0</v>
      </c>
      <c r="H221" s="1946">
        <f t="shared" si="262"/>
        <v>0</v>
      </c>
      <c r="I221" s="1946">
        <f t="shared" si="262"/>
        <v>0</v>
      </c>
      <c r="J221" s="1946">
        <f t="shared" si="262"/>
        <v>0</v>
      </c>
      <c r="K221" s="1946">
        <f t="shared" si="262"/>
        <v>0</v>
      </c>
      <c r="L221" s="1946">
        <f t="shared" si="262"/>
        <v>0</v>
      </c>
      <c r="M221" s="1946">
        <f t="shared" si="262"/>
        <v>0</v>
      </c>
      <c r="N221" s="1946">
        <f t="shared" si="262"/>
        <v>0</v>
      </c>
      <c r="O221" s="1946">
        <f t="shared" si="262"/>
        <v>0</v>
      </c>
      <c r="P221" s="1946">
        <f t="shared" si="262"/>
        <v>0</v>
      </c>
      <c r="Q221" s="1946">
        <f t="shared" si="262"/>
        <v>0</v>
      </c>
      <c r="R221" s="1946">
        <f t="shared" ref="R221:AL221" si="263">R200+R179+R158+R137+R116</f>
        <v>0</v>
      </c>
      <c r="S221" s="1946">
        <f t="shared" si="263"/>
        <v>0</v>
      </c>
      <c r="T221" s="1946">
        <f t="shared" si="263"/>
        <v>0</v>
      </c>
      <c r="U221" s="1946">
        <f t="shared" si="263"/>
        <v>0</v>
      </c>
      <c r="V221" s="1946">
        <f t="shared" si="263"/>
        <v>0</v>
      </c>
      <c r="W221" s="1946">
        <f t="shared" si="263"/>
        <v>0</v>
      </c>
      <c r="X221" s="1946">
        <f t="shared" si="263"/>
        <v>0</v>
      </c>
      <c r="Y221" s="1946">
        <f t="shared" si="263"/>
        <v>0</v>
      </c>
      <c r="Z221" s="1946">
        <f t="shared" si="263"/>
        <v>0</v>
      </c>
      <c r="AA221" s="1946">
        <f t="shared" si="263"/>
        <v>0</v>
      </c>
      <c r="AB221" s="1946">
        <f t="shared" si="263"/>
        <v>0</v>
      </c>
      <c r="AC221" s="1946">
        <f t="shared" si="263"/>
        <v>0</v>
      </c>
      <c r="AD221" s="1946">
        <f t="shared" si="263"/>
        <v>0</v>
      </c>
      <c r="AE221" s="1946">
        <f t="shared" si="263"/>
        <v>0</v>
      </c>
      <c r="AF221" s="1946">
        <f t="shared" si="263"/>
        <v>0</v>
      </c>
      <c r="AG221" s="1946">
        <f t="shared" si="263"/>
        <v>0</v>
      </c>
      <c r="AH221" s="1946">
        <f t="shared" si="263"/>
        <v>0</v>
      </c>
      <c r="AI221" s="1946">
        <f t="shared" si="263"/>
        <v>0</v>
      </c>
      <c r="AJ221" s="1946">
        <f t="shared" si="263"/>
        <v>0</v>
      </c>
      <c r="AK221" s="1946">
        <f t="shared" si="263"/>
        <v>0</v>
      </c>
      <c r="AL221" s="1946">
        <f t="shared" si="263"/>
        <v>0</v>
      </c>
      <c r="AM221" s="1946">
        <f t="shared" ref="AM221:AR221" si="264">AM200+AM179+AM158+AM137+AM116</f>
        <v>0</v>
      </c>
      <c r="AN221" s="1963">
        <f t="shared" si="264"/>
        <v>0</v>
      </c>
      <c r="AO221" s="1946">
        <f t="shared" si="264"/>
        <v>0</v>
      </c>
      <c r="AP221" s="1946">
        <f t="shared" si="264"/>
        <v>0</v>
      </c>
      <c r="AQ221" s="1946">
        <f t="shared" si="264"/>
        <v>0</v>
      </c>
      <c r="AR221" s="1946">
        <f t="shared" si="264"/>
        <v>0</v>
      </c>
      <c r="AS221" s="1946">
        <f t="shared" si="193"/>
        <v>0</v>
      </c>
      <c r="AT221" s="1946">
        <f t="shared" si="194"/>
        <v>0</v>
      </c>
      <c r="AU221" s="1946">
        <f t="shared" si="195"/>
        <v>0</v>
      </c>
      <c r="AV221" s="1946">
        <f t="shared" si="196"/>
        <v>0</v>
      </c>
      <c r="AW221" s="1946">
        <f t="shared" si="197"/>
        <v>0</v>
      </c>
      <c r="AX221" s="1946">
        <f t="shared" si="198"/>
        <v>0</v>
      </c>
      <c r="AY221" s="1946">
        <f t="shared" si="198"/>
        <v>0</v>
      </c>
      <c r="AZ221" s="1946">
        <f>AZ200+AU179+BA158+BA137+BA116</f>
        <v>0</v>
      </c>
      <c r="BA221" s="1946">
        <f t="shared" ref="BA221:BW221" si="265">BA200+AV179+BB158+BB137+BB116</f>
        <v>0</v>
      </c>
      <c r="BB221" s="1946">
        <f t="shared" si="265"/>
        <v>0</v>
      </c>
      <c r="BC221" s="1946">
        <f t="shared" si="265"/>
        <v>0</v>
      </c>
      <c r="BD221" s="1946">
        <f t="shared" si="265"/>
        <v>0</v>
      </c>
      <c r="BE221" s="1946">
        <f t="shared" si="265"/>
        <v>0</v>
      </c>
      <c r="BF221" s="1946">
        <f t="shared" si="265"/>
        <v>0</v>
      </c>
      <c r="BG221" s="1946">
        <f t="shared" si="265"/>
        <v>0</v>
      </c>
      <c r="BH221" s="1946">
        <f t="shared" si="265"/>
        <v>0</v>
      </c>
      <c r="BI221" s="1946">
        <f t="shared" si="265"/>
        <v>0</v>
      </c>
      <c r="BJ221" s="1946">
        <f t="shared" si="265"/>
        <v>0</v>
      </c>
      <c r="BK221" s="1946">
        <f t="shared" si="265"/>
        <v>0</v>
      </c>
      <c r="BL221" s="1946">
        <f t="shared" si="265"/>
        <v>0</v>
      </c>
      <c r="BM221" s="1946">
        <f t="shared" si="265"/>
        <v>0</v>
      </c>
      <c r="BN221" s="1946">
        <f t="shared" si="265"/>
        <v>0</v>
      </c>
      <c r="BO221" s="1946">
        <f t="shared" si="265"/>
        <v>0</v>
      </c>
      <c r="BP221" s="1946">
        <f t="shared" si="265"/>
        <v>0</v>
      </c>
      <c r="BQ221" s="1946">
        <f t="shared" si="265"/>
        <v>0</v>
      </c>
      <c r="BR221" s="1946">
        <f t="shared" si="265"/>
        <v>0</v>
      </c>
      <c r="BS221" s="1946">
        <f t="shared" si="265"/>
        <v>0</v>
      </c>
      <c r="BT221" s="1946">
        <f t="shared" si="265"/>
        <v>0</v>
      </c>
      <c r="BU221" s="1946">
        <f t="shared" si="265"/>
        <v>0</v>
      </c>
      <c r="BV221" s="1946">
        <f t="shared" si="265"/>
        <v>0</v>
      </c>
      <c r="BW221" s="1946">
        <f t="shared" si="265"/>
        <v>0</v>
      </c>
      <c r="BX221" s="710"/>
      <c r="BY221" s="710"/>
      <c r="BZ221" s="710"/>
      <c r="CA221" s="710"/>
      <c r="CB221" s="710"/>
      <c r="CC221" s="710"/>
      <c r="CD221" s="710"/>
      <c r="CE221" s="710"/>
      <c r="CF221" s="710"/>
      <c r="CG221" s="710"/>
      <c r="CH221" s="710"/>
      <c r="CI221" s="710"/>
      <c r="CJ221" s="710"/>
      <c r="CK221" s="710"/>
      <c r="CL221" s="710"/>
      <c r="CM221" s="710"/>
      <c r="CN221" s="710"/>
      <c r="CO221" s="710"/>
      <c r="CP221" s="710"/>
      <c r="CQ221" s="710"/>
      <c r="CR221" s="710"/>
      <c r="CS221" s="710"/>
      <c r="CT221" s="710"/>
      <c r="CU221" s="710"/>
      <c r="CV221" s="710"/>
      <c r="CW221" s="710"/>
      <c r="CX221" s="710"/>
      <c r="CY221" s="710"/>
      <c r="CZ221" s="710"/>
      <c r="DA221" s="710"/>
      <c r="DB221" s="710"/>
      <c r="DC221" s="710"/>
      <c r="DD221" s="710"/>
      <c r="DE221" s="710"/>
      <c r="DF221" s="710"/>
      <c r="DG221" s="710"/>
      <c r="DH221" s="710"/>
      <c r="DI221" s="710"/>
      <c r="DJ221" s="710"/>
      <c r="DK221" s="710"/>
      <c r="DL221" s="710"/>
      <c r="DM221" s="710"/>
      <c r="DN221" s="710"/>
      <c r="DO221" s="710"/>
      <c r="DP221" s="710"/>
      <c r="DQ221" s="710"/>
      <c r="DR221" s="710"/>
      <c r="DS221" s="710"/>
      <c r="DT221" s="710"/>
      <c r="DU221" s="710"/>
      <c r="DV221" s="710"/>
      <c r="DW221" s="710"/>
      <c r="DX221" s="710"/>
      <c r="DY221" s="710"/>
      <c r="DZ221" s="710"/>
      <c r="EA221" s="710"/>
      <c r="EB221" s="710"/>
      <c r="EC221" s="710"/>
      <c r="ED221" s="710"/>
      <c r="EE221" s="710"/>
      <c r="EF221" s="710"/>
      <c r="EG221" s="710"/>
      <c r="EH221" s="710"/>
      <c r="EI221" s="710"/>
      <c r="EJ221" s="710"/>
      <c r="EK221" s="710"/>
      <c r="EL221" s="710"/>
      <c r="EM221" s="710"/>
      <c r="EN221" s="710"/>
      <c r="EO221" s="710"/>
      <c r="EP221" s="710"/>
      <c r="EQ221" s="710"/>
      <c r="ER221" s="710"/>
      <c r="ES221" s="710"/>
      <c r="ET221" s="710"/>
      <c r="EU221" s="710"/>
      <c r="EV221" s="710"/>
      <c r="EW221" s="710"/>
      <c r="EX221" s="710"/>
      <c r="EY221" s="710"/>
      <c r="EZ221" s="710"/>
      <c r="FA221" s="710"/>
      <c r="FB221" s="710"/>
      <c r="FC221" s="710"/>
      <c r="FD221" s="710"/>
      <c r="FE221" s="710"/>
      <c r="FF221" s="710"/>
      <c r="FG221" s="710"/>
      <c r="FH221" s="710"/>
      <c r="FI221" s="710"/>
      <c r="FJ221" s="710"/>
      <c r="FK221" s="710"/>
      <c r="FL221" s="710"/>
      <c r="FM221" s="710"/>
      <c r="FN221" s="710"/>
      <c r="FO221" s="710"/>
      <c r="FP221" s="710"/>
      <c r="FQ221" s="710"/>
      <c r="FR221" s="710"/>
    </row>
    <row r="222" spans="1:174" s="68" customFormat="1" ht="14.25" hidden="1" customHeight="1">
      <c r="B222" s="1921" t="s">
        <v>571</v>
      </c>
      <c r="C222" s="30"/>
      <c r="D222" s="1946">
        <f t="shared" si="189"/>
        <v>1</v>
      </c>
      <c r="E222" s="1946">
        <f t="shared" si="189"/>
        <v>1</v>
      </c>
      <c r="F222" s="1946">
        <f t="shared" ref="F222:Q222" si="266">F201+F180+F159+F138+F117</f>
        <v>1</v>
      </c>
      <c r="G222" s="1946">
        <f t="shared" si="266"/>
        <v>1</v>
      </c>
      <c r="H222" s="1946">
        <f t="shared" si="266"/>
        <v>1</v>
      </c>
      <c r="I222" s="1946">
        <f t="shared" si="266"/>
        <v>1</v>
      </c>
      <c r="J222" s="1946">
        <f t="shared" si="266"/>
        <v>1</v>
      </c>
      <c r="K222" s="1946">
        <f t="shared" si="266"/>
        <v>1</v>
      </c>
      <c r="L222" s="1946">
        <f t="shared" si="266"/>
        <v>1</v>
      </c>
      <c r="M222" s="1946">
        <f t="shared" si="266"/>
        <v>1</v>
      </c>
      <c r="N222" s="1946">
        <f t="shared" si="266"/>
        <v>1</v>
      </c>
      <c r="O222" s="1946">
        <f t="shared" si="266"/>
        <v>1</v>
      </c>
      <c r="P222" s="1946">
        <f t="shared" si="266"/>
        <v>2</v>
      </c>
      <c r="Q222" s="1946">
        <f t="shared" si="266"/>
        <v>2</v>
      </c>
      <c r="R222" s="1946">
        <f t="shared" ref="R222:AL222" si="267">R201+R180+R159+R138+R117</f>
        <v>2</v>
      </c>
      <c r="S222" s="1946">
        <f t="shared" si="267"/>
        <v>2</v>
      </c>
      <c r="T222" s="1946">
        <f t="shared" si="267"/>
        <v>2</v>
      </c>
      <c r="U222" s="1946">
        <f t="shared" si="267"/>
        <v>2</v>
      </c>
      <c r="V222" s="1946">
        <f t="shared" si="267"/>
        <v>2</v>
      </c>
      <c r="W222" s="1946">
        <f t="shared" si="267"/>
        <v>2</v>
      </c>
      <c r="X222" s="1946">
        <f t="shared" si="267"/>
        <v>2</v>
      </c>
      <c r="Y222" s="1946">
        <f t="shared" si="267"/>
        <v>2</v>
      </c>
      <c r="Z222" s="1946">
        <f t="shared" si="267"/>
        <v>2</v>
      </c>
      <c r="AA222" s="1946">
        <f t="shared" si="267"/>
        <v>2</v>
      </c>
      <c r="AB222" s="1946">
        <f t="shared" si="267"/>
        <v>3</v>
      </c>
      <c r="AC222" s="1946">
        <f t="shared" si="267"/>
        <v>3</v>
      </c>
      <c r="AD222" s="1946">
        <f t="shared" si="267"/>
        <v>3</v>
      </c>
      <c r="AE222" s="1946">
        <f t="shared" si="267"/>
        <v>3</v>
      </c>
      <c r="AF222" s="1946">
        <f t="shared" si="267"/>
        <v>3</v>
      </c>
      <c r="AG222" s="1946">
        <f t="shared" si="267"/>
        <v>3</v>
      </c>
      <c r="AH222" s="1946">
        <f t="shared" si="267"/>
        <v>3</v>
      </c>
      <c r="AI222" s="1946">
        <f t="shared" si="267"/>
        <v>3</v>
      </c>
      <c r="AJ222" s="1946">
        <f t="shared" si="267"/>
        <v>3</v>
      </c>
      <c r="AK222" s="1946">
        <f t="shared" si="267"/>
        <v>3</v>
      </c>
      <c r="AL222" s="1946">
        <f t="shared" si="267"/>
        <v>3</v>
      </c>
      <c r="AM222" s="1946">
        <f t="shared" ref="AM222:AR222" si="268">AM201+AM180+AM159+AM138+AM117</f>
        <v>3</v>
      </c>
      <c r="AN222" s="1963">
        <f t="shared" si="268"/>
        <v>4</v>
      </c>
      <c r="AO222" s="1946">
        <f t="shared" si="268"/>
        <v>5</v>
      </c>
      <c r="AP222" s="1946">
        <f t="shared" si="268"/>
        <v>6</v>
      </c>
      <c r="AQ222" s="1946">
        <f t="shared" si="268"/>
        <v>7</v>
      </c>
      <c r="AR222" s="1946">
        <f t="shared" si="268"/>
        <v>8</v>
      </c>
      <c r="AS222" s="1946">
        <f t="shared" si="193"/>
        <v>3</v>
      </c>
      <c r="AT222" s="1946">
        <f t="shared" si="194"/>
        <v>4</v>
      </c>
      <c r="AU222" s="1946">
        <f t="shared" si="195"/>
        <v>5</v>
      </c>
      <c r="AV222" s="1946">
        <f t="shared" si="196"/>
        <v>6</v>
      </c>
      <c r="AW222" s="1946">
        <f t="shared" si="197"/>
        <v>7</v>
      </c>
      <c r="AX222" s="1946">
        <f t="shared" si="198"/>
        <v>8</v>
      </c>
      <c r="AY222" s="1946">
        <f t="shared" si="198"/>
        <v>9</v>
      </c>
      <c r="AZ222" s="1946">
        <f t="shared" ref="AZ222:BE222" si="269">AY201+AT180+AZ159+AZ138+AZ117</f>
        <v>10</v>
      </c>
      <c r="BA222" s="1946">
        <f t="shared" si="269"/>
        <v>11</v>
      </c>
      <c r="BB222" s="1946">
        <f t="shared" si="269"/>
        <v>12</v>
      </c>
      <c r="BC222" s="1946">
        <f t="shared" si="269"/>
        <v>13</v>
      </c>
      <c r="BD222" s="1946">
        <f t="shared" si="269"/>
        <v>14</v>
      </c>
      <c r="BE222" s="1946">
        <f t="shared" si="269"/>
        <v>15</v>
      </c>
      <c r="BF222" s="1946">
        <f t="shared" ref="BF222:BO223" si="270">AZ201+AZ180+BF159+BF138+BF117</f>
        <v>16</v>
      </c>
      <c r="BG222" s="1946">
        <f t="shared" si="270"/>
        <v>17</v>
      </c>
      <c r="BH222" s="1946">
        <f t="shared" si="270"/>
        <v>18</v>
      </c>
      <c r="BI222" s="1946">
        <f t="shared" si="270"/>
        <v>19</v>
      </c>
      <c r="BJ222" s="1946">
        <f t="shared" si="270"/>
        <v>20</v>
      </c>
      <c r="BK222" s="1946">
        <f t="shared" si="270"/>
        <v>21</v>
      </c>
      <c r="BL222" s="1946">
        <f t="shared" si="270"/>
        <v>22</v>
      </c>
      <c r="BM222" s="1946">
        <f t="shared" si="270"/>
        <v>23</v>
      </c>
      <c r="BN222" s="1946">
        <f t="shared" si="270"/>
        <v>24</v>
      </c>
      <c r="BO222" s="1946">
        <f t="shared" si="270"/>
        <v>25</v>
      </c>
      <c r="BP222" s="1946">
        <f t="shared" ref="BP222:BW223" si="271">BJ201+BJ180+BP159+BP138+BP117</f>
        <v>26</v>
      </c>
      <c r="BQ222" s="1946">
        <f t="shared" si="271"/>
        <v>27</v>
      </c>
      <c r="BR222" s="1946">
        <f t="shared" si="271"/>
        <v>28</v>
      </c>
      <c r="BS222" s="1946">
        <f t="shared" si="271"/>
        <v>29</v>
      </c>
      <c r="BT222" s="1946">
        <f t="shared" si="271"/>
        <v>30</v>
      </c>
      <c r="BU222" s="1946">
        <f t="shared" si="271"/>
        <v>31</v>
      </c>
      <c r="BV222" s="1946">
        <f t="shared" si="271"/>
        <v>32</v>
      </c>
      <c r="BW222" s="1947">
        <f t="shared" si="271"/>
        <v>33</v>
      </c>
      <c r="BX222" s="710"/>
      <c r="BY222" s="710"/>
      <c r="BZ222" s="710"/>
      <c r="CA222" s="710"/>
      <c r="CB222" s="710"/>
      <c r="CC222" s="710"/>
      <c r="CD222" s="710"/>
      <c r="CE222" s="710"/>
      <c r="CF222" s="710"/>
      <c r="CG222" s="710"/>
      <c r="CH222" s="710"/>
      <c r="CI222" s="710"/>
      <c r="CJ222" s="710"/>
      <c r="CK222" s="710"/>
      <c r="CL222" s="710"/>
      <c r="CM222" s="710"/>
      <c r="CN222" s="710"/>
      <c r="CO222" s="710"/>
      <c r="CP222" s="710"/>
      <c r="CQ222" s="710"/>
      <c r="CR222" s="710"/>
      <c r="CS222" s="710"/>
      <c r="CT222" s="710"/>
      <c r="CU222" s="710"/>
      <c r="CV222" s="710"/>
      <c r="CW222" s="710"/>
      <c r="CX222" s="710"/>
      <c r="CY222" s="710"/>
      <c r="CZ222" s="710"/>
      <c r="DA222" s="710"/>
      <c r="DB222" s="710"/>
      <c r="DC222" s="710"/>
      <c r="DD222" s="710"/>
      <c r="DE222" s="710"/>
      <c r="DF222" s="710"/>
      <c r="DG222" s="710"/>
      <c r="DH222" s="710"/>
      <c r="DI222" s="710"/>
      <c r="DJ222" s="710"/>
      <c r="DK222" s="710"/>
      <c r="DL222" s="710"/>
      <c r="DM222" s="710"/>
      <c r="DN222" s="710"/>
      <c r="DO222" s="710"/>
      <c r="DP222" s="710"/>
      <c r="DQ222" s="710"/>
      <c r="DR222" s="710"/>
      <c r="DS222" s="710"/>
      <c r="DT222" s="710"/>
      <c r="DU222" s="710"/>
      <c r="DV222" s="710"/>
      <c r="DW222" s="710"/>
      <c r="DX222" s="710"/>
      <c r="DY222" s="710"/>
      <c r="DZ222" s="710"/>
      <c r="EA222" s="710"/>
      <c r="EB222" s="710"/>
      <c r="EC222" s="710"/>
      <c r="ED222" s="710"/>
      <c r="EE222" s="710"/>
      <c r="EF222" s="710"/>
      <c r="EG222" s="710"/>
      <c r="EH222" s="710"/>
      <c r="EI222" s="710"/>
      <c r="EJ222" s="710"/>
      <c r="EK222" s="710"/>
      <c r="EL222" s="710"/>
      <c r="EM222" s="710"/>
      <c r="EN222" s="710"/>
      <c r="EO222" s="710"/>
      <c r="EP222" s="710"/>
      <c r="EQ222" s="710"/>
      <c r="ER222" s="710"/>
      <c r="ES222" s="710"/>
      <c r="ET222" s="710"/>
      <c r="EU222" s="710"/>
      <c r="EV222" s="710"/>
      <c r="EW222" s="710"/>
      <c r="EX222" s="710"/>
      <c r="EY222" s="710"/>
      <c r="EZ222" s="710"/>
      <c r="FA222" s="710"/>
      <c r="FB222" s="710"/>
      <c r="FC222" s="710"/>
      <c r="FD222" s="710"/>
      <c r="FE222" s="710"/>
      <c r="FF222" s="710"/>
      <c r="FG222" s="710"/>
      <c r="FH222" s="710"/>
      <c r="FI222" s="710"/>
      <c r="FJ222" s="710"/>
      <c r="FK222" s="710"/>
      <c r="FL222" s="710"/>
      <c r="FM222" s="710"/>
      <c r="FN222" s="710"/>
      <c r="FO222" s="710"/>
      <c r="FP222" s="710"/>
      <c r="FQ222" s="710"/>
      <c r="FR222" s="710"/>
    </row>
    <row r="223" spans="1:174" s="68" customFormat="1" ht="14.25" hidden="1" customHeight="1">
      <c r="B223" s="37" t="s">
        <v>572</v>
      </c>
      <c r="C223" s="30"/>
      <c r="D223" s="1946">
        <f t="shared" si="189"/>
        <v>0</v>
      </c>
      <c r="E223" s="1946">
        <f t="shared" si="189"/>
        <v>0</v>
      </c>
      <c r="F223" s="1946">
        <f t="shared" ref="F223:Q223" si="272">F202+F181+F160+F139+F118</f>
        <v>0</v>
      </c>
      <c r="G223" s="1946">
        <f t="shared" si="272"/>
        <v>0</v>
      </c>
      <c r="H223" s="1946">
        <f t="shared" si="272"/>
        <v>0</v>
      </c>
      <c r="I223" s="1946">
        <f t="shared" si="272"/>
        <v>0</v>
      </c>
      <c r="J223" s="1946">
        <f t="shared" si="272"/>
        <v>0</v>
      </c>
      <c r="K223" s="1946">
        <f t="shared" si="272"/>
        <v>0</v>
      </c>
      <c r="L223" s="1946">
        <f t="shared" si="272"/>
        <v>0</v>
      </c>
      <c r="M223" s="1946">
        <f t="shared" si="272"/>
        <v>0</v>
      </c>
      <c r="N223" s="1946">
        <f t="shared" si="272"/>
        <v>0</v>
      </c>
      <c r="O223" s="1946">
        <f t="shared" si="272"/>
        <v>0</v>
      </c>
      <c r="P223" s="1946">
        <f t="shared" si="272"/>
        <v>0</v>
      </c>
      <c r="Q223" s="1946">
        <f t="shared" si="272"/>
        <v>0</v>
      </c>
      <c r="R223" s="1946">
        <f t="shared" ref="R223:AL223" si="273">R202+R181+R160+R139+R118</f>
        <v>0</v>
      </c>
      <c r="S223" s="1946">
        <f t="shared" si="273"/>
        <v>0</v>
      </c>
      <c r="T223" s="1946">
        <f t="shared" si="273"/>
        <v>0</v>
      </c>
      <c r="U223" s="1946">
        <f t="shared" si="273"/>
        <v>0</v>
      </c>
      <c r="V223" s="1946">
        <f t="shared" si="273"/>
        <v>0</v>
      </c>
      <c r="W223" s="1946">
        <f t="shared" si="273"/>
        <v>0</v>
      </c>
      <c r="X223" s="1946">
        <f t="shared" si="273"/>
        <v>0</v>
      </c>
      <c r="Y223" s="1946">
        <f t="shared" si="273"/>
        <v>0</v>
      </c>
      <c r="Z223" s="1946">
        <f t="shared" si="273"/>
        <v>0</v>
      </c>
      <c r="AA223" s="1946">
        <f t="shared" si="273"/>
        <v>0</v>
      </c>
      <c r="AB223" s="1946">
        <f t="shared" si="273"/>
        <v>0</v>
      </c>
      <c r="AC223" s="1946">
        <f t="shared" si="273"/>
        <v>0</v>
      </c>
      <c r="AD223" s="1946">
        <f t="shared" si="273"/>
        <v>0</v>
      </c>
      <c r="AE223" s="1946">
        <f t="shared" si="273"/>
        <v>0</v>
      </c>
      <c r="AF223" s="1946">
        <f t="shared" si="273"/>
        <v>0</v>
      </c>
      <c r="AG223" s="1946">
        <f t="shared" si="273"/>
        <v>0</v>
      </c>
      <c r="AH223" s="1946">
        <f t="shared" si="273"/>
        <v>0</v>
      </c>
      <c r="AI223" s="1946">
        <f t="shared" si="273"/>
        <v>0</v>
      </c>
      <c r="AJ223" s="1946">
        <f t="shared" si="273"/>
        <v>0</v>
      </c>
      <c r="AK223" s="1946">
        <f t="shared" si="273"/>
        <v>0</v>
      </c>
      <c r="AL223" s="1946">
        <f t="shared" si="273"/>
        <v>0</v>
      </c>
      <c r="AM223" s="1946">
        <f t="shared" ref="AM223:AS223" si="274">AM202+AM181+AM160+AM139+AM118</f>
        <v>0</v>
      </c>
      <c r="AN223" s="1963">
        <f t="shared" si="274"/>
        <v>0</v>
      </c>
      <c r="AO223" s="1946">
        <f t="shared" si="274"/>
        <v>0</v>
      </c>
      <c r="AP223" s="1946">
        <f t="shared" si="274"/>
        <v>0</v>
      </c>
      <c r="AQ223" s="1946">
        <f t="shared" si="274"/>
        <v>0</v>
      </c>
      <c r="AR223" s="1946">
        <f t="shared" si="274"/>
        <v>0</v>
      </c>
      <c r="AS223" s="1946">
        <f t="shared" si="274"/>
        <v>0</v>
      </c>
      <c r="AT223" s="1946">
        <f t="shared" si="194"/>
        <v>0</v>
      </c>
      <c r="AU223" s="1946">
        <f t="shared" si="195"/>
        <v>0</v>
      </c>
      <c r="AV223" s="1946">
        <f t="shared" si="196"/>
        <v>0</v>
      </c>
      <c r="AW223" s="1946">
        <f t="shared" si="197"/>
        <v>0</v>
      </c>
      <c r="AX223" s="1946">
        <f t="shared" si="198"/>
        <v>0</v>
      </c>
      <c r="AY223" s="1946">
        <f t="shared" si="198"/>
        <v>0</v>
      </c>
      <c r="AZ223" s="1946">
        <f t="shared" si="198"/>
        <v>0</v>
      </c>
      <c r="BA223" s="1946">
        <f>AZ202+AU181+BA160+BA139+BA118</f>
        <v>0</v>
      </c>
      <c r="BB223" s="1946">
        <f>BA202+AV181+BB160+BB139+BB118</f>
        <v>0</v>
      </c>
      <c r="BC223" s="1946">
        <f>BB202+AW181+BC160+BC139+BC118</f>
        <v>0</v>
      </c>
      <c r="BD223" s="1946">
        <f>BC202+AX181+BD160+BD139+BD118</f>
        <v>0</v>
      </c>
      <c r="BE223" s="1946">
        <f>BD202+AY181+BE160+BE139+BE118</f>
        <v>0</v>
      </c>
      <c r="BF223" s="1946">
        <f t="shared" si="270"/>
        <v>0</v>
      </c>
      <c r="BG223" s="1946">
        <f t="shared" si="270"/>
        <v>0</v>
      </c>
      <c r="BH223" s="1946">
        <f t="shared" si="270"/>
        <v>0</v>
      </c>
      <c r="BI223" s="1946">
        <f t="shared" si="270"/>
        <v>0</v>
      </c>
      <c r="BJ223" s="1946">
        <f t="shared" si="270"/>
        <v>0</v>
      </c>
      <c r="BK223" s="1946">
        <f t="shared" si="270"/>
        <v>0</v>
      </c>
      <c r="BL223" s="1946">
        <f t="shared" si="270"/>
        <v>0</v>
      </c>
      <c r="BM223" s="1946">
        <f t="shared" si="270"/>
        <v>0</v>
      </c>
      <c r="BN223" s="1946">
        <f t="shared" si="270"/>
        <v>0</v>
      </c>
      <c r="BO223" s="1946">
        <f t="shared" si="270"/>
        <v>0</v>
      </c>
      <c r="BP223" s="1946">
        <f t="shared" si="271"/>
        <v>0</v>
      </c>
      <c r="BQ223" s="1946">
        <f t="shared" si="271"/>
        <v>0</v>
      </c>
      <c r="BR223" s="1946">
        <f t="shared" si="271"/>
        <v>0</v>
      </c>
      <c r="BS223" s="1946">
        <f t="shared" si="271"/>
        <v>0</v>
      </c>
      <c r="BT223" s="1946">
        <f t="shared" si="271"/>
        <v>0</v>
      </c>
      <c r="BU223" s="1946">
        <f t="shared" si="271"/>
        <v>0</v>
      </c>
      <c r="BV223" s="1946">
        <f t="shared" si="271"/>
        <v>0</v>
      </c>
      <c r="BW223" s="1947">
        <f t="shared" si="271"/>
        <v>0</v>
      </c>
      <c r="BX223" s="710"/>
      <c r="BY223" s="710"/>
      <c r="BZ223" s="710"/>
      <c r="CA223" s="710"/>
      <c r="CB223" s="710"/>
      <c r="CC223" s="710"/>
      <c r="CD223" s="710"/>
      <c r="CE223" s="710"/>
      <c r="CF223" s="710"/>
      <c r="CG223" s="710"/>
      <c r="CH223" s="710"/>
      <c r="CI223" s="710"/>
      <c r="CJ223" s="710"/>
      <c r="CK223" s="710"/>
      <c r="CL223" s="710"/>
      <c r="CM223" s="710"/>
      <c r="CN223" s="710"/>
      <c r="CO223" s="710"/>
      <c r="CP223" s="710"/>
      <c r="CQ223" s="710"/>
      <c r="CR223" s="710"/>
      <c r="CS223" s="710"/>
      <c r="CT223" s="710"/>
      <c r="CU223" s="710"/>
      <c r="CV223" s="710"/>
      <c r="CW223" s="710"/>
      <c r="CX223" s="710"/>
      <c r="CY223" s="710"/>
      <c r="CZ223" s="710"/>
      <c r="DA223" s="710"/>
      <c r="DB223" s="710"/>
      <c r="DC223" s="710"/>
      <c r="DD223" s="710"/>
      <c r="DE223" s="710"/>
      <c r="DF223" s="710"/>
      <c r="DG223" s="710"/>
      <c r="DH223" s="710"/>
      <c r="DI223" s="710"/>
      <c r="DJ223" s="710"/>
      <c r="DK223" s="710"/>
      <c r="DL223" s="710"/>
      <c r="DM223" s="710"/>
      <c r="DN223" s="710"/>
      <c r="DO223" s="710"/>
      <c r="DP223" s="710"/>
      <c r="DQ223" s="710"/>
      <c r="DR223" s="710"/>
      <c r="DS223" s="710"/>
      <c r="DT223" s="710"/>
      <c r="DU223" s="710"/>
      <c r="DV223" s="710"/>
      <c r="DW223" s="710"/>
      <c r="DX223" s="710"/>
      <c r="DY223" s="710"/>
      <c r="DZ223" s="710"/>
      <c r="EA223" s="710"/>
      <c r="EB223" s="710"/>
      <c r="EC223" s="710"/>
      <c r="ED223" s="710"/>
      <c r="EE223" s="710"/>
      <c r="EF223" s="710"/>
      <c r="EG223" s="710"/>
      <c r="EH223" s="710"/>
      <c r="EI223" s="710"/>
      <c r="EJ223" s="710"/>
      <c r="EK223" s="710"/>
      <c r="EL223" s="710"/>
      <c r="EM223" s="710"/>
      <c r="EN223" s="710"/>
      <c r="EO223" s="710"/>
      <c r="EP223" s="710"/>
      <c r="EQ223" s="710"/>
      <c r="ER223" s="710"/>
      <c r="ES223" s="710"/>
      <c r="ET223" s="710"/>
      <c r="EU223" s="710"/>
      <c r="EV223" s="710"/>
      <c r="EW223" s="710"/>
      <c r="EX223" s="710"/>
      <c r="EY223" s="710"/>
      <c r="EZ223" s="710"/>
      <c r="FA223" s="710"/>
      <c r="FB223" s="710"/>
      <c r="FC223" s="710"/>
      <c r="FD223" s="710"/>
      <c r="FE223" s="710"/>
      <c r="FF223" s="710"/>
      <c r="FG223" s="710"/>
      <c r="FH223" s="710"/>
      <c r="FI223" s="710"/>
      <c r="FJ223" s="710"/>
      <c r="FK223" s="710"/>
      <c r="FL223" s="710"/>
      <c r="FM223" s="710"/>
      <c r="FN223" s="710"/>
      <c r="FO223" s="710"/>
      <c r="FP223" s="710"/>
      <c r="FQ223" s="710"/>
      <c r="FR223" s="710"/>
    </row>
    <row r="224" spans="1:174" s="68" customFormat="1" ht="14.25" hidden="1" customHeight="1">
      <c r="A224" s="68">
        <v>6</v>
      </c>
      <c r="B224" s="37" t="s">
        <v>573</v>
      </c>
      <c r="C224" s="30"/>
      <c r="D224" s="1946">
        <f>D203+D182+D161+D140+D119</f>
        <v>0</v>
      </c>
      <c r="E224" s="1946">
        <f t="shared" ref="E224:AJ224" si="275">E203+E184+E161+E140+E119</f>
        <v>0</v>
      </c>
      <c r="F224" s="1946">
        <f t="shared" si="275"/>
        <v>0</v>
      </c>
      <c r="G224" s="1946">
        <f t="shared" si="275"/>
        <v>0</v>
      </c>
      <c r="H224" s="1946">
        <f t="shared" si="275"/>
        <v>0</v>
      </c>
      <c r="I224" s="1946">
        <f t="shared" si="275"/>
        <v>0</v>
      </c>
      <c r="J224" s="1946">
        <f t="shared" si="275"/>
        <v>0</v>
      </c>
      <c r="K224" s="1946">
        <f t="shared" si="275"/>
        <v>0</v>
      </c>
      <c r="L224" s="1946">
        <f t="shared" si="275"/>
        <v>0</v>
      </c>
      <c r="M224" s="1946">
        <f t="shared" si="275"/>
        <v>0</v>
      </c>
      <c r="N224" s="1946">
        <f t="shared" si="275"/>
        <v>0</v>
      </c>
      <c r="O224" s="1946">
        <f t="shared" si="275"/>
        <v>0</v>
      </c>
      <c r="P224" s="1946">
        <f t="shared" si="275"/>
        <v>0</v>
      </c>
      <c r="Q224" s="1946">
        <f t="shared" si="275"/>
        <v>0</v>
      </c>
      <c r="R224" s="1946">
        <f t="shared" si="275"/>
        <v>0</v>
      </c>
      <c r="S224" s="1946">
        <f t="shared" si="275"/>
        <v>0</v>
      </c>
      <c r="T224" s="1946">
        <f t="shared" si="275"/>
        <v>0</v>
      </c>
      <c r="U224" s="1946">
        <f t="shared" si="275"/>
        <v>0</v>
      </c>
      <c r="V224" s="1946">
        <f t="shared" si="275"/>
        <v>0</v>
      </c>
      <c r="W224" s="1946">
        <f t="shared" si="275"/>
        <v>0</v>
      </c>
      <c r="X224" s="1946">
        <f t="shared" si="275"/>
        <v>0</v>
      </c>
      <c r="Y224" s="1946">
        <f t="shared" si="275"/>
        <v>0</v>
      </c>
      <c r="Z224" s="1946">
        <f t="shared" si="275"/>
        <v>0</v>
      </c>
      <c r="AA224" s="1946">
        <f t="shared" si="275"/>
        <v>0</v>
      </c>
      <c r="AB224" s="1946">
        <f t="shared" ca="1" si="275"/>
        <v>0</v>
      </c>
      <c r="AC224" s="1946">
        <f t="shared" si="275"/>
        <v>0</v>
      </c>
      <c r="AD224" s="1946">
        <f t="shared" si="275"/>
        <v>0</v>
      </c>
      <c r="AE224" s="1946">
        <f t="shared" si="275"/>
        <v>0</v>
      </c>
      <c r="AF224" s="1946">
        <f t="shared" si="275"/>
        <v>0</v>
      </c>
      <c r="AG224" s="1946">
        <f t="shared" si="275"/>
        <v>0</v>
      </c>
      <c r="AH224" s="1946">
        <f t="shared" si="275"/>
        <v>0</v>
      </c>
      <c r="AI224" s="1946">
        <f t="shared" si="275"/>
        <v>0</v>
      </c>
      <c r="AJ224" s="1946">
        <f t="shared" si="275"/>
        <v>0</v>
      </c>
      <c r="AK224" s="1946">
        <f t="shared" ref="AK224:AL224" si="276">AK203+AK184+AK161+AK140+AK119</f>
        <v>0</v>
      </c>
      <c r="AL224" s="1946">
        <f t="shared" si="276"/>
        <v>0</v>
      </c>
      <c r="AM224" s="1946">
        <f t="shared" ref="AM224:AR224" si="277">AM203+AM184+AM161+AM140+AM119</f>
        <v>0</v>
      </c>
      <c r="AN224" s="1963">
        <f t="shared" ca="1" si="277"/>
        <v>0</v>
      </c>
      <c r="AO224" s="1946">
        <f t="shared" ca="1" si="277"/>
        <v>0</v>
      </c>
      <c r="AP224" s="1946">
        <f t="shared" ca="1" si="277"/>
        <v>0</v>
      </c>
      <c r="AQ224" s="1946">
        <f t="shared" ca="1" si="277"/>
        <v>0</v>
      </c>
      <c r="AR224" s="1946">
        <f t="shared" ca="1" si="277"/>
        <v>0</v>
      </c>
      <c r="AS224" s="1946">
        <f t="shared" ref="AS224:AY224" si="278">AS203+AM184+AS161+AS140+AS119</f>
        <v>0</v>
      </c>
      <c r="AT224" s="1946">
        <f t="shared" ca="1" si="278"/>
        <v>0</v>
      </c>
      <c r="AU224" s="1946">
        <f t="shared" ca="1" si="278"/>
        <v>0</v>
      </c>
      <c r="AV224" s="1946">
        <f t="shared" ca="1" si="278"/>
        <v>0</v>
      </c>
      <c r="AW224" s="1946">
        <f t="shared" ca="1" si="278"/>
        <v>0</v>
      </c>
      <c r="AX224" s="1946">
        <f t="shared" ca="1" si="278"/>
        <v>0</v>
      </c>
      <c r="AY224" s="1946">
        <f t="shared" ca="1" si="278"/>
        <v>0</v>
      </c>
      <c r="AZ224" s="1946">
        <f t="shared" ref="AZ224:BE224" ca="1" si="279">AY203+AT184+AZ161+AZ140+AZ119</f>
        <v>0</v>
      </c>
      <c r="BA224" s="1946">
        <f t="shared" ca="1" si="279"/>
        <v>0</v>
      </c>
      <c r="BB224" s="1946">
        <f t="shared" ca="1" si="279"/>
        <v>0</v>
      </c>
      <c r="BC224" s="1946">
        <f t="shared" ca="1" si="279"/>
        <v>0</v>
      </c>
      <c r="BD224" s="1946">
        <f t="shared" ca="1" si="279"/>
        <v>0</v>
      </c>
      <c r="BE224" s="1946">
        <f t="shared" ca="1" si="279"/>
        <v>0</v>
      </c>
      <c r="BF224" s="1946">
        <f t="shared" ref="BF224:BW224" ca="1" si="280">AZ203+AZ184+BF161+BF140+BF119</f>
        <v>0</v>
      </c>
      <c r="BG224" s="1946">
        <f t="shared" ca="1" si="280"/>
        <v>0</v>
      </c>
      <c r="BH224" s="1946">
        <f t="shared" ca="1" si="280"/>
        <v>0</v>
      </c>
      <c r="BI224" s="1946">
        <f t="shared" ca="1" si="280"/>
        <v>0</v>
      </c>
      <c r="BJ224" s="1946">
        <f t="shared" ca="1" si="280"/>
        <v>0</v>
      </c>
      <c r="BK224" s="1946">
        <f t="shared" ca="1" si="280"/>
        <v>0</v>
      </c>
      <c r="BL224" s="1946">
        <f t="shared" ca="1" si="280"/>
        <v>0</v>
      </c>
      <c r="BM224" s="1946">
        <f t="shared" ca="1" si="280"/>
        <v>0</v>
      </c>
      <c r="BN224" s="1946">
        <f t="shared" ca="1" si="280"/>
        <v>0</v>
      </c>
      <c r="BO224" s="1946">
        <f t="shared" ca="1" si="280"/>
        <v>0</v>
      </c>
      <c r="BP224" s="1946">
        <f t="shared" ca="1" si="280"/>
        <v>0</v>
      </c>
      <c r="BQ224" s="1946">
        <f t="shared" ca="1" si="280"/>
        <v>0</v>
      </c>
      <c r="BR224" s="1946">
        <f t="shared" ca="1" si="280"/>
        <v>0</v>
      </c>
      <c r="BS224" s="1946">
        <f t="shared" ca="1" si="280"/>
        <v>0</v>
      </c>
      <c r="BT224" s="1946">
        <f t="shared" ca="1" si="280"/>
        <v>0</v>
      </c>
      <c r="BU224" s="1946">
        <f t="shared" ca="1" si="280"/>
        <v>0</v>
      </c>
      <c r="BV224" s="1946">
        <f t="shared" ca="1" si="280"/>
        <v>0</v>
      </c>
      <c r="BW224" s="1947">
        <f t="shared" ca="1" si="280"/>
        <v>0</v>
      </c>
      <c r="BX224" s="710"/>
      <c r="BY224" s="710"/>
      <c r="BZ224" s="710"/>
      <c r="CA224" s="710"/>
      <c r="CB224" s="710"/>
      <c r="CC224" s="710"/>
      <c r="CD224" s="710"/>
      <c r="CE224" s="710"/>
      <c r="CF224" s="710"/>
      <c r="CG224" s="710"/>
      <c r="CH224" s="710"/>
      <c r="CI224" s="710"/>
      <c r="CJ224" s="710"/>
      <c r="CK224" s="710"/>
      <c r="CL224" s="710"/>
      <c r="CM224" s="710"/>
      <c r="CN224" s="710"/>
      <c r="CO224" s="710"/>
      <c r="CP224" s="710"/>
      <c r="CQ224" s="710"/>
      <c r="CR224" s="710"/>
      <c r="CS224" s="710"/>
      <c r="CT224" s="710"/>
      <c r="CU224" s="710"/>
      <c r="CV224" s="710"/>
      <c r="CW224" s="710"/>
      <c r="CX224" s="710"/>
      <c r="CY224" s="710"/>
      <c r="CZ224" s="710"/>
      <c r="DA224" s="710"/>
      <c r="DB224" s="710"/>
      <c r="DC224" s="710"/>
      <c r="DD224" s="710"/>
      <c r="DE224" s="710"/>
      <c r="DF224" s="710"/>
      <c r="DG224" s="710"/>
      <c r="DH224" s="710"/>
      <c r="DI224" s="710"/>
      <c r="DJ224" s="710"/>
      <c r="DK224" s="710"/>
      <c r="DL224" s="710"/>
      <c r="DM224" s="710"/>
      <c r="DN224" s="710"/>
      <c r="DO224" s="710"/>
      <c r="DP224" s="710"/>
      <c r="DQ224" s="710"/>
      <c r="DR224" s="710"/>
      <c r="DS224" s="710"/>
      <c r="DT224" s="710"/>
      <c r="DU224" s="710"/>
      <c r="DV224" s="710"/>
      <c r="DW224" s="710"/>
      <c r="DX224" s="710"/>
      <c r="DY224" s="710"/>
      <c r="DZ224" s="710"/>
      <c r="EA224" s="710"/>
      <c r="EB224" s="710"/>
      <c r="EC224" s="710"/>
      <c r="ED224" s="710"/>
      <c r="EE224" s="710"/>
      <c r="EF224" s="710"/>
      <c r="EG224" s="710"/>
      <c r="EH224" s="710"/>
      <c r="EI224" s="710"/>
      <c r="EJ224" s="710"/>
      <c r="EK224" s="710"/>
      <c r="EL224" s="710"/>
      <c r="EM224" s="710"/>
      <c r="EN224" s="710"/>
      <c r="EO224" s="710"/>
      <c r="EP224" s="710"/>
      <c r="EQ224" s="710"/>
      <c r="ER224" s="710"/>
      <c r="ES224" s="710"/>
      <c r="ET224" s="710"/>
      <c r="EU224" s="710"/>
      <c r="EV224" s="710"/>
      <c r="EW224" s="710"/>
      <c r="EX224" s="710"/>
      <c r="EY224" s="710"/>
      <c r="EZ224" s="710"/>
      <c r="FA224" s="710"/>
      <c r="FB224" s="710"/>
      <c r="FC224" s="710"/>
      <c r="FD224" s="710"/>
      <c r="FE224" s="710"/>
      <c r="FF224" s="710"/>
      <c r="FG224" s="710"/>
      <c r="FH224" s="710"/>
      <c r="FI224" s="710"/>
      <c r="FJ224" s="710"/>
      <c r="FK224" s="710"/>
      <c r="FL224" s="710"/>
      <c r="FM224" s="710"/>
      <c r="FN224" s="710"/>
      <c r="FO224" s="710"/>
      <c r="FP224" s="710"/>
      <c r="FQ224" s="710"/>
      <c r="FR224" s="710"/>
    </row>
    <row r="225" spans="2:174" s="68" customFormat="1" ht="14.25" hidden="1" customHeight="1">
      <c r="B225" s="1921" t="s">
        <v>571</v>
      </c>
      <c r="C225" s="30"/>
      <c r="D225" s="1946">
        <f>D204+D183+D162+D141+D120</f>
        <v>1</v>
      </c>
      <c r="E225" s="1946">
        <f>E204+E186+E162+E141+E120</f>
        <v>2</v>
      </c>
      <c r="F225" s="1946">
        <f t="shared" ref="F225:Q225" si="281">F204+F186+F162+F141+F120</f>
        <v>3</v>
      </c>
      <c r="G225" s="1946">
        <f t="shared" si="281"/>
        <v>4</v>
      </c>
      <c r="H225" s="1946">
        <f t="shared" si="281"/>
        <v>5</v>
      </c>
      <c r="I225" s="1946">
        <f t="shared" si="281"/>
        <v>6</v>
      </c>
      <c r="J225" s="1946">
        <f t="shared" si="281"/>
        <v>7</v>
      </c>
      <c r="K225" s="1946">
        <f t="shared" si="281"/>
        <v>8</v>
      </c>
      <c r="L225" s="1946">
        <f>L204+L186+L162+L141+L120</f>
        <v>9</v>
      </c>
      <c r="M225" s="1946">
        <f t="shared" si="281"/>
        <v>10</v>
      </c>
      <c r="N225" s="1946">
        <f t="shared" si="281"/>
        <v>11</v>
      </c>
      <c r="O225" s="1946">
        <f t="shared" si="281"/>
        <v>12</v>
      </c>
      <c r="P225" s="1946">
        <f t="shared" si="281"/>
        <v>14</v>
      </c>
      <c r="Q225" s="1946">
        <f t="shared" si="281"/>
        <v>16</v>
      </c>
      <c r="R225" s="1946">
        <f t="shared" ref="R225:AX225" si="282">R204+R186+R162+R141+R120</f>
        <v>18</v>
      </c>
      <c r="S225" s="1946">
        <f t="shared" si="282"/>
        <v>20</v>
      </c>
      <c r="T225" s="1946">
        <f t="shared" si="282"/>
        <v>22</v>
      </c>
      <c r="U225" s="1946">
        <f t="shared" si="282"/>
        <v>24</v>
      </c>
      <c r="V225" s="1946">
        <f t="shared" si="282"/>
        <v>26</v>
      </c>
      <c r="W225" s="1946">
        <f t="shared" si="282"/>
        <v>28</v>
      </c>
      <c r="X225" s="1946">
        <f t="shared" si="282"/>
        <v>30</v>
      </c>
      <c r="Y225" s="1946">
        <f t="shared" si="282"/>
        <v>32</v>
      </c>
      <c r="Z225" s="1946">
        <f t="shared" si="282"/>
        <v>34</v>
      </c>
      <c r="AA225" s="1946">
        <f t="shared" si="282"/>
        <v>36</v>
      </c>
      <c r="AB225" s="1946">
        <f t="shared" si="282"/>
        <v>39</v>
      </c>
      <c r="AC225" s="1946">
        <f t="shared" si="282"/>
        <v>42</v>
      </c>
      <c r="AD225" s="1946">
        <f t="shared" si="282"/>
        <v>45</v>
      </c>
      <c r="AE225" s="1946">
        <f t="shared" si="282"/>
        <v>48</v>
      </c>
      <c r="AF225" s="1946">
        <f t="shared" si="282"/>
        <v>51</v>
      </c>
      <c r="AG225" s="1946">
        <f t="shared" si="282"/>
        <v>54</v>
      </c>
      <c r="AH225" s="1946">
        <f t="shared" si="282"/>
        <v>57</v>
      </c>
      <c r="AI225" s="1946">
        <f t="shared" si="282"/>
        <v>60</v>
      </c>
      <c r="AJ225" s="1946">
        <f t="shared" si="282"/>
        <v>63</v>
      </c>
      <c r="AK225" s="1946">
        <f t="shared" si="282"/>
        <v>66</v>
      </c>
      <c r="AL225" s="1946">
        <f t="shared" si="282"/>
        <v>69</v>
      </c>
      <c r="AM225" s="1946">
        <f t="shared" ref="AM225:AR225" si="283">AM204+AM186+AM162+AM141+AM120</f>
        <v>72</v>
      </c>
      <c r="AN225" s="1963">
        <f t="shared" si="283"/>
        <v>75</v>
      </c>
      <c r="AO225" s="1946">
        <f t="shared" si="283"/>
        <v>78</v>
      </c>
      <c r="AP225" s="1946">
        <f t="shared" si="283"/>
        <v>81</v>
      </c>
      <c r="AQ225" s="1946">
        <f t="shared" si="283"/>
        <v>84</v>
      </c>
      <c r="AR225" s="1946">
        <f t="shared" si="283"/>
        <v>87</v>
      </c>
      <c r="AS225" s="1946">
        <f t="shared" si="282"/>
        <v>90</v>
      </c>
      <c r="AT225" s="1946">
        <f t="shared" si="282"/>
        <v>93</v>
      </c>
      <c r="AU225" s="1946">
        <f t="shared" si="282"/>
        <v>96</v>
      </c>
      <c r="AV225" s="1946">
        <f t="shared" si="282"/>
        <v>99</v>
      </c>
      <c r="AW225" s="1946">
        <f t="shared" si="282"/>
        <v>102</v>
      </c>
      <c r="AX225" s="1946">
        <f t="shared" si="282"/>
        <v>105</v>
      </c>
      <c r="AY225" s="1946">
        <f t="shared" ref="AY225" si="284">AY204+AY186+AY162+AY141+AY120</f>
        <v>108</v>
      </c>
      <c r="AZ225" s="1946">
        <f t="shared" ref="AZ225:BE225" si="285">AY204+AZ186+AZ162+AZ141+AZ120</f>
        <v>111</v>
      </c>
      <c r="BA225" s="1946">
        <f t="shared" si="285"/>
        <v>115</v>
      </c>
      <c r="BB225" s="1946">
        <f t="shared" si="285"/>
        <v>119</v>
      </c>
      <c r="BC225" s="1946">
        <f t="shared" si="285"/>
        <v>123</v>
      </c>
      <c r="BD225" s="1946">
        <f t="shared" si="285"/>
        <v>127</v>
      </c>
      <c r="BE225" s="1946">
        <f t="shared" si="285"/>
        <v>131</v>
      </c>
      <c r="BF225" s="1946">
        <f t="shared" ref="BF225:BW225" si="286">AZ204+BF186+BF162+BF141+BF120</f>
        <v>130</v>
      </c>
      <c r="BG225" s="1946">
        <f t="shared" si="286"/>
        <v>134</v>
      </c>
      <c r="BH225" s="1946">
        <f t="shared" si="286"/>
        <v>138</v>
      </c>
      <c r="BI225" s="1946">
        <f t="shared" si="286"/>
        <v>142</v>
      </c>
      <c r="BJ225" s="1946">
        <f t="shared" si="286"/>
        <v>146</v>
      </c>
      <c r="BK225" s="1946">
        <f t="shared" si="286"/>
        <v>150</v>
      </c>
      <c r="BL225" s="1946">
        <f t="shared" si="286"/>
        <v>93</v>
      </c>
      <c r="BM225" s="1946">
        <f t="shared" si="286"/>
        <v>96</v>
      </c>
      <c r="BN225" s="1946">
        <f t="shared" si="286"/>
        <v>99</v>
      </c>
      <c r="BO225" s="1946">
        <f t="shared" si="286"/>
        <v>102</v>
      </c>
      <c r="BP225" s="1946">
        <f t="shared" si="286"/>
        <v>105</v>
      </c>
      <c r="BQ225" s="1946">
        <f t="shared" si="286"/>
        <v>108</v>
      </c>
      <c r="BR225" s="1946">
        <f t="shared" si="286"/>
        <v>111</v>
      </c>
      <c r="BS225" s="1946">
        <f t="shared" si="286"/>
        <v>114</v>
      </c>
      <c r="BT225" s="1946">
        <f t="shared" si="286"/>
        <v>117</v>
      </c>
      <c r="BU225" s="1946">
        <f t="shared" si="286"/>
        <v>120</v>
      </c>
      <c r="BV225" s="1946">
        <f t="shared" si="286"/>
        <v>123</v>
      </c>
      <c r="BW225" s="1947">
        <f t="shared" si="286"/>
        <v>126</v>
      </c>
      <c r="BX225" s="710"/>
      <c r="BY225" s="710"/>
      <c r="BZ225" s="710"/>
      <c r="CA225" s="710"/>
      <c r="CB225" s="710"/>
      <c r="CC225" s="710"/>
      <c r="CD225" s="710"/>
      <c r="CE225" s="710"/>
      <c r="CF225" s="710"/>
      <c r="CG225" s="710"/>
      <c r="CH225" s="710"/>
      <c r="CI225" s="710"/>
      <c r="CJ225" s="710"/>
      <c r="CK225" s="710"/>
      <c r="CL225" s="710"/>
      <c r="CM225" s="710"/>
      <c r="CN225" s="710"/>
      <c r="CO225" s="710"/>
      <c r="CP225" s="710"/>
      <c r="CQ225" s="710"/>
      <c r="CR225" s="710"/>
      <c r="CS225" s="710"/>
      <c r="CT225" s="710"/>
      <c r="CU225" s="710"/>
      <c r="CV225" s="710"/>
      <c r="CW225" s="710"/>
      <c r="CX225" s="710"/>
      <c r="CY225" s="710"/>
      <c r="CZ225" s="710"/>
      <c r="DA225" s="710"/>
      <c r="DB225" s="710"/>
      <c r="DC225" s="710"/>
      <c r="DD225" s="710"/>
      <c r="DE225" s="710"/>
      <c r="DF225" s="710"/>
      <c r="DG225" s="710"/>
      <c r="DH225" s="710"/>
      <c r="DI225" s="710"/>
      <c r="DJ225" s="710"/>
      <c r="DK225" s="710"/>
      <c r="DL225" s="710"/>
      <c r="DM225" s="710"/>
      <c r="DN225" s="710"/>
      <c r="DO225" s="710"/>
      <c r="DP225" s="710"/>
      <c r="DQ225" s="710"/>
      <c r="DR225" s="710"/>
      <c r="DS225" s="710"/>
      <c r="DT225" s="710"/>
      <c r="DU225" s="710"/>
      <c r="DV225" s="710"/>
      <c r="DW225" s="710"/>
      <c r="DX225" s="710"/>
      <c r="DY225" s="710"/>
      <c r="DZ225" s="710"/>
      <c r="EA225" s="710"/>
      <c r="EB225" s="710"/>
      <c r="EC225" s="710"/>
      <c r="ED225" s="710"/>
      <c r="EE225" s="710"/>
      <c r="EF225" s="710"/>
      <c r="EG225" s="710"/>
      <c r="EH225" s="710"/>
      <c r="EI225" s="710"/>
      <c r="EJ225" s="710"/>
      <c r="EK225" s="710"/>
      <c r="EL225" s="710"/>
      <c r="EM225" s="710"/>
      <c r="EN225" s="710"/>
      <c r="EO225" s="710"/>
      <c r="EP225" s="710"/>
      <c r="EQ225" s="710"/>
      <c r="ER225" s="710"/>
      <c r="ES225" s="710"/>
      <c r="ET225" s="710"/>
      <c r="EU225" s="710"/>
      <c r="EV225" s="710"/>
      <c r="EW225" s="710"/>
      <c r="EX225" s="710"/>
      <c r="EY225" s="710"/>
      <c r="EZ225" s="710"/>
      <c r="FA225" s="710"/>
      <c r="FB225" s="710"/>
      <c r="FC225" s="710"/>
      <c r="FD225" s="710"/>
      <c r="FE225" s="710"/>
      <c r="FF225" s="710"/>
      <c r="FG225" s="710"/>
      <c r="FH225" s="710"/>
      <c r="FI225" s="710"/>
      <c r="FJ225" s="710"/>
      <c r="FK225" s="710"/>
      <c r="FL225" s="710"/>
      <c r="FM225" s="710"/>
      <c r="FN225" s="710"/>
      <c r="FO225" s="710"/>
      <c r="FP225" s="710"/>
      <c r="FQ225" s="710"/>
      <c r="FR225" s="710"/>
    </row>
    <row r="226" spans="2:174" s="68" customFormat="1" ht="14.25" hidden="1" customHeight="1">
      <c r="B226" s="37" t="s">
        <v>572</v>
      </c>
      <c r="C226" s="30"/>
      <c r="D226" s="1946">
        <f>D205+D181+D163+D142+D121</f>
        <v>0</v>
      </c>
      <c r="E226" s="1946">
        <f t="shared" ref="E226:AL226" si="287">E205+E181+E163+E142+E121</f>
        <v>0</v>
      </c>
      <c r="F226" s="1946">
        <f t="shared" si="287"/>
        <v>0</v>
      </c>
      <c r="G226" s="1946">
        <f t="shared" si="287"/>
        <v>0</v>
      </c>
      <c r="H226" s="1946">
        <f t="shared" si="287"/>
        <v>0</v>
      </c>
      <c r="I226" s="1946">
        <f t="shared" si="287"/>
        <v>0</v>
      </c>
      <c r="J226" s="1946">
        <f t="shared" si="287"/>
        <v>0</v>
      </c>
      <c r="K226" s="1946">
        <f t="shared" si="287"/>
        <v>0</v>
      </c>
      <c r="L226" s="1946">
        <f t="shared" si="287"/>
        <v>0</v>
      </c>
      <c r="M226" s="1946">
        <f>M205+M181+M163+M142+M121</f>
        <v>0</v>
      </c>
      <c r="N226" s="1946">
        <f t="shared" si="287"/>
        <v>0</v>
      </c>
      <c r="O226" s="1946">
        <f>O205+O181+O163+O142+O121</f>
        <v>0</v>
      </c>
      <c r="P226" s="1946">
        <f t="shared" si="287"/>
        <v>0</v>
      </c>
      <c r="Q226" s="1946">
        <f>Q205+Q181+Q163+Q142+Q121</f>
        <v>0</v>
      </c>
      <c r="R226" s="1946">
        <f t="shared" si="287"/>
        <v>0</v>
      </c>
      <c r="S226" s="1946">
        <f t="shared" si="287"/>
        <v>0</v>
      </c>
      <c r="T226" s="1946">
        <f t="shared" si="287"/>
        <v>0</v>
      </c>
      <c r="U226" s="1946">
        <f t="shared" si="287"/>
        <v>0</v>
      </c>
      <c r="V226" s="1946">
        <f>V205+V181+V163+V142+V121</f>
        <v>0</v>
      </c>
      <c r="W226" s="1946">
        <f t="shared" si="287"/>
        <v>0</v>
      </c>
      <c r="X226" s="1946">
        <f t="shared" si="287"/>
        <v>0</v>
      </c>
      <c r="Y226" s="1946">
        <f t="shared" si="287"/>
        <v>0</v>
      </c>
      <c r="Z226" s="1946">
        <f t="shared" si="287"/>
        <v>0</v>
      </c>
      <c r="AA226" s="1946">
        <f t="shared" si="287"/>
        <v>0</v>
      </c>
      <c r="AB226" s="1946">
        <f t="shared" ca="1" si="287"/>
        <v>0</v>
      </c>
      <c r="AC226" s="1946">
        <f t="shared" ca="1" si="287"/>
        <v>0</v>
      </c>
      <c r="AD226" s="1946">
        <f ca="1">AD205+AD181+AD163+AD142+AD121</f>
        <v>0</v>
      </c>
      <c r="AE226" s="1946">
        <f t="shared" ca="1" si="287"/>
        <v>0</v>
      </c>
      <c r="AF226" s="1946">
        <f t="shared" ca="1" si="287"/>
        <v>0</v>
      </c>
      <c r="AG226" s="1946">
        <f t="shared" ca="1" si="287"/>
        <v>0</v>
      </c>
      <c r="AH226" s="1946">
        <f t="shared" ca="1" si="287"/>
        <v>0</v>
      </c>
      <c r="AI226" s="1946">
        <f t="shared" ca="1" si="287"/>
        <v>0</v>
      </c>
      <c r="AJ226" s="1946">
        <f t="shared" ca="1" si="287"/>
        <v>0</v>
      </c>
      <c r="AK226" s="1946">
        <f t="shared" ca="1" si="287"/>
        <v>0</v>
      </c>
      <c r="AL226" s="1946">
        <f t="shared" ca="1" si="287"/>
        <v>0</v>
      </c>
      <c r="AM226" s="1946">
        <f t="shared" ref="AM226" ca="1" si="288">AM205+AM181+AM163+AM142+AM121</f>
        <v>0</v>
      </c>
      <c r="AN226" s="1946">
        <f ca="1">AN205+AN184+AN163+AN142+AN121</f>
        <v>0</v>
      </c>
      <c r="AO226" s="1946">
        <f t="shared" ref="AO226:BW226" ca="1" si="289">AO205+AO184+AO163+AO142+AO121</f>
        <v>0</v>
      </c>
      <c r="AP226" s="1946">
        <f t="shared" ca="1" si="289"/>
        <v>0</v>
      </c>
      <c r="AQ226" s="1946">
        <f t="shared" ca="1" si="289"/>
        <v>0</v>
      </c>
      <c r="AR226" s="1946">
        <f t="shared" ca="1" si="289"/>
        <v>0</v>
      </c>
      <c r="AS226" s="1946">
        <f t="shared" ca="1" si="289"/>
        <v>0</v>
      </c>
      <c r="AT226" s="1946">
        <f t="shared" ca="1" si="289"/>
        <v>0</v>
      </c>
      <c r="AU226" s="1946">
        <f t="shared" ca="1" si="289"/>
        <v>0</v>
      </c>
      <c r="AV226" s="1946">
        <f t="shared" ca="1" si="289"/>
        <v>0</v>
      </c>
      <c r="AW226" s="1946">
        <f t="shared" ca="1" si="289"/>
        <v>0</v>
      </c>
      <c r="AX226" s="1946">
        <f t="shared" ca="1" si="289"/>
        <v>0</v>
      </c>
      <c r="AY226" s="1946">
        <f t="shared" ca="1" si="289"/>
        <v>0</v>
      </c>
      <c r="AZ226" s="1946">
        <f t="shared" ca="1" si="289"/>
        <v>0</v>
      </c>
      <c r="BA226" s="1946">
        <f t="shared" ca="1" si="289"/>
        <v>0</v>
      </c>
      <c r="BB226" s="1946">
        <f t="shared" ca="1" si="289"/>
        <v>0</v>
      </c>
      <c r="BC226" s="1946">
        <f t="shared" ca="1" si="289"/>
        <v>0</v>
      </c>
      <c r="BD226" s="1946">
        <f t="shared" ca="1" si="289"/>
        <v>0</v>
      </c>
      <c r="BE226" s="1946">
        <f t="shared" ca="1" si="289"/>
        <v>0</v>
      </c>
      <c r="BF226" s="1946">
        <f t="shared" ca="1" si="289"/>
        <v>0</v>
      </c>
      <c r="BG226" s="1946">
        <f t="shared" ca="1" si="289"/>
        <v>0</v>
      </c>
      <c r="BH226" s="1946">
        <f t="shared" ca="1" si="289"/>
        <v>0</v>
      </c>
      <c r="BI226" s="1946">
        <f t="shared" ca="1" si="289"/>
        <v>0</v>
      </c>
      <c r="BJ226" s="1946">
        <f t="shared" ca="1" si="289"/>
        <v>0</v>
      </c>
      <c r="BK226" s="1946">
        <f t="shared" ca="1" si="289"/>
        <v>0</v>
      </c>
      <c r="BL226" s="1946">
        <f t="shared" ca="1" si="289"/>
        <v>0</v>
      </c>
      <c r="BM226" s="1946">
        <f t="shared" ca="1" si="289"/>
        <v>0</v>
      </c>
      <c r="BN226" s="1946">
        <f t="shared" ca="1" si="289"/>
        <v>0</v>
      </c>
      <c r="BO226" s="1946">
        <f t="shared" ca="1" si="289"/>
        <v>0</v>
      </c>
      <c r="BP226" s="1946">
        <f t="shared" ca="1" si="289"/>
        <v>0</v>
      </c>
      <c r="BQ226" s="1946">
        <f t="shared" ca="1" si="289"/>
        <v>0</v>
      </c>
      <c r="BR226" s="1946">
        <f t="shared" ca="1" si="289"/>
        <v>0</v>
      </c>
      <c r="BS226" s="1946">
        <f t="shared" ca="1" si="289"/>
        <v>0</v>
      </c>
      <c r="BT226" s="1946">
        <f t="shared" ca="1" si="289"/>
        <v>0</v>
      </c>
      <c r="BU226" s="1946">
        <f t="shared" ca="1" si="289"/>
        <v>0</v>
      </c>
      <c r="BV226" s="1946">
        <f t="shared" ca="1" si="289"/>
        <v>0</v>
      </c>
      <c r="BW226" s="1946">
        <f t="shared" ca="1" si="289"/>
        <v>0</v>
      </c>
      <c r="BX226" s="710"/>
      <c r="BY226" s="710"/>
      <c r="BZ226" s="710"/>
      <c r="CA226" s="710"/>
      <c r="CB226" s="710"/>
      <c r="CC226" s="710"/>
      <c r="CD226" s="710"/>
      <c r="CE226" s="710"/>
      <c r="CF226" s="710"/>
      <c r="CG226" s="710"/>
      <c r="CH226" s="710"/>
      <c r="CI226" s="710"/>
      <c r="CJ226" s="710"/>
      <c r="CK226" s="710"/>
      <c r="CL226" s="710"/>
      <c r="CM226" s="710"/>
      <c r="CN226" s="710"/>
      <c r="CO226" s="710"/>
      <c r="CP226" s="710"/>
      <c r="CQ226" s="710"/>
      <c r="CR226" s="710"/>
      <c r="CS226" s="710"/>
      <c r="CT226" s="710"/>
      <c r="CU226" s="710"/>
      <c r="CV226" s="710"/>
      <c r="CW226" s="710"/>
      <c r="CX226" s="710"/>
      <c r="CY226" s="710"/>
      <c r="CZ226" s="710"/>
      <c r="DA226" s="710"/>
      <c r="DB226" s="710"/>
      <c r="DC226" s="710"/>
      <c r="DD226" s="710"/>
      <c r="DE226" s="710"/>
      <c r="DF226" s="710"/>
      <c r="DG226" s="710"/>
      <c r="DH226" s="710"/>
      <c r="DI226" s="710"/>
      <c r="DJ226" s="710"/>
      <c r="DK226" s="710"/>
      <c r="DL226" s="710"/>
      <c r="DM226" s="710"/>
      <c r="DN226" s="710"/>
      <c r="DO226" s="710"/>
      <c r="DP226" s="710"/>
      <c r="DQ226" s="710"/>
      <c r="DR226" s="710"/>
      <c r="DS226" s="710"/>
      <c r="DT226" s="710"/>
      <c r="DU226" s="710"/>
      <c r="DV226" s="710"/>
      <c r="DW226" s="710"/>
      <c r="DX226" s="710"/>
      <c r="DY226" s="710"/>
      <c r="DZ226" s="710"/>
      <c r="EA226" s="710"/>
      <c r="EB226" s="710"/>
      <c r="EC226" s="710"/>
      <c r="ED226" s="710"/>
      <c r="EE226" s="710"/>
      <c r="EF226" s="710"/>
      <c r="EG226" s="710"/>
      <c r="EH226" s="710"/>
      <c r="EI226" s="710"/>
      <c r="EJ226" s="710"/>
      <c r="EK226" s="710"/>
      <c r="EL226" s="710"/>
      <c r="EM226" s="710"/>
      <c r="EN226" s="710"/>
      <c r="EO226" s="710"/>
      <c r="EP226" s="710"/>
      <c r="EQ226" s="710"/>
      <c r="ER226" s="710"/>
      <c r="ES226" s="710"/>
      <c r="ET226" s="710"/>
      <c r="EU226" s="710"/>
      <c r="EV226" s="710"/>
      <c r="EW226" s="710"/>
      <c r="EX226" s="710"/>
      <c r="EY226" s="710"/>
      <c r="EZ226" s="710"/>
      <c r="FA226" s="710"/>
      <c r="FB226" s="710"/>
      <c r="FC226" s="710"/>
      <c r="FD226" s="710"/>
      <c r="FE226" s="710"/>
      <c r="FF226" s="710"/>
      <c r="FG226" s="710"/>
      <c r="FH226" s="710"/>
      <c r="FI226" s="710"/>
      <c r="FJ226" s="710"/>
      <c r="FK226" s="710"/>
      <c r="FL226" s="710"/>
      <c r="FM226" s="710"/>
      <c r="FN226" s="710"/>
      <c r="FO226" s="710"/>
      <c r="FP226" s="710"/>
      <c r="FQ226" s="710"/>
      <c r="FR226" s="710"/>
    </row>
    <row r="227" spans="2:174" s="68" customFormat="1" ht="14.25" hidden="1" customHeight="1">
      <c r="B227" s="37"/>
      <c r="C227" s="30"/>
      <c r="D227" s="1946"/>
      <c r="E227" s="1946"/>
      <c r="F227" s="1946"/>
      <c r="G227" s="1946"/>
      <c r="H227" s="1946"/>
      <c r="I227" s="1946"/>
      <c r="J227" s="1946"/>
      <c r="K227" s="1946"/>
      <c r="L227" s="1946"/>
      <c r="M227" s="1946"/>
      <c r="N227" s="1946"/>
      <c r="O227" s="1946"/>
      <c r="P227" s="1946"/>
      <c r="Q227" s="1946"/>
      <c r="R227" s="1946"/>
      <c r="S227" s="1946"/>
      <c r="T227" s="1946"/>
      <c r="U227" s="1946"/>
      <c r="V227" s="1946"/>
      <c r="W227" s="1946"/>
      <c r="X227" s="1946"/>
      <c r="Y227" s="1946"/>
      <c r="Z227" s="1946"/>
      <c r="AA227" s="1946"/>
      <c r="AB227" s="1946"/>
      <c r="AC227" s="1946"/>
      <c r="AD227" s="1946"/>
      <c r="AE227" s="1946"/>
      <c r="AF227" s="1946"/>
      <c r="AG227" s="1946"/>
      <c r="AH227" s="1946"/>
      <c r="AI227" s="1946"/>
      <c r="AJ227" s="1946"/>
      <c r="AK227" s="1946"/>
      <c r="AL227" s="1946"/>
      <c r="AM227" s="1946"/>
      <c r="AN227" s="1963"/>
      <c r="AO227" s="1946"/>
      <c r="AP227" s="1946"/>
      <c r="AQ227" s="1946"/>
      <c r="AR227" s="1946"/>
      <c r="AS227" s="1946"/>
      <c r="AT227" s="1946"/>
      <c r="AU227" s="1946"/>
      <c r="AV227" s="1946"/>
      <c r="AW227" s="1946"/>
      <c r="AX227" s="1946"/>
      <c r="AY227" s="1946"/>
      <c r="AZ227" s="1946"/>
      <c r="BA227" s="1946"/>
      <c r="BB227" s="1946"/>
      <c r="BC227" s="1946"/>
      <c r="BD227" s="1946"/>
      <c r="BE227" s="1946"/>
      <c r="BF227" s="1946"/>
      <c r="BG227" s="1946"/>
      <c r="BH227" s="1946"/>
      <c r="BI227" s="1946"/>
      <c r="BJ227" s="1946"/>
      <c r="BK227" s="1946"/>
      <c r="BL227" s="1946"/>
      <c r="BM227" s="1946"/>
      <c r="BN227" s="1946"/>
      <c r="BO227" s="1946"/>
      <c r="BP227" s="1946"/>
      <c r="BQ227" s="1946"/>
      <c r="BR227" s="1946"/>
      <c r="BS227" s="1946"/>
      <c r="BT227" s="1946"/>
      <c r="BU227" s="1946"/>
      <c r="BV227" s="1946"/>
      <c r="BW227" s="1947"/>
      <c r="BX227" s="710"/>
      <c r="BY227" s="710"/>
      <c r="BZ227" s="710"/>
      <c r="CA227" s="710"/>
      <c r="CB227" s="710"/>
      <c r="CC227" s="710"/>
      <c r="CD227" s="710"/>
      <c r="CE227" s="710"/>
      <c r="CF227" s="710"/>
      <c r="CG227" s="710"/>
      <c r="CH227" s="710"/>
      <c r="CI227" s="710"/>
      <c r="CJ227" s="710"/>
      <c r="CK227" s="710"/>
      <c r="CL227" s="710"/>
      <c r="CM227" s="710"/>
      <c r="CN227" s="710"/>
      <c r="CO227" s="710"/>
      <c r="CP227" s="710"/>
      <c r="CQ227" s="710"/>
      <c r="CR227" s="710"/>
      <c r="CS227" s="710"/>
      <c r="CT227" s="710"/>
      <c r="CU227" s="710"/>
      <c r="CV227" s="710"/>
      <c r="CW227" s="710"/>
      <c r="CX227" s="710"/>
      <c r="CY227" s="710"/>
      <c r="CZ227" s="710"/>
      <c r="DA227" s="710"/>
      <c r="DB227" s="710"/>
      <c r="DC227" s="710"/>
      <c r="DD227" s="710"/>
      <c r="DE227" s="710"/>
      <c r="DF227" s="710"/>
      <c r="DG227" s="710"/>
      <c r="DH227" s="710"/>
      <c r="DI227" s="710"/>
      <c r="DJ227" s="710"/>
      <c r="DK227" s="710"/>
      <c r="DL227" s="710"/>
      <c r="DM227" s="710"/>
      <c r="DN227" s="710"/>
      <c r="DO227" s="710"/>
      <c r="DP227" s="710"/>
      <c r="DQ227" s="710"/>
      <c r="DR227" s="710"/>
      <c r="DS227" s="710"/>
      <c r="DT227" s="710"/>
      <c r="DU227" s="710"/>
      <c r="DV227" s="710"/>
      <c r="DW227" s="710"/>
      <c r="DX227" s="710"/>
      <c r="DY227" s="710"/>
      <c r="DZ227" s="710"/>
      <c r="EA227" s="710"/>
      <c r="EB227" s="710"/>
      <c r="EC227" s="710"/>
      <c r="ED227" s="710"/>
      <c r="EE227" s="710"/>
      <c r="EF227" s="710"/>
      <c r="EG227" s="710"/>
      <c r="EH227" s="710"/>
      <c r="EI227" s="710"/>
      <c r="EJ227" s="710"/>
      <c r="EK227" s="710"/>
      <c r="EL227" s="710"/>
      <c r="EM227" s="710"/>
      <c r="EN227" s="710"/>
      <c r="EO227" s="710"/>
      <c r="EP227" s="710"/>
      <c r="EQ227" s="710"/>
      <c r="ER227" s="710"/>
      <c r="ES227" s="710"/>
      <c r="ET227" s="710"/>
      <c r="EU227" s="710"/>
      <c r="EV227" s="710"/>
      <c r="EW227" s="710"/>
      <c r="EX227" s="710"/>
      <c r="EY227" s="710"/>
      <c r="EZ227" s="710"/>
      <c r="FA227" s="710"/>
      <c r="FB227" s="710"/>
      <c r="FC227" s="710"/>
      <c r="FD227" s="710"/>
      <c r="FE227" s="710"/>
      <c r="FF227" s="710"/>
      <c r="FG227" s="710"/>
      <c r="FH227" s="710"/>
      <c r="FI227" s="710"/>
      <c r="FJ227" s="710"/>
      <c r="FK227" s="710"/>
      <c r="FL227" s="710"/>
      <c r="FM227" s="710"/>
      <c r="FN227" s="710"/>
      <c r="FO227" s="710"/>
      <c r="FP227" s="710"/>
      <c r="FQ227" s="710"/>
      <c r="FR227" s="710"/>
    </row>
    <row r="228" spans="2:174" s="71" customFormat="1" ht="14.25" hidden="1" customHeight="1">
      <c r="C228" s="1660" t="s">
        <v>900</v>
      </c>
      <c r="D228" s="1948">
        <f t="shared" ref="D228:AI228" si="290">D226</f>
        <v>0</v>
      </c>
      <c r="E228" s="1948">
        <f t="shared" si="290"/>
        <v>0</v>
      </c>
      <c r="F228" s="1948">
        <f t="shared" si="290"/>
        <v>0</v>
      </c>
      <c r="G228" s="1948">
        <f t="shared" si="290"/>
        <v>0</v>
      </c>
      <c r="H228" s="1948">
        <f t="shared" si="290"/>
        <v>0</v>
      </c>
      <c r="I228" s="1948">
        <f t="shared" si="290"/>
        <v>0</v>
      </c>
      <c r="J228" s="1948">
        <f t="shared" si="290"/>
        <v>0</v>
      </c>
      <c r="K228" s="1948">
        <f t="shared" si="290"/>
        <v>0</v>
      </c>
      <c r="L228" s="1948">
        <f t="shared" si="290"/>
        <v>0</v>
      </c>
      <c r="M228" s="1948">
        <f t="shared" si="290"/>
        <v>0</v>
      </c>
      <c r="N228" s="1948">
        <f t="shared" si="290"/>
        <v>0</v>
      </c>
      <c r="O228" s="1948">
        <f t="shared" si="290"/>
        <v>0</v>
      </c>
      <c r="P228" s="1948">
        <f t="shared" si="290"/>
        <v>0</v>
      </c>
      <c r="Q228" s="1948">
        <f t="shared" si="290"/>
        <v>0</v>
      </c>
      <c r="R228" s="1948">
        <f t="shared" si="290"/>
        <v>0</v>
      </c>
      <c r="S228" s="1948">
        <f t="shared" si="290"/>
        <v>0</v>
      </c>
      <c r="T228" s="1948">
        <f t="shared" si="290"/>
        <v>0</v>
      </c>
      <c r="U228" s="1948">
        <f t="shared" si="290"/>
        <v>0</v>
      </c>
      <c r="V228" s="1948">
        <f t="shared" si="290"/>
        <v>0</v>
      </c>
      <c r="W228" s="1948">
        <f t="shared" si="290"/>
        <v>0</v>
      </c>
      <c r="X228" s="1948">
        <f t="shared" si="290"/>
        <v>0</v>
      </c>
      <c r="Y228" s="1948">
        <f t="shared" si="290"/>
        <v>0</v>
      </c>
      <c r="Z228" s="1948">
        <f t="shared" si="290"/>
        <v>0</v>
      </c>
      <c r="AA228" s="1948">
        <f t="shared" si="290"/>
        <v>0</v>
      </c>
      <c r="AB228" s="1948">
        <f t="shared" ca="1" si="290"/>
        <v>0</v>
      </c>
      <c r="AC228" s="1948">
        <f t="shared" ca="1" si="290"/>
        <v>0</v>
      </c>
      <c r="AD228" s="1948">
        <f t="shared" ca="1" si="290"/>
        <v>0</v>
      </c>
      <c r="AE228" s="1948">
        <f t="shared" ca="1" si="290"/>
        <v>0</v>
      </c>
      <c r="AF228" s="1948">
        <f t="shared" ca="1" si="290"/>
        <v>0</v>
      </c>
      <c r="AG228" s="1948">
        <f t="shared" ca="1" si="290"/>
        <v>0</v>
      </c>
      <c r="AH228" s="1948">
        <f t="shared" ca="1" si="290"/>
        <v>0</v>
      </c>
      <c r="AI228" s="1948">
        <f t="shared" ca="1" si="290"/>
        <v>0</v>
      </c>
      <c r="AJ228" s="1948">
        <f t="shared" ref="AJ228:BO228" ca="1" si="291">AJ226</f>
        <v>0</v>
      </c>
      <c r="AK228" s="1948">
        <f t="shared" ca="1" si="291"/>
        <v>0</v>
      </c>
      <c r="AL228" s="1948">
        <f t="shared" ca="1" si="291"/>
        <v>0</v>
      </c>
      <c r="AM228" s="1948">
        <f t="shared" ca="1" si="291"/>
        <v>0</v>
      </c>
      <c r="AN228" s="1964">
        <f t="shared" ca="1" si="291"/>
        <v>0</v>
      </c>
      <c r="AO228" s="1948">
        <f t="shared" ca="1" si="291"/>
        <v>0</v>
      </c>
      <c r="AP228" s="1948">
        <f t="shared" ca="1" si="291"/>
        <v>0</v>
      </c>
      <c r="AQ228" s="1948">
        <f t="shared" ca="1" si="291"/>
        <v>0</v>
      </c>
      <c r="AR228" s="1948">
        <f t="shared" ca="1" si="291"/>
        <v>0</v>
      </c>
      <c r="AS228" s="1948">
        <f t="shared" ca="1" si="291"/>
        <v>0</v>
      </c>
      <c r="AT228" s="1948">
        <f t="shared" ca="1" si="291"/>
        <v>0</v>
      </c>
      <c r="AU228" s="1948">
        <f t="shared" ca="1" si="291"/>
        <v>0</v>
      </c>
      <c r="AV228" s="1948">
        <f t="shared" ca="1" si="291"/>
        <v>0</v>
      </c>
      <c r="AW228" s="1948">
        <f t="shared" ca="1" si="291"/>
        <v>0</v>
      </c>
      <c r="AX228" s="1948">
        <f t="shared" ca="1" si="291"/>
        <v>0</v>
      </c>
      <c r="AY228" s="1948">
        <f t="shared" ref="AY228" ca="1" si="292">AY226</f>
        <v>0</v>
      </c>
      <c r="AZ228" s="1948">
        <f t="shared" ca="1" si="291"/>
        <v>0</v>
      </c>
      <c r="BA228" s="1948">
        <f t="shared" ca="1" si="291"/>
        <v>0</v>
      </c>
      <c r="BB228" s="1948">
        <f t="shared" ca="1" si="291"/>
        <v>0</v>
      </c>
      <c r="BC228" s="1948">
        <f t="shared" ca="1" si="291"/>
        <v>0</v>
      </c>
      <c r="BD228" s="1948">
        <f t="shared" ca="1" si="291"/>
        <v>0</v>
      </c>
      <c r="BE228" s="1948">
        <f t="shared" ca="1" si="291"/>
        <v>0</v>
      </c>
      <c r="BF228" s="1948">
        <f t="shared" ca="1" si="291"/>
        <v>0</v>
      </c>
      <c r="BG228" s="1948">
        <f t="shared" ca="1" si="291"/>
        <v>0</v>
      </c>
      <c r="BH228" s="1948">
        <f t="shared" ca="1" si="291"/>
        <v>0</v>
      </c>
      <c r="BI228" s="1948">
        <f t="shared" ca="1" si="291"/>
        <v>0</v>
      </c>
      <c r="BJ228" s="1948">
        <f t="shared" ca="1" si="291"/>
        <v>0</v>
      </c>
      <c r="BK228" s="1948">
        <f t="shared" ca="1" si="291"/>
        <v>0</v>
      </c>
      <c r="BL228" s="1948">
        <f t="shared" ca="1" si="291"/>
        <v>0</v>
      </c>
      <c r="BM228" s="1948">
        <f t="shared" ca="1" si="291"/>
        <v>0</v>
      </c>
      <c r="BN228" s="1948">
        <f t="shared" ca="1" si="291"/>
        <v>0</v>
      </c>
      <c r="BO228" s="1948">
        <f t="shared" ca="1" si="291"/>
        <v>0</v>
      </c>
      <c r="BP228" s="1948">
        <f t="shared" ref="BP228:BW228" ca="1" si="293">BP226</f>
        <v>0</v>
      </c>
      <c r="BQ228" s="1948">
        <f t="shared" ca="1" si="293"/>
        <v>0</v>
      </c>
      <c r="BR228" s="1948">
        <f t="shared" ca="1" si="293"/>
        <v>0</v>
      </c>
      <c r="BS228" s="1948">
        <f t="shared" ca="1" si="293"/>
        <v>0</v>
      </c>
      <c r="BT228" s="1948">
        <f t="shared" ca="1" si="293"/>
        <v>0</v>
      </c>
      <c r="BU228" s="1948">
        <f t="shared" ca="1" si="293"/>
        <v>0</v>
      </c>
      <c r="BV228" s="1948">
        <f t="shared" ca="1" si="293"/>
        <v>0</v>
      </c>
      <c r="BW228" s="1949">
        <f t="shared" ca="1" si="293"/>
        <v>0</v>
      </c>
      <c r="BX228" s="710"/>
      <c r="BY228" s="710"/>
      <c r="BZ228" s="710"/>
      <c r="CA228" s="710"/>
      <c r="CB228" s="710"/>
      <c r="CC228" s="710"/>
      <c r="CD228" s="710"/>
      <c r="CE228" s="710"/>
      <c r="CF228" s="710"/>
      <c r="CG228" s="710"/>
      <c r="CH228" s="710"/>
      <c r="CI228" s="710"/>
      <c r="CJ228" s="710"/>
      <c r="CK228" s="710"/>
      <c r="CL228" s="710"/>
      <c r="CM228" s="710"/>
      <c r="CN228" s="710"/>
      <c r="CO228" s="710"/>
      <c r="CP228" s="710"/>
      <c r="CQ228" s="710"/>
      <c r="CR228" s="710"/>
      <c r="CS228" s="710"/>
      <c r="CT228" s="710"/>
      <c r="CU228" s="710"/>
      <c r="CV228" s="710"/>
      <c r="CW228" s="710"/>
      <c r="CX228" s="710"/>
      <c r="CY228" s="710"/>
      <c r="CZ228" s="710"/>
      <c r="DA228" s="710"/>
      <c r="DB228" s="710"/>
      <c r="DC228" s="710"/>
      <c r="DD228" s="710"/>
      <c r="DE228" s="710"/>
      <c r="DF228" s="710"/>
      <c r="DG228" s="710"/>
      <c r="DH228" s="710"/>
      <c r="DI228" s="710"/>
      <c r="DJ228" s="710"/>
      <c r="DK228" s="710"/>
      <c r="DL228" s="710"/>
      <c r="DM228" s="710"/>
      <c r="DN228" s="710"/>
      <c r="DO228" s="710"/>
      <c r="DP228" s="710"/>
      <c r="DQ228" s="710"/>
      <c r="DR228" s="710"/>
      <c r="DS228" s="710"/>
      <c r="DT228" s="710"/>
      <c r="DU228" s="710"/>
      <c r="DV228" s="710"/>
      <c r="DW228" s="710"/>
      <c r="DX228" s="710"/>
      <c r="DY228" s="710"/>
      <c r="DZ228" s="710"/>
      <c r="EA228" s="710"/>
      <c r="EB228" s="710"/>
      <c r="EC228" s="710"/>
      <c r="ED228" s="710"/>
      <c r="EE228" s="710"/>
      <c r="EF228" s="710"/>
      <c r="EG228" s="710"/>
      <c r="EH228" s="710"/>
      <c r="EI228" s="710"/>
      <c r="EJ228" s="710"/>
      <c r="EK228" s="710"/>
      <c r="EL228" s="710"/>
      <c r="EM228" s="710"/>
      <c r="EN228" s="710"/>
      <c r="EO228" s="710"/>
      <c r="EP228" s="710"/>
      <c r="EQ228" s="710"/>
      <c r="ER228" s="710"/>
      <c r="ES228" s="710"/>
      <c r="ET228" s="710"/>
      <c r="EU228" s="710"/>
      <c r="EV228" s="710"/>
      <c r="EW228" s="710"/>
      <c r="EX228" s="710"/>
      <c r="EY228" s="710"/>
      <c r="EZ228" s="710"/>
      <c r="FA228" s="710"/>
      <c r="FB228" s="710"/>
      <c r="FC228" s="710"/>
      <c r="FD228" s="710"/>
      <c r="FE228" s="710"/>
      <c r="FF228" s="710"/>
      <c r="FG228" s="710"/>
      <c r="FH228" s="710"/>
      <c r="FI228" s="710"/>
      <c r="FJ228" s="710"/>
      <c r="FK228" s="710"/>
      <c r="FL228" s="710"/>
      <c r="FM228" s="710"/>
      <c r="FN228" s="710"/>
      <c r="FO228" s="710"/>
      <c r="FP228" s="710"/>
      <c r="FQ228" s="710"/>
      <c r="FR228" s="710"/>
    </row>
    <row r="229" spans="2:174" s="68" customFormat="1" ht="14.25" hidden="1" customHeight="1">
      <c r="C229" s="201" t="s">
        <v>570</v>
      </c>
      <c r="D229" s="1946">
        <f t="shared" ref="D229:O229" si="294">D122</f>
        <v>0</v>
      </c>
      <c r="E229" s="1946">
        <f t="shared" si="294"/>
        <v>0</v>
      </c>
      <c r="F229" s="1946">
        <f t="shared" si="294"/>
        <v>0</v>
      </c>
      <c r="G229" s="1946">
        <f t="shared" si="294"/>
        <v>0</v>
      </c>
      <c r="H229" s="1946">
        <f t="shared" si="294"/>
        <v>0</v>
      </c>
      <c r="I229" s="1946">
        <f t="shared" si="294"/>
        <v>0</v>
      </c>
      <c r="J229" s="1946">
        <f t="shared" si="294"/>
        <v>0</v>
      </c>
      <c r="K229" s="1946">
        <f t="shared" si="294"/>
        <v>0</v>
      </c>
      <c r="L229" s="1946">
        <f t="shared" si="294"/>
        <v>0</v>
      </c>
      <c r="M229" s="1946">
        <f t="shared" si="294"/>
        <v>0</v>
      </c>
      <c r="N229" s="1946">
        <f t="shared" si="294"/>
        <v>0</v>
      </c>
      <c r="O229" s="1946">
        <f t="shared" si="294"/>
        <v>0</v>
      </c>
      <c r="P229" s="1946">
        <f t="shared" ref="P229:AA229" si="295">P143</f>
        <v>0</v>
      </c>
      <c r="Q229" s="1946">
        <f t="shared" si="295"/>
        <v>0</v>
      </c>
      <c r="R229" s="1946">
        <f t="shared" si="295"/>
        <v>0</v>
      </c>
      <c r="S229" s="1946">
        <f t="shared" si="295"/>
        <v>0</v>
      </c>
      <c r="T229" s="1946">
        <f t="shared" si="295"/>
        <v>0</v>
      </c>
      <c r="U229" s="1946">
        <f t="shared" si="295"/>
        <v>0</v>
      </c>
      <c r="V229" s="1946">
        <f t="shared" si="295"/>
        <v>0</v>
      </c>
      <c r="W229" s="1946">
        <f t="shared" si="295"/>
        <v>0</v>
      </c>
      <c r="X229" s="1946">
        <f t="shared" si="295"/>
        <v>0</v>
      </c>
      <c r="Y229" s="1946">
        <f t="shared" si="295"/>
        <v>0</v>
      </c>
      <c r="Z229" s="1946">
        <f t="shared" si="295"/>
        <v>0</v>
      </c>
      <c r="AA229" s="1946">
        <f t="shared" si="295"/>
        <v>0</v>
      </c>
      <c r="AB229" s="1946">
        <f t="shared" ref="AB229:AM229" si="296">AB164</f>
        <v>0</v>
      </c>
      <c r="AC229" s="1946">
        <f t="shared" si="296"/>
        <v>0</v>
      </c>
      <c r="AD229" s="1946">
        <f t="shared" si="296"/>
        <v>0</v>
      </c>
      <c r="AE229" s="1946">
        <f t="shared" si="296"/>
        <v>0</v>
      </c>
      <c r="AF229" s="1946">
        <f t="shared" si="296"/>
        <v>0</v>
      </c>
      <c r="AG229" s="1946">
        <f t="shared" si="296"/>
        <v>0</v>
      </c>
      <c r="AH229" s="1946">
        <f t="shared" si="296"/>
        <v>0</v>
      </c>
      <c r="AI229" s="1946">
        <f t="shared" si="296"/>
        <v>0</v>
      </c>
      <c r="AJ229" s="1946">
        <f t="shared" si="296"/>
        <v>0</v>
      </c>
      <c r="AK229" s="1946">
        <f t="shared" si="296"/>
        <v>0</v>
      </c>
      <c r="AL229" s="1946">
        <f t="shared" si="296"/>
        <v>0</v>
      </c>
      <c r="AM229" s="1946">
        <f t="shared" si="296"/>
        <v>0</v>
      </c>
      <c r="AN229" s="1963">
        <f t="shared" ref="AN229:AY229" si="297">AB164</f>
        <v>0</v>
      </c>
      <c r="AO229" s="1946">
        <f t="shared" si="297"/>
        <v>0</v>
      </c>
      <c r="AP229" s="1946">
        <f t="shared" si="297"/>
        <v>0</v>
      </c>
      <c r="AQ229" s="1946">
        <f t="shared" si="297"/>
        <v>0</v>
      </c>
      <c r="AR229" s="1946">
        <f t="shared" si="297"/>
        <v>0</v>
      </c>
      <c r="AS229" s="1946">
        <f t="shared" si="297"/>
        <v>0</v>
      </c>
      <c r="AT229" s="1946">
        <f t="shared" si="297"/>
        <v>0</v>
      </c>
      <c r="AU229" s="1946">
        <f t="shared" si="297"/>
        <v>0</v>
      </c>
      <c r="AV229" s="1946">
        <f t="shared" si="297"/>
        <v>0</v>
      </c>
      <c r="AW229" s="1946">
        <f t="shared" si="297"/>
        <v>0</v>
      </c>
      <c r="AX229" s="1946">
        <f t="shared" si="297"/>
        <v>0</v>
      </c>
      <c r="AY229" s="1946">
        <f t="shared" si="297"/>
        <v>0</v>
      </c>
      <c r="AZ229" s="1946">
        <f t="shared" ref="AZ229:BK229" si="298">AN185</f>
        <v>0</v>
      </c>
      <c r="BA229" s="1946">
        <f t="shared" si="298"/>
        <v>0</v>
      </c>
      <c r="BB229" s="1946">
        <f t="shared" si="298"/>
        <v>0</v>
      </c>
      <c r="BC229" s="1946">
        <f t="shared" si="298"/>
        <v>0</v>
      </c>
      <c r="BD229" s="1946">
        <f t="shared" si="298"/>
        <v>0</v>
      </c>
      <c r="BE229" s="1946">
        <f t="shared" si="298"/>
        <v>0</v>
      </c>
      <c r="BF229" s="1946">
        <f t="shared" si="298"/>
        <v>0</v>
      </c>
      <c r="BG229" s="1946">
        <f t="shared" si="298"/>
        <v>0</v>
      </c>
      <c r="BH229" s="1946">
        <f t="shared" si="298"/>
        <v>0</v>
      </c>
      <c r="BI229" s="1946">
        <f t="shared" si="298"/>
        <v>0</v>
      </c>
      <c r="BJ229" s="1946">
        <f t="shared" si="298"/>
        <v>0</v>
      </c>
      <c r="BK229" s="1946">
        <f t="shared" si="298"/>
        <v>0</v>
      </c>
      <c r="BL229" s="1946">
        <f t="shared" ref="BL229:BW229" si="299">AZ206</f>
        <v>0</v>
      </c>
      <c r="BM229" s="1946">
        <f t="shared" si="299"/>
        <v>0</v>
      </c>
      <c r="BN229" s="1946">
        <f t="shared" si="299"/>
        <v>0</v>
      </c>
      <c r="BO229" s="1946">
        <f t="shared" si="299"/>
        <v>0</v>
      </c>
      <c r="BP229" s="1946">
        <f t="shared" si="299"/>
        <v>0</v>
      </c>
      <c r="BQ229" s="1946">
        <f t="shared" si="299"/>
        <v>0</v>
      </c>
      <c r="BR229" s="1946">
        <f t="shared" si="299"/>
        <v>0</v>
      </c>
      <c r="BS229" s="1946">
        <f t="shared" si="299"/>
        <v>0</v>
      </c>
      <c r="BT229" s="1946">
        <f t="shared" si="299"/>
        <v>0</v>
      </c>
      <c r="BU229" s="1946">
        <f t="shared" si="299"/>
        <v>0</v>
      </c>
      <c r="BV229" s="1946">
        <f t="shared" si="299"/>
        <v>0</v>
      </c>
      <c r="BW229" s="1947">
        <f t="shared" si="299"/>
        <v>0</v>
      </c>
      <c r="BX229" s="710"/>
      <c r="BY229" s="710"/>
      <c r="BZ229" s="710"/>
      <c r="CA229" s="710"/>
      <c r="CB229" s="710"/>
      <c r="CC229" s="710"/>
      <c r="CD229" s="710"/>
      <c r="CE229" s="710"/>
      <c r="CF229" s="710"/>
      <c r="CG229" s="710"/>
      <c r="CH229" s="710"/>
      <c r="CI229" s="710"/>
      <c r="CJ229" s="710"/>
      <c r="CK229" s="710"/>
      <c r="CL229" s="710"/>
      <c r="CM229" s="710"/>
      <c r="CN229" s="710"/>
      <c r="CO229" s="710"/>
      <c r="CP229" s="710"/>
      <c r="CQ229" s="710"/>
      <c r="CR229" s="710"/>
      <c r="CS229" s="710"/>
      <c r="CT229" s="710"/>
      <c r="CU229" s="710"/>
      <c r="CV229" s="710"/>
      <c r="CW229" s="710"/>
      <c r="CX229" s="710"/>
      <c r="CY229" s="710"/>
      <c r="CZ229" s="710"/>
      <c r="DA229" s="710"/>
      <c r="DB229" s="710"/>
      <c r="DC229" s="710"/>
      <c r="DD229" s="710"/>
      <c r="DE229" s="710"/>
      <c r="DF229" s="710"/>
      <c r="DG229" s="710"/>
      <c r="DH229" s="710"/>
      <c r="DI229" s="710"/>
      <c r="DJ229" s="710"/>
      <c r="DK229" s="710"/>
      <c r="DL229" s="710"/>
      <c r="DM229" s="710"/>
      <c r="DN229" s="710"/>
      <c r="DO229" s="710"/>
      <c r="DP229" s="710"/>
      <c r="DQ229" s="710"/>
      <c r="DR229" s="710"/>
      <c r="DS229" s="710"/>
      <c r="DT229" s="710"/>
      <c r="DU229" s="710"/>
      <c r="DV229" s="710"/>
      <c r="DW229" s="710"/>
      <c r="DX229" s="710"/>
      <c r="DY229" s="710"/>
      <c r="DZ229" s="710"/>
      <c r="EA229" s="710"/>
      <c r="EB229" s="710"/>
      <c r="EC229" s="710"/>
      <c r="ED229" s="710"/>
      <c r="EE229" s="710"/>
      <c r="EF229" s="710"/>
      <c r="EG229" s="710"/>
      <c r="EH229" s="710"/>
      <c r="EI229" s="710"/>
      <c r="EJ229" s="710"/>
      <c r="EK229" s="710"/>
      <c r="EL229" s="710"/>
      <c r="EM229" s="710"/>
      <c r="EN229" s="710"/>
      <c r="EO229" s="710"/>
      <c r="EP229" s="710"/>
      <c r="EQ229" s="710"/>
      <c r="ER229" s="710"/>
      <c r="ES229" s="710"/>
      <c r="ET229" s="710"/>
      <c r="EU229" s="710"/>
      <c r="EV229" s="710"/>
      <c r="EW229" s="710"/>
      <c r="EX229" s="710"/>
      <c r="EY229" s="710"/>
      <c r="EZ229" s="710"/>
      <c r="FA229" s="710"/>
      <c r="FB229" s="710"/>
      <c r="FC229" s="710"/>
      <c r="FD229" s="710"/>
      <c r="FE229" s="710"/>
      <c r="FF229" s="710"/>
      <c r="FG229" s="710"/>
      <c r="FH229" s="710"/>
      <c r="FI229" s="710"/>
      <c r="FJ229" s="710"/>
      <c r="FK229" s="710"/>
      <c r="FL229" s="710"/>
      <c r="FM229" s="710"/>
      <c r="FN229" s="710"/>
      <c r="FO229" s="710"/>
      <c r="FP229" s="710"/>
      <c r="FQ229" s="710"/>
      <c r="FR229" s="710"/>
    </row>
    <row r="230" spans="2:174" s="71" customFormat="1" ht="14.25" hidden="1" customHeight="1">
      <c r="B230" s="71" t="s">
        <v>901</v>
      </c>
      <c r="C230" s="71" t="s">
        <v>570</v>
      </c>
      <c r="D230" s="1948">
        <f t="shared" ref="D230:AI230" si="300">D211+D214+D217+D220+D223+D226+D227</f>
        <v>0</v>
      </c>
      <c r="E230" s="1948">
        <f t="shared" si="300"/>
        <v>0</v>
      </c>
      <c r="F230" s="1948">
        <f t="shared" si="300"/>
        <v>0</v>
      </c>
      <c r="G230" s="1948">
        <f t="shared" si="300"/>
        <v>0</v>
      </c>
      <c r="H230" s="1948">
        <f t="shared" si="300"/>
        <v>0</v>
      </c>
      <c r="I230" s="1948">
        <f t="shared" si="300"/>
        <v>0</v>
      </c>
      <c r="J230" s="1948">
        <f t="shared" si="300"/>
        <v>0</v>
      </c>
      <c r="K230" s="1948">
        <f t="shared" si="300"/>
        <v>0</v>
      </c>
      <c r="L230" s="1948">
        <f t="shared" si="300"/>
        <v>0</v>
      </c>
      <c r="M230" s="1948">
        <f t="shared" si="300"/>
        <v>0</v>
      </c>
      <c r="N230" s="1948">
        <f t="shared" si="300"/>
        <v>0</v>
      </c>
      <c r="O230" s="1948">
        <f t="shared" si="300"/>
        <v>0</v>
      </c>
      <c r="P230" s="1948">
        <f t="shared" si="300"/>
        <v>0</v>
      </c>
      <c r="Q230" s="1948">
        <f t="shared" si="300"/>
        <v>0</v>
      </c>
      <c r="R230" s="1948">
        <f t="shared" si="300"/>
        <v>0</v>
      </c>
      <c r="S230" s="1948">
        <f t="shared" si="300"/>
        <v>0</v>
      </c>
      <c r="T230" s="1948">
        <f t="shared" si="300"/>
        <v>0</v>
      </c>
      <c r="U230" s="1948">
        <f t="shared" si="300"/>
        <v>0</v>
      </c>
      <c r="V230" s="1948">
        <f t="shared" si="300"/>
        <v>0</v>
      </c>
      <c r="W230" s="1948">
        <f t="shared" si="300"/>
        <v>0</v>
      </c>
      <c r="X230" s="1948">
        <f t="shared" si="300"/>
        <v>0</v>
      </c>
      <c r="Y230" s="1948">
        <f t="shared" si="300"/>
        <v>0</v>
      </c>
      <c r="Z230" s="1948">
        <f t="shared" si="300"/>
        <v>0</v>
      </c>
      <c r="AA230" s="1948">
        <f t="shared" si="300"/>
        <v>0</v>
      </c>
      <c r="AB230" s="1948">
        <f t="shared" ca="1" si="300"/>
        <v>0</v>
      </c>
      <c r="AC230" s="1948">
        <f t="shared" ca="1" si="300"/>
        <v>0</v>
      </c>
      <c r="AD230" s="1948">
        <f t="shared" ca="1" si="300"/>
        <v>0</v>
      </c>
      <c r="AE230" s="1948">
        <f ca="1">AE211+AE214+AE217+AE220+AE223+AE226+AE227</f>
        <v>0</v>
      </c>
      <c r="AF230" s="1948">
        <f t="shared" ca="1" si="300"/>
        <v>0</v>
      </c>
      <c r="AG230" s="1948">
        <f t="shared" ca="1" si="300"/>
        <v>0</v>
      </c>
      <c r="AH230" s="1948">
        <f t="shared" ca="1" si="300"/>
        <v>0</v>
      </c>
      <c r="AI230" s="1948">
        <f t="shared" ca="1" si="300"/>
        <v>0</v>
      </c>
      <c r="AJ230" s="1948">
        <f t="shared" ref="AJ230:BO230" ca="1" si="301">AJ211+AJ214+AJ217+AJ220+AJ223+AJ226+AJ227</f>
        <v>0</v>
      </c>
      <c r="AK230" s="1948">
        <f t="shared" ca="1" si="301"/>
        <v>0</v>
      </c>
      <c r="AL230" s="1948">
        <f t="shared" ca="1" si="301"/>
        <v>0</v>
      </c>
      <c r="AM230" s="1948">
        <f t="shared" ca="1" si="301"/>
        <v>0</v>
      </c>
      <c r="AN230" s="1964">
        <f t="shared" ca="1" si="301"/>
        <v>0</v>
      </c>
      <c r="AO230" s="1948">
        <f t="shared" ca="1" si="301"/>
        <v>0</v>
      </c>
      <c r="AP230" s="1948">
        <f t="shared" ca="1" si="301"/>
        <v>0</v>
      </c>
      <c r="AQ230" s="1948">
        <f t="shared" ca="1" si="301"/>
        <v>0</v>
      </c>
      <c r="AR230" s="1948">
        <f t="shared" ca="1" si="301"/>
        <v>0</v>
      </c>
      <c r="AS230" s="1948">
        <f ca="1">AS211+AS214+AS217+AS220+AS223+AS226+AS227</f>
        <v>0</v>
      </c>
      <c r="AT230" s="1948">
        <f t="shared" ca="1" si="301"/>
        <v>0</v>
      </c>
      <c r="AU230" s="1948">
        <f t="shared" ca="1" si="301"/>
        <v>0</v>
      </c>
      <c r="AV230" s="1948">
        <f t="shared" ca="1" si="301"/>
        <v>0</v>
      </c>
      <c r="AW230" s="1948">
        <f ca="1">AW211+AW214+AW217+AW220+AW223+AW226+AW227</f>
        <v>0</v>
      </c>
      <c r="AX230" s="1948">
        <f ca="1">AX211+AX214+AX217+AX220+AX223+AX226+AX227</f>
        <v>0</v>
      </c>
      <c r="AY230" s="1948">
        <f t="shared" ref="AY230:BA230" ca="1" si="302">AY211+AY214+AY217+AY220+AY223+AY226+AY227</f>
        <v>0</v>
      </c>
      <c r="AZ230" s="1948">
        <f t="shared" ca="1" si="302"/>
        <v>0</v>
      </c>
      <c r="BA230" s="1948">
        <f t="shared" ca="1" si="302"/>
        <v>0</v>
      </c>
      <c r="BB230" s="1948">
        <f t="shared" ca="1" si="301"/>
        <v>0</v>
      </c>
      <c r="BC230" s="1948">
        <f t="shared" ca="1" si="301"/>
        <v>0</v>
      </c>
      <c r="BD230" s="1948">
        <f t="shared" ca="1" si="301"/>
        <v>0</v>
      </c>
      <c r="BE230" s="1948">
        <f t="shared" ca="1" si="301"/>
        <v>0</v>
      </c>
      <c r="BF230" s="1948">
        <f t="shared" ca="1" si="301"/>
        <v>0</v>
      </c>
      <c r="BG230" s="1948">
        <f t="shared" ca="1" si="301"/>
        <v>0</v>
      </c>
      <c r="BH230" s="1948">
        <f t="shared" ca="1" si="301"/>
        <v>0</v>
      </c>
      <c r="BI230" s="1948">
        <f t="shared" ca="1" si="301"/>
        <v>0</v>
      </c>
      <c r="BJ230" s="1948">
        <f t="shared" ca="1" si="301"/>
        <v>0</v>
      </c>
      <c r="BK230" s="1948">
        <f t="shared" ca="1" si="301"/>
        <v>0</v>
      </c>
      <c r="BL230" s="1948">
        <f t="shared" ca="1" si="301"/>
        <v>0</v>
      </c>
      <c r="BM230" s="1948">
        <f t="shared" ca="1" si="301"/>
        <v>0</v>
      </c>
      <c r="BN230" s="1948">
        <f t="shared" ca="1" si="301"/>
        <v>0</v>
      </c>
      <c r="BO230" s="1948">
        <f t="shared" ca="1" si="301"/>
        <v>0</v>
      </c>
      <c r="BP230" s="1948">
        <f t="shared" ref="BP230:BW230" ca="1" si="303">BP211+BP214+BP217+BP220+BP223+BP226+BP227</f>
        <v>0</v>
      </c>
      <c r="BQ230" s="1948">
        <f t="shared" ca="1" si="303"/>
        <v>0</v>
      </c>
      <c r="BR230" s="1948">
        <f t="shared" ca="1" si="303"/>
        <v>0</v>
      </c>
      <c r="BS230" s="1948">
        <f t="shared" ca="1" si="303"/>
        <v>0</v>
      </c>
      <c r="BT230" s="1948">
        <f t="shared" ca="1" si="303"/>
        <v>0</v>
      </c>
      <c r="BU230" s="1948">
        <f t="shared" ca="1" si="303"/>
        <v>0</v>
      </c>
      <c r="BV230" s="1948">
        <f t="shared" ca="1" si="303"/>
        <v>0</v>
      </c>
      <c r="BW230" s="1949">
        <f t="shared" ca="1" si="303"/>
        <v>0</v>
      </c>
      <c r="BX230" s="710"/>
      <c r="BY230" s="710"/>
      <c r="BZ230" s="710"/>
      <c r="CA230" s="710"/>
      <c r="CB230" s="710"/>
      <c r="CC230" s="710"/>
      <c r="CD230" s="710"/>
      <c r="CE230" s="710"/>
      <c r="CF230" s="710"/>
      <c r="CG230" s="710"/>
      <c r="CH230" s="710"/>
      <c r="CI230" s="710"/>
      <c r="CJ230" s="710"/>
      <c r="CK230" s="710"/>
      <c r="CL230" s="710"/>
      <c r="CM230" s="710"/>
      <c r="CN230" s="710"/>
      <c r="CO230" s="710"/>
      <c r="CP230" s="710"/>
      <c r="CQ230" s="710"/>
      <c r="CR230" s="710"/>
      <c r="CS230" s="710"/>
      <c r="CT230" s="710"/>
      <c r="CU230" s="710"/>
      <c r="CV230" s="710"/>
      <c r="CW230" s="710"/>
      <c r="CX230" s="710"/>
      <c r="CY230" s="710"/>
      <c r="CZ230" s="710"/>
      <c r="DA230" s="710"/>
      <c r="DB230" s="710"/>
      <c r="DC230" s="710"/>
      <c r="DD230" s="710"/>
      <c r="DE230" s="710"/>
      <c r="DF230" s="710"/>
      <c r="DG230" s="710"/>
      <c r="DH230" s="710"/>
      <c r="DI230" s="710"/>
      <c r="DJ230" s="710"/>
      <c r="DK230" s="710"/>
      <c r="DL230" s="710"/>
      <c r="DM230" s="710"/>
      <c r="DN230" s="710"/>
      <c r="DO230" s="710"/>
      <c r="DP230" s="710"/>
      <c r="DQ230" s="710"/>
      <c r="DR230" s="710"/>
      <c r="DS230" s="710"/>
      <c r="DT230" s="710"/>
      <c r="DU230" s="710"/>
      <c r="DV230" s="710"/>
      <c r="DW230" s="710"/>
      <c r="DX230" s="710"/>
      <c r="DY230" s="710"/>
      <c r="DZ230" s="710"/>
      <c r="EA230" s="710"/>
      <c r="EB230" s="710"/>
      <c r="EC230" s="710"/>
      <c r="ED230" s="710"/>
      <c r="EE230" s="710"/>
      <c r="EF230" s="710"/>
      <c r="EG230" s="710"/>
      <c r="EH230" s="710"/>
      <c r="EI230" s="710"/>
      <c r="EJ230" s="710"/>
      <c r="EK230" s="710"/>
      <c r="EL230" s="710"/>
      <c r="EM230" s="710"/>
      <c r="EN230" s="710"/>
      <c r="EO230" s="710"/>
      <c r="EP230" s="710"/>
      <c r="EQ230" s="710"/>
      <c r="ER230" s="710"/>
      <c r="ES230" s="710"/>
      <c r="ET230" s="710"/>
      <c r="EU230" s="710"/>
      <c r="EV230" s="710"/>
      <c r="EW230" s="710"/>
      <c r="EX230" s="710"/>
      <c r="EY230" s="710"/>
      <c r="EZ230" s="710"/>
      <c r="FA230" s="710"/>
      <c r="FB230" s="710"/>
      <c r="FC230" s="710"/>
      <c r="FD230" s="710"/>
      <c r="FE230" s="710"/>
      <c r="FF230" s="710"/>
      <c r="FG230" s="710"/>
      <c r="FH230" s="710"/>
      <c r="FI230" s="710"/>
      <c r="FJ230" s="710"/>
      <c r="FK230" s="710"/>
      <c r="FL230" s="710"/>
      <c r="FM230" s="710"/>
      <c r="FN230" s="710"/>
      <c r="FO230" s="710"/>
      <c r="FP230" s="710"/>
      <c r="FQ230" s="710"/>
      <c r="FR230" s="710"/>
    </row>
    <row r="231" spans="2:174" s="68" customFormat="1" ht="14.25" customHeight="1">
      <c r="H231" s="1950"/>
      <c r="M231" s="1950"/>
      <c r="R231" s="1950"/>
      <c r="W231" s="1950"/>
      <c r="AN231" s="79"/>
      <c r="BX231" s="71"/>
      <c r="BY231" s="71"/>
      <c r="BZ231" s="71"/>
      <c r="CA231" s="71"/>
      <c r="CB231" s="71"/>
      <c r="CC231" s="71"/>
      <c r="CD231" s="71"/>
      <c r="CE231" s="71"/>
      <c r="CF231" s="71"/>
      <c r="CG231" s="71"/>
      <c r="CH231" s="71"/>
      <c r="CI231" s="71"/>
      <c r="CJ231" s="71"/>
      <c r="CK231" s="71"/>
      <c r="CL231" s="71"/>
      <c r="CM231" s="71"/>
      <c r="CN231" s="71"/>
      <c r="CO231" s="71"/>
      <c r="CP231" s="71"/>
      <c r="CQ231" s="71"/>
      <c r="CR231" s="71"/>
      <c r="CS231" s="71"/>
      <c r="CT231" s="71"/>
      <c r="CU231" s="71"/>
      <c r="CV231" s="71"/>
      <c r="CW231" s="71"/>
      <c r="CX231" s="71"/>
      <c r="CY231" s="71"/>
      <c r="CZ231" s="71"/>
      <c r="DA231" s="71"/>
      <c r="DB231" s="71"/>
      <c r="DC231" s="71"/>
      <c r="DD231" s="71"/>
      <c r="DE231" s="71"/>
      <c r="DF231" s="71"/>
      <c r="DG231" s="71"/>
      <c r="DH231" s="71"/>
      <c r="DI231" s="71"/>
      <c r="DJ231" s="71"/>
      <c r="DK231" s="71"/>
      <c r="DL231" s="71"/>
      <c r="DM231" s="71"/>
      <c r="DN231" s="71"/>
      <c r="DO231" s="71"/>
      <c r="DP231" s="71"/>
      <c r="DQ231" s="71"/>
      <c r="DR231" s="71"/>
      <c r="DS231" s="71"/>
      <c r="DT231" s="71"/>
      <c r="DU231" s="71"/>
      <c r="DV231" s="71"/>
      <c r="DW231" s="71"/>
      <c r="DX231" s="71"/>
      <c r="DY231" s="71"/>
      <c r="DZ231" s="71"/>
      <c r="EA231" s="71"/>
      <c r="EB231" s="71"/>
      <c r="EC231" s="71"/>
      <c r="ED231" s="71"/>
      <c r="EE231" s="71"/>
      <c r="EF231" s="71"/>
      <c r="EG231" s="71"/>
      <c r="EH231" s="71"/>
      <c r="EI231" s="71"/>
      <c r="EJ231" s="71"/>
      <c r="EK231" s="71"/>
      <c r="EL231" s="71"/>
      <c r="EM231" s="71"/>
      <c r="EN231" s="71"/>
      <c r="EO231" s="71"/>
      <c r="EP231" s="71"/>
      <c r="EQ231" s="71"/>
      <c r="ER231" s="71"/>
      <c r="ES231" s="71"/>
      <c r="ET231" s="71"/>
      <c r="EU231" s="71"/>
      <c r="EV231" s="71"/>
      <c r="EW231" s="71"/>
      <c r="EX231" s="71"/>
      <c r="EY231" s="71"/>
      <c r="EZ231" s="71"/>
      <c r="FA231" s="71"/>
      <c r="FB231" s="71"/>
      <c r="FC231" s="71"/>
      <c r="FD231" s="71"/>
      <c r="FE231" s="71"/>
      <c r="FF231" s="71"/>
      <c r="FG231" s="71"/>
      <c r="FH231" s="71"/>
      <c r="FI231" s="71"/>
      <c r="FJ231" s="71"/>
      <c r="FK231" s="71"/>
      <c r="FL231" s="71"/>
      <c r="FM231" s="71"/>
      <c r="FN231" s="71"/>
      <c r="FO231" s="71"/>
      <c r="FP231" s="71"/>
      <c r="FQ231" s="71"/>
      <c r="FR231" s="71"/>
    </row>
    <row r="232" spans="2:174" s="68" customFormat="1" ht="16.2" customHeight="1">
      <c r="H232" s="1950"/>
      <c r="M232" s="1950"/>
      <c r="R232" s="1950"/>
      <c r="W232" s="1950"/>
      <c r="AN232" s="79"/>
      <c r="BX232" s="71"/>
      <c r="BY232" s="71"/>
      <c r="BZ232" s="71"/>
      <c r="CA232" s="71"/>
      <c r="CB232" s="71"/>
      <c r="CC232" s="71"/>
      <c r="CD232" s="71"/>
      <c r="CE232" s="71"/>
      <c r="CF232" s="71"/>
      <c r="CG232" s="71"/>
      <c r="CH232" s="71"/>
      <c r="CI232" s="71"/>
      <c r="CJ232" s="71"/>
      <c r="CK232" s="71"/>
      <c r="CL232" s="71"/>
      <c r="CM232" s="71"/>
      <c r="CN232" s="71"/>
      <c r="CO232" s="71"/>
      <c r="CP232" s="71"/>
      <c r="CQ232" s="71"/>
      <c r="CR232" s="71"/>
      <c r="CS232" s="71"/>
      <c r="CT232" s="71"/>
      <c r="CU232" s="71"/>
      <c r="CV232" s="71"/>
      <c r="CW232" s="71"/>
      <c r="CX232" s="71"/>
      <c r="CY232" s="71"/>
      <c r="CZ232" s="71"/>
      <c r="DA232" s="71"/>
      <c r="DB232" s="71"/>
      <c r="DC232" s="71"/>
      <c r="DD232" s="71"/>
      <c r="DE232" s="71"/>
      <c r="DF232" s="71"/>
      <c r="DG232" s="71"/>
      <c r="DH232" s="71"/>
      <c r="DI232" s="71"/>
      <c r="DJ232" s="71"/>
      <c r="DK232" s="71"/>
      <c r="DL232" s="71"/>
      <c r="DM232" s="71"/>
      <c r="DN232" s="71"/>
      <c r="DO232" s="71"/>
      <c r="DP232" s="71"/>
      <c r="DQ232" s="71"/>
      <c r="DR232" s="71"/>
      <c r="DS232" s="71"/>
      <c r="DT232" s="71"/>
      <c r="DU232" s="71"/>
      <c r="DV232" s="71"/>
      <c r="DW232" s="71"/>
      <c r="DX232" s="71"/>
      <c r="DY232" s="71"/>
      <c r="DZ232" s="71"/>
      <c r="EA232" s="71"/>
      <c r="EB232" s="71"/>
      <c r="EC232" s="71"/>
      <c r="ED232" s="71"/>
      <c r="EE232" s="71"/>
      <c r="EF232" s="71"/>
      <c r="EG232" s="71"/>
      <c r="EH232" s="71"/>
      <c r="EI232" s="71"/>
      <c r="EJ232" s="71"/>
      <c r="EK232" s="71"/>
      <c r="EL232" s="71"/>
      <c r="EM232" s="71"/>
      <c r="EN232" s="71"/>
      <c r="EO232" s="71"/>
      <c r="EP232" s="71"/>
      <c r="EQ232" s="71"/>
      <c r="ER232" s="71"/>
      <c r="ES232" s="71"/>
      <c r="ET232" s="71"/>
      <c r="EU232" s="71"/>
      <c r="EV232" s="71"/>
      <c r="EW232" s="71"/>
      <c r="EX232" s="71"/>
      <c r="EY232" s="71"/>
      <c r="EZ232" s="71"/>
      <c r="FA232" s="71"/>
      <c r="FB232" s="71"/>
      <c r="FC232" s="71"/>
      <c r="FD232" s="71"/>
      <c r="FE232" s="71"/>
      <c r="FF232" s="71"/>
      <c r="FG232" s="71"/>
      <c r="FH232" s="71"/>
      <c r="FI232" s="71"/>
      <c r="FJ232" s="71"/>
      <c r="FK232" s="71"/>
      <c r="FL232" s="71"/>
      <c r="FM232" s="71"/>
      <c r="FN232" s="71"/>
      <c r="FO232" s="71"/>
      <c r="FP232" s="71"/>
      <c r="FQ232" s="71"/>
      <c r="FR232" s="71"/>
    </row>
    <row r="233" spans="2:174" s="68" customFormat="1" ht="14.25" customHeight="1">
      <c r="H233" s="1950"/>
      <c r="M233" s="1950"/>
      <c r="R233" s="1950"/>
      <c r="W233" s="1950"/>
      <c r="AN233" s="79"/>
      <c r="DA233" s="161"/>
      <c r="DB233" s="161"/>
      <c r="DC233" s="16"/>
      <c r="DD233" s="16"/>
      <c r="DE233" s="16"/>
      <c r="DF233" s="16"/>
      <c r="DG233" s="16"/>
      <c r="DH233" s="16"/>
      <c r="DI233" s="16"/>
      <c r="DJ233" s="16"/>
      <c r="DK233" s="16"/>
      <c r="DL233" s="16"/>
      <c r="DM233" s="16"/>
      <c r="DN233" s="16"/>
      <c r="DO233" s="16"/>
      <c r="DP233" s="16"/>
      <c r="DQ233" s="16"/>
      <c r="DR233" s="16"/>
      <c r="DY233" s="1951"/>
    </row>
    <row r="234" spans="2:174" s="68" customFormat="1" ht="14.25" customHeight="1">
      <c r="H234" s="1950"/>
      <c r="M234" s="1950"/>
      <c r="R234" s="1950"/>
      <c r="W234" s="1950"/>
      <c r="AN234" s="79"/>
      <c r="DA234" s="161"/>
      <c r="DB234" s="161"/>
      <c r="DC234" s="16"/>
      <c r="DD234" s="16"/>
      <c r="DE234" s="16"/>
      <c r="DF234" s="16"/>
      <c r="DG234" s="16"/>
      <c r="DH234" s="16"/>
      <c r="DI234" s="16"/>
      <c r="DJ234" s="16"/>
      <c r="DK234" s="16"/>
      <c r="DL234" s="16"/>
      <c r="DM234" s="16"/>
      <c r="DN234" s="16"/>
      <c r="DO234" s="16"/>
      <c r="DP234" s="16"/>
      <c r="DQ234" s="16"/>
      <c r="DR234" s="16"/>
      <c r="DY234" s="1951"/>
    </row>
    <row r="235" spans="2:174" s="68" customFormat="1" ht="14.25" customHeight="1">
      <c r="H235" s="1950"/>
      <c r="M235" s="1950"/>
      <c r="R235" s="1950"/>
      <c r="W235" s="1950"/>
      <c r="DA235" s="161"/>
      <c r="DB235" s="161"/>
      <c r="DC235" s="16"/>
      <c r="DD235" s="16"/>
      <c r="DE235" s="16"/>
      <c r="DF235" s="16"/>
      <c r="DG235" s="16"/>
      <c r="DH235" s="16"/>
      <c r="DI235" s="16"/>
      <c r="DJ235" s="16"/>
      <c r="DK235" s="16"/>
      <c r="DL235" s="16"/>
      <c r="DM235" s="16"/>
      <c r="DN235" s="16"/>
      <c r="DO235" s="16"/>
      <c r="DP235" s="16"/>
      <c r="DQ235" s="16"/>
      <c r="DR235" s="16"/>
      <c r="DY235" s="1951"/>
    </row>
    <row r="236" spans="2:174" s="68" customFormat="1" ht="14.25" customHeight="1">
      <c r="H236" s="1950"/>
      <c r="M236" s="1950"/>
      <c r="R236" s="1950"/>
      <c r="W236" s="1950"/>
      <c r="DA236" s="161"/>
      <c r="DB236" s="161"/>
      <c r="DC236" s="16"/>
      <c r="DD236" s="16"/>
      <c r="DE236" s="16"/>
      <c r="DF236" s="16"/>
      <c r="DG236" s="16"/>
      <c r="DH236" s="16"/>
      <c r="DI236" s="16"/>
      <c r="DJ236" s="16"/>
      <c r="DK236" s="16"/>
      <c r="DL236" s="16"/>
      <c r="DM236" s="16"/>
      <c r="DN236" s="16"/>
      <c r="DO236" s="16"/>
      <c r="DP236" s="16"/>
      <c r="DQ236" s="16"/>
      <c r="DR236" s="16"/>
      <c r="DY236" s="1951"/>
    </row>
    <row r="237" spans="2:174" s="68" customFormat="1" ht="14.25" customHeight="1">
      <c r="H237" s="1950"/>
      <c r="M237" s="1950"/>
      <c r="R237" s="1950"/>
      <c r="W237" s="1950"/>
      <c r="DA237" s="161"/>
      <c r="DB237" s="161"/>
      <c r="DC237" s="16"/>
      <c r="DD237" s="16"/>
      <c r="DE237" s="16"/>
      <c r="DF237" s="16"/>
      <c r="DG237" s="16"/>
      <c r="DH237" s="16"/>
      <c r="DI237" s="16"/>
      <c r="DJ237" s="16"/>
      <c r="DK237" s="16"/>
      <c r="DL237" s="16"/>
      <c r="DM237" s="16"/>
      <c r="DN237" s="16"/>
      <c r="DO237" s="16"/>
      <c r="DP237" s="16"/>
      <c r="DQ237" s="16"/>
      <c r="DR237" s="16"/>
      <c r="DY237" s="1951"/>
    </row>
    <row r="238" spans="2:174" s="68" customFormat="1" ht="14.25" customHeight="1">
      <c r="H238" s="1950"/>
      <c r="M238" s="1950"/>
      <c r="R238" s="1950"/>
      <c r="W238" s="1950"/>
      <c r="DA238" s="161"/>
      <c r="DB238" s="161"/>
      <c r="DC238" s="16"/>
      <c r="DD238" s="16"/>
      <c r="DE238" s="16"/>
      <c r="DF238" s="16"/>
      <c r="DG238" s="16"/>
      <c r="DH238" s="16"/>
      <c r="DI238" s="16"/>
      <c r="DJ238" s="16"/>
      <c r="DK238" s="16"/>
      <c r="DL238" s="16"/>
      <c r="DM238" s="16"/>
      <c r="DN238" s="16"/>
      <c r="DO238" s="16"/>
      <c r="DP238" s="16"/>
      <c r="DQ238" s="16"/>
      <c r="DR238" s="16"/>
      <c r="DY238" s="1951"/>
    </row>
    <row r="239" spans="2:174" s="68" customFormat="1" ht="14.25" customHeight="1">
      <c r="H239" s="1950"/>
      <c r="M239" s="1950"/>
      <c r="R239" s="1950"/>
      <c r="W239" s="1950"/>
      <c r="DA239" s="161"/>
      <c r="DB239" s="161"/>
      <c r="DC239" s="16"/>
      <c r="DD239" s="16"/>
      <c r="DE239" s="16"/>
      <c r="DF239" s="16"/>
      <c r="DG239" s="16"/>
      <c r="DH239" s="16"/>
      <c r="DI239" s="16"/>
      <c r="DJ239" s="16"/>
      <c r="DK239" s="16"/>
      <c r="DL239" s="16"/>
      <c r="DM239" s="16"/>
      <c r="DN239" s="16"/>
      <c r="DO239" s="16"/>
      <c r="DP239" s="16"/>
      <c r="DQ239" s="16"/>
      <c r="DR239" s="16"/>
      <c r="DY239" s="1951"/>
    </row>
    <row r="240" spans="2:174" s="68" customFormat="1" ht="14.25" customHeight="1">
      <c r="H240" s="1950"/>
      <c r="M240" s="1950"/>
      <c r="R240" s="1950"/>
      <c r="W240" s="1950"/>
      <c r="DA240" s="161"/>
      <c r="DB240" s="161"/>
      <c r="DC240" s="16"/>
      <c r="DD240" s="16"/>
      <c r="DE240" s="16"/>
      <c r="DF240" s="16"/>
      <c r="DG240" s="16"/>
      <c r="DH240" s="16"/>
      <c r="DI240" s="16"/>
      <c r="DJ240" s="16"/>
      <c r="DK240" s="16"/>
      <c r="DL240" s="16"/>
      <c r="DM240" s="16"/>
      <c r="DN240" s="16"/>
      <c r="DO240" s="16"/>
      <c r="DP240" s="16"/>
      <c r="DQ240" s="16"/>
      <c r="DR240" s="16"/>
      <c r="DY240" s="1951"/>
    </row>
    <row r="241" spans="8:129" s="68" customFormat="1" ht="14.25" customHeight="1">
      <c r="H241" s="1950"/>
      <c r="M241" s="1950"/>
      <c r="R241" s="1950"/>
      <c r="W241" s="1950"/>
      <c r="DA241" s="161"/>
      <c r="DB241" s="161"/>
      <c r="DC241" s="16"/>
      <c r="DD241" s="16"/>
      <c r="DE241" s="16"/>
      <c r="DF241" s="16"/>
      <c r="DG241" s="16"/>
      <c r="DH241" s="16"/>
      <c r="DI241" s="16"/>
      <c r="DJ241" s="16"/>
      <c r="DK241" s="16"/>
      <c r="DL241" s="16"/>
      <c r="DM241" s="16"/>
      <c r="DN241" s="16"/>
      <c r="DO241" s="16"/>
      <c r="DP241" s="16"/>
      <c r="DQ241" s="16"/>
      <c r="DR241" s="16"/>
      <c r="DY241" s="1951"/>
    </row>
    <row r="242" spans="8:129" s="68" customFormat="1" ht="14.25" customHeight="1">
      <c r="H242" s="1950"/>
      <c r="M242" s="1950"/>
      <c r="R242" s="1950"/>
      <c r="W242" s="1950"/>
      <c r="DA242" s="161"/>
      <c r="DB242" s="161"/>
      <c r="DC242" s="16"/>
      <c r="DD242" s="16"/>
      <c r="DE242" s="16"/>
      <c r="DF242" s="16"/>
      <c r="DG242" s="16"/>
      <c r="DH242" s="16"/>
      <c r="DI242" s="16"/>
      <c r="DJ242" s="16"/>
      <c r="DK242" s="16"/>
      <c r="DL242" s="16"/>
      <c r="DM242" s="16"/>
      <c r="DN242" s="16"/>
      <c r="DO242" s="16"/>
      <c r="DP242" s="16"/>
      <c r="DQ242" s="16"/>
      <c r="DR242" s="16"/>
      <c r="DY242" s="1951"/>
    </row>
    <row r="243" spans="8:129" s="68" customFormat="1" ht="14.25" customHeight="1">
      <c r="H243" s="1950"/>
      <c r="M243" s="1950"/>
      <c r="R243" s="1950"/>
      <c r="W243" s="1950"/>
      <c r="DA243" s="161"/>
      <c r="DB243" s="161"/>
      <c r="DC243" s="16"/>
      <c r="DD243" s="16"/>
      <c r="DE243" s="16"/>
      <c r="DF243" s="16"/>
      <c r="DG243" s="16"/>
      <c r="DH243" s="16"/>
      <c r="DI243" s="16"/>
      <c r="DJ243" s="16"/>
      <c r="DK243" s="16"/>
      <c r="DL243" s="16"/>
      <c r="DM243" s="16"/>
      <c r="DN243" s="16"/>
      <c r="DO243" s="16"/>
      <c r="DP243" s="16"/>
      <c r="DQ243" s="16"/>
      <c r="DR243" s="16"/>
      <c r="DY243" s="1951"/>
    </row>
    <row r="244" spans="8:129" s="68" customFormat="1" ht="14.25" customHeight="1">
      <c r="H244" s="1950"/>
      <c r="M244" s="1950"/>
      <c r="R244" s="1950"/>
      <c r="W244" s="1950"/>
      <c r="DA244" s="161"/>
      <c r="DB244" s="161"/>
      <c r="DC244" s="16"/>
      <c r="DD244" s="16"/>
      <c r="DE244" s="16"/>
      <c r="DF244" s="16"/>
      <c r="DG244" s="16"/>
      <c r="DH244" s="16"/>
      <c r="DI244" s="16"/>
      <c r="DJ244" s="16"/>
      <c r="DK244" s="16"/>
      <c r="DL244" s="16"/>
      <c r="DM244" s="16"/>
      <c r="DN244" s="16"/>
      <c r="DO244" s="16"/>
      <c r="DP244" s="16"/>
      <c r="DQ244" s="16"/>
      <c r="DR244" s="16"/>
      <c r="DY244" s="1951"/>
    </row>
    <row r="245" spans="8:129" s="68" customFormat="1" ht="14.25" customHeight="1">
      <c r="H245" s="1950"/>
      <c r="M245" s="1950"/>
      <c r="R245" s="1950"/>
      <c r="W245" s="1950"/>
      <c r="DA245" s="161"/>
      <c r="DB245" s="161"/>
      <c r="DC245" s="16"/>
      <c r="DD245" s="16"/>
      <c r="DE245" s="16"/>
      <c r="DF245" s="16"/>
      <c r="DG245" s="16"/>
      <c r="DH245" s="16"/>
      <c r="DI245" s="16"/>
      <c r="DJ245" s="16"/>
      <c r="DK245" s="16"/>
      <c r="DL245" s="16"/>
      <c r="DM245" s="16"/>
      <c r="DN245" s="16"/>
      <c r="DO245" s="16"/>
      <c r="DP245" s="16"/>
      <c r="DQ245" s="16"/>
      <c r="DR245" s="16"/>
      <c r="DY245" s="1951"/>
    </row>
    <row r="246" spans="8:129" s="68" customFormat="1" ht="14.25" customHeight="1">
      <c r="H246" s="1950"/>
      <c r="M246" s="1950"/>
      <c r="R246" s="1950"/>
      <c r="W246" s="1950"/>
      <c r="DA246" s="161"/>
      <c r="DB246" s="161"/>
      <c r="DC246" s="16"/>
      <c r="DD246" s="16"/>
      <c r="DE246" s="16"/>
      <c r="DF246" s="16"/>
      <c r="DG246" s="16"/>
      <c r="DH246" s="16"/>
      <c r="DI246" s="16"/>
      <c r="DJ246" s="16"/>
      <c r="DK246" s="16"/>
      <c r="DL246" s="16"/>
      <c r="DM246" s="16"/>
      <c r="DN246" s="16"/>
      <c r="DO246" s="16"/>
      <c r="DP246" s="16"/>
      <c r="DQ246" s="16"/>
      <c r="DR246" s="16"/>
      <c r="DY246" s="1951"/>
    </row>
    <row r="247" spans="8:129" s="68" customFormat="1" ht="14.25" customHeight="1">
      <c r="H247" s="1950"/>
      <c r="M247" s="1950"/>
      <c r="R247" s="1950"/>
      <c r="W247" s="1950"/>
      <c r="DA247" s="161"/>
      <c r="DB247" s="161"/>
      <c r="DC247" s="16"/>
      <c r="DD247" s="16"/>
      <c r="DE247" s="16"/>
      <c r="DF247" s="16"/>
      <c r="DG247" s="16"/>
      <c r="DH247" s="16"/>
      <c r="DI247" s="16"/>
      <c r="DJ247" s="16"/>
      <c r="DK247" s="16"/>
      <c r="DL247" s="16"/>
      <c r="DM247" s="16"/>
      <c r="DN247" s="16"/>
      <c r="DO247" s="16"/>
      <c r="DP247" s="16"/>
      <c r="DQ247" s="16"/>
      <c r="DR247" s="16"/>
      <c r="DY247" s="1951"/>
    </row>
    <row r="248" spans="8:129" s="68" customFormat="1" ht="14.25" customHeight="1">
      <c r="H248" s="1950"/>
      <c r="M248" s="1950"/>
      <c r="R248" s="1950"/>
      <c r="W248" s="1950"/>
      <c r="DA248" s="161"/>
      <c r="DB248" s="161"/>
      <c r="DC248" s="16"/>
      <c r="DD248" s="16"/>
      <c r="DE248" s="16"/>
      <c r="DF248" s="16"/>
      <c r="DG248" s="16"/>
      <c r="DH248" s="16"/>
      <c r="DI248" s="16"/>
      <c r="DJ248" s="16"/>
      <c r="DK248" s="16"/>
      <c r="DL248" s="16"/>
      <c r="DM248" s="16"/>
      <c r="DN248" s="16"/>
      <c r="DO248" s="16"/>
      <c r="DP248" s="16"/>
      <c r="DQ248" s="16"/>
      <c r="DR248" s="16"/>
      <c r="DY248" s="1951"/>
    </row>
    <row r="249" spans="8:129" s="68" customFormat="1" ht="14.25" customHeight="1">
      <c r="H249" s="1950"/>
      <c r="M249" s="1950"/>
      <c r="R249" s="1950"/>
      <c r="W249" s="1950"/>
      <c r="DA249" s="161"/>
      <c r="DB249" s="161"/>
      <c r="DC249" s="16"/>
      <c r="DD249" s="16"/>
      <c r="DE249" s="16"/>
      <c r="DF249" s="16"/>
      <c r="DG249" s="16"/>
      <c r="DH249" s="16"/>
      <c r="DI249" s="16"/>
      <c r="DJ249" s="16"/>
      <c r="DK249" s="16"/>
      <c r="DL249" s="16"/>
      <c r="DM249" s="16"/>
      <c r="DN249" s="16"/>
      <c r="DO249" s="16"/>
      <c r="DP249" s="16"/>
      <c r="DQ249" s="16"/>
      <c r="DR249" s="16"/>
      <c r="DY249" s="1951"/>
    </row>
    <row r="250" spans="8:129" s="68" customFormat="1" ht="14.25" customHeight="1">
      <c r="H250" s="1950"/>
      <c r="M250" s="1950"/>
      <c r="R250" s="1950"/>
      <c r="W250" s="1950"/>
      <c r="DA250" s="161"/>
      <c r="DB250" s="161"/>
      <c r="DC250" s="16"/>
      <c r="DD250" s="16"/>
      <c r="DE250" s="16"/>
      <c r="DF250" s="16"/>
      <c r="DG250" s="16"/>
      <c r="DH250" s="16"/>
      <c r="DI250" s="16"/>
      <c r="DJ250" s="16"/>
      <c r="DK250" s="16"/>
      <c r="DL250" s="16"/>
      <c r="DM250" s="16"/>
      <c r="DN250" s="16"/>
      <c r="DO250" s="16"/>
      <c r="DP250" s="16"/>
      <c r="DQ250" s="16"/>
      <c r="DR250" s="16"/>
      <c r="DY250" s="1951"/>
    </row>
    <row r="251" spans="8:129" s="68" customFormat="1" ht="14.25" customHeight="1">
      <c r="H251" s="1950"/>
      <c r="M251" s="1950"/>
      <c r="R251" s="1950"/>
      <c r="W251" s="1950"/>
      <c r="DA251" s="161"/>
      <c r="DB251" s="161"/>
      <c r="DC251" s="16"/>
      <c r="DD251" s="16"/>
      <c r="DE251" s="16"/>
      <c r="DF251" s="16"/>
      <c r="DG251" s="16"/>
      <c r="DH251" s="16"/>
      <c r="DI251" s="16"/>
      <c r="DJ251" s="16"/>
      <c r="DK251" s="16"/>
      <c r="DL251" s="16"/>
      <c r="DM251" s="16"/>
      <c r="DN251" s="16"/>
      <c r="DO251" s="16"/>
      <c r="DP251" s="16"/>
      <c r="DQ251" s="16"/>
      <c r="DR251" s="16"/>
      <c r="DY251" s="1951"/>
    </row>
    <row r="252" spans="8:129" s="68" customFormat="1" ht="14.25" customHeight="1">
      <c r="H252" s="1950"/>
      <c r="M252" s="1950"/>
      <c r="R252" s="1950"/>
      <c r="W252" s="1950"/>
      <c r="DA252" s="161"/>
      <c r="DB252" s="161"/>
      <c r="DC252" s="16"/>
      <c r="DD252" s="16"/>
      <c r="DE252" s="16"/>
      <c r="DF252" s="16"/>
      <c r="DG252" s="16"/>
      <c r="DH252" s="16"/>
      <c r="DI252" s="16"/>
      <c r="DJ252" s="16"/>
      <c r="DK252" s="16"/>
      <c r="DL252" s="16"/>
      <c r="DM252" s="16"/>
      <c r="DN252" s="16"/>
      <c r="DO252" s="16"/>
      <c r="DP252" s="16"/>
      <c r="DQ252" s="16"/>
      <c r="DR252" s="16"/>
      <c r="DY252" s="1951"/>
    </row>
    <row r="253" spans="8:129" s="68" customFormat="1" ht="14.25" customHeight="1">
      <c r="H253" s="1950"/>
      <c r="M253" s="1950"/>
      <c r="R253" s="1950"/>
      <c r="W253" s="1950"/>
      <c r="DA253" s="161"/>
      <c r="DB253" s="161"/>
      <c r="DC253" s="16"/>
      <c r="DD253" s="16"/>
      <c r="DE253" s="16"/>
      <c r="DF253" s="16"/>
      <c r="DG253" s="16"/>
      <c r="DH253" s="16"/>
      <c r="DI253" s="16"/>
      <c r="DJ253" s="16"/>
      <c r="DK253" s="16"/>
      <c r="DL253" s="16"/>
      <c r="DM253" s="16"/>
      <c r="DN253" s="16"/>
      <c r="DO253" s="16"/>
      <c r="DP253" s="16"/>
      <c r="DQ253" s="16"/>
      <c r="DR253" s="16"/>
      <c r="DY253" s="1951"/>
    </row>
    <row r="254" spans="8:129" s="68" customFormat="1" ht="14.25" customHeight="1">
      <c r="H254" s="1950"/>
      <c r="M254" s="1950"/>
      <c r="R254" s="1950"/>
      <c r="W254" s="1950"/>
      <c r="DA254" s="161"/>
      <c r="DB254" s="161"/>
      <c r="DC254" s="16"/>
      <c r="DD254" s="16"/>
      <c r="DE254" s="16"/>
      <c r="DF254" s="16"/>
      <c r="DG254" s="16"/>
      <c r="DH254" s="16"/>
      <c r="DI254" s="16"/>
      <c r="DJ254" s="16"/>
      <c r="DK254" s="16"/>
      <c r="DL254" s="16"/>
      <c r="DM254" s="16"/>
      <c r="DN254" s="16"/>
      <c r="DO254" s="16"/>
      <c r="DP254" s="16"/>
      <c r="DQ254" s="16"/>
      <c r="DR254" s="16"/>
      <c r="DY254" s="1951"/>
    </row>
    <row r="255" spans="8:129" s="68" customFormat="1" ht="14.25" customHeight="1">
      <c r="H255" s="1950"/>
      <c r="M255" s="1950"/>
      <c r="R255" s="1950"/>
      <c r="W255" s="1950"/>
      <c r="DA255" s="161"/>
      <c r="DB255" s="161"/>
      <c r="DC255" s="16"/>
      <c r="DD255" s="16"/>
      <c r="DE255" s="16"/>
      <c r="DF255" s="16"/>
      <c r="DG255" s="16"/>
      <c r="DH255" s="16"/>
      <c r="DI255" s="16"/>
      <c r="DJ255" s="16"/>
      <c r="DK255" s="16"/>
      <c r="DL255" s="16"/>
      <c r="DM255" s="16"/>
      <c r="DN255" s="16"/>
      <c r="DO255" s="16"/>
      <c r="DP255" s="16"/>
      <c r="DQ255" s="16"/>
      <c r="DR255" s="16"/>
      <c r="DY255" s="1951"/>
    </row>
    <row r="256" spans="8:129" s="68" customFormat="1" ht="14.25" customHeight="1">
      <c r="H256" s="1950"/>
      <c r="M256" s="1950"/>
      <c r="R256" s="1950"/>
      <c r="W256" s="1950"/>
      <c r="DA256" s="161"/>
      <c r="DB256" s="161"/>
      <c r="DC256" s="16"/>
      <c r="DD256" s="16"/>
      <c r="DE256" s="16"/>
      <c r="DF256" s="16"/>
      <c r="DG256" s="16"/>
      <c r="DH256" s="16"/>
      <c r="DI256" s="16"/>
      <c r="DJ256" s="16"/>
      <c r="DK256" s="16"/>
      <c r="DL256" s="16"/>
      <c r="DM256" s="16"/>
      <c r="DN256" s="16"/>
      <c r="DO256" s="16"/>
      <c r="DP256" s="16"/>
      <c r="DQ256" s="16"/>
      <c r="DR256" s="16"/>
      <c r="DY256" s="1951"/>
    </row>
    <row r="257" spans="3:129" s="68" customFormat="1" ht="14.25" customHeight="1">
      <c r="H257" s="1950"/>
      <c r="M257" s="1950"/>
      <c r="R257" s="1950"/>
      <c r="W257" s="1950"/>
      <c r="DA257" s="161"/>
      <c r="DB257" s="161"/>
      <c r="DC257" s="16"/>
      <c r="DD257" s="16"/>
      <c r="DE257" s="16"/>
      <c r="DF257" s="16"/>
      <c r="DG257" s="16"/>
      <c r="DH257" s="16"/>
      <c r="DI257" s="16"/>
      <c r="DJ257" s="16"/>
      <c r="DK257" s="16"/>
      <c r="DL257" s="16"/>
      <c r="DM257" s="16"/>
      <c r="DN257" s="16"/>
      <c r="DO257" s="16"/>
      <c r="DP257" s="16"/>
      <c r="DQ257" s="16"/>
      <c r="DR257" s="16"/>
      <c r="DY257" s="1951"/>
    </row>
    <row r="258" spans="3:129" s="68" customFormat="1" ht="14.25" customHeight="1">
      <c r="M258" s="1950"/>
      <c r="R258" s="1950"/>
      <c r="W258" s="1950"/>
      <c r="DA258" s="161"/>
      <c r="DB258" s="161"/>
      <c r="DC258" s="16"/>
      <c r="DD258" s="16"/>
      <c r="DE258" s="16"/>
      <c r="DF258" s="16"/>
      <c r="DG258" s="16"/>
      <c r="DH258" s="16"/>
      <c r="DI258" s="16"/>
      <c r="DJ258" s="16"/>
      <c r="DK258" s="16"/>
      <c r="DL258" s="16"/>
      <c r="DM258" s="16"/>
      <c r="DN258" s="16"/>
      <c r="DO258" s="16"/>
      <c r="DP258" s="16"/>
      <c r="DQ258" s="16"/>
      <c r="DR258" s="16"/>
      <c r="DY258" s="1951"/>
    </row>
    <row r="259" spans="3:129" s="68" customFormat="1" ht="14.25" customHeight="1">
      <c r="M259" s="1950"/>
      <c r="R259" s="1950"/>
      <c r="W259" s="1950"/>
      <c r="DA259" s="161"/>
      <c r="DB259" s="161"/>
      <c r="DC259" s="16"/>
      <c r="DD259" s="16"/>
      <c r="DE259" s="16"/>
      <c r="DF259" s="16"/>
      <c r="DG259" s="16"/>
      <c r="DH259" s="16"/>
      <c r="DI259" s="16"/>
      <c r="DJ259" s="16"/>
      <c r="DK259" s="16"/>
      <c r="DL259" s="16"/>
      <c r="DM259" s="16"/>
      <c r="DN259" s="16"/>
      <c r="DO259" s="16"/>
      <c r="DP259" s="16"/>
      <c r="DQ259" s="16"/>
      <c r="DR259" s="16"/>
      <c r="DY259" s="1951"/>
    </row>
    <row r="260" spans="3:129" s="68" customFormat="1" ht="14.25" customHeight="1">
      <c r="M260" s="1950"/>
      <c r="R260" s="1950"/>
      <c r="W260" s="1950"/>
      <c r="DA260" s="161"/>
      <c r="DB260" s="161"/>
      <c r="DC260" s="16"/>
      <c r="DD260" s="16"/>
      <c r="DE260" s="16"/>
      <c r="DF260" s="16"/>
      <c r="DG260" s="16"/>
      <c r="DH260" s="16"/>
      <c r="DI260" s="16"/>
      <c r="DJ260" s="16"/>
      <c r="DK260" s="16"/>
      <c r="DL260" s="16"/>
      <c r="DM260" s="16"/>
      <c r="DN260" s="16"/>
      <c r="DO260" s="16"/>
      <c r="DP260" s="16"/>
      <c r="DQ260" s="16"/>
      <c r="DR260" s="16"/>
      <c r="DY260" s="1951"/>
    </row>
    <row r="261" spans="3:129" s="68" customFormat="1" ht="14.25" customHeight="1">
      <c r="M261" s="1950"/>
      <c r="R261" s="1950"/>
      <c r="W261" s="1950"/>
      <c r="DA261" s="161"/>
      <c r="DB261" s="161"/>
      <c r="DC261" s="16"/>
      <c r="DD261" s="16"/>
      <c r="DE261" s="16"/>
      <c r="DF261" s="16"/>
      <c r="DG261" s="16"/>
      <c r="DH261" s="16"/>
      <c r="DI261" s="16"/>
      <c r="DJ261" s="16"/>
      <c r="DK261" s="16"/>
      <c r="DL261" s="16"/>
      <c r="DM261" s="16"/>
      <c r="DN261" s="16"/>
      <c r="DO261" s="16"/>
      <c r="DP261" s="16"/>
      <c r="DQ261" s="16"/>
      <c r="DR261" s="16"/>
      <c r="DY261" s="1951"/>
    </row>
    <row r="262" spans="3:129" s="68" customFormat="1" ht="15.6" customHeight="1">
      <c r="M262" s="1950"/>
      <c r="R262" s="1950"/>
      <c r="W262" s="1950"/>
      <c r="DA262" s="161"/>
      <c r="DB262" s="161"/>
      <c r="DC262" s="16"/>
      <c r="DD262" s="16"/>
      <c r="DE262" s="16"/>
      <c r="DF262" s="16"/>
      <c r="DG262" s="16"/>
      <c r="DH262" s="16"/>
      <c r="DI262" s="16"/>
      <c r="DJ262" s="16"/>
      <c r="DK262" s="16"/>
      <c r="DL262" s="16"/>
      <c r="DM262" s="16"/>
      <c r="DN262" s="16"/>
      <c r="DO262" s="16"/>
      <c r="DP262" s="16"/>
      <c r="DQ262" s="16"/>
      <c r="DR262" s="16"/>
      <c r="DY262" s="1951"/>
    </row>
    <row r="264" spans="3:129" s="68" customFormat="1" ht="14.25" customHeight="1">
      <c r="H264" s="1950"/>
      <c r="M264" s="1950"/>
      <c r="R264" s="1950"/>
      <c r="W264" s="1950"/>
      <c r="DA264" s="161"/>
      <c r="DB264" s="161"/>
      <c r="DC264" s="16"/>
      <c r="DD264" s="16"/>
      <c r="DE264" s="16"/>
      <c r="DF264" s="16"/>
      <c r="DG264" s="16"/>
      <c r="DH264" s="16"/>
      <c r="DI264" s="16"/>
      <c r="DJ264" s="16"/>
      <c r="DK264" s="16"/>
      <c r="DL264" s="16"/>
      <c r="DM264" s="16"/>
      <c r="DN264" s="16"/>
      <c r="DO264" s="16"/>
      <c r="DP264" s="16"/>
      <c r="DQ264" s="16"/>
      <c r="DR264" s="16"/>
      <c r="DY264" s="1951"/>
    </row>
    <row r="265" spans="3:129" s="80" customFormat="1" ht="14.25" customHeight="1">
      <c r="H265" s="1952"/>
      <c r="M265" s="1952"/>
      <c r="R265" s="1952"/>
      <c r="W265" s="1952"/>
      <c r="DA265" s="649"/>
      <c r="DB265" s="649"/>
      <c r="DC265" s="160"/>
      <c r="DD265" s="160"/>
      <c r="DE265" s="160"/>
      <c r="DF265" s="160"/>
      <c r="DG265" s="160"/>
      <c r="DH265" s="160"/>
      <c r="DI265" s="160"/>
      <c r="DJ265" s="160"/>
      <c r="DK265" s="160"/>
      <c r="DL265" s="160"/>
      <c r="DM265" s="160"/>
      <c r="DN265" s="160"/>
      <c r="DO265" s="160"/>
      <c r="DP265" s="160"/>
      <c r="DQ265" s="160"/>
      <c r="DR265" s="160"/>
      <c r="DY265" s="1953"/>
    </row>
    <row r="266" spans="3:129" s="80" customFormat="1" ht="14.25" customHeight="1">
      <c r="H266" s="1952"/>
      <c r="M266" s="1952"/>
      <c r="R266" s="1952"/>
      <c r="W266" s="1952"/>
      <c r="DA266" s="649"/>
      <c r="DB266" s="649"/>
      <c r="DC266" s="160"/>
      <c r="DD266" s="160"/>
      <c r="DE266" s="160"/>
      <c r="DF266" s="160"/>
      <c r="DG266" s="160"/>
      <c r="DH266" s="160"/>
      <c r="DI266" s="160"/>
      <c r="DJ266" s="160"/>
      <c r="DK266" s="160"/>
      <c r="DL266" s="160"/>
      <c r="DM266" s="160"/>
      <c r="DN266" s="160"/>
      <c r="DO266" s="160"/>
      <c r="DP266" s="160"/>
      <c r="DQ266" s="160"/>
      <c r="DR266" s="160"/>
      <c r="DY266" s="1953"/>
    </row>
    <row r="267" spans="3:129" s="80" customFormat="1" ht="14.25" customHeight="1">
      <c r="H267" s="1952"/>
      <c r="M267" s="1952"/>
      <c r="R267" s="1952"/>
      <c r="W267" s="1952"/>
      <c r="DA267" s="649"/>
      <c r="DB267" s="649"/>
      <c r="DC267" s="160"/>
      <c r="DD267" s="160"/>
      <c r="DE267" s="160"/>
      <c r="DF267" s="160"/>
      <c r="DG267" s="160"/>
      <c r="DH267" s="160"/>
      <c r="DI267" s="160"/>
      <c r="DJ267" s="160"/>
      <c r="DK267" s="160"/>
      <c r="DL267" s="160"/>
      <c r="DM267" s="160"/>
      <c r="DN267" s="160"/>
      <c r="DO267" s="160"/>
      <c r="DP267" s="160"/>
      <c r="DQ267" s="160"/>
      <c r="DR267" s="160"/>
      <c r="DY267" s="1953"/>
    </row>
    <row r="268" spans="3:129" s="80" customFormat="1" ht="14.25" customHeight="1">
      <c r="H268" s="1952"/>
      <c r="M268" s="1952"/>
      <c r="R268" s="1952"/>
      <c r="W268" s="1952"/>
      <c r="DA268" s="649"/>
      <c r="DB268" s="649"/>
      <c r="DC268" s="160"/>
      <c r="DD268" s="160"/>
      <c r="DE268" s="160"/>
      <c r="DF268" s="160"/>
      <c r="DG268" s="160"/>
      <c r="DH268" s="160"/>
      <c r="DI268" s="160"/>
      <c r="DJ268" s="160"/>
      <c r="DK268" s="160"/>
      <c r="DL268" s="160"/>
      <c r="DM268" s="160"/>
      <c r="DN268" s="160"/>
      <c r="DO268" s="160"/>
      <c r="DP268" s="160"/>
      <c r="DQ268" s="160"/>
      <c r="DR268" s="160"/>
      <c r="DY268" s="1953"/>
    </row>
    <row r="269" spans="3:129" s="80" customFormat="1" ht="14.25" customHeight="1">
      <c r="H269" s="1952"/>
      <c r="M269" s="1952"/>
      <c r="R269" s="1952"/>
      <c r="W269" s="1952"/>
      <c r="DA269" s="649"/>
      <c r="DB269" s="649"/>
      <c r="DC269" s="160"/>
      <c r="DD269" s="160"/>
      <c r="DE269" s="160"/>
      <c r="DF269" s="160"/>
      <c r="DG269" s="160"/>
      <c r="DH269" s="160"/>
      <c r="DI269" s="160"/>
      <c r="DJ269" s="160"/>
      <c r="DK269" s="160"/>
      <c r="DL269" s="160"/>
      <c r="DM269" s="160"/>
      <c r="DN269" s="160"/>
      <c r="DO269" s="160"/>
      <c r="DP269" s="160"/>
      <c r="DQ269" s="160"/>
      <c r="DR269" s="160"/>
      <c r="DY269" s="1953"/>
    </row>
    <row r="270" spans="3:129" s="80" customFormat="1" ht="16.5" customHeight="1">
      <c r="H270" s="1952"/>
      <c r="M270" s="1952"/>
      <c r="R270" s="1952"/>
      <c r="W270" s="1952"/>
    </row>
    <row r="271" spans="3:129">
      <c r="C271" s="107"/>
      <c r="D271" s="107"/>
      <c r="E271" s="1886"/>
      <c r="F271" s="107"/>
      <c r="G271" s="1886"/>
      <c r="H271" s="1887"/>
      <c r="I271" s="107"/>
      <c r="J271" s="107"/>
      <c r="K271" s="1886"/>
      <c r="L271" s="1886"/>
      <c r="M271" s="1887"/>
      <c r="N271" s="107"/>
      <c r="O271" s="107"/>
      <c r="P271" s="107"/>
      <c r="Q271" s="107"/>
      <c r="R271" s="1887"/>
      <c r="S271" s="107"/>
      <c r="T271" s="505"/>
      <c r="U271" s="505"/>
      <c r="V271" s="107"/>
      <c r="W271" s="1887"/>
      <c r="X271" s="107"/>
    </row>
    <row r="272" spans="3:129">
      <c r="C272" s="107"/>
      <c r="D272" s="107"/>
      <c r="E272" s="1886"/>
      <c r="F272" s="107"/>
      <c r="G272" s="1886"/>
      <c r="H272" s="1887"/>
      <c r="I272" s="107"/>
      <c r="J272" s="107"/>
      <c r="K272" s="1886"/>
      <c r="L272" s="1886"/>
      <c r="M272" s="1887"/>
      <c r="N272" s="107"/>
      <c r="O272" s="107"/>
      <c r="P272" s="107"/>
      <c r="Q272" s="107"/>
      <c r="R272" s="1887"/>
      <c r="S272" s="107"/>
      <c r="T272" s="505"/>
      <c r="U272" s="505"/>
      <c r="V272" s="107"/>
      <c r="W272" s="1887"/>
      <c r="X272" s="107"/>
    </row>
    <row r="273" spans="2:128">
      <c r="C273" s="107"/>
      <c r="D273" s="107"/>
      <c r="E273" s="1886"/>
      <c r="F273" s="107"/>
      <c r="G273" s="1886"/>
      <c r="H273" s="1887"/>
      <c r="I273" s="107"/>
      <c r="J273" s="107"/>
      <c r="K273" s="1886"/>
      <c r="L273" s="1886"/>
      <c r="M273" s="1887"/>
      <c r="N273" s="107"/>
      <c r="O273" s="107"/>
      <c r="P273" s="107"/>
      <c r="Q273" s="107"/>
      <c r="R273" s="1887"/>
      <c r="S273" s="107"/>
      <c r="T273" s="505"/>
      <c r="U273" s="505"/>
      <c r="V273" s="107"/>
      <c r="W273" s="1887"/>
      <c r="X273" s="107"/>
    </row>
    <row r="274" spans="2:128">
      <c r="C274" s="107"/>
      <c r="D274" s="107"/>
      <c r="E274" s="1886"/>
      <c r="F274" s="107"/>
      <c r="G274" s="1886"/>
      <c r="H274" s="1887"/>
      <c r="I274" s="107"/>
      <c r="J274" s="107"/>
      <c r="K274" s="1886"/>
      <c r="L274" s="1886"/>
      <c r="M274" s="1887"/>
      <c r="N274" s="107"/>
      <c r="O274" s="107"/>
      <c r="P274" s="107"/>
      <c r="Q274" s="107"/>
      <c r="R274" s="1887"/>
      <c r="S274" s="107"/>
      <c r="T274" s="505"/>
      <c r="U274" s="505"/>
      <c r="V274" s="107"/>
      <c r="W274" s="1887"/>
      <c r="X274" s="107"/>
    </row>
    <row r="275" spans="2:128">
      <c r="C275" s="107"/>
      <c r="D275" s="107"/>
      <c r="E275" s="1886"/>
      <c r="F275" s="107"/>
      <c r="G275" s="1886"/>
      <c r="H275" s="1887"/>
      <c r="I275" s="107"/>
      <c r="J275" s="107"/>
      <c r="K275" s="1886"/>
      <c r="L275" s="1886"/>
      <c r="M275" s="1887"/>
      <c r="N275" s="107"/>
      <c r="O275" s="107"/>
      <c r="P275" s="107"/>
      <c r="Q275" s="107"/>
      <c r="R275" s="1887"/>
      <c r="S275" s="107"/>
      <c r="T275" s="505"/>
      <c r="U275" s="505"/>
      <c r="V275" s="107"/>
      <c r="W275" s="1887"/>
      <c r="X275" s="107"/>
    </row>
    <row r="276" spans="2:128">
      <c r="C276" s="107"/>
      <c r="D276" s="107"/>
      <c r="E276" s="1886"/>
      <c r="F276" s="107"/>
      <c r="G276" s="1886"/>
      <c r="H276" s="1887"/>
      <c r="I276" s="107"/>
      <c r="J276" s="107"/>
      <c r="K276" s="1886"/>
      <c r="L276" s="1886"/>
      <c r="M276" s="1887"/>
      <c r="N276" s="107"/>
      <c r="O276" s="107"/>
      <c r="P276" s="107"/>
      <c r="Q276" s="107"/>
      <c r="R276" s="1887"/>
      <c r="S276" s="107"/>
      <c r="T276" s="505"/>
      <c r="U276" s="505"/>
      <c r="V276" s="107"/>
      <c r="W276" s="1887"/>
      <c r="X276" s="107"/>
    </row>
    <row r="277" spans="2:128">
      <c r="C277" s="107"/>
      <c r="D277" s="107"/>
      <c r="E277" s="1886"/>
      <c r="F277" s="107"/>
      <c r="G277" s="1886"/>
      <c r="H277" s="1887"/>
      <c r="I277" s="107"/>
      <c r="J277" s="107"/>
      <c r="K277" s="1886"/>
      <c r="L277" s="1886"/>
      <c r="M277" s="1887"/>
      <c r="N277" s="107"/>
      <c r="O277" s="107"/>
      <c r="P277" s="107"/>
      <c r="Q277" s="107"/>
      <c r="R277" s="1887"/>
      <c r="S277" s="107"/>
      <c r="T277" s="505"/>
      <c r="U277" s="505"/>
      <c r="V277" s="107"/>
      <c r="W277" s="1887"/>
      <c r="X277" s="107"/>
    </row>
    <row r="278" spans="2:128">
      <c r="C278" s="107"/>
      <c r="D278" s="107"/>
      <c r="E278" s="1886"/>
      <c r="F278" s="107"/>
      <c r="G278" s="1886"/>
      <c r="H278" s="1887"/>
      <c r="I278" s="107"/>
      <c r="J278" s="107"/>
      <c r="K278" s="1886"/>
      <c r="L278" s="1886"/>
      <c r="M278" s="1887"/>
      <c r="N278" s="107"/>
      <c r="O278" s="107"/>
      <c r="P278" s="107"/>
      <c r="Q278" s="107"/>
      <c r="R278" s="1887"/>
      <c r="S278" s="107"/>
      <c r="T278" s="505"/>
      <c r="U278" s="505"/>
      <c r="V278" s="107"/>
      <c r="W278" s="1887"/>
      <c r="X278" s="107"/>
    </row>
    <row r="279" spans="2:128">
      <c r="C279" s="107"/>
      <c r="D279" s="107"/>
      <c r="E279" s="1886"/>
      <c r="F279" s="107"/>
      <c r="G279" s="1886"/>
      <c r="H279" s="1887"/>
      <c r="I279" s="107"/>
      <c r="J279" s="107"/>
      <c r="K279" s="1886"/>
      <c r="L279" s="1886"/>
      <c r="M279" s="1887"/>
      <c r="N279" s="107"/>
      <c r="O279" s="107"/>
      <c r="P279" s="107"/>
      <c r="Q279" s="107"/>
      <c r="R279" s="1887"/>
      <c r="S279" s="107"/>
      <c r="T279" s="505"/>
      <c r="U279" s="505"/>
      <c r="V279" s="107"/>
      <c r="W279" s="1887"/>
      <c r="X279" s="107"/>
    </row>
    <row r="280" spans="2:128">
      <c r="C280" s="107"/>
      <c r="D280" s="107"/>
      <c r="E280" s="1886"/>
      <c r="F280" s="107"/>
      <c r="G280" s="1886"/>
      <c r="H280" s="1887"/>
      <c r="I280" s="107"/>
      <c r="J280" s="107"/>
      <c r="K280" s="1886"/>
      <c r="L280" s="1886"/>
      <c r="M280" s="1887"/>
      <c r="N280" s="107"/>
      <c r="O280" s="107"/>
      <c r="P280" s="107"/>
      <c r="Q280" s="107"/>
      <c r="R280" s="1887"/>
      <c r="S280" s="107"/>
      <c r="T280" s="505"/>
      <c r="U280" s="505"/>
      <c r="V280" s="107"/>
      <c r="W280" s="1887"/>
      <c r="X280" s="107"/>
    </row>
    <row r="281" spans="2:128">
      <c r="C281" s="107"/>
      <c r="D281" s="107"/>
      <c r="E281" s="1886"/>
      <c r="F281" s="107"/>
      <c r="G281" s="1886"/>
      <c r="H281" s="1887"/>
      <c r="I281" s="107"/>
      <c r="J281" s="107"/>
      <c r="K281" s="1886"/>
      <c r="L281" s="1886"/>
      <c r="M281" s="1887"/>
      <c r="N281" s="107"/>
      <c r="O281" s="107"/>
      <c r="P281" s="107"/>
      <c r="Q281" s="107"/>
      <c r="R281" s="1887"/>
      <c r="S281" s="107"/>
      <c r="T281" s="505"/>
      <c r="U281" s="505"/>
      <c r="V281" s="107"/>
      <c r="W281" s="1887"/>
      <c r="X281" s="107"/>
    </row>
    <row r="282" spans="2:128">
      <c r="C282" s="107"/>
      <c r="D282" s="107"/>
      <c r="E282" s="1886"/>
      <c r="F282" s="107"/>
      <c r="G282" s="1886"/>
      <c r="H282" s="1887"/>
      <c r="I282" s="107"/>
      <c r="J282" s="107"/>
      <c r="K282" s="1886"/>
      <c r="L282" s="1886"/>
      <c r="M282" s="1887"/>
      <c r="N282" s="107"/>
      <c r="O282" s="107"/>
      <c r="P282" s="107"/>
      <c r="Q282" s="107"/>
      <c r="R282" s="1887"/>
      <c r="S282" s="107"/>
      <c r="T282" s="505"/>
      <c r="U282" s="505"/>
      <c r="V282" s="107"/>
      <c r="W282" s="1887"/>
      <c r="X282" s="107"/>
    </row>
    <row r="283" spans="2:128" s="494" customFormat="1">
      <c r="B283" s="137"/>
      <c r="C283" s="1334"/>
      <c r="D283" s="1333"/>
      <c r="E283" s="1333"/>
      <c r="F283" s="1333"/>
      <c r="H283" s="1333"/>
      <c r="I283" s="1333"/>
      <c r="J283" s="1333"/>
      <c r="K283" s="1333"/>
      <c r="M283" s="1333"/>
      <c r="N283" s="1333"/>
      <c r="O283" s="1333"/>
      <c r="P283" s="1333"/>
      <c r="Q283" s="1333"/>
      <c r="R283" s="1333"/>
      <c r="S283" s="1333"/>
      <c r="T283" s="1888"/>
      <c r="U283" s="1888"/>
      <c r="V283" s="1333"/>
      <c r="W283" s="1333"/>
      <c r="X283" s="1333"/>
      <c r="Y283" s="515"/>
      <c r="Z283" s="515"/>
      <c r="AA283" s="513"/>
      <c r="AB283" s="515"/>
      <c r="AC283" s="137"/>
      <c r="AD283" s="137"/>
      <c r="AE283" s="137"/>
      <c r="AF283" s="137"/>
      <c r="AG283" s="137"/>
      <c r="AH283" s="137"/>
      <c r="AI283" s="137"/>
      <c r="AJ283" s="137"/>
      <c r="CW283" s="495"/>
      <c r="CX283" s="495"/>
      <c r="CY283" s="495"/>
      <c r="CZ283" s="495"/>
      <c r="DA283" s="497"/>
      <c r="DB283" s="497"/>
      <c r="DC283" s="486"/>
      <c r="DD283" s="496"/>
      <c r="DE283" s="496"/>
      <c r="DF283" s="496"/>
      <c r="DG283" s="496"/>
      <c r="DH283" s="496"/>
      <c r="DI283" s="496"/>
      <c r="DJ283" s="496"/>
      <c r="DK283" s="496"/>
      <c r="DL283" s="496"/>
      <c r="DM283" s="496"/>
      <c r="DN283" s="496"/>
      <c r="DO283" s="496"/>
      <c r="DP283" s="496"/>
      <c r="DQ283" s="496"/>
      <c r="DR283" s="496"/>
      <c r="DS283" s="495"/>
      <c r="DT283" s="495"/>
      <c r="DU283" s="495"/>
      <c r="DV283" s="495"/>
      <c r="DW283" s="495"/>
      <c r="DX283" s="495"/>
    </row>
    <row r="284" spans="2:128" s="494" customFormat="1">
      <c r="B284" s="137"/>
      <c r="C284" s="1334"/>
      <c r="D284" s="495"/>
      <c r="F284" s="1333"/>
      <c r="H284" s="1333"/>
      <c r="I284" s="495"/>
      <c r="J284" s="1333"/>
      <c r="K284" s="1333"/>
      <c r="M284" s="1333"/>
      <c r="N284" s="495"/>
      <c r="O284" s="1333"/>
      <c r="P284" s="1333"/>
      <c r="Q284" s="1333"/>
      <c r="R284" s="1333"/>
      <c r="S284" s="495"/>
      <c r="T284" s="1888"/>
      <c r="U284" s="1888"/>
      <c r="V284" s="1333"/>
      <c r="W284" s="1333"/>
      <c r="X284" s="495"/>
      <c r="Y284" s="515"/>
      <c r="Z284" s="515"/>
      <c r="AA284" s="513"/>
      <c r="AB284" s="515"/>
      <c r="AC284" s="137"/>
      <c r="AD284" s="137"/>
      <c r="AE284" s="137"/>
      <c r="AF284" s="137"/>
      <c r="AG284" s="137"/>
      <c r="AH284" s="137"/>
      <c r="AI284" s="137"/>
      <c r="AJ284" s="137"/>
      <c r="CW284" s="495"/>
      <c r="CX284" s="495"/>
      <c r="CY284" s="495"/>
      <c r="CZ284" s="495"/>
      <c r="DA284" s="497"/>
      <c r="DB284" s="497"/>
      <c r="DC284" s="486"/>
      <c r="DD284" s="496"/>
      <c r="DE284" s="496"/>
      <c r="DF284" s="496"/>
      <c r="DG284" s="496"/>
      <c r="DH284" s="496"/>
      <c r="DI284" s="496"/>
      <c r="DJ284" s="496"/>
      <c r="DK284" s="496"/>
      <c r="DL284" s="496"/>
      <c r="DM284" s="496"/>
      <c r="DN284" s="496"/>
      <c r="DO284" s="496"/>
      <c r="DP284" s="496"/>
      <c r="DQ284" s="496"/>
      <c r="DR284" s="496"/>
      <c r="DS284" s="495"/>
      <c r="DT284" s="495"/>
      <c r="DU284" s="495"/>
      <c r="DV284" s="495"/>
      <c r="DW284" s="495"/>
      <c r="DX284" s="495"/>
    </row>
    <row r="285" spans="2:128" s="122" customFormat="1" ht="14.25" customHeight="1">
      <c r="B285" s="80"/>
      <c r="C285" s="1889"/>
      <c r="D285" s="1889"/>
      <c r="E285" s="1889"/>
      <c r="F285" s="1889"/>
      <c r="G285" s="482"/>
      <c r="H285" s="1890"/>
      <c r="I285" s="1889"/>
      <c r="J285" s="1889"/>
      <c r="K285" s="1889"/>
      <c r="L285" s="482"/>
      <c r="M285" s="1890"/>
      <c r="N285" s="1889"/>
      <c r="O285" s="1889"/>
      <c r="P285" s="1889"/>
      <c r="Q285" s="1889"/>
      <c r="R285" s="1890"/>
      <c r="S285" s="1889"/>
      <c r="T285" s="272"/>
      <c r="U285" s="272"/>
      <c r="V285" s="1889"/>
      <c r="W285" s="1890"/>
      <c r="X285" s="1889"/>
      <c r="Y285" s="143"/>
      <c r="Z285" s="143"/>
      <c r="AA285" s="516"/>
      <c r="AB285" s="143"/>
      <c r="AC285" s="80"/>
      <c r="AD285" s="80"/>
      <c r="AE285" s="80"/>
      <c r="AF285" s="80"/>
      <c r="AG285" s="80"/>
      <c r="AH285" s="80"/>
      <c r="AI285" s="80"/>
      <c r="AJ285" s="80"/>
      <c r="CW285" s="217"/>
      <c r="CX285" s="217"/>
      <c r="CY285" s="217"/>
      <c r="CZ285" s="217"/>
      <c r="DA285" s="498"/>
      <c r="DB285" s="498"/>
      <c r="DC285" s="499"/>
      <c r="DD285" s="499"/>
      <c r="DE285" s="499"/>
      <c r="DF285" s="499"/>
      <c r="DG285" s="499"/>
      <c r="DH285" s="499"/>
      <c r="DI285" s="499"/>
      <c r="DJ285" s="499"/>
      <c r="DK285" s="499"/>
      <c r="DL285" s="499"/>
      <c r="DM285" s="499"/>
      <c r="DN285" s="499"/>
      <c r="DO285" s="499"/>
      <c r="DP285" s="499"/>
      <c r="DQ285" s="499"/>
      <c r="DR285" s="499"/>
      <c r="DS285" s="217"/>
      <c r="DT285" s="217"/>
      <c r="DU285" s="217"/>
      <c r="DV285" s="217"/>
      <c r="DW285" s="217"/>
      <c r="DX285" s="217"/>
    </row>
    <row r="286" spans="2:128" s="122" customFormat="1" ht="14.25" customHeight="1">
      <c r="C286" s="500"/>
      <c r="D286" s="501"/>
      <c r="E286" s="501"/>
      <c r="F286" s="501"/>
      <c r="G286" s="502"/>
      <c r="H286" s="503"/>
      <c r="I286" s="501"/>
      <c r="J286" s="500"/>
      <c r="K286" s="500"/>
      <c r="L286" s="168"/>
      <c r="M286" s="503"/>
      <c r="N286" s="501"/>
      <c r="O286" s="500"/>
      <c r="P286" s="500"/>
      <c r="Q286" s="500"/>
      <c r="R286" s="503"/>
      <c r="S286" s="501"/>
      <c r="T286" s="272"/>
      <c r="U286" s="272"/>
      <c r="V286" s="500"/>
      <c r="W286" s="503"/>
      <c r="X286" s="501"/>
      <c r="Y286" s="272"/>
      <c r="Z286" s="272"/>
      <c r="AA286" s="500"/>
      <c r="AB286" s="272"/>
      <c r="CW286" s="217"/>
      <c r="CX286" s="217"/>
      <c r="CY286" s="217"/>
      <c r="CZ286" s="217"/>
      <c r="DA286" s="498"/>
      <c r="DB286" s="498"/>
      <c r="DC286" s="499"/>
      <c r="DD286" s="499"/>
      <c r="DE286" s="499"/>
      <c r="DF286" s="499"/>
      <c r="DG286" s="499"/>
      <c r="DH286" s="499"/>
      <c r="DI286" s="499"/>
      <c r="DJ286" s="499"/>
      <c r="DK286" s="499"/>
      <c r="DL286" s="499"/>
      <c r="DM286" s="499"/>
      <c r="DN286" s="499"/>
      <c r="DO286" s="499"/>
      <c r="DP286" s="499"/>
      <c r="DQ286" s="499"/>
      <c r="DR286" s="499"/>
      <c r="DS286" s="217"/>
      <c r="DT286" s="217"/>
      <c r="DU286" s="217"/>
      <c r="DV286" s="217"/>
      <c r="DW286" s="217"/>
      <c r="DX286" s="217"/>
    </row>
    <row r="287" spans="2:128" s="122" customFormat="1" ht="14.25" customHeight="1">
      <c r="C287" s="500"/>
      <c r="D287" s="500"/>
      <c r="E287" s="500"/>
      <c r="F287" s="500"/>
      <c r="G287" s="168"/>
      <c r="H287" s="503"/>
      <c r="I287" s="500"/>
      <c r="J287" s="500"/>
      <c r="K287" s="500"/>
      <c r="L287" s="168"/>
      <c r="M287" s="503"/>
      <c r="N287" s="500"/>
      <c r="O287" s="500"/>
      <c r="P287" s="500"/>
      <c r="Q287" s="500"/>
      <c r="R287" s="503"/>
      <c r="S287" s="500"/>
      <c r="T287" s="272"/>
      <c r="U287" s="272"/>
      <c r="V287" s="500"/>
      <c r="W287" s="503"/>
      <c r="X287" s="500"/>
      <c r="Y287" s="272"/>
      <c r="Z287" s="272"/>
      <c r="AA287" s="500"/>
      <c r="AB287" s="272"/>
      <c r="CW287" s="217"/>
      <c r="CX287" s="217"/>
      <c r="CY287" s="217"/>
      <c r="CZ287" s="217"/>
      <c r="DA287" s="498"/>
      <c r="DB287" s="498"/>
      <c r="DC287" s="499"/>
      <c r="DD287" s="499"/>
      <c r="DE287" s="499"/>
      <c r="DF287" s="499"/>
      <c r="DG287" s="499"/>
      <c r="DH287" s="499"/>
      <c r="DI287" s="499"/>
      <c r="DJ287" s="499"/>
      <c r="DK287" s="499"/>
      <c r="DL287" s="499"/>
      <c r="DM287" s="499"/>
      <c r="DN287" s="499"/>
      <c r="DO287" s="499"/>
      <c r="DP287" s="499"/>
      <c r="DQ287" s="499"/>
      <c r="DR287" s="499"/>
      <c r="DS287" s="217"/>
      <c r="DT287" s="217"/>
      <c r="DU287" s="217"/>
      <c r="DV287" s="217"/>
      <c r="DW287" s="217"/>
      <c r="DX287" s="217"/>
    </row>
    <row r="288" spans="2:128" s="122" customFormat="1" ht="14.25" customHeight="1">
      <c r="C288" s="500"/>
      <c r="D288" s="500"/>
      <c r="E288" s="500"/>
      <c r="F288" s="500"/>
      <c r="G288" s="168"/>
      <c r="H288" s="503"/>
      <c r="I288" s="500"/>
      <c r="J288" s="500"/>
      <c r="K288" s="500"/>
      <c r="L288" s="168"/>
      <c r="M288" s="503"/>
      <c r="N288" s="500"/>
      <c r="O288" s="500"/>
      <c r="P288" s="500"/>
      <c r="Q288" s="500"/>
      <c r="R288" s="503"/>
      <c r="S288" s="500"/>
      <c r="T288" s="272"/>
      <c r="U288" s="272"/>
      <c r="V288" s="500"/>
      <c r="W288" s="503"/>
      <c r="X288" s="500"/>
      <c r="Y288" s="272"/>
      <c r="Z288" s="272"/>
      <c r="AA288" s="500"/>
      <c r="AB288" s="272"/>
      <c r="CW288" s="217"/>
      <c r="CX288" s="217"/>
      <c r="CY288" s="217"/>
      <c r="CZ288" s="217"/>
      <c r="DA288" s="498"/>
      <c r="DB288" s="498"/>
      <c r="DC288" s="499"/>
      <c r="DD288" s="499"/>
      <c r="DE288" s="499"/>
      <c r="DF288" s="499"/>
      <c r="DG288" s="499"/>
      <c r="DH288" s="499"/>
      <c r="DI288" s="499"/>
      <c r="DJ288" s="499"/>
      <c r="DK288" s="499"/>
      <c r="DL288" s="499"/>
      <c r="DM288" s="499"/>
      <c r="DN288" s="499"/>
      <c r="DO288" s="499"/>
      <c r="DP288" s="499"/>
      <c r="DQ288" s="499"/>
      <c r="DR288" s="499"/>
      <c r="DS288" s="217"/>
      <c r="DT288" s="217"/>
      <c r="DU288" s="217"/>
      <c r="DV288" s="217"/>
      <c r="DW288" s="217"/>
      <c r="DX288" s="217"/>
    </row>
    <row r="289" spans="1:150" s="79" customFormat="1" ht="14.25" customHeight="1">
      <c r="C289" s="500"/>
      <c r="D289" s="500"/>
      <c r="E289" s="500"/>
      <c r="F289" s="500"/>
      <c r="G289" s="168"/>
      <c r="H289" s="503"/>
      <c r="I289" s="500"/>
      <c r="J289" s="500"/>
      <c r="K289" s="500"/>
      <c r="L289" s="168"/>
      <c r="M289" s="503"/>
      <c r="N289" s="500"/>
      <c r="O289" s="500"/>
      <c r="P289" s="500"/>
      <c r="Q289" s="500"/>
      <c r="R289" s="503"/>
      <c r="S289" s="500"/>
      <c r="V289" s="500"/>
      <c r="W289" s="503"/>
      <c r="X289" s="500"/>
      <c r="AA289" s="500"/>
      <c r="CW289" s="107"/>
      <c r="CX289" s="107"/>
      <c r="CY289" s="107"/>
      <c r="CZ289" s="107"/>
      <c r="DA289" s="341"/>
      <c r="DB289" s="341"/>
      <c r="DC289" s="485"/>
      <c r="DD289" s="485"/>
      <c r="DE289" s="485"/>
      <c r="DF289" s="485"/>
      <c r="DG289" s="485"/>
      <c r="DH289" s="485"/>
      <c r="DI289" s="485"/>
      <c r="DJ289" s="485"/>
      <c r="DK289" s="485"/>
      <c r="DL289" s="485"/>
      <c r="DM289" s="485"/>
      <c r="DN289" s="485"/>
      <c r="DO289" s="485"/>
      <c r="DP289" s="485"/>
      <c r="DQ289" s="485"/>
      <c r="DR289" s="485"/>
      <c r="DS289" s="107"/>
      <c r="DT289" s="107"/>
      <c r="DU289" s="107"/>
      <c r="DV289" s="107"/>
      <c r="DW289" s="107"/>
      <c r="DX289" s="107"/>
    </row>
    <row r="290" spans="1:150" s="122" customFormat="1" ht="14.25" customHeight="1">
      <c r="A290" s="504"/>
      <c r="B290" s="504"/>
      <c r="C290" s="500"/>
      <c r="D290" s="500"/>
      <c r="E290" s="500"/>
      <c r="F290" s="500"/>
      <c r="G290" s="168"/>
      <c r="H290" s="503"/>
      <c r="I290" s="500"/>
      <c r="J290" s="500"/>
      <c r="K290" s="500"/>
      <c r="L290" s="168"/>
      <c r="M290" s="503"/>
      <c r="N290" s="500"/>
      <c r="O290" s="500"/>
      <c r="P290" s="500"/>
      <c r="Q290" s="500"/>
      <c r="R290" s="503"/>
      <c r="S290" s="500"/>
      <c r="T290" s="272"/>
      <c r="U290" s="272"/>
      <c r="V290" s="500"/>
      <c r="W290" s="503"/>
      <c r="X290" s="500"/>
      <c r="Y290" s="272"/>
      <c r="Z290" s="272"/>
      <c r="AA290" s="500"/>
      <c r="AB290" s="272"/>
      <c r="CW290" s="217"/>
      <c r="CX290" s="217"/>
      <c r="CY290" s="217"/>
      <c r="CZ290" s="217"/>
      <c r="DA290" s="498"/>
      <c r="DB290" s="498"/>
      <c r="DC290" s="499"/>
      <c r="DD290" s="499"/>
      <c r="DE290" s="499"/>
      <c r="DF290" s="499"/>
      <c r="DG290" s="499"/>
      <c r="DH290" s="499"/>
      <c r="DI290" s="499"/>
      <c r="DJ290" s="499"/>
      <c r="DK290" s="499"/>
      <c r="DL290" s="499"/>
      <c r="DM290" s="499"/>
      <c r="DN290" s="499"/>
      <c r="DO290" s="499"/>
      <c r="DP290" s="499"/>
      <c r="DQ290" s="499"/>
      <c r="DR290" s="499"/>
      <c r="DS290" s="217"/>
      <c r="DT290" s="217"/>
      <c r="DU290" s="217"/>
      <c r="DV290" s="217"/>
      <c r="DW290" s="217"/>
      <c r="DX290" s="217"/>
    </row>
    <row r="291" spans="1:150" s="79" customFormat="1" ht="14.25" customHeight="1">
      <c r="E291" s="505"/>
      <c r="G291" s="168"/>
      <c r="H291" s="506"/>
      <c r="K291" s="505"/>
      <c r="L291" s="168"/>
      <c r="M291" s="506"/>
      <c r="R291" s="506"/>
      <c r="T291" s="505"/>
      <c r="U291" s="505"/>
      <c r="W291" s="506"/>
      <c r="Y291" s="505"/>
      <c r="Z291" s="505"/>
      <c r="AB291" s="505"/>
      <c r="BH291" s="107"/>
      <c r="BI291" s="107"/>
      <c r="BJ291" s="107"/>
      <c r="BK291" s="107"/>
      <c r="BL291" s="107"/>
      <c r="BM291" s="107"/>
      <c r="BN291" s="107"/>
      <c r="BO291" s="107"/>
      <c r="BP291" s="107"/>
      <c r="BQ291" s="107"/>
      <c r="BR291" s="107"/>
      <c r="BS291" s="107"/>
      <c r="BT291" s="107"/>
      <c r="BU291" s="107"/>
      <c r="BV291" s="107"/>
      <c r="BW291" s="107"/>
      <c r="BX291" s="107"/>
      <c r="BY291" s="107"/>
      <c r="BZ291" s="107"/>
      <c r="CA291" s="107"/>
      <c r="CB291" s="107"/>
      <c r="CC291" s="107"/>
      <c r="CD291" s="107"/>
      <c r="CE291" s="107"/>
      <c r="CF291" s="107"/>
      <c r="CG291" s="107"/>
      <c r="CH291" s="107"/>
      <c r="CI291" s="107"/>
      <c r="CJ291" s="107"/>
      <c r="CK291" s="107"/>
      <c r="CL291" s="107"/>
      <c r="CM291" s="107"/>
      <c r="CN291" s="107"/>
      <c r="CO291" s="107"/>
      <c r="CP291" s="107"/>
      <c r="CQ291" s="107"/>
      <c r="CR291" s="107"/>
      <c r="CS291" s="107"/>
      <c r="CT291" s="107"/>
      <c r="CU291" s="107"/>
      <c r="CV291" s="107"/>
      <c r="CW291" s="107"/>
      <c r="CX291" s="107"/>
      <c r="CY291" s="107"/>
      <c r="CZ291" s="107"/>
      <c r="DA291" s="341"/>
      <c r="DB291" s="341"/>
      <c r="DC291" s="485"/>
      <c r="DD291" s="485"/>
      <c r="DE291" s="485"/>
      <c r="DF291" s="485"/>
      <c r="DG291" s="485"/>
      <c r="DH291" s="485"/>
      <c r="DI291" s="485"/>
      <c r="DJ291" s="485"/>
      <c r="DK291" s="485"/>
      <c r="DL291" s="485"/>
      <c r="DM291" s="485"/>
      <c r="DN291" s="485"/>
      <c r="DO291" s="485"/>
      <c r="DP291" s="485"/>
      <c r="DQ291" s="485"/>
      <c r="DR291" s="485"/>
      <c r="DS291" s="107"/>
      <c r="DT291" s="107"/>
      <c r="DU291" s="107"/>
      <c r="DV291" s="107"/>
      <c r="DW291" s="107"/>
      <c r="DX291" s="107"/>
    </row>
    <row r="292" spans="1:150" s="79" customFormat="1" ht="14.25" customHeight="1">
      <c r="E292" s="505"/>
      <c r="G292" s="168"/>
      <c r="H292" s="506"/>
      <c r="K292" s="505"/>
      <c r="L292" s="168"/>
      <c r="M292" s="506"/>
      <c r="R292" s="506"/>
      <c r="T292" s="505"/>
      <c r="U292" s="505"/>
      <c r="W292" s="506"/>
      <c r="Y292" s="505"/>
      <c r="Z292" s="505"/>
      <c r="AB292" s="505"/>
      <c r="BH292" s="107"/>
      <c r="BI292" s="107"/>
      <c r="BJ292" s="107"/>
      <c r="BK292" s="107"/>
      <c r="BL292" s="107"/>
      <c r="BM292" s="107"/>
      <c r="BN292" s="107"/>
      <c r="BO292" s="107"/>
      <c r="BP292" s="107"/>
      <c r="BQ292" s="107"/>
      <c r="BR292" s="107"/>
      <c r="BS292" s="107"/>
      <c r="BT292" s="107"/>
      <c r="BU292" s="107"/>
      <c r="BV292" s="107"/>
      <c r="BW292" s="107"/>
      <c r="BX292" s="107"/>
      <c r="BY292" s="107"/>
      <c r="BZ292" s="107"/>
      <c r="CA292" s="107"/>
      <c r="CB292" s="107"/>
      <c r="CC292" s="107"/>
      <c r="CD292" s="107"/>
      <c r="CE292" s="107"/>
      <c r="CF292" s="107"/>
      <c r="CG292" s="107"/>
      <c r="CH292" s="107"/>
      <c r="CI292" s="107"/>
      <c r="CJ292" s="107"/>
      <c r="CK292" s="107"/>
      <c r="CL292" s="107"/>
      <c r="CM292" s="107"/>
      <c r="CN292" s="107"/>
      <c r="CO292" s="107"/>
      <c r="CP292" s="107"/>
      <c r="CQ292" s="107"/>
      <c r="CR292" s="107"/>
      <c r="CS292" s="107"/>
      <c r="CT292" s="107"/>
      <c r="CU292" s="107"/>
      <c r="CV292" s="107"/>
      <c r="CW292" s="107"/>
      <c r="CX292" s="107"/>
      <c r="CY292" s="107"/>
      <c r="CZ292" s="107"/>
      <c r="DA292" s="341"/>
      <c r="DB292" s="341"/>
      <c r="DC292" s="485"/>
      <c r="DD292" s="485"/>
      <c r="DE292" s="485"/>
      <c r="DF292" s="485"/>
      <c r="DG292" s="485"/>
      <c r="DH292" s="485"/>
      <c r="DI292" s="485"/>
      <c r="DJ292" s="485"/>
      <c r="DK292" s="485"/>
      <c r="DL292" s="485"/>
      <c r="DM292" s="485"/>
      <c r="DN292" s="485"/>
      <c r="DO292" s="485"/>
      <c r="DP292" s="485"/>
      <c r="DQ292" s="485"/>
      <c r="DR292" s="485"/>
      <c r="DS292" s="107"/>
      <c r="DT292" s="107"/>
      <c r="DU292" s="107"/>
      <c r="DV292" s="107"/>
      <c r="DW292" s="107"/>
      <c r="DX292" s="107"/>
    </row>
    <row r="293" spans="1:150" s="79" customFormat="1" ht="14.25" customHeight="1">
      <c r="E293" s="505"/>
      <c r="G293" s="168"/>
      <c r="H293" s="506"/>
      <c r="K293" s="505"/>
      <c r="L293" s="168"/>
      <c r="M293" s="506"/>
      <c r="R293" s="506"/>
      <c r="T293" s="505"/>
      <c r="U293" s="505"/>
      <c r="W293" s="506"/>
      <c r="Y293" s="505"/>
      <c r="Z293" s="505"/>
      <c r="AB293" s="505"/>
      <c r="BH293" s="107"/>
      <c r="BI293" s="107"/>
      <c r="BJ293" s="107"/>
      <c r="BK293" s="107"/>
      <c r="BL293" s="107"/>
      <c r="BM293" s="107"/>
      <c r="BN293" s="107"/>
      <c r="BO293" s="107"/>
      <c r="BP293" s="107"/>
      <c r="BQ293" s="107"/>
      <c r="BR293" s="107"/>
      <c r="BS293" s="107"/>
      <c r="BT293" s="107"/>
      <c r="BU293" s="107"/>
      <c r="BV293" s="107"/>
      <c r="BW293" s="107"/>
      <c r="BX293" s="107"/>
      <c r="BY293" s="107"/>
      <c r="BZ293" s="107"/>
      <c r="CA293" s="107"/>
      <c r="CB293" s="107"/>
      <c r="CC293" s="107"/>
      <c r="CD293" s="107"/>
      <c r="CE293" s="107"/>
      <c r="CF293" s="107"/>
      <c r="CG293" s="107"/>
      <c r="CH293" s="107"/>
      <c r="CI293" s="107"/>
      <c r="CJ293" s="107"/>
      <c r="CK293" s="107"/>
      <c r="CL293" s="107"/>
      <c r="CM293" s="107"/>
      <c r="CN293" s="107"/>
      <c r="CO293" s="107"/>
      <c r="CP293" s="107"/>
      <c r="CQ293" s="107"/>
      <c r="CR293" s="107"/>
      <c r="CS293" s="107"/>
      <c r="CT293" s="107"/>
      <c r="CU293" s="107"/>
      <c r="CV293" s="107"/>
      <c r="CW293" s="107"/>
      <c r="CX293" s="107"/>
      <c r="CY293" s="107"/>
      <c r="CZ293" s="107"/>
      <c r="DA293" s="341"/>
      <c r="DB293" s="341"/>
      <c r="DC293" s="485"/>
      <c r="DD293" s="485"/>
      <c r="DE293" s="485"/>
      <c r="DF293" s="485"/>
      <c r="DG293" s="485"/>
      <c r="DH293" s="485"/>
      <c r="DI293" s="485"/>
      <c r="DJ293" s="485"/>
      <c r="DK293" s="485"/>
      <c r="DL293" s="485"/>
      <c r="DM293" s="485"/>
      <c r="DN293" s="485"/>
      <c r="DO293" s="485"/>
      <c r="DP293" s="485"/>
      <c r="DQ293" s="485"/>
      <c r="DR293" s="485"/>
      <c r="DS293" s="107"/>
      <c r="DT293" s="107"/>
      <c r="DU293" s="107"/>
      <c r="DV293" s="107"/>
      <c r="DW293" s="107"/>
      <c r="DX293" s="107"/>
    </row>
    <row r="294" spans="1:150" s="79" customFormat="1" ht="14.25" customHeight="1">
      <c r="E294" s="505"/>
      <c r="G294" s="168"/>
      <c r="H294" s="506"/>
      <c r="K294" s="505"/>
      <c r="L294" s="168"/>
      <c r="M294" s="506"/>
      <c r="R294" s="506"/>
      <c r="T294" s="505"/>
      <c r="U294" s="505"/>
      <c r="W294" s="506"/>
      <c r="Y294" s="505"/>
      <c r="Z294" s="505"/>
      <c r="AB294" s="505"/>
      <c r="BH294" s="107"/>
      <c r="BI294" s="107"/>
      <c r="BJ294" s="107"/>
      <c r="BK294" s="107"/>
      <c r="BL294" s="107"/>
      <c r="BM294" s="107"/>
      <c r="BN294" s="107"/>
      <c r="BO294" s="107"/>
      <c r="BP294" s="107"/>
      <c r="BQ294" s="107"/>
      <c r="BR294" s="107"/>
      <c r="BS294" s="107"/>
      <c r="BT294" s="107"/>
      <c r="BU294" s="107"/>
      <c r="BV294" s="107"/>
      <c r="BW294" s="107"/>
      <c r="BX294" s="107"/>
      <c r="BY294" s="107"/>
      <c r="BZ294" s="107"/>
      <c r="CA294" s="107"/>
      <c r="CB294" s="107"/>
      <c r="CC294" s="107"/>
      <c r="CD294" s="107"/>
      <c r="CE294" s="107"/>
      <c r="CF294" s="107"/>
      <c r="CG294" s="107"/>
      <c r="CH294" s="107"/>
      <c r="CI294" s="107"/>
      <c r="CJ294" s="107"/>
      <c r="CK294" s="107"/>
      <c r="CL294" s="107"/>
      <c r="CM294" s="107"/>
      <c r="CN294" s="107"/>
      <c r="CO294" s="107"/>
      <c r="CP294" s="107"/>
      <c r="CQ294" s="107"/>
      <c r="CR294" s="107"/>
      <c r="CS294" s="107"/>
      <c r="CT294" s="107"/>
      <c r="CU294" s="107"/>
      <c r="CV294" s="107"/>
      <c r="CW294" s="107"/>
      <c r="CX294" s="107"/>
      <c r="CY294" s="107"/>
      <c r="CZ294" s="107"/>
      <c r="DA294" s="341"/>
      <c r="DB294" s="341"/>
      <c r="DC294" s="485"/>
      <c r="DD294" s="485"/>
      <c r="DE294" s="485"/>
      <c r="DF294" s="485"/>
      <c r="DG294" s="485"/>
      <c r="DH294" s="485"/>
      <c r="DI294" s="485"/>
      <c r="DJ294" s="485"/>
      <c r="DK294" s="485"/>
      <c r="DL294" s="485"/>
      <c r="DM294" s="485"/>
      <c r="DN294" s="485"/>
      <c r="DO294" s="485"/>
      <c r="DP294" s="485"/>
      <c r="DQ294" s="485"/>
      <c r="DR294" s="485"/>
      <c r="DS294" s="107"/>
      <c r="DT294" s="107"/>
      <c r="DU294" s="107"/>
      <c r="DV294" s="107"/>
      <c r="DW294" s="107"/>
      <c r="DX294" s="107"/>
    </row>
    <row r="295" spans="1:150" s="2057" customFormat="1" ht="14.25" customHeight="1">
      <c r="E295" s="2075"/>
      <c r="G295" s="2058"/>
      <c r="H295" s="2060"/>
      <c r="K295" s="2075"/>
      <c r="L295" s="2058"/>
      <c r="M295" s="2060"/>
      <c r="R295" s="2060"/>
      <c r="T295" s="2075"/>
      <c r="U295" s="2075"/>
      <c r="W295" s="2060"/>
      <c r="Y295" s="2075"/>
      <c r="Z295" s="2075"/>
      <c r="AB295" s="2075"/>
      <c r="BH295" s="2076"/>
      <c r="BI295" s="2076"/>
      <c r="BJ295" s="2076"/>
      <c r="BK295" s="2076"/>
      <c r="BL295" s="2076"/>
      <c r="BM295" s="2076"/>
      <c r="BN295" s="2076"/>
      <c r="BO295" s="2076"/>
      <c r="BP295" s="2076"/>
      <c r="BQ295" s="2076"/>
      <c r="BR295" s="2076"/>
      <c r="BS295" s="2076"/>
      <c r="BT295" s="2076"/>
      <c r="BU295" s="2076"/>
      <c r="BV295" s="2076"/>
      <c r="BW295" s="2076"/>
      <c r="BX295" s="2076"/>
      <c r="BY295" s="2076"/>
      <c r="BZ295" s="2076"/>
      <c r="CA295" s="2076"/>
      <c r="CB295" s="2076"/>
      <c r="CC295" s="2076"/>
      <c r="CD295" s="2076"/>
      <c r="CE295" s="2076"/>
      <c r="CF295" s="2076"/>
      <c r="CG295" s="2076"/>
      <c r="CH295" s="2076"/>
      <c r="CI295" s="2076"/>
      <c r="CJ295" s="2076"/>
      <c r="CK295" s="2076"/>
      <c r="CL295" s="2076"/>
      <c r="CM295" s="2076"/>
      <c r="CN295" s="2076"/>
      <c r="CO295" s="2076"/>
      <c r="CP295" s="2076"/>
      <c r="CQ295" s="2076"/>
      <c r="CR295" s="2076"/>
      <c r="CS295" s="2076"/>
      <c r="CT295" s="2076"/>
      <c r="CU295" s="2076"/>
      <c r="CV295" s="2076"/>
      <c r="CW295" s="2076"/>
      <c r="CX295" s="2076"/>
      <c r="CY295" s="2076"/>
      <c r="CZ295" s="2076"/>
      <c r="DA295" s="2077"/>
      <c r="DB295" s="2077"/>
      <c r="DC295" s="2078"/>
      <c r="DD295" s="2078"/>
      <c r="DE295" s="2078"/>
      <c r="DF295" s="2078"/>
      <c r="DG295" s="2078"/>
      <c r="DH295" s="2078"/>
      <c r="DI295" s="2078"/>
      <c r="DJ295" s="2078"/>
      <c r="DK295" s="2078"/>
      <c r="DL295" s="2078"/>
      <c r="DM295" s="2078"/>
      <c r="DN295" s="2078"/>
      <c r="DO295" s="2078"/>
      <c r="DP295" s="2078"/>
      <c r="DQ295" s="2078"/>
      <c r="DR295" s="2078"/>
      <c r="DS295" s="2076"/>
      <c r="DT295" s="2076"/>
      <c r="DU295" s="2076"/>
      <c r="DV295" s="2076"/>
      <c r="DW295" s="2076"/>
      <c r="DX295" s="2076"/>
    </row>
    <row r="296" spans="1:150" s="2079" customFormat="1">
      <c r="D296" s="2079" t="str">
        <f ca="1">D297&amp;"."&amp;RIGHT(Basisdaten!$C$15,2)</f>
        <v>1.26</v>
      </c>
      <c r="E296" s="2079" t="str">
        <f ca="1">E297&amp;"."&amp;RIGHT(  Basisdaten!$C$15,2)</f>
        <v>2.26</v>
      </c>
      <c r="F296" s="2079" t="str">
        <f ca="1">F297&amp;"."&amp;RIGHT(  Basisdaten!$C$15,2)</f>
        <v>3.26</v>
      </c>
      <c r="G296" s="2079" t="str">
        <f ca="1">G297&amp;"."&amp;RIGHT(  Basisdaten!$C$15,2)</f>
        <v>4.26</v>
      </c>
      <c r="H296" s="2079" t="str">
        <f ca="1">H297&amp;"."&amp;RIGHT(  Basisdaten!$C$15,2)</f>
        <v>5.26</v>
      </c>
      <c r="I296" s="2079" t="str">
        <f ca="1">I297&amp;"."&amp;RIGHT(  Basisdaten!$C$15,2)</f>
        <v>6.26</v>
      </c>
      <c r="J296" s="2079" t="str">
        <f ca="1">J297&amp;"."&amp;RIGHT(  Basisdaten!$C$15,2)</f>
        <v>7.26</v>
      </c>
      <c r="K296" s="2079" t="str">
        <f ca="1">K297&amp;"."&amp;RIGHT(  Basisdaten!$C$15,2)</f>
        <v>8.26</v>
      </c>
      <c r="L296" s="2079" t="str">
        <f ca="1">L297&amp;"."&amp;RIGHT(  Basisdaten!$C$15,2)</f>
        <v>9.26</v>
      </c>
      <c r="M296" s="2080" t="str">
        <f ca="1">M297&amp;"."&amp;RIGHT(  Basisdaten!$C$15,2)</f>
        <v>10.26</v>
      </c>
      <c r="N296" s="2079" t="str">
        <f ca="1">N297&amp;"."&amp;RIGHT(  Basisdaten!$C$15,2)</f>
        <v>11.26</v>
      </c>
      <c r="O296" s="2079" t="str">
        <f ca="1">O297&amp;"."&amp;RIGHT(  Basisdaten!$C$15,2)</f>
        <v>12.26</v>
      </c>
      <c r="P296" s="2079" t="str">
        <f ca="1">P297-12&amp;"."&amp;RIGHT(  Basisdaten!$C$15+1,2)</f>
        <v>1.27</v>
      </c>
      <c r="Q296" s="2079" t="str">
        <f ca="1">Q297-12&amp;"."&amp;RIGHT(  Basisdaten!$C$15+1,2)</f>
        <v>2.27</v>
      </c>
      <c r="R296" s="2079" t="str">
        <f ca="1">R297-12&amp;"."&amp;RIGHT(  Basisdaten!$C$15+1,2)</f>
        <v>3.27</v>
      </c>
      <c r="S296" s="2079" t="str">
        <f ca="1">S297-12&amp;"."&amp;RIGHT(  Basisdaten!$C$15+1,2)</f>
        <v>4.27</v>
      </c>
      <c r="T296" s="2079" t="str">
        <f ca="1">T297-12&amp;"."&amp;RIGHT(  Basisdaten!$C$15+1,2)</f>
        <v>5.27</v>
      </c>
      <c r="U296" s="2079" t="str">
        <f ca="1">U297-12&amp;"."&amp;RIGHT(  Basisdaten!$C$15+1,2)</f>
        <v>6.27</v>
      </c>
      <c r="V296" s="2079" t="str">
        <f ca="1">V297-12&amp;"."&amp;RIGHT(  Basisdaten!$C$15+1,2)</f>
        <v>7.27</v>
      </c>
      <c r="W296" s="2079" t="str">
        <f ca="1">W297-12&amp;"."&amp;RIGHT(  Basisdaten!$C$15+1,2)</f>
        <v>8.27</v>
      </c>
      <c r="X296" s="2079" t="str">
        <f ca="1">X297-12&amp;"."&amp;RIGHT(  Basisdaten!$C$15+1,2)</f>
        <v>9.27</v>
      </c>
      <c r="Y296" s="2079" t="str">
        <f ca="1">Y297-12&amp;"."&amp;RIGHT(  Basisdaten!$C$15+1,2)</f>
        <v>10.27</v>
      </c>
      <c r="Z296" s="2079" t="str">
        <f ca="1">Z297-12&amp;"."&amp;RIGHT(  Basisdaten!$C$15+1,2)</f>
        <v>11.27</v>
      </c>
      <c r="AA296" s="2079" t="str">
        <f ca="1">AA297-12&amp;"."&amp;RIGHT(  Basisdaten!$C$15+1,2)</f>
        <v>12.27</v>
      </c>
      <c r="AB296" s="2081"/>
      <c r="AC296" s="2081"/>
      <c r="AD296" s="2081"/>
      <c r="AE296" s="2081"/>
      <c r="AF296" s="2081"/>
      <c r="AG296" s="2081"/>
      <c r="AH296" s="2081"/>
      <c r="AI296" s="2081"/>
      <c r="AJ296" s="2081"/>
      <c r="AK296" s="2081"/>
      <c r="AL296" s="2081"/>
      <c r="AM296" s="2081"/>
      <c r="AN296" s="2081"/>
      <c r="AO296" s="2081"/>
      <c r="AP296" s="2081"/>
      <c r="AQ296" s="2081"/>
      <c r="AR296" s="2081"/>
      <c r="AS296" s="2081"/>
      <c r="AT296" s="2081"/>
      <c r="AU296" s="2081"/>
      <c r="AV296" s="2081"/>
      <c r="AW296" s="2081"/>
      <c r="AX296" s="2081"/>
      <c r="AY296" s="2081"/>
      <c r="AZ296" s="2081"/>
      <c r="BA296" s="2081"/>
      <c r="BB296" s="2081"/>
      <c r="BC296" s="2081"/>
      <c r="BD296" s="2081"/>
      <c r="BE296" s="2081"/>
      <c r="BF296" s="2081"/>
      <c r="BG296" s="2081"/>
      <c r="BH296" s="2081"/>
      <c r="BI296" s="2081"/>
      <c r="BJ296" s="2081"/>
      <c r="BK296" s="2081"/>
      <c r="BL296" s="2081"/>
      <c r="BM296" s="2081"/>
      <c r="BN296" s="2081"/>
      <c r="BO296" s="2081"/>
      <c r="BP296" s="2081"/>
      <c r="BQ296" s="2081"/>
      <c r="BR296" s="2081"/>
      <c r="BS296" s="2081"/>
      <c r="BT296" s="2081"/>
      <c r="BU296" s="2081"/>
      <c r="BV296" s="2081"/>
      <c r="BW296" s="2081"/>
      <c r="BX296" s="2081"/>
      <c r="BY296" s="2081"/>
      <c r="BZ296" s="2081"/>
      <c r="CA296" s="2081"/>
      <c r="CB296" s="2081"/>
      <c r="CC296" s="2081"/>
      <c r="CD296" s="2081"/>
      <c r="CE296" s="2081"/>
      <c r="CF296" s="2081"/>
      <c r="CG296" s="2081"/>
      <c r="CH296" s="2081"/>
      <c r="CI296" s="2081"/>
      <c r="CJ296" s="2081"/>
      <c r="CK296" s="2081"/>
      <c r="CL296" s="2081"/>
      <c r="CM296" s="2081"/>
      <c r="CN296" s="2081"/>
      <c r="CO296" s="2081"/>
      <c r="CP296" s="2081"/>
      <c r="CQ296" s="2081"/>
      <c r="CR296" s="2081"/>
      <c r="CS296" s="2081"/>
      <c r="CT296" s="2081"/>
      <c r="CU296" s="2081"/>
      <c r="CV296" s="2081"/>
      <c r="CW296" s="2081"/>
      <c r="CX296" s="2081"/>
      <c r="CY296" s="2081"/>
      <c r="CZ296" s="2081"/>
      <c r="DA296" s="2081"/>
      <c r="DB296" s="2081"/>
      <c r="DC296" s="2081"/>
      <c r="DD296" s="2081"/>
      <c r="DE296" s="2081"/>
      <c r="DF296" s="2081"/>
      <c r="DG296" s="2081"/>
      <c r="DH296" s="2081"/>
      <c r="DI296" s="2081"/>
      <c r="DJ296" s="2081"/>
      <c r="DK296" s="2081"/>
      <c r="DL296" s="2081"/>
      <c r="DM296" s="2081"/>
      <c r="DN296" s="2081"/>
      <c r="DO296" s="2081"/>
      <c r="DP296" s="2081"/>
      <c r="DQ296" s="2081"/>
      <c r="DR296" s="2081"/>
      <c r="DS296" s="2081"/>
      <c r="DT296" s="2081"/>
      <c r="DU296" s="2081"/>
      <c r="DV296" s="2081"/>
      <c r="DW296" s="2081"/>
      <c r="DX296" s="2081"/>
      <c r="DY296" s="2081"/>
      <c r="DZ296" s="2081"/>
      <c r="EA296" s="2081"/>
      <c r="EB296" s="2081"/>
      <c r="EC296" s="2081"/>
      <c r="ED296" s="2081"/>
      <c r="EE296" s="2081"/>
      <c r="EF296" s="2081"/>
      <c r="EG296" s="2081"/>
      <c r="EH296" s="2081"/>
      <c r="EI296" s="2081"/>
      <c r="EJ296" s="2081"/>
      <c r="EK296" s="2081"/>
      <c r="EL296" s="2081"/>
      <c r="EM296" s="2081"/>
      <c r="EN296" s="2081"/>
      <c r="EO296" s="2081"/>
      <c r="EP296" s="2081"/>
      <c r="EQ296" s="2081"/>
      <c r="ER296" s="2081"/>
      <c r="ES296" s="2081"/>
      <c r="ET296" s="2081"/>
    </row>
    <row r="297" spans="1:150" s="2082" customFormat="1">
      <c r="D297" s="2083">
        <v>1</v>
      </c>
      <c r="E297" s="2083">
        <v>2</v>
      </c>
      <c r="F297" s="2083">
        <v>3</v>
      </c>
      <c r="G297" s="2083">
        <v>4</v>
      </c>
      <c r="H297" s="2082">
        <v>5</v>
      </c>
      <c r="I297" s="2083">
        <v>6</v>
      </c>
      <c r="J297" s="2083">
        <v>7</v>
      </c>
      <c r="K297" s="2083">
        <v>8</v>
      </c>
      <c r="L297" s="2083">
        <v>9</v>
      </c>
      <c r="M297" s="2082">
        <v>10</v>
      </c>
      <c r="N297" s="2083">
        <v>11</v>
      </c>
      <c r="O297" s="2083">
        <v>12</v>
      </c>
      <c r="P297" s="2083">
        <v>13</v>
      </c>
      <c r="Q297" s="2083">
        <v>14</v>
      </c>
      <c r="R297" s="2082">
        <v>15</v>
      </c>
      <c r="S297" s="2083">
        <v>16</v>
      </c>
      <c r="T297" s="2083">
        <v>17</v>
      </c>
      <c r="U297" s="2083">
        <v>18</v>
      </c>
      <c r="V297" s="2083">
        <v>19</v>
      </c>
      <c r="W297" s="2082">
        <v>20</v>
      </c>
      <c r="X297" s="2083">
        <v>21</v>
      </c>
      <c r="Y297" s="2083">
        <v>22</v>
      </c>
      <c r="Z297" s="2083">
        <v>23</v>
      </c>
      <c r="AA297" s="2083">
        <v>24</v>
      </c>
      <c r="AB297" s="2081"/>
      <c r="AC297" s="2081"/>
      <c r="AD297" s="2081"/>
      <c r="AE297" s="2081"/>
      <c r="AF297" s="2081"/>
      <c r="AG297" s="2081"/>
      <c r="AH297" s="2081"/>
      <c r="AI297" s="2081"/>
      <c r="AJ297" s="2081"/>
      <c r="AK297" s="2081"/>
      <c r="AL297" s="2081"/>
      <c r="AM297" s="2081"/>
      <c r="AN297" s="2081"/>
      <c r="AO297" s="2081"/>
      <c r="AP297" s="2081"/>
      <c r="AQ297" s="2081"/>
      <c r="AR297" s="2081"/>
      <c r="AS297" s="2081"/>
      <c r="AT297" s="2081"/>
      <c r="AU297" s="2081"/>
      <c r="AV297" s="2081"/>
      <c r="AW297" s="2081"/>
      <c r="AX297" s="2081"/>
      <c r="AY297" s="2081"/>
      <c r="AZ297" s="2081"/>
      <c r="BA297" s="2081"/>
      <c r="BB297" s="2081"/>
      <c r="BC297" s="2081"/>
      <c r="BD297" s="2081"/>
      <c r="BE297" s="2081"/>
      <c r="BF297" s="2081"/>
      <c r="BG297" s="2081"/>
      <c r="BH297" s="2081"/>
      <c r="BI297" s="2081"/>
      <c r="BJ297" s="2081"/>
      <c r="BK297" s="2081"/>
      <c r="BL297" s="2081"/>
      <c r="BM297" s="2081"/>
      <c r="BN297" s="2081"/>
      <c r="BO297" s="2081"/>
      <c r="BP297" s="2081"/>
      <c r="BQ297" s="2081"/>
      <c r="BR297" s="2081"/>
      <c r="BS297" s="2081"/>
      <c r="BT297" s="2081"/>
      <c r="BU297" s="2081"/>
      <c r="BV297" s="2081"/>
      <c r="BW297" s="2081"/>
      <c r="BX297" s="2081"/>
      <c r="BY297" s="2081"/>
      <c r="BZ297" s="2081"/>
      <c r="CA297" s="2081"/>
      <c r="CB297" s="2081"/>
      <c r="CC297" s="2081"/>
      <c r="CD297" s="2081"/>
      <c r="CE297" s="2081"/>
      <c r="CF297" s="2081"/>
      <c r="CG297" s="2081"/>
      <c r="CH297" s="2081"/>
      <c r="CI297" s="2081"/>
      <c r="CJ297" s="2081"/>
      <c r="CK297" s="2081"/>
      <c r="CL297" s="2081"/>
      <c r="CM297" s="2081"/>
      <c r="CN297" s="2081"/>
      <c r="CO297" s="2081"/>
      <c r="CP297" s="2081"/>
      <c r="CQ297" s="2081"/>
      <c r="CR297" s="2081"/>
      <c r="CS297" s="2081"/>
      <c r="CT297" s="2081"/>
      <c r="CU297" s="2081"/>
      <c r="CV297" s="2081"/>
      <c r="CW297" s="2081"/>
      <c r="CX297" s="2081"/>
      <c r="CY297" s="2081"/>
      <c r="CZ297" s="2081"/>
      <c r="DA297" s="2081"/>
      <c r="DB297" s="2081"/>
      <c r="DC297" s="2081"/>
      <c r="DD297" s="2081"/>
      <c r="DE297" s="2081"/>
      <c r="DF297" s="2081"/>
      <c r="DG297" s="2081"/>
      <c r="DH297" s="2081"/>
      <c r="DI297" s="2081"/>
      <c r="DJ297" s="2081"/>
      <c r="DK297" s="2081"/>
      <c r="DL297" s="2081"/>
      <c r="DM297" s="2081"/>
      <c r="DN297" s="2081"/>
      <c r="DO297" s="2081"/>
      <c r="DP297" s="2081"/>
      <c r="DQ297" s="2081"/>
      <c r="DR297" s="2081"/>
      <c r="DS297" s="2081"/>
      <c r="DT297" s="2081"/>
      <c r="DU297" s="2081"/>
      <c r="DV297" s="2081"/>
      <c r="DW297" s="2081"/>
      <c r="DX297" s="2081"/>
      <c r="DY297" s="2081"/>
      <c r="DZ297" s="2081"/>
      <c r="EA297" s="2081"/>
      <c r="EB297" s="2081"/>
      <c r="EC297" s="2081"/>
      <c r="ED297" s="2081"/>
      <c r="EE297" s="2081"/>
      <c r="EF297" s="2081"/>
      <c r="EG297" s="2081"/>
      <c r="EH297" s="2081"/>
      <c r="EI297" s="2081"/>
      <c r="EJ297" s="2081"/>
      <c r="EK297" s="2081"/>
      <c r="EL297" s="2081"/>
      <c r="EM297" s="2081"/>
      <c r="EN297" s="2081"/>
      <c r="EO297" s="2081"/>
      <c r="EP297" s="2081"/>
      <c r="EQ297" s="2081"/>
      <c r="ER297" s="2081"/>
      <c r="ES297" s="2081"/>
      <c r="ET297" s="2081"/>
    </row>
    <row r="298" spans="1:150" s="2084" customFormat="1" ht="17.399999999999999">
      <c r="C298" s="2085" t="str">
        <f>C304</f>
        <v xml:space="preserve">Abschreibungen </v>
      </c>
      <c r="D298" s="2086">
        <f t="shared" ref="D298:AA298" si="304">D211+D214+D217+D220+D223+D226+D227</f>
        <v>0</v>
      </c>
      <c r="E298" s="2086">
        <f t="shared" si="304"/>
        <v>0</v>
      </c>
      <c r="F298" s="2086">
        <f t="shared" si="304"/>
        <v>0</v>
      </c>
      <c r="G298" s="2086">
        <f t="shared" si="304"/>
        <v>0</v>
      </c>
      <c r="H298" s="2086">
        <f t="shared" si="304"/>
        <v>0</v>
      </c>
      <c r="I298" s="2086">
        <f t="shared" si="304"/>
        <v>0</v>
      </c>
      <c r="J298" s="2086">
        <f t="shared" si="304"/>
        <v>0</v>
      </c>
      <c r="K298" s="2086">
        <f t="shared" si="304"/>
        <v>0</v>
      </c>
      <c r="L298" s="2086">
        <f t="shared" si="304"/>
        <v>0</v>
      </c>
      <c r="M298" s="2086">
        <f t="shared" si="304"/>
        <v>0</v>
      </c>
      <c r="N298" s="2086">
        <f t="shared" si="304"/>
        <v>0</v>
      </c>
      <c r="O298" s="2086">
        <f t="shared" si="304"/>
        <v>0</v>
      </c>
      <c r="P298" s="2086">
        <f t="shared" si="304"/>
        <v>0</v>
      </c>
      <c r="Q298" s="2086">
        <f t="shared" si="304"/>
        <v>0</v>
      </c>
      <c r="R298" s="2086">
        <f t="shared" si="304"/>
        <v>0</v>
      </c>
      <c r="S298" s="2086">
        <f t="shared" si="304"/>
        <v>0</v>
      </c>
      <c r="T298" s="2086">
        <f t="shared" si="304"/>
        <v>0</v>
      </c>
      <c r="U298" s="2086">
        <f t="shared" si="304"/>
        <v>0</v>
      </c>
      <c r="V298" s="2086">
        <f t="shared" si="304"/>
        <v>0</v>
      </c>
      <c r="W298" s="2086">
        <f t="shared" si="304"/>
        <v>0</v>
      </c>
      <c r="X298" s="2086">
        <f t="shared" si="304"/>
        <v>0</v>
      </c>
      <c r="Y298" s="2086">
        <f t="shared" si="304"/>
        <v>0</v>
      </c>
      <c r="Z298" s="2086">
        <f t="shared" si="304"/>
        <v>0</v>
      </c>
      <c r="AA298" s="2086">
        <f t="shared" si="304"/>
        <v>0</v>
      </c>
      <c r="AB298" s="2067"/>
      <c r="AC298" s="2067"/>
      <c r="AD298" s="2067"/>
      <c r="AE298" s="2067"/>
      <c r="AF298" s="2067"/>
      <c r="AG298" s="2067"/>
      <c r="AH298" s="2067"/>
      <c r="AI298" s="2067"/>
      <c r="AJ298" s="2067"/>
      <c r="AK298" s="2067"/>
      <c r="AL298" s="2067"/>
      <c r="AM298" s="2067"/>
      <c r="AN298" s="2067"/>
      <c r="AO298" s="2067"/>
      <c r="AP298" s="2067"/>
      <c r="AQ298" s="2067"/>
      <c r="AR298" s="2067"/>
      <c r="AS298" s="2067"/>
      <c r="AT298" s="2067"/>
      <c r="AU298" s="2067"/>
      <c r="AV298" s="2067"/>
      <c r="AW298" s="2067"/>
      <c r="AX298" s="2067"/>
      <c r="AY298" s="2067"/>
      <c r="AZ298" s="2067"/>
      <c r="BA298" s="2067"/>
      <c r="BB298" s="2067"/>
      <c r="BC298" s="2067"/>
      <c r="BD298" s="2067"/>
      <c r="BE298" s="2067"/>
      <c r="BF298" s="2067"/>
      <c r="BG298" s="2067"/>
      <c r="BH298" s="2067"/>
      <c r="BI298" s="2067"/>
      <c r="BJ298" s="2067"/>
      <c r="BK298" s="2067"/>
      <c r="BL298" s="2067"/>
      <c r="BM298" s="2067"/>
      <c r="BN298" s="2067"/>
      <c r="BO298" s="2067"/>
      <c r="BP298" s="2067"/>
      <c r="BQ298" s="2067"/>
      <c r="BR298" s="2067"/>
      <c r="BS298" s="2067"/>
      <c r="BT298" s="2067"/>
      <c r="BU298" s="2067"/>
      <c r="BV298" s="2067"/>
      <c r="BW298" s="2067"/>
      <c r="BX298" s="2067"/>
      <c r="BY298" s="2067"/>
      <c r="BZ298" s="2067"/>
      <c r="CA298" s="2067"/>
      <c r="CB298" s="2067"/>
      <c r="CC298" s="2067"/>
      <c r="CD298" s="2067"/>
      <c r="CE298" s="2067"/>
      <c r="CF298" s="2067"/>
      <c r="CG298" s="2067"/>
      <c r="CH298" s="2067"/>
      <c r="CI298" s="2067"/>
      <c r="CJ298" s="2067"/>
      <c r="CK298" s="2067"/>
      <c r="CL298" s="2067"/>
      <c r="CM298" s="2067"/>
      <c r="CN298" s="2067"/>
      <c r="CO298" s="2067"/>
      <c r="CP298" s="2067"/>
      <c r="CQ298" s="2067"/>
      <c r="CR298" s="2067"/>
      <c r="CS298" s="2067"/>
      <c r="CT298" s="2067"/>
      <c r="CU298" s="2067"/>
      <c r="CV298" s="2067"/>
      <c r="CW298" s="2067"/>
      <c r="CX298" s="2067"/>
      <c r="CY298" s="2067"/>
      <c r="CZ298" s="2067"/>
      <c r="DA298" s="2067"/>
      <c r="DB298" s="2067"/>
      <c r="DC298" s="2067"/>
      <c r="DD298" s="2067"/>
      <c r="DE298" s="2067"/>
      <c r="DF298" s="2067"/>
      <c r="DG298" s="2067"/>
      <c r="DH298" s="2067"/>
      <c r="DI298" s="2067"/>
      <c r="DJ298" s="2067"/>
      <c r="DK298" s="2067"/>
      <c r="DL298" s="2067"/>
      <c r="DM298" s="2067"/>
      <c r="DN298" s="2067"/>
      <c r="DO298" s="2067"/>
      <c r="DP298" s="2067"/>
      <c r="DQ298" s="2067"/>
      <c r="DR298" s="2067"/>
      <c r="DS298" s="2067"/>
      <c r="DT298" s="2067"/>
      <c r="DU298" s="2067"/>
      <c r="DV298" s="2067"/>
      <c r="DW298" s="2067"/>
      <c r="DX298" s="2067"/>
      <c r="DY298" s="2067"/>
      <c r="DZ298" s="2067"/>
      <c r="EA298" s="2067"/>
      <c r="EB298" s="2067"/>
      <c r="EC298" s="2067"/>
      <c r="ED298" s="2067"/>
      <c r="EE298" s="2067"/>
      <c r="EF298" s="2067"/>
      <c r="EG298" s="2067"/>
      <c r="EH298" s="2067"/>
      <c r="EI298" s="2067"/>
      <c r="EJ298" s="2067"/>
      <c r="EK298" s="2067"/>
      <c r="EL298" s="2067"/>
      <c r="EM298" s="2067"/>
      <c r="EN298" s="2067"/>
      <c r="EO298" s="2067"/>
      <c r="EP298" s="2067"/>
      <c r="EQ298" s="2067"/>
      <c r="ER298" s="2067"/>
      <c r="ES298" s="2067"/>
      <c r="ET298" s="2067"/>
    </row>
    <row r="299" spans="1:150" s="2087" customFormat="1">
      <c r="C299" s="2085" t="str">
        <f>C305</f>
        <v>Anschaffungen</v>
      </c>
      <c r="D299" s="2086">
        <f t="shared" ref="D299:AA299" si="305">D209+D212+D215+D218+D221+D224+D227</f>
        <v>0</v>
      </c>
      <c r="E299" s="2086">
        <f t="shared" si="305"/>
        <v>0</v>
      </c>
      <c r="F299" s="2086">
        <f t="shared" si="305"/>
        <v>0</v>
      </c>
      <c r="G299" s="2086">
        <f t="shared" si="305"/>
        <v>0</v>
      </c>
      <c r="H299" s="2086">
        <f t="shared" si="305"/>
        <v>0</v>
      </c>
      <c r="I299" s="2086">
        <f t="shared" si="305"/>
        <v>0</v>
      </c>
      <c r="J299" s="2086">
        <f t="shared" si="305"/>
        <v>0</v>
      </c>
      <c r="K299" s="2086">
        <f t="shared" si="305"/>
        <v>0</v>
      </c>
      <c r="L299" s="2086">
        <f t="shared" si="305"/>
        <v>0</v>
      </c>
      <c r="M299" s="2086">
        <f t="shared" si="305"/>
        <v>0</v>
      </c>
      <c r="N299" s="2086">
        <f t="shared" si="305"/>
        <v>0</v>
      </c>
      <c r="O299" s="2086">
        <f t="shared" si="305"/>
        <v>0</v>
      </c>
      <c r="P299" s="2086">
        <f t="shared" si="305"/>
        <v>0</v>
      </c>
      <c r="Q299" s="2086">
        <f t="shared" si="305"/>
        <v>0</v>
      </c>
      <c r="R299" s="2086">
        <f t="shared" si="305"/>
        <v>0</v>
      </c>
      <c r="S299" s="2086">
        <f t="shared" si="305"/>
        <v>0</v>
      </c>
      <c r="T299" s="2086">
        <f t="shared" si="305"/>
        <v>0</v>
      </c>
      <c r="U299" s="2086">
        <f t="shared" si="305"/>
        <v>0</v>
      </c>
      <c r="V299" s="2086">
        <f t="shared" si="305"/>
        <v>0</v>
      </c>
      <c r="W299" s="2086">
        <f t="shared" si="305"/>
        <v>0</v>
      </c>
      <c r="X299" s="2086">
        <f t="shared" si="305"/>
        <v>0</v>
      </c>
      <c r="Y299" s="2086">
        <f t="shared" si="305"/>
        <v>0</v>
      </c>
      <c r="Z299" s="2086">
        <f t="shared" si="305"/>
        <v>0</v>
      </c>
      <c r="AA299" s="2086">
        <f t="shared" si="305"/>
        <v>0</v>
      </c>
      <c r="AB299" s="2067"/>
      <c r="AC299" s="2067"/>
      <c r="AD299" s="2067"/>
      <c r="AE299" s="2067"/>
      <c r="AF299" s="2067"/>
      <c r="AG299" s="2067"/>
      <c r="AH299" s="2067"/>
      <c r="AI299" s="2067"/>
      <c r="AJ299" s="2067"/>
      <c r="AK299" s="2067"/>
      <c r="AL299" s="2067"/>
      <c r="AM299" s="2067"/>
      <c r="AN299" s="2067"/>
      <c r="AO299" s="2067"/>
      <c r="AP299" s="2067"/>
      <c r="AQ299" s="2067"/>
      <c r="AR299" s="2067"/>
      <c r="AS299" s="2067"/>
      <c r="AT299" s="2067"/>
      <c r="AU299" s="2067"/>
      <c r="AV299" s="2067"/>
      <c r="AW299" s="2067"/>
      <c r="AX299" s="2067"/>
      <c r="AY299" s="2067"/>
      <c r="AZ299" s="2067"/>
      <c r="BA299" s="2067"/>
      <c r="BB299" s="2067"/>
      <c r="BC299" s="2067"/>
      <c r="BD299" s="2067"/>
      <c r="BE299" s="2067"/>
      <c r="BF299" s="2067"/>
      <c r="BG299" s="2067"/>
      <c r="BH299" s="2067"/>
      <c r="BI299" s="2067"/>
      <c r="BJ299" s="2067"/>
      <c r="BK299" s="2067"/>
      <c r="BL299" s="2067"/>
      <c r="BM299" s="2067"/>
      <c r="BN299" s="2067"/>
      <c r="BO299" s="2067"/>
      <c r="BP299" s="2067"/>
      <c r="BQ299" s="2067"/>
      <c r="BR299" s="2067"/>
      <c r="BS299" s="2067"/>
      <c r="BT299" s="2067"/>
      <c r="BU299" s="2067"/>
      <c r="BV299" s="2067"/>
      <c r="BW299" s="2067"/>
      <c r="BX299" s="2067"/>
      <c r="BY299" s="2067"/>
      <c r="BZ299" s="2067"/>
      <c r="CA299" s="2067"/>
      <c r="CB299" s="2067"/>
      <c r="CC299" s="2067"/>
      <c r="CD299" s="2067"/>
      <c r="CE299" s="2067"/>
      <c r="CF299" s="2067"/>
      <c r="CG299" s="2067"/>
      <c r="CH299" s="2067"/>
      <c r="CI299" s="2067"/>
      <c r="CJ299" s="2067"/>
      <c r="CK299" s="2067"/>
      <c r="CL299" s="2067"/>
      <c r="CM299" s="2067"/>
      <c r="CN299" s="2067"/>
      <c r="CO299" s="2067"/>
      <c r="CP299" s="2067"/>
      <c r="CQ299" s="2067"/>
      <c r="CR299" s="2067"/>
      <c r="CS299" s="2067"/>
      <c r="CT299" s="2067"/>
      <c r="CU299" s="2067"/>
      <c r="CV299" s="2067"/>
      <c r="CW299" s="2067"/>
      <c r="CX299" s="2067"/>
      <c r="CY299" s="2067"/>
      <c r="CZ299" s="2067"/>
      <c r="DA299" s="2067"/>
      <c r="DB299" s="2067"/>
      <c r="DC299" s="2067"/>
      <c r="DD299" s="2067"/>
      <c r="DE299" s="2067"/>
      <c r="DF299" s="2067"/>
      <c r="DG299" s="2067"/>
      <c r="DH299" s="2067"/>
      <c r="DI299" s="2067"/>
      <c r="DJ299" s="2067"/>
      <c r="DK299" s="2067"/>
      <c r="DL299" s="2067"/>
      <c r="DM299" s="2067"/>
      <c r="DN299" s="2067"/>
      <c r="DO299" s="2067"/>
      <c r="DP299" s="2067"/>
      <c r="DQ299" s="2067"/>
      <c r="DR299" s="2067"/>
      <c r="DS299" s="2067"/>
      <c r="DT299" s="2067"/>
      <c r="DU299" s="2067"/>
      <c r="DV299" s="2067"/>
      <c r="DW299" s="2067"/>
      <c r="DX299" s="2067"/>
      <c r="DY299" s="2067"/>
      <c r="DZ299" s="2067"/>
      <c r="EA299" s="2067"/>
      <c r="EB299" s="2067"/>
      <c r="EC299" s="2067"/>
      <c r="ED299" s="2067"/>
      <c r="EE299" s="2067"/>
      <c r="EF299" s="2067"/>
      <c r="EG299" s="2067"/>
      <c r="EH299" s="2067"/>
      <c r="EI299" s="2067"/>
      <c r="EJ299" s="2067"/>
      <c r="EK299" s="2067"/>
      <c r="EL299" s="2067"/>
      <c r="EM299" s="2067"/>
      <c r="EN299" s="2067"/>
      <c r="EO299" s="2067"/>
      <c r="EP299" s="2067"/>
      <c r="EQ299" s="2067"/>
      <c r="ER299" s="2067"/>
      <c r="ES299" s="2067"/>
      <c r="ET299" s="2067"/>
    </row>
    <row r="300" spans="1:150" s="2087" customFormat="1">
      <c r="C300" s="2088"/>
      <c r="D300" s="2089"/>
      <c r="E300" s="2089"/>
      <c r="F300" s="2089"/>
      <c r="G300" s="2089"/>
      <c r="I300" s="2089"/>
      <c r="J300" s="2089"/>
      <c r="K300" s="2089"/>
      <c r="L300" s="2089"/>
      <c r="N300" s="2089"/>
      <c r="O300" s="2089"/>
      <c r="P300" s="2089"/>
      <c r="Q300" s="2089"/>
      <c r="S300" s="2089"/>
      <c r="V300" s="2089"/>
      <c r="X300" s="2089"/>
      <c r="AA300" s="2089"/>
      <c r="AB300" s="2067"/>
      <c r="AC300" s="2067"/>
      <c r="AD300" s="2067"/>
      <c r="AE300" s="2067"/>
      <c r="AF300" s="2067"/>
      <c r="AG300" s="2067"/>
      <c r="AH300" s="2067"/>
      <c r="AI300" s="2067"/>
      <c r="AJ300" s="2067"/>
      <c r="AK300" s="2067"/>
      <c r="AL300" s="2067"/>
      <c r="AM300" s="2067"/>
      <c r="AN300" s="2067"/>
      <c r="AO300" s="2067"/>
      <c r="AP300" s="2067"/>
      <c r="AQ300" s="2067"/>
      <c r="AR300" s="2067"/>
      <c r="AS300" s="2067"/>
      <c r="AT300" s="2067"/>
      <c r="AU300" s="2067"/>
      <c r="AV300" s="2067"/>
      <c r="AW300" s="2067"/>
      <c r="AX300" s="2067"/>
      <c r="AY300" s="2067"/>
      <c r="AZ300" s="2067"/>
      <c r="BA300" s="2067"/>
      <c r="BB300" s="2067"/>
      <c r="BC300" s="2067"/>
      <c r="BD300" s="2067"/>
      <c r="BE300" s="2067"/>
      <c r="BF300" s="2067"/>
      <c r="BG300" s="2067"/>
      <c r="BH300" s="2067"/>
      <c r="BI300" s="2067"/>
      <c r="BJ300" s="2067"/>
      <c r="BK300" s="2067"/>
      <c r="BL300" s="2067"/>
      <c r="BM300" s="2067"/>
      <c r="BN300" s="2067"/>
      <c r="BO300" s="2067"/>
      <c r="BP300" s="2067"/>
      <c r="BQ300" s="2067"/>
      <c r="BR300" s="2067"/>
      <c r="BS300" s="2067"/>
      <c r="BT300" s="2067"/>
      <c r="BU300" s="2067"/>
      <c r="BV300" s="2067"/>
      <c r="BW300" s="2067"/>
      <c r="BX300" s="2067"/>
      <c r="BY300" s="2067"/>
      <c r="BZ300" s="2067"/>
      <c r="CA300" s="2067"/>
      <c r="CB300" s="2067"/>
      <c r="CC300" s="2067"/>
      <c r="CD300" s="2067"/>
      <c r="CE300" s="2067"/>
      <c r="CF300" s="2067"/>
      <c r="CG300" s="2067"/>
      <c r="CH300" s="2067"/>
      <c r="CI300" s="2067"/>
      <c r="CJ300" s="2067"/>
      <c r="CK300" s="2067"/>
      <c r="CL300" s="2067"/>
      <c r="CM300" s="2067"/>
      <c r="CN300" s="2067"/>
      <c r="CO300" s="2067"/>
      <c r="CP300" s="2067"/>
      <c r="CQ300" s="2067"/>
      <c r="CR300" s="2067"/>
      <c r="CS300" s="2067"/>
      <c r="CT300" s="2067"/>
      <c r="CU300" s="2067"/>
      <c r="CV300" s="2067"/>
      <c r="CW300" s="2067"/>
      <c r="CX300" s="2067"/>
      <c r="CY300" s="2067"/>
      <c r="CZ300" s="2067"/>
      <c r="DA300" s="2067"/>
      <c r="DB300" s="2067"/>
      <c r="DC300" s="2067"/>
      <c r="DD300" s="2067"/>
      <c r="DE300" s="2067"/>
      <c r="DF300" s="2067"/>
      <c r="DG300" s="2067"/>
      <c r="DH300" s="2067"/>
      <c r="DI300" s="2067"/>
      <c r="DJ300" s="2067"/>
      <c r="DK300" s="2067"/>
      <c r="DL300" s="2067"/>
      <c r="DM300" s="2067"/>
      <c r="DN300" s="2067"/>
      <c r="DO300" s="2067"/>
      <c r="DP300" s="2067"/>
      <c r="DQ300" s="2067"/>
      <c r="DR300" s="2067"/>
      <c r="DS300" s="2067"/>
      <c r="DT300" s="2067"/>
      <c r="DU300" s="2067"/>
      <c r="DV300" s="2067"/>
      <c r="DW300" s="2067"/>
      <c r="DX300" s="2067"/>
      <c r="DY300" s="2067"/>
      <c r="DZ300" s="2067"/>
      <c r="EA300" s="2067"/>
      <c r="EB300" s="2067"/>
      <c r="EC300" s="2067"/>
      <c r="ED300" s="2067"/>
      <c r="EE300" s="2067"/>
      <c r="EF300" s="2067"/>
      <c r="EG300" s="2067"/>
      <c r="EH300" s="2067"/>
      <c r="EI300" s="2067"/>
      <c r="EJ300" s="2067"/>
      <c r="EK300" s="2067"/>
      <c r="EL300" s="2067"/>
      <c r="EM300" s="2067"/>
      <c r="EN300" s="2067"/>
      <c r="EO300" s="2067"/>
      <c r="EP300" s="2067"/>
      <c r="EQ300" s="2067"/>
      <c r="ER300" s="2067"/>
      <c r="ES300" s="2067"/>
      <c r="ET300" s="2067"/>
    </row>
    <row r="301" spans="1:150" s="2090" customFormat="1" ht="13.2">
      <c r="C301" s="2085" t="s">
        <v>504</v>
      </c>
      <c r="D301" s="2090">
        <f>IF(Basisdaten!$O$51=0,0,D299*MwSt_19)</f>
        <v>0</v>
      </c>
      <c r="E301" s="2090">
        <f>IF(Basisdaten!$O$50=1,0,E299*MwSt_19)</f>
        <v>0</v>
      </c>
      <c r="F301" s="2090">
        <f>IF(Basisdaten!$O$50=1,0,F299*MwSt_19)</f>
        <v>0</v>
      </c>
      <c r="G301" s="2090">
        <f>IF(Basisdaten!$O$50=1,0,G299*MwSt_19)</f>
        <v>0</v>
      </c>
      <c r="H301" s="2090">
        <f>IF(Basisdaten!$O$50=1,0,H299*MwSt_19)</f>
        <v>0</v>
      </c>
      <c r="I301" s="2090">
        <f>IF(Basisdaten!$O$50=1,0,I299*MwSt_19)</f>
        <v>0</v>
      </c>
      <c r="J301" s="2090">
        <f>IF(Basisdaten!$O$50=1,0,J299*MwSt_19)</f>
        <v>0</v>
      </c>
      <c r="K301" s="2090">
        <f>IF(Basisdaten!$O$50=1,0,K299*MwSt_19)</f>
        <v>0</v>
      </c>
      <c r="L301" s="2090">
        <f>IF(Basisdaten!$O$50=1,0,L299*MwSt_19)</f>
        <v>0</v>
      </c>
      <c r="M301" s="2090">
        <f>IF(Basisdaten!$O$50=1,0,M299*MwSt_19)</f>
        <v>0</v>
      </c>
      <c r="N301" s="2090">
        <f>IF(Basisdaten!$O$50=1,0,N299*MwSt_19)</f>
        <v>0</v>
      </c>
      <c r="O301" s="2090">
        <f>IF(Basisdaten!$O$50=1,0,O299*MwSt_19)</f>
        <v>0</v>
      </c>
      <c r="P301" s="2090">
        <f>IF(Basisdaten!$O$52=0,0,P299*MwSt_19)</f>
        <v>0</v>
      </c>
      <c r="Q301" s="2090">
        <f>IF(Basisdaten!$O$51=0,0,Q299*MwSt_19)</f>
        <v>0</v>
      </c>
      <c r="R301" s="2090">
        <f>IF(Basisdaten!$O$51=0,0,R299*MwSt_19)</f>
        <v>0</v>
      </c>
      <c r="S301" s="2090">
        <f>IF(Basisdaten!$O$51=0,0,S299*MwSt_19)</f>
        <v>0</v>
      </c>
      <c r="T301" s="2090">
        <f>IF(Basisdaten!$O$51=0,0,T299*MwSt_19)</f>
        <v>0</v>
      </c>
      <c r="U301" s="2090">
        <f>IF(Basisdaten!$O$51=0,0,U299*MwSt_19)</f>
        <v>0</v>
      </c>
      <c r="V301" s="2090">
        <f>IF(Basisdaten!$O$51=0,0,V299*MwSt_19)</f>
        <v>0</v>
      </c>
      <c r="W301" s="2090">
        <f>IF(Basisdaten!$O$51=0,0,W299*MwSt_19)</f>
        <v>0</v>
      </c>
      <c r="X301" s="2090">
        <f>IF(Basisdaten!$O$51=0,0,X299*MwSt_19)</f>
        <v>0</v>
      </c>
      <c r="Y301" s="2090">
        <f>IF(Basisdaten!$O$51=0,0,Y299*MwSt_19)</f>
        <v>0</v>
      </c>
      <c r="Z301" s="2090">
        <f>IF(Basisdaten!$O$51=0,0,Z299*MwSt_19)</f>
        <v>0</v>
      </c>
      <c r="AA301" s="2090">
        <f>IF(Basisdaten!$O$51=0,0,AA299*MwSt_19)</f>
        <v>0</v>
      </c>
      <c r="DA301" s="2069"/>
      <c r="DB301" s="2069"/>
      <c r="DC301" s="2091"/>
    </row>
    <row r="302" spans="1:150" s="2087" customFormat="1">
      <c r="C302" s="2085"/>
      <c r="H302" s="2089"/>
      <c r="M302" s="2089"/>
      <c r="R302" s="2089"/>
      <c r="W302" s="2089"/>
      <c r="DA302" s="2069"/>
      <c r="DB302" s="2069"/>
      <c r="DC302" s="2091"/>
      <c r="DD302" s="2090"/>
      <c r="DE302" s="2090"/>
      <c r="DF302" s="2090"/>
      <c r="DG302" s="2090"/>
      <c r="DH302" s="2090"/>
      <c r="DI302" s="2090"/>
      <c r="DJ302" s="2090"/>
      <c r="DK302" s="2090"/>
      <c r="DL302" s="2090"/>
      <c r="DM302" s="2090"/>
      <c r="DN302" s="2090"/>
      <c r="DO302" s="2090"/>
      <c r="DP302" s="2090"/>
      <c r="DQ302" s="2090"/>
      <c r="DR302" s="2090"/>
    </row>
    <row r="303" spans="1:150" s="2092" customFormat="1">
      <c r="C303" s="2085"/>
      <c r="D303" s="2093">
        <f ca="1">Basisdaten!$C$15</f>
        <v>2026</v>
      </c>
      <c r="F303" s="2093">
        <f ca="1">D303+1</f>
        <v>2027</v>
      </c>
      <c r="H303" s="2093">
        <f ca="1">F303+1</f>
        <v>2028</v>
      </c>
      <c r="J303" s="2093">
        <f ca="1">H303+1</f>
        <v>2029</v>
      </c>
      <c r="L303" s="2093">
        <f ca="1">J303+1</f>
        <v>2030</v>
      </c>
      <c r="M303" s="2089"/>
      <c r="N303" s="2089"/>
      <c r="O303" s="2057"/>
      <c r="P303" s="2057"/>
      <c r="Q303" s="2057"/>
      <c r="R303" s="2057">
        <f ca="1">Basisdaten!$C$15</f>
        <v>2026</v>
      </c>
      <c r="S303" s="2057">
        <f ca="1">R303+1</f>
        <v>2027</v>
      </c>
      <c r="T303" s="2057">
        <f ca="1">S303+1</f>
        <v>2028</v>
      </c>
      <c r="U303" s="2057">
        <f ca="1">T303+1</f>
        <v>2029</v>
      </c>
      <c r="V303" s="2057">
        <f ca="1">U303+1</f>
        <v>2030</v>
      </c>
      <c r="W303" s="2057"/>
      <c r="X303" s="2089"/>
      <c r="Y303" s="2087"/>
      <c r="Z303" s="2087"/>
      <c r="AA303" s="2087"/>
      <c r="AB303" s="2094"/>
      <c r="DA303" s="2069"/>
      <c r="DB303" s="2069"/>
      <c r="DC303" s="2091"/>
      <c r="DD303" s="2090"/>
      <c r="DE303" s="2090"/>
      <c r="DF303" s="2090"/>
      <c r="DG303" s="2090"/>
      <c r="DH303" s="2090"/>
      <c r="DI303" s="2090"/>
      <c r="DJ303" s="2090"/>
      <c r="DK303" s="2090"/>
      <c r="DL303" s="2090"/>
      <c r="DM303" s="2090"/>
      <c r="DN303" s="2090"/>
      <c r="DO303" s="2090"/>
      <c r="DP303" s="2090"/>
      <c r="DQ303" s="2090"/>
      <c r="DR303" s="2090"/>
    </row>
    <row r="304" spans="1:150" s="2092" customFormat="1">
      <c r="C304" s="2085" t="str">
        <f>CU21</f>
        <v xml:space="preserve">Abschreibungen </v>
      </c>
      <c r="E304" s="2093">
        <f>R305</f>
        <v>0</v>
      </c>
      <c r="G304" s="2093">
        <f>S305</f>
        <v>0</v>
      </c>
      <c r="I304" s="2093">
        <f ca="1">T305</f>
        <v>0</v>
      </c>
      <c r="K304" s="2093">
        <f ca="1">U305</f>
        <v>0</v>
      </c>
      <c r="M304" s="2093">
        <f ca="1">V305</f>
        <v>0</v>
      </c>
      <c r="N304" s="2093"/>
      <c r="O304" s="2095" t="s">
        <v>902</v>
      </c>
      <c r="P304" s="2057"/>
      <c r="Q304" s="2057"/>
      <c r="R304" s="2096">
        <f>SUM(D229:N229)</f>
        <v>0</v>
      </c>
      <c r="S304" s="2096">
        <f>SUM(P229:AA229)</f>
        <v>0</v>
      </c>
      <c r="T304" s="2096">
        <f>SUM(AN229:AY229)</f>
        <v>0</v>
      </c>
      <c r="U304" s="2096">
        <f>SUM(AZ229:BK229)</f>
        <v>0</v>
      </c>
      <c r="V304" s="2097">
        <f>SUM(BL229:BW229)</f>
        <v>0</v>
      </c>
      <c r="W304" s="2057" t="str">
        <f>O304</f>
        <v>Jahresinvest</v>
      </c>
      <c r="X304" s="2093"/>
      <c r="Y304" s="2087"/>
      <c r="Z304" s="2087"/>
      <c r="AA304" s="2087"/>
      <c r="AB304" s="2094"/>
      <c r="DA304" s="2069"/>
      <c r="DB304" s="2069"/>
      <c r="DC304" s="2091"/>
      <c r="DD304" s="2090"/>
      <c r="DE304" s="2090"/>
      <c r="DF304" s="2090"/>
      <c r="DG304" s="2090"/>
      <c r="DH304" s="2090"/>
      <c r="DI304" s="2090"/>
      <c r="DJ304" s="2090"/>
      <c r="DK304" s="2090"/>
      <c r="DL304" s="2090"/>
      <c r="DM304" s="2090"/>
      <c r="DN304" s="2090"/>
      <c r="DO304" s="2090"/>
      <c r="DP304" s="2090"/>
      <c r="DQ304" s="2090"/>
      <c r="DR304" s="2090"/>
    </row>
    <row r="305" spans="3:128" s="2092" customFormat="1">
      <c r="C305" s="2085" t="str">
        <f>CU20</f>
        <v>Anschaffungen</v>
      </c>
      <c r="D305" s="2093">
        <f>E11</f>
        <v>0</v>
      </c>
      <c r="F305" s="2093">
        <f>J11</f>
        <v>0</v>
      </c>
      <c r="H305" s="2093">
        <f ca="1">O11</f>
        <v>0</v>
      </c>
      <c r="J305" s="2093">
        <f ca="1">T11</f>
        <v>0</v>
      </c>
      <c r="L305" s="2090">
        <f ca="1">Y11</f>
        <v>0</v>
      </c>
      <c r="M305" s="2090"/>
      <c r="N305" s="2093"/>
      <c r="O305" s="2095" t="s">
        <v>937</v>
      </c>
      <c r="P305" s="2057"/>
      <c r="Q305" s="2057"/>
      <c r="R305" s="2096">
        <f>SUM(D230:O230)</f>
        <v>0</v>
      </c>
      <c r="S305" s="2096">
        <f>SUM(P230:AA230)</f>
        <v>0</v>
      </c>
      <c r="T305" s="2096">
        <f ca="1">SUM(AB230:AM230)</f>
        <v>0</v>
      </c>
      <c r="U305" s="2096">
        <f ca="1">SUM(AN230:AY230)</f>
        <v>0</v>
      </c>
      <c r="V305" s="2097">
        <f ca="1">SUM(AZ230:BK230)</f>
        <v>0</v>
      </c>
      <c r="W305" s="2057" t="str">
        <f>O305</f>
        <v>AFA Investion</v>
      </c>
      <c r="X305" s="2093"/>
      <c r="Y305" s="2087"/>
      <c r="Z305" s="2087"/>
      <c r="AA305" s="2087"/>
      <c r="AB305" s="2094"/>
      <c r="DA305" s="2069"/>
      <c r="DB305" s="2069"/>
      <c r="DC305" s="2091"/>
      <c r="DD305" s="2090"/>
      <c r="DE305" s="2090"/>
      <c r="DF305" s="2090"/>
      <c r="DG305" s="2090"/>
      <c r="DH305" s="2090"/>
      <c r="DI305" s="2090"/>
      <c r="DJ305" s="2090"/>
      <c r="DK305" s="2090"/>
      <c r="DL305" s="2090"/>
      <c r="DM305" s="2090"/>
      <c r="DN305" s="2090"/>
      <c r="DO305" s="2090"/>
      <c r="DP305" s="2090"/>
      <c r="DQ305" s="2090"/>
      <c r="DR305" s="2090"/>
    </row>
    <row r="306" spans="3:128" s="2066" customFormat="1">
      <c r="C306" s="2085"/>
      <c r="D306" s="2089"/>
      <c r="F306" s="2089"/>
      <c r="H306" s="2089"/>
      <c r="L306" s="2089"/>
      <c r="M306" s="2089"/>
      <c r="N306" s="2089"/>
      <c r="O306" s="2095" t="s">
        <v>936</v>
      </c>
      <c r="P306" s="2057"/>
      <c r="Q306" s="2057"/>
      <c r="R306" s="2096">
        <f>SUM(D226:O226)</f>
        <v>0</v>
      </c>
      <c r="S306" s="2096">
        <f>SUM(P226:AA226)</f>
        <v>0</v>
      </c>
      <c r="T306" s="2096">
        <f ca="1">SUM(AB226:AM226)</f>
        <v>0</v>
      </c>
      <c r="U306" s="2096">
        <f ca="1">SUM(AN226:AY226)</f>
        <v>0</v>
      </c>
      <c r="V306" s="2097">
        <f ca="1">SUM(AZ226:BK226)</f>
        <v>0</v>
      </c>
      <c r="W306" s="2057" t="str">
        <f>O306</f>
        <v>AFA Pool</v>
      </c>
      <c r="X306" s="2089"/>
      <c r="Z306" s="2098"/>
      <c r="AB306" s="2098"/>
      <c r="CW306" s="2087"/>
      <c r="CX306" s="2087"/>
      <c r="CY306" s="2087"/>
      <c r="CZ306" s="2087"/>
      <c r="DA306" s="2069"/>
      <c r="DB306" s="2069"/>
      <c r="DC306" s="2091"/>
      <c r="DD306" s="2090"/>
      <c r="DE306" s="2090"/>
      <c r="DF306" s="2090"/>
      <c r="DG306" s="2090"/>
      <c r="DH306" s="2090"/>
      <c r="DI306" s="2090"/>
      <c r="DJ306" s="2090"/>
      <c r="DK306" s="2090"/>
      <c r="DL306" s="2090"/>
      <c r="DM306" s="2090"/>
      <c r="DN306" s="2090"/>
      <c r="DO306" s="2090"/>
      <c r="DP306" s="2090"/>
      <c r="DQ306" s="2090"/>
      <c r="DR306" s="2090"/>
      <c r="DS306" s="2087"/>
      <c r="DT306" s="2087"/>
      <c r="DU306" s="2087"/>
      <c r="DV306" s="2087"/>
      <c r="DW306" s="2087"/>
      <c r="DX306" s="2087"/>
    </row>
    <row r="307" spans="3:128" s="2066" customFormat="1">
      <c r="C307" s="2085" t="s">
        <v>504</v>
      </c>
      <c r="D307" s="2087">
        <f>IF(Basisdaten!O51=0,0,D305* MwSt_19)</f>
        <v>0</v>
      </c>
      <c r="F307" s="2087">
        <f>IF(Basisdaten!O52=0,0,F305* MwSt_19)</f>
        <v>0</v>
      </c>
      <c r="H307" s="2087">
        <f ca="1">IF(Basisdaten!O53=0,0,H305* MwSt_19)</f>
        <v>0</v>
      </c>
      <c r="J307" s="2087">
        <f ca="1">IF(Basisdaten!O54=0,0,J305* MwSt_19)</f>
        <v>0</v>
      </c>
      <c r="L307" s="2087">
        <f ca="1">IF(Basisdaten!O55=0,0,L305* MwSt_19)</f>
        <v>0</v>
      </c>
      <c r="M307" s="2089"/>
      <c r="N307" s="2087"/>
      <c r="O307" s="2057" t="s">
        <v>935</v>
      </c>
      <c r="P307" s="2057"/>
      <c r="Q307" s="2057"/>
      <c r="R307" s="2096">
        <f>SUM(D224:O224)</f>
        <v>0</v>
      </c>
      <c r="S307" s="2099">
        <f>J10</f>
        <v>0</v>
      </c>
      <c r="T307" s="2099">
        <f ca="1">O10</f>
        <v>0</v>
      </c>
      <c r="U307" s="2099">
        <f ca="1">T10</f>
        <v>0</v>
      </c>
      <c r="V307" s="2097">
        <f ca="1">Y10</f>
        <v>0</v>
      </c>
      <c r="W307" s="2057" t="str">
        <f>O307</f>
        <v>Sammelpool</v>
      </c>
      <c r="X307" s="2087"/>
      <c r="Y307" s="2098"/>
      <c r="Z307" s="2098"/>
      <c r="AA307" s="2089"/>
      <c r="AB307" s="2098"/>
      <c r="CW307" s="2087"/>
      <c r="CX307" s="2087"/>
      <c r="CY307" s="2087"/>
      <c r="CZ307" s="2087"/>
      <c r="DA307" s="2069"/>
      <c r="DB307" s="2069"/>
      <c r="DC307" s="2091"/>
      <c r="DD307" s="2090"/>
      <c r="DE307" s="2090"/>
      <c r="DF307" s="2090"/>
      <c r="DG307" s="2090"/>
      <c r="DH307" s="2090"/>
      <c r="DI307" s="2090"/>
      <c r="DJ307" s="2090"/>
      <c r="DK307" s="2090"/>
      <c r="DL307" s="2090"/>
      <c r="DM307" s="2090"/>
      <c r="DN307" s="2090"/>
      <c r="DO307" s="2090"/>
      <c r="DP307" s="2090"/>
      <c r="DQ307" s="2090"/>
      <c r="DR307" s="2090"/>
      <c r="DS307" s="2087"/>
      <c r="DT307" s="2087"/>
      <c r="DU307" s="2087"/>
      <c r="DV307" s="2087"/>
      <c r="DW307" s="2087"/>
      <c r="DX307" s="2087"/>
    </row>
    <row r="308" spans="3:128" s="2057" customFormat="1" ht="14.25" customHeight="1">
      <c r="E308" s="2075"/>
      <c r="G308" s="2058"/>
      <c r="H308" s="2060"/>
      <c r="K308" s="2075"/>
      <c r="L308" s="2058"/>
      <c r="M308" s="2060"/>
      <c r="Y308" s="2075"/>
      <c r="Z308" s="2075"/>
      <c r="AB308" s="2075"/>
      <c r="BH308" s="2076"/>
      <c r="BI308" s="2076"/>
      <c r="BJ308" s="2076"/>
      <c r="BK308" s="2076"/>
      <c r="BL308" s="2076"/>
      <c r="BM308" s="2076"/>
      <c r="BN308" s="2076"/>
      <c r="BO308" s="2076"/>
      <c r="BP308" s="2076"/>
      <c r="BQ308" s="2076"/>
      <c r="BR308" s="2076"/>
      <c r="BS308" s="2076"/>
      <c r="BT308" s="2076"/>
      <c r="BU308" s="2076"/>
      <c r="BV308" s="2076"/>
      <c r="BW308" s="2076"/>
      <c r="BX308" s="2076"/>
      <c r="BY308" s="2076"/>
      <c r="BZ308" s="2076"/>
      <c r="CA308" s="2076"/>
      <c r="CB308" s="2076"/>
      <c r="CC308" s="2076"/>
      <c r="CD308" s="2076"/>
      <c r="CE308" s="2076"/>
      <c r="CF308" s="2076"/>
      <c r="CG308" s="2076"/>
      <c r="CH308" s="2076"/>
      <c r="CI308" s="2076"/>
      <c r="CJ308" s="2076"/>
      <c r="CK308" s="2076"/>
      <c r="CL308" s="2076"/>
      <c r="CM308" s="2076"/>
      <c r="CN308" s="2076"/>
      <c r="CO308" s="2076"/>
      <c r="CP308" s="2076"/>
      <c r="CQ308" s="2076"/>
      <c r="CR308" s="2076"/>
      <c r="CS308" s="2076"/>
      <c r="CT308" s="2076"/>
      <c r="CU308" s="2076"/>
      <c r="CV308" s="2076"/>
      <c r="CW308" s="2076"/>
      <c r="CX308" s="2076"/>
      <c r="CY308" s="2076"/>
      <c r="CZ308" s="2076"/>
      <c r="DA308" s="2077"/>
      <c r="DB308" s="2077"/>
      <c r="DC308" s="2078"/>
      <c r="DD308" s="2078"/>
      <c r="DE308" s="2078"/>
      <c r="DF308" s="2078"/>
      <c r="DG308" s="2078"/>
      <c r="DH308" s="2078"/>
      <c r="DI308" s="2078"/>
      <c r="DJ308" s="2078"/>
      <c r="DK308" s="2078"/>
      <c r="DL308" s="2078"/>
      <c r="DM308" s="2078"/>
      <c r="DN308" s="2078"/>
      <c r="DO308" s="2078"/>
      <c r="DP308" s="2078"/>
      <c r="DQ308" s="2078"/>
      <c r="DR308" s="2078"/>
      <c r="DS308" s="2076"/>
      <c r="DT308" s="2076"/>
      <c r="DU308" s="2076"/>
      <c r="DV308" s="2076"/>
      <c r="DW308" s="2076"/>
      <c r="DX308" s="2076"/>
    </row>
    <row r="309" spans="3:128" s="2057" customFormat="1" ht="14.25" customHeight="1">
      <c r="E309" s="2075"/>
      <c r="G309" s="2058"/>
      <c r="H309" s="2060"/>
      <c r="K309" s="2075"/>
      <c r="L309" s="2058"/>
      <c r="M309" s="2060"/>
      <c r="R309" s="2060"/>
      <c r="T309" s="2075"/>
      <c r="U309" s="2075"/>
      <c r="W309" s="2060"/>
      <c r="Y309" s="2075"/>
      <c r="Z309" s="2075"/>
      <c r="AB309" s="2075"/>
      <c r="BH309" s="2076"/>
      <c r="BI309" s="2076"/>
      <c r="BJ309" s="2076"/>
      <c r="BK309" s="2076"/>
      <c r="BL309" s="2076"/>
      <c r="BM309" s="2076"/>
      <c r="BN309" s="2076"/>
      <c r="BO309" s="2076"/>
      <c r="BP309" s="2076"/>
      <c r="BQ309" s="2076"/>
      <c r="BR309" s="2076"/>
      <c r="BS309" s="2076"/>
      <c r="BT309" s="2076"/>
      <c r="BU309" s="2076"/>
      <c r="BV309" s="2076"/>
      <c r="BW309" s="2076"/>
      <c r="BX309" s="2076"/>
      <c r="BY309" s="2076"/>
      <c r="BZ309" s="2076"/>
      <c r="CA309" s="2076"/>
      <c r="CB309" s="2076"/>
      <c r="CC309" s="2076"/>
      <c r="CD309" s="2076"/>
      <c r="CE309" s="2076"/>
      <c r="CF309" s="2076"/>
      <c r="CG309" s="2076"/>
      <c r="CH309" s="2076"/>
      <c r="CI309" s="2076"/>
      <c r="CJ309" s="2076"/>
      <c r="CK309" s="2076"/>
      <c r="CL309" s="2076"/>
      <c r="CM309" s="2076"/>
      <c r="CN309" s="2076"/>
      <c r="CO309" s="2076"/>
      <c r="CP309" s="2076"/>
      <c r="CQ309" s="2076"/>
      <c r="CR309" s="2076"/>
      <c r="CS309" s="2076"/>
      <c r="CT309" s="2076"/>
      <c r="CU309" s="2076"/>
      <c r="CV309" s="2076"/>
      <c r="CW309" s="2076"/>
      <c r="CX309" s="2076"/>
      <c r="CY309" s="2076"/>
      <c r="CZ309" s="2076"/>
      <c r="DA309" s="2077"/>
      <c r="DB309" s="2077"/>
      <c r="DC309" s="2078"/>
      <c r="DD309" s="2078"/>
      <c r="DE309" s="2078"/>
      <c r="DF309" s="2078"/>
      <c r="DG309" s="2078"/>
      <c r="DH309" s="2078"/>
      <c r="DI309" s="2078"/>
      <c r="DJ309" s="2078"/>
      <c r="DK309" s="2078"/>
      <c r="DL309" s="2078"/>
      <c r="DM309" s="2078"/>
      <c r="DN309" s="2078"/>
      <c r="DO309" s="2078"/>
      <c r="DP309" s="2078"/>
      <c r="DQ309" s="2078"/>
      <c r="DR309" s="2078"/>
      <c r="DS309" s="2076"/>
      <c r="DT309" s="2076"/>
      <c r="DU309" s="2076"/>
      <c r="DV309" s="2076"/>
      <c r="DW309" s="2076"/>
      <c r="DX309" s="2076"/>
    </row>
    <row r="310" spans="3:128" s="2057" customFormat="1" ht="14.25" customHeight="1">
      <c r="E310" s="2075"/>
      <c r="G310" s="2058"/>
      <c r="H310" s="2060"/>
      <c r="K310" s="2075"/>
      <c r="L310" s="2058"/>
      <c r="M310" s="2060"/>
      <c r="R310" s="2060"/>
      <c r="T310" s="2075"/>
      <c r="U310" s="2075"/>
      <c r="W310" s="2060"/>
      <c r="Y310" s="2075"/>
      <c r="Z310" s="2075"/>
      <c r="AB310" s="2075"/>
      <c r="BH310" s="2076"/>
      <c r="BI310" s="2076"/>
      <c r="BJ310" s="2076"/>
      <c r="BK310" s="2076"/>
      <c r="BL310" s="2076"/>
      <c r="BM310" s="2076"/>
      <c r="BN310" s="2076"/>
      <c r="BO310" s="2076"/>
      <c r="BP310" s="2076"/>
      <c r="BQ310" s="2076"/>
      <c r="BR310" s="2076"/>
      <c r="BS310" s="2076"/>
      <c r="BT310" s="2076"/>
      <c r="BU310" s="2076"/>
      <c r="BV310" s="2076"/>
      <c r="BW310" s="2076"/>
      <c r="BX310" s="2076"/>
      <c r="BY310" s="2076"/>
      <c r="BZ310" s="2076"/>
      <c r="CA310" s="2076"/>
      <c r="CB310" s="2076"/>
      <c r="CC310" s="2076"/>
      <c r="CD310" s="2076"/>
      <c r="CE310" s="2076"/>
      <c r="CF310" s="2076"/>
      <c r="CG310" s="2076"/>
      <c r="CH310" s="2076"/>
      <c r="CI310" s="2076"/>
      <c r="CJ310" s="2076"/>
      <c r="CK310" s="2076"/>
      <c r="CL310" s="2076"/>
      <c r="CM310" s="2076"/>
      <c r="CN310" s="2076"/>
      <c r="CO310" s="2076"/>
      <c r="CP310" s="2076"/>
      <c r="CQ310" s="2076"/>
      <c r="CR310" s="2076"/>
      <c r="CS310" s="2076"/>
      <c r="CT310" s="2076"/>
      <c r="CU310" s="2076"/>
      <c r="CV310" s="2076"/>
      <c r="CW310" s="2076"/>
      <c r="CX310" s="2076"/>
      <c r="CY310" s="2076"/>
      <c r="CZ310" s="2076"/>
      <c r="DA310" s="2077"/>
      <c r="DB310" s="2077"/>
      <c r="DC310" s="2078"/>
      <c r="DD310" s="2078"/>
      <c r="DE310" s="2078"/>
      <c r="DF310" s="2078"/>
      <c r="DG310" s="2078"/>
      <c r="DH310" s="2078"/>
      <c r="DI310" s="2078"/>
      <c r="DJ310" s="2078"/>
      <c r="DK310" s="2078"/>
      <c r="DL310" s="2078"/>
      <c r="DM310" s="2078"/>
      <c r="DN310" s="2078"/>
      <c r="DO310" s="2078"/>
      <c r="DP310" s="2078"/>
      <c r="DQ310" s="2078"/>
      <c r="DR310" s="2078"/>
      <c r="DS310" s="2076"/>
      <c r="DT310" s="2076"/>
      <c r="DU310" s="2076"/>
      <c r="DV310" s="2076"/>
      <c r="DW310" s="2076"/>
      <c r="DX310" s="2076"/>
    </row>
    <row r="311" spans="3:128" s="79" customFormat="1" ht="14.25" customHeight="1">
      <c r="E311" s="505"/>
      <c r="G311" s="168"/>
      <c r="H311" s="506"/>
      <c r="K311" s="505"/>
      <c r="L311" s="168"/>
      <c r="M311" s="506"/>
      <c r="R311" s="506"/>
      <c r="T311" s="505"/>
      <c r="U311" s="505"/>
      <c r="W311" s="506"/>
      <c r="Y311" s="505"/>
      <c r="Z311" s="505"/>
      <c r="AB311" s="505"/>
      <c r="BH311" s="107"/>
      <c r="BI311" s="107"/>
      <c r="BJ311" s="107"/>
      <c r="BK311" s="107"/>
      <c r="BL311" s="107"/>
      <c r="BM311" s="107"/>
      <c r="BN311" s="107"/>
      <c r="BO311" s="107"/>
      <c r="BP311" s="107"/>
      <c r="BQ311" s="107"/>
      <c r="BR311" s="107"/>
      <c r="BS311" s="107"/>
      <c r="BT311" s="107"/>
      <c r="BU311" s="107"/>
      <c r="BV311" s="107"/>
      <c r="BW311" s="107"/>
      <c r="BX311" s="107"/>
      <c r="BY311" s="107"/>
      <c r="BZ311" s="107"/>
      <c r="CA311" s="107"/>
      <c r="CB311" s="107"/>
      <c r="CC311" s="107"/>
      <c r="CD311" s="107"/>
      <c r="CE311" s="107"/>
      <c r="CF311" s="107"/>
      <c r="CG311" s="107"/>
      <c r="CH311" s="107"/>
      <c r="CI311" s="107"/>
      <c r="CJ311" s="107"/>
      <c r="CK311" s="107"/>
      <c r="CL311" s="107"/>
      <c r="CM311" s="107"/>
      <c r="CN311" s="107"/>
      <c r="CO311" s="107"/>
      <c r="CP311" s="107"/>
      <c r="CQ311" s="107"/>
      <c r="CR311" s="107"/>
      <c r="CS311" s="107"/>
      <c r="CT311" s="107"/>
      <c r="CU311" s="107"/>
      <c r="CV311" s="107"/>
      <c r="CW311" s="107"/>
      <c r="CX311" s="107"/>
      <c r="CY311" s="107"/>
      <c r="CZ311" s="107"/>
      <c r="DA311" s="341"/>
      <c r="DB311" s="341"/>
      <c r="DC311" s="485"/>
      <c r="DD311" s="485"/>
      <c r="DE311" s="485"/>
      <c r="DF311" s="485"/>
      <c r="DG311" s="485"/>
      <c r="DH311" s="485"/>
      <c r="DI311" s="485"/>
      <c r="DJ311" s="485"/>
      <c r="DK311" s="485"/>
      <c r="DL311" s="485"/>
      <c r="DM311" s="485"/>
      <c r="DN311" s="485"/>
      <c r="DO311" s="485"/>
      <c r="DP311" s="485"/>
      <c r="DQ311" s="485"/>
      <c r="DR311" s="485"/>
      <c r="DS311" s="107"/>
      <c r="DT311" s="107"/>
      <c r="DU311" s="107"/>
      <c r="DV311" s="107"/>
      <c r="DW311" s="107"/>
      <c r="DX311" s="107"/>
    </row>
    <row r="312" spans="3:128" s="79" customFormat="1" ht="14.25" customHeight="1">
      <c r="E312" s="505"/>
      <c r="G312" s="168"/>
      <c r="H312" s="506"/>
      <c r="K312" s="505"/>
      <c r="L312" s="168"/>
      <c r="M312" s="506"/>
      <c r="R312" s="506"/>
      <c r="T312" s="505"/>
      <c r="U312" s="505"/>
      <c r="W312" s="506"/>
      <c r="Y312" s="505"/>
      <c r="Z312" s="505"/>
      <c r="AB312" s="505"/>
      <c r="BH312" s="107"/>
      <c r="BI312" s="107"/>
      <c r="BJ312" s="107"/>
      <c r="BK312" s="107"/>
      <c r="BL312" s="107"/>
      <c r="BM312" s="107"/>
      <c r="BN312" s="107"/>
      <c r="BO312" s="107"/>
      <c r="BP312" s="107"/>
      <c r="BQ312" s="107"/>
      <c r="BR312" s="107"/>
      <c r="BS312" s="107"/>
      <c r="BT312" s="107"/>
      <c r="BU312" s="107"/>
      <c r="BV312" s="107"/>
      <c r="BW312" s="107"/>
      <c r="BX312" s="107"/>
      <c r="BY312" s="107"/>
      <c r="BZ312" s="107"/>
      <c r="CA312" s="107"/>
      <c r="CB312" s="107"/>
      <c r="CC312" s="107"/>
      <c r="CD312" s="107"/>
      <c r="CE312" s="107"/>
      <c r="CF312" s="107"/>
      <c r="CG312" s="107"/>
      <c r="CH312" s="107"/>
      <c r="CI312" s="107"/>
      <c r="CJ312" s="107"/>
      <c r="CK312" s="107"/>
      <c r="CL312" s="107"/>
      <c r="CM312" s="107"/>
      <c r="CN312" s="107"/>
      <c r="CO312" s="107"/>
      <c r="CP312" s="107"/>
      <c r="CQ312" s="107"/>
      <c r="CR312" s="107"/>
      <c r="CS312" s="107"/>
      <c r="CT312" s="107"/>
      <c r="CU312" s="107"/>
      <c r="CV312" s="107"/>
      <c r="CW312" s="107"/>
      <c r="CX312" s="107"/>
      <c r="CY312" s="107"/>
      <c r="CZ312" s="107"/>
      <c r="DA312" s="341"/>
      <c r="DB312" s="341"/>
      <c r="DC312" s="485"/>
      <c r="DD312" s="485"/>
      <c r="DE312" s="485"/>
      <c r="DF312" s="485"/>
      <c r="DG312" s="485"/>
      <c r="DH312" s="485"/>
      <c r="DI312" s="485"/>
      <c r="DJ312" s="485"/>
      <c r="DK312" s="485"/>
      <c r="DL312" s="485"/>
      <c r="DM312" s="485"/>
      <c r="DN312" s="485"/>
      <c r="DO312" s="485"/>
      <c r="DP312" s="485"/>
      <c r="DQ312" s="485"/>
      <c r="DR312" s="485"/>
      <c r="DS312" s="107"/>
      <c r="DT312" s="107"/>
      <c r="DU312" s="107"/>
      <c r="DV312" s="107"/>
      <c r="DW312" s="107"/>
      <c r="DX312" s="107"/>
    </row>
    <row r="313" spans="3:128" s="79" customFormat="1" ht="14.25" customHeight="1">
      <c r="E313" s="505"/>
      <c r="G313" s="168"/>
      <c r="H313" s="506"/>
      <c r="K313" s="505"/>
      <c r="L313" s="168"/>
      <c r="M313" s="506"/>
      <c r="R313" s="506"/>
      <c r="T313" s="505"/>
      <c r="U313" s="505"/>
      <c r="W313" s="506"/>
      <c r="Y313" s="505"/>
      <c r="Z313" s="505"/>
      <c r="AB313" s="505"/>
      <c r="BH313" s="107"/>
      <c r="BI313" s="107"/>
      <c r="BJ313" s="107"/>
      <c r="BK313" s="107"/>
      <c r="BL313" s="107"/>
      <c r="BM313" s="107"/>
      <c r="BN313" s="107"/>
      <c r="BO313" s="107"/>
      <c r="BP313" s="107"/>
      <c r="BQ313" s="107"/>
      <c r="BR313" s="107"/>
      <c r="BS313" s="107"/>
      <c r="BT313" s="107"/>
      <c r="BU313" s="107"/>
      <c r="BV313" s="107"/>
      <c r="BW313" s="107"/>
      <c r="BX313" s="107"/>
      <c r="BY313" s="107"/>
      <c r="BZ313" s="107"/>
      <c r="CA313" s="107"/>
      <c r="CB313" s="107"/>
      <c r="CC313" s="107"/>
      <c r="CD313" s="107"/>
      <c r="CE313" s="107"/>
      <c r="CF313" s="107"/>
      <c r="CG313" s="107"/>
      <c r="CH313" s="107"/>
      <c r="CI313" s="107"/>
      <c r="CJ313" s="107"/>
      <c r="CK313" s="107"/>
      <c r="CL313" s="107"/>
      <c r="CM313" s="107"/>
      <c r="CN313" s="107"/>
      <c r="CO313" s="107"/>
      <c r="CP313" s="107"/>
      <c r="CQ313" s="107"/>
      <c r="CR313" s="107"/>
      <c r="CS313" s="107"/>
      <c r="CT313" s="107"/>
      <c r="CU313" s="107"/>
      <c r="CV313" s="107"/>
      <c r="CW313" s="107"/>
      <c r="CX313" s="107"/>
      <c r="CY313" s="107"/>
      <c r="CZ313" s="107"/>
      <c r="DA313" s="341"/>
      <c r="DB313" s="341"/>
      <c r="DC313" s="485"/>
      <c r="DD313" s="485"/>
      <c r="DE313" s="485"/>
      <c r="DF313" s="485"/>
      <c r="DG313" s="485"/>
      <c r="DH313" s="485"/>
      <c r="DI313" s="485"/>
      <c r="DJ313" s="485"/>
      <c r="DK313" s="485"/>
      <c r="DL313" s="485"/>
      <c r="DM313" s="485"/>
      <c r="DN313" s="485"/>
      <c r="DO313" s="485"/>
      <c r="DP313" s="485"/>
      <c r="DQ313" s="485"/>
      <c r="DR313" s="485"/>
      <c r="DS313" s="107"/>
      <c r="DT313" s="107"/>
      <c r="DU313" s="107"/>
      <c r="DV313" s="107"/>
      <c r="DW313" s="107"/>
      <c r="DX313" s="107"/>
    </row>
    <row r="314" spans="3:128" s="79" customFormat="1" ht="14.25" customHeight="1">
      <c r="E314" s="505"/>
      <c r="G314" s="168"/>
      <c r="H314" s="506"/>
      <c r="K314" s="505"/>
      <c r="L314" s="168"/>
      <c r="M314" s="506"/>
      <c r="R314" s="506"/>
      <c r="T314" s="505"/>
      <c r="U314" s="505"/>
      <c r="W314" s="506"/>
      <c r="Y314" s="505"/>
      <c r="Z314" s="505"/>
      <c r="AB314" s="505"/>
      <c r="BH314" s="107"/>
      <c r="BI314" s="107"/>
      <c r="BJ314" s="107"/>
      <c r="BK314" s="107"/>
      <c r="BL314" s="107"/>
      <c r="BM314" s="107"/>
      <c r="BN314" s="107"/>
      <c r="BO314" s="107"/>
      <c r="BP314" s="107"/>
      <c r="BQ314" s="107"/>
      <c r="BR314" s="107"/>
      <c r="BS314" s="107"/>
      <c r="BT314" s="107"/>
      <c r="BU314" s="107"/>
      <c r="BV314" s="107"/>
      <c r="BW314" s="107"/>
      <c r="BX314" s="107"/>
      <c r="BY314" s="107"/>
      <c r="BZ314" s="107"/>
      <c r="CA314" s="107"/>
      <c r="CB314" s="107"/>
      <c r="CC314" s="107"/>
      <c r="CD314" s="107"/>
      <c r="CE314" s="107"/>
      <c r="CF314" s="107"/>
      <c r="CG314" s="107"/>
      <c r="CH314" s="107"/>
      <c r="CI314" s="107"/>
      <c r="CJ314" s="107"/>
      <c r="CK314" s="107"/>
      <c r="CL314" s="107"/>
      <c r="CM314" s="107"/>
      <c r="CN314" s="107"/>
      <c r="CO314" s="107"/>
      <c r="CP314" s="107"/>
      <c r="CQ314" s="107"/>
      <c r="CR314" s="107"/>
      <c r="CS314" s="107"/>
      <c r="CT314" s="107"/>
      <c r="CU314" s="107"/>
      <c r="CV314" s="107"/>
      <c r="CW314" s="107"/>
      <c r="CX314" s="107"/>
      <c r="CY314" s="107"/>
      <c r="CZ314" s="107"/>
      <c r="DA314" s="341"/>
      <c r="DB314" s="341"/>
      <c r="DC314" s="485"/>
      <c r="DD314" s="485"/>
      <c r="DE314" s="485"/>
      <c r="DF314" s="485"/>
      <c r="DG314" s="485"/>
      <c r="DH314" s="485"/>
      <c r="DI314" s="485"/>
      <c r="DJ314" s="485"/>
      <c r="DK314" s="485"/>
      <c r="DL314" s="485"/>
      <c r="DM314" s="485"/>
      <c r="DN314" s="485"/>
      <c r="DO314" s="485"/>
      <c r="DP314" s="485"/>
      <c r="DQ314" s="485"/>
      <c r="DR314" s="485"/>
      <c r="DS314" s="107"/>
      <c r="DT314" s="107"/>
      <c r="DU314" s="107"/>
      <c r="DV314" s="107"/>
      <c r="DW314" s="107"/>
      <c r="DX314" s="107"/>
    </row>
    <row r="315" spans="3:128" s="247" customFormat="1" ht="14.25" customHeight="1">
      <c r="C315" s="79"/>
      <c r="D315" s="79"/>
      <c r="E315" s="505"/>
      <c r="F315" s="79"/>
      <c r="G315" s="168"/>
      <c r="H315" s="506"/>
      <c r="I315" s="79"/>
      <c r="J315" s="79"/>
      <c r="K315" s="505"/>
      <c r="L315" s="168"/>
      <c r="M315" s="506"/>
      <c r="N315" s="79"/>
      <c r="O315" s="79"/>
      <c r="P315" s="79"/>
      <c r="Q315" s="79"/>
      <c r="R315" s="506"/>
      <c r="S315" s="79"/>
      <c r="T315" s="505"/>
      <c r="U315" s="505"/>
      <c r="V315" s="79"/>
      <c r="W315" s="506"/>
      <c r="X315" s="79"/>
      <c r="Y315" s="505"/>
      <c r="Z315" s="505"/>
      <c r="AA315" s="79"/>
      <c r="AB315" s="505"/>
      <c r="AC315" s="79"/>
      <c r="AD315" s="79"/>
      <c r="AE315" s="79"/>
      <c r="AF315" s="79"/>
      <c r="AZ315" s="68"/>
      <c r="BA315" s="68"/>
      <c r="BB315" s="68"/>
      <c r="BC315" s="68"/>
      <c r="BD315" s="68"/>
      <c r="BE315" s="68"/>
      <c r="BF315" s="68"/>
      <c r="BH315" s="40"/>
      <c r="BI315" s="40"/>
      <c r="BJ315" s="40"/>
      <c r="BK315" s="40"/>
      <c r="BL315" s="40"/>
      <c r="BM315" s="40"/>
      <c r="BN315" s="40"/>
      <c r="BO315" s="40"/>
      <c r="BP315" s="40"/>
      <c r="BQ315" s="40"/>
      <c r="BR315" s="40"/>
      <c r="BS315" s="40"/>
      <c r="BT315" s="40"/>
      <c r="BU315" s="40"/>
      <c r="BV315" s="40"/>
      <c r="BW315" s="40"/>
      <c r="BX315" s="40"/>
      <c r="BY315" s="40"/>
      <c r="BZ315" s="40"/>
      <c r="CA315" s="40"/>
      <c r="CB315" s="40"/>
      <c r="CC315" s="40"/>
      <c r="CD315" s="40"/>
      <c r="CE315" s="40"/>
      <c r="CF315" s="40"/>
      <c r="CG315" s="40"/>
      <c r="CH315" s="40"/>
      <c r="CI315" s="40"/>
      <c r="CJ315" s="40"/>
      <c r="CK315" s="40"/>
      <c r="CL315" s="40"/>
      <c r="CM315" s="40"/>
      <c r="CN315" s="40"/>
      <c r="CO315" s="40"/>
      <c r="CP315" s="40"/>
      <c r="CQ315" s="40"/>
      <c r="CR315" s="40"/>
      <c r="CS315" s="40"/>
      <c r="CT315" s="40"/>
      <c r="CU315" s="40"/>
      <c r="CV315" s="40"/>
      <c r="CW315" s="40"/>
      <c r="CX315" s="40"/>
      <c r="CY315" s="40"/>
      <c r="CZ315" s="40"/>
      <c r="DA315" s="491"/>
      <c r="DB315" s="491"/>
      <c r="DC315" s="492"/>
      <c r="DD315" s="492"/>
      <c r="DE315" s="492"/>
      <c r="DF315" s="492"/>
      <c r="DG315" s="492"/>
      <c r="DH315" s="492"/>
      <c r="DI315" s="492"/>
      <c r="DJ315" s="492"/>
      <c r="DK315" s="492"/>
      <c r="DL315" s="492"/>
      <c r="DM315" s="492"/>
      <c r="DN315" s="492"/>
      <c r="DO315" s="492"/>
      <c r="DP315" s="492"/>
      <c r="DQ315" s="492"/>
      <c r="DR315" s="492"/>
      <c r="DS315" s="40"/>
      <c r="DT315" s="40"/>
      <c r="DU315" s="40"/>
      <c r="DV315" s="40"/>
      <c r="DW315" s="40"/>
      <c r="DX315" s="40"/>
    </row>
    <row r="316" spans="3:128" s="247" customFormat="1" ht="14.25" customHeight="1">
      <c r="C316" s="79"/>
      <c r="D316" s="79"/>
      <c r="E316" s="505"/>
      <c r="F316" s="79"/>
      <c r="G316" s="168"/>
      <c r="H316" s="506"/>
      <c r="I316" s="79"/>
      <c r="J316" s="79"/>
      <c r="K316" s="505"/>
      <c r="L316" s="168"/>
      <c r="M316" s="506"/>
      <c r="N316" s="79"/>
      <c r="O316" s="79"/>
      <c r="P316" s="79"/>
      <c r="Q316" s="79"/>
      <c r="R316" s="506"/>
      <c r="S316" s="79"/>
      <c r="T316" s="505"/>
      <c r="U316" s="505"/>
      <c r="V316" s="79"/>
      <c r="W316" s="506"/>
      <c r="X316" s="79"/>
      <c r="Y316" s="505"/>
      <c r="Z316" s="505"/>
      <c r="AA316" s="79"/>
      <c r="AB316" s="505"/>
      <c r="AC316" s="79"/>
      <c r="AD316" s="79"/>
      <c r="AE316" s="79"/>
      <c r="AF316" s="79"/>
      <c r="AZ316" s="68"/>
      <c r="BA316" s="68"/>
      <c r="BB316" s="68"/>
      <c r="BC316" s="68"/>
      <c r="BD316" s="68"/>
      <c r="BE316" s="68"/>
      <c r="BF316" s="68"/>
      <c r="BH316" s="40"/>
      <c r="BI316" s="40"/>
      <c r="BJ316" s="40"/>
      <c r="BK316" s="40"/>
      <c r="BL316" s="40"/>
      <c r="BM316" s="40"/>
      <c r="BN316" s="40"/>
      <c r="BO316" s="40"/>
      <c r="BP316" s="40"/>
      <c r="BQ316" s="40"/>
      <c r="BR316" s="40"/>
      <c r="BS316" s="40"/>
      <c r="BT316" s="40"/>
      <c r="BU316" s="40"/>
      <c r="BV316" s="40"/>
      <c r="BW316" s="40"/>
      <c r="BX316" s="40"/>
      <c r="BY316" s="40"/>
      <c r="BZ316" s="40"/>
      <c r="CA316" s="40"/>
      <c r="CB316" s="40"/>
      <c r="CC316" s="40"/>
      <c r="CD316" s="40"/>
      <c r="CE316" s="40"/>
      <c r="CF316" s="40"/>
      <c r="CG316" s="40"/>
      <c r="CH316" s="40"/>
      <c r="CI316" s="40"/>
      <c r="CJ316" s="40"/>
      <c r="CK316" s="40"/>
      <c r="CL316" s="40"/>
      <c r="CM316" s="40"/>
      <c r="CN316" s="40"/>
      <c r="CO316" s="40"/>
      <c r="CP316" s="40"/>
      <c r="CQ316" s="40"/>
      <c r="CR316" s="40"/>
      <c r="CS316" s="40"/>
      <c r="CT316" s="40"/>
      <c r="CU316" s="40"/>
      <c r="CV316" s="40"/>
      <c r="CW316" s="40"/>
      <c r="CX316" s="40"/>
      <c r="CY316" s="40"/>
      <c r="CZ316" s="40"/>
      <c r="DA316" s="491"/>
      <c r="DB316" s="491"/>
      <c r="DC316" s="492"/>
      <c r="DD316" s="492"/>
      <c r="DE316" s="492"/>
      <c r="DF316" s="492"/>
      <c r="DG316" s="492"/>
      <c r="DH316" s="492"/>
      <c r="DI316" s="492"/>
      <c r="DJ316" s="492"/>
      <c r="DK316" s="492"/>
      <c r="DL316" s="492"/>
      <c r="DM316" s="492"/>
      <c r="DN316" s="492"/>
      <c r="DO316" s="492"/>
      <c r="DP316" s="492"/>
      <c r="DQ316" s="492"/>
      <c r="DR316" s="492"/>
      <c r="DS316" s="40"/>
      <c r="DT316" s="40"/>
      <c r="DU316" s="40"/>
      <c r="DV316" s="40"/>
      <c r="DW316" s="40"/>
      <c r="DX316" s="40"/>
    </row>
    <row r="317" spans="3:128" s="247" customFormat="1" ht="14.25" customHeight="1">
      <c r="C317" s="79"/>
      <c r="D317" s="79"/>
      <c r="E317" s="505"/>
      <c r="F317" s="79"/>
      <c r="G317" s="168"/>
      <c r="H317" s="506"/>
      <c r="I317" s="79"/>
      <c r="J317" s="79"/>
      <c r="K317" s="505"/>
      <c r="L317" s="168"/>
      <c r="M317" s="506"/>
      <c r="N317" s="79"/>
      <c r="O317" s="79"/>
      <c r="P317" s="79"/>
      <c r="Q317" s="79"/>
      <c r="R317" s="506"/>
      <c r="S317" s="79"/>
      <c r="T317" s="505"/>
      <c r="U317" s="505"/>
      <c r="V317" s="79"/>
      <c r="W317" s="506"/>
      <c r="X317" s="79"/>
      <c r="Y317" s="505"/>
      <c r="Z317" s="505"/>
      <c r="AA317" s="79"/>
      <c r="AB317" s="505"/>
      <c r="AC317" s="79"/>
      <c r="AD317" s="79"/>
      <c r="AE317" s="79"/>
      <c r="AF317" s="79"/>
      <c r="AZ317" s="68"/>
      <c r="BA317" s="68"/>
      <c r="BB317" s="68"/>
      <c r="BC317" s="68"/>
      <c r="BD317" s="68"/>
      <c r="BE317" s="68"/>
      <c r="BF317" s="68"/>
      <c r="BH317" s="40"/>
      <c r="BI317" s="40"/>
      <c r="BJ317" s="40"/>
      <c r="BK317" s="40"/>
      <c r="BL317" s="40"/>
      <c r="BM317" s="40"/>
      <c r="BN317" s="40"/>
      <c r="BO317" s="40"/>
      <c r="BP317" s="40"/>
      <c r="BQ317" s="40"/>
      <c r="BR317" s="40"/>
      <c r="BS317" s="40"/>
      <c r="BT317" s="40"/>
      <c r="BU317" s="40"/>
      <c r="BV317" s="40"/>
      <c r="BW317" s="40"/>
      <c r="BX317" s="40"/>
      <c r="BY317" s="40"/>
      <c r="BZ317" s="40"/>
      <c r="CA317" s="40"/>
      <c r="CB317" s="40"/>
      <c r="CC317" s="40"/>
      <c r="CD317" s="40"/>
      <c r="CE317" s="40"/>
      <c r="CF317" s="40"/>
      <c r="CG317" s="40"/>
      <c r="CH317" s="40"/>
      <c r="CI317" s="40"/>
      <c r="CJ317" s="40"/>
      <c r="CK317" s="40"/>
      <c r="CL317" s="40"/>
      <c r="CM317" s="40"/>
      <c r="CN317" s="40"/>
      <c r="CO317" s="40"/>
      <c r="CP317" s="40"/>
      <c r="CQ317" s="40"/>
      <c r="CR317" s="40"/>
      <c r="CS317" s="40"/>
      <c r="CT317" s="40"/>
      <c r="CU317" s="40"/>
      <c r="CV317" s="40"/>
      <c r="CW317" s="40"/>
      <c r="CX317" s="40"/>
      <c r="CY317" s="40"/>
      <c r="CZ317" s="40"/>
      <c r="DA317" s="491"/>
      <c r="DB317" s="491"/>
      <c r="DC317" s="492"/>
      <c r="DD317" s="492"/>
      <c r="DE317" s="492"/>
      <c r="DF317" s="492"/>
      <c r="DG317" s="492"/>
      <c r="DH317" s="492"/>
      <c r="DI317" s="492"/>
      <c r="DJ317" s="492"/>
      <c r="DK317" s="492"/>
      <c r="DL317" s="492"/>
      <c r="DM317" s="492"/>
      <c r="DN317" s="492"/>
      <c r="DO317" s="492"/>
      <c r="DP317" s="492"/>
      <c r="DQ317" s="492"/>
      <c r="DR317" s="492"/>
      <c r="DS317" s="40"/>
      <c r="DT317" s="40"/>
      <c r="DU317" s="40"/>
      <c r="DV317" s="40"/>
      <c r="DW317" s="40"/>
      <c r="DX317" s="40"/>
    </row>
    <row r="318" spans="3:128" s="247" customFormat="1" ht="14.25" customHeight="1">
      <c r="C318" s="79"/>
      <c r="D318" s="79"/>
      <c r="E318" s="505"/>
      <c r="F318" s="79"/>
      <c r="G318" s="168"/>
      <c r="H318" s="506"/>
      <c r="I318" s="79"/>
      <c r="J318" s="79"/>
      <c r="K318" s="505"/>
      <c r="L318" s="168"/>
      <c r="M318" s="506"/>
      <c r="N318" s="79"/>
      <c r="O318" s="79"/>
      <c r="P318" s="79"/>
      <c r="Q318" s="79"/>
      <c r="R318" s="506"/>
      <c r="S318" s="79"/>
      <c r="T318" s="505"/>
      <c r="U318" s="505"/>
      <c r="V318" s="79"/>
      <c r="W318" s="506"/>
      <c r="X318" s="79"/>
      <c r="Y318" s="505"/>
      <c r="Z318" s="505"/>
      <c r="AA318" s="79"/>
      <c r="AB318" s="505"/>
      <c r="AC318" s="79"/>
      <c r="AD318" s="79"/>
      <c r="AE318" s="79"/>
      <c r="AF318" s="79"/>
      <c r="AZ318" s="68"/>
      <c r="BA318" s="68"/>
      <c r="BB318" s="68"/>
      <c r="BC318" s="68"/>
      <c r="BD318" s="68"/>
      <c r="BE318" s="68"/>
      <c r="BF318" s="68"/>
      <c r="BH318" s="40"/>
      <c r="BI318" s="40"/>
      <c r="BJ318" s="40"/>
      <c r="BK318" s="40"/>
      <c r="BL318" s="40"/>
      <c r="BM318" s="40"/>
      <c r="BN318" s="40"/>
      <c r="BO318" s="40"/>
      <c r="BP318" s="40"/>
      <c r="BQ318" s="40"/>
      <c r="BR318" s="40"/>
      <c r="BS318" s="40"/>
      <c r="BT318" s="40"/>
      <c r="BU318" s="40"/>
      <c r="BV318" s="40"/>
      <c r="BW318" s="40"/>
      <c r="BX318" s="40"/>
      <c r="BY318" s="40"/>
      <c r="BZ318" s="40"/>
      <c r="CA318" s="40"/>
      <c r="CB318" s="40"/>
      <c r="CC318" s="40"/>
      <c r="CD318" s="40"/>
      <c r="CE318" s="40"/>
      <c r="CF318" s="40"/>
      <c r="CG318" s="40"/>
      <c r="CH318" s="40"/>
      <c r="CI318" s="40"/>
      <c r="CJ318" s="40"/>
      <c r="CK318" s="40"/>
      <c r="CL318" s="40"/>
      <c r="CM318" s="40"/>
      <c r="CN318" s="40"/>
      <c r="CO318" s="40"/>
      <c r="CP318" s="40"/>
      <c r="CQ318" s="40"/>
      <c r="CR318" s="40"/>
      <c r="CS318" s="40"/>
      <c r="CT318" s="40"/>
      <c r="CU318" s="40"/>
      <c r="CV318" s="40"/>
      <c r="CW318" s="40"/>
      <c r="CX318" s="40"/>
      <c r="CY318" s="40"/>
      <c r="CZ318" s="40"/>
      <c r="DA318" s="491"/>
      <c r="DB318" s="491"/>
      <c r="DC318" s="492"/>
      <c r="DD318" s="492"/>
      <c r="DE318" s="492"/>
      <c r="DF318" s="492"/>
      <c r="DG318" s="492"/>
      <c r="DH318" s="492"/>
      <c r="DI318" s="492"/>
      <c r="DJ318" s="492"/>
      <c r="DK318" s="492"/>
      <c r="DL318" s="492"/>
      <c r="DM318" s="492"/>
      <c r="DN318" s="492"/>
      <c r="DO318" s="492"/>
      <c r="DP318" s="492"/>
      <c r="DQ318" s="492"/>
      <c r="DR318" s="492"/>
      <c r="DS318" s="40"/>
      <c r="DT318" s="40"/>
      <c r="DU318" s="40"/>
      <c r="DV318" s="40"/>
      <c r="DW318" s="40"/>
      <c r="DX318" s="40"/>
    </row>
    <row r="319" spans="3:128" s="247" customFormat="1" ht="14.25" customHeight="1">
      <c r="C319" s="79"/>
      <c r="D319" s="79"/>
      <c r="E319" s="505"/>
      <c r="F319" s="79"/>
      <c r="G319" s="79"/>
      <c r="H319" s="506"/>
      <c r="I319" s="79"/>
      <c r="J319" s="79"/>
      <c r="K319" s="505"/>
      <c r="L319" s="79"/>
      <c r="M319" s="506"/>
      <c r="N319" s="79"/>
      <c r="O319" s="79"/>
      <c r="P319" s="79"/>
      <c r="Q319" s="79"/>
      <c r="R319" s="506"/>
      <c r="S319" s="79"/>
      <c r="T319" s="505"/>
      <c r="U319" s="505"/>
      <c r="V319" s="79"/>
      <c r="W319" s="506"/>
      <c r="X319" s="79"/>
      <c r="Y319" s="505"/>
      <c r="Z319" s="505"/>
      <c r="AA319" s="79"/>
      <c r="AB319" s="505"/>
      <c r="AC319" s="79"/>
      <c r="AD319" s="79"/>
      <c r="AE319" s="79"/>
      <c r="AF319" s="79"/>
      <c r="AZ319" s="68"/>
      <c r="BA319" s="68"/>
      <c r="BB319" s="68"/>
      <c r="BC319" s="68"/>
      <c r="BD319" s="68"/>
      <c r="BE319" s="68"/>
      <c r="BF319" s="68"/>
      <c r="BH319" s="40"/>
      <c r="BI319" s="40"/>
      <c r="BJ319" s="40"/>
      <c r="BK319" s="40"/>
      <c r="BL319" s="40"/>
      <c r="BM319" s="40"/>
      <c r="BN319" s="40"/>
      <c r="BO319" s="40"/>
      <c r="BP319" s="40"/>
      <c r="BQ319" s="40"/>
      <c r="BR319" s="40"/>
      <c r="BS319" s="40"/>
      <c r="BT319" s="40"/>
      <c r="BU319" s="40"/>
      <c r="BV319" s="40"/>
      <c r="BW319" s="40"/>
      <c r="BX319" s="40"/>
      <c r="BY319" s="40"/>
      <c r="BZ319" s="40"/>
      <c r="CA319" s="40"/>
      <c r="CB319" s="40"/>
      <c r="CC319" s="40"/>
      <c r="CD319" s="40"/>
      <c r="CE319" s="40"/>
      <c r="CF319" s="40"/>
      <c r="CG319" s="40"/>
      <c r="CH319" s="40"/>
      <c r="CI319" s="40"/>
      <c r="CJ319" s="40"/>
      <c r="CK319" s="40"/>
      <c r="CL319" s="40"/>
      <c r="CM319" s="40"/>
      <c r="CN319" s="40"/>
      <c r="CO319" s="40"/>
      <c r="CP319" s="40"/>
      <c r="CQ319" s="40"/>
      <c r="CR319" s="40"/>
      <c r="CS319" s="40"/>
      <c r="CT319" s="40"/>
      <c r="CU319" s="40"/>
      <c r="CV319" s="40"/>
      <c r="CW319" s="40"/>
      <c r="CX319" s="40"/>
      <c r="CY319" s="40"/>
      <c r="CZ319" s="40"/>
      <c r="DA319" s="491"/>
      <c r="DB319" s="491"/>
      <c r="DC319" s="492"/>
      <c r="DD319" s="492"/>
      <c r="DE319" s="492"/>
      <c r="DF319" s="492"/>
      <c r="DG319" s="492"/>
      <c r="DH319" s="492"/>
      <c r="DI319" s="492"/>
      <c r="DJ319" s="492"/>
      <c r="DK319" s="492"/>
      <c r="DL319" s="492"/>
      <c r="DM319" s="492"/>
      <c r="DN319" s="492"/>
      <c r="DO319" s="492"/>
      <c r="DP319" s="492"/>
      <c r="DQ319" s="492"/>
      <c r="DR319" s="492"/>
      <c r="DS319" s="40"/>
      <c r="DT319" s="40"/>
      <c r="DU319" s="40"/>
      <c r="DV319" s="40"/>
      <c r="DW319" s="40"/>
      <c r="DX319" s="40"/>
    </row>
    <row r="320" spans="3:128" s="247" customFormat="1" ht="14.25" customHeight="1">
      <c r="C320" s="79"/>
      <c r="D320" s="79"/>
      <c r="E320" s="505"/>
      <c r="F320" s="79"/>
      <c r="G320" s="505"/>
      <c r="H320" s="506"/>
      <c r="I320" s="79"/>
      <c r="J320" s="79"/>
      <c r="K320" s="505"/>
      <c r="L320" s="505"/>
      <c r="M320" s="506"/>
      <c r="N320" s="79"/>
      <c r="O320" s="79"/>
      <c r="P320" s="79"/>
      <c r="Q320" s="79"/>
      <c r="R320" s="506"/>
      <c r="S320" s="79"/>
      <c r="T320" s="505"/>
      <c r="U320" s="505"/>
      <c r="V320" s="79"/>
      <c r="W320" s="506"/>
      <c r="X320" s="79"/>
      <c r="Y320" s="505"/>
      <c r="Z320" s="505"/>
      <c r="AA320" s="79"/>
      <c r="AB320" s="505"/>
      <c r="AC320" s="79"/>
      <c r="AD320" s="79"/>
      <c r="AE320" s="79"/>
      <c r="AF320" s="79"/>
      <c r="AZ320" s="68"/>
      <c r="BA320" s="68"/>
      <c r="BB320" s="68"/>
      <c r="BC320" s="68"/>
      <c r="BD320" s="68"/>
      <c r="BE320" s="68"/>
      <c r="BF320" s="68"/>
      <c r="BH320" s="40"/>
      <c r="BI320" s="40"/>
      <c r="BJ320" s="40"/>
      <c r="BK320" s="40"/>
      <c r="BL320" s="40"/>
      <c r="BM320" s="40"/>
      <c r="BN320" s="40"/>
      <c r="BO320" s="40"/>
      <c r="BP320" s="40"/>
      <c r="BQ320" s="40"/>
      <c r="BR320" s="40"/>
      <c r="BS320" s="40"/>
      <c r="BT320" s="40"/>
      <c r="BU320" s="40"/>
      <c r="BV320" s="40"/>
      <c r="BW320" s="40"/>
      <c r="BX320" s="40"/>
      <c r="BY320" s="40"/>
      <c r="BZ320" s="40"/>
      <c r="CA320" s="40"/>
      <c r="CB320" s="40"/>
      <c r="CC320" s="40"/>
      <c r="CD320" s="40"/>
      <c r="CE320" s="40"/>
      <c r="CF320" s="40"/>
      <c r="CG320" s="40"/>
      <c r="CH320" s="40"/>
      <c r="CI320" s="40"/>
      <c r="CJ320" s="40"/>
      <c r="CK320" s="40"/>
      <c r="CL320" s="40"/>
      <c r="CM320" s="40"/>
      <c r="CN320" s="40"/>
      <c r="CO320" s="40"/>
      <c r="CP320" s="40"/>
      <c r="CQ320" s="40"/>
      <c r="CR320" s="40"/>
      <c r="CS320" s="40"/>
      <c r="CT320" s="40"/>
      <c r="CU320" s="40"/>
      <c r="CV320" s="40"/>
      <c r="CW320" s="40"/>
      <c r="CX320" s="40"/>
      <c r="CY320" s="40"/>
      <c r="CZ320" s="40"/>
      <c r="DA320" s="491"/>
      <c r="DB320" s="491"/>
      <c r="DC320" s="492"/>
      <c r="DD320" s="492"/>
      <c r="DE320" s="492"/>
      <c r="DF320" s="492"/>
      <c r="DG320" s="492"/>
      <c r="DH320" s="492"/>
      <c r="DI320" s="492"/>
      <c r="DJ320" s="492"/>
      <c r="DK320" s="492"/>
      <c r="DL320" s="492"/>
      <c r="DM320" s="492"/>
      <c r="DN320" s="492"/>
      <c r="DO320" s="492"/>
      <c r="DP320" s="492"/>
      <c r="DQ320" s="492"/>
      <c r="DR320" s="492"/>
      <c r="DS320" s="40"/>
      <c r="DT320" s="40"/>
      <c r="DU320" s="40"/>
      <c r="DV320" s="40"/>
      <c r="DW320" s="40"/>
      <c r="DX320" s="40"/>
    </row>
    <row r="321" spans="1:128" s="247" customFormat="1" ht="14.25" customHeight="1">
      <c r="C321" s="79"/>
      <c r="D321" s="79"/>
      <c r="E321" s="505"/>
      <c r="F321" s="79"/>
      <c r="G321" s="505"/>
      <c r="H321" s="506"/>
      <c r="I321" s="79"/>
      <c r="J321" s="79"/>
      <c r="K321" s="505"/>
      <c r="L321" s="505"/>
      <c r="M321" s="506"/>
      <c r="N321" s="79"/>
      <c r="O321" s="79"/>
      <c r="P321" s="79"/>
      <c r="Q321" s="79"/>
      <c r="R321" s="506"/>
      <c r="S321" s="79"/>
      <c r="T321" s="505"/>
      <c r="U321" s="505"/>
      <c r="V321" s="79"/>
      <c r="W321" s="506"/>
      <c r="X321" s="79"/>
      <c r="Y321" s="505"/>
      <c r="Z321" s="505"/>
      <c r="AA321" s="79"/>
      <c r="AB321" s="505"/>
      <c r="AC321" s="79"/>
      <c r="AD321" s="79"/>
      <c r="AE321" s="79"/>
      <c r="AF321" s="79"/>
      <c r="AZ321" s="68"/>
      <c r="BA321" s="68"/>
      <c r="BB321" s="68"/>
      <c r="BC321" s="68"/>
      <c r="BD321" s="68"/>
      <c r="BE321" s="68"/>
      <c r="BF321" s="68"/>
      <c r="BH321" s="40"/>
      <c r="BI321" s="40"/>
      <c r="BJ321" s="40"/>
      <c r="BK321" s="40"/>
      <c r="BL321" s="40"/>
      <c r="BM321" s="40"/>
      <c r="BN321" s="40"/>
      <c r="BO321" s="40"/>
      <c r="BP321" s="40"/>
      <c r="BQ321" s="40"/>
      <c r="BR321" s="40"/>
      <c r="BS321" s="40"/>
      <c r="BT321" s="40"/>
      <c r="BU321" s="40"/>
      <c r="BV321" s="40"/>
      <c r="BW321" s="40"/>
      <c r="BX321" s="40"/>
      <c r="BY321" s="40"/>
      <c r="BZ321" s="40"/>
      <c r="CA321" s="40"/>
      <c r="CB321" s="40"/>
      <c r="CC321" s="40"/>
      <c r="CD321" s="40"/>
      <c r="CE321" s="40"/>
      <c r="CF321" s="40"/>
      <c r="CG321" s="40"/>
      <c r="CH321" s="40"/>
      <c r="CI321" s="40"/>
      <c r="CJ321" s="40"/>
      <c r="CK321" s="40"/>
      <c r="CL321" s="40"/>
      <c r="CM321" s="40"/>
      <c r="CN321" s="40"/>
      <c r="CO321" s="40"/>
      <c r="CP321" s="40"/>
      <c r="CQ321" s="40"/>
      <c r="CR321" s="40"/>
      <c r="CS321" s="40"/>
      <c r="CT321" s="40"/>
      <c r="CU321" s="40"/>
      <c r="CV321" s="40"/>
      <c r="CW321" s="40"/>
      <c r="CX321" s="40"/>
      <c r="CY321" s="40"/>
      <c r="CZ321" s="40"/>
      <c r="DA321" s="491"/>
      <c r="DB321" s="491"/>
      <c r="DC321" s="492"/>
      <c r="DD321" s="492"/>
      <c r="DE321" s="492"/>
      <c r="DF321" s="492"/>
      <c r="DG321" s="492"/>
      <c r="DH321" s="492"/>
      <c r="DI321" s="492"/>
      <c r="DJ321" s="492"/>
      <c r="DK321" s="492"/>
      <c r="DL321" s="492"/>
      <c r="DM321" s="492"/>
      <c r="DN321" s="492"/>
      <c r="DO321" s="492"/>
      <c r="DP321" s="492"/>
      <c r="DQ321" s="492"/>
      <c r="DR321" s="492"/>
      <c r="DS321" s="40"/>
      <c r="DT321" s="40"/>
      <c r="DU321" s="40"/>
      <c r="DV321" s="40"/>
      <c r="DW321" s="40"/>
      <c r="DX321" s="40"/>
    </row>
    <row r="322" spans="1:128" s="247" customFormat="1" ht="14.25" customHeight="1">
      <c r="C322" s="79"/>
      <c r="D322" s="79"/>
      <c r="E322" s="505"/>
      <c r="F322" s="79"/>
      <c r="G322" s="505"/>
      <c r="H322" s="506"/>
      <c r="I322" s="79"/>
      <c r="J322" s="79"/>
      <c r="K322" s="505"/>
      <c r="L322" s="505"/>
      <c r="M322" s="506"/>
      <c r="N322" s="79"/>
      <c r="O322" s="79"/>
      <c r="P322" s="79"/>
      <c r="Q322" s="79"/>
      <c r="R322" s="506"/>
      <c r="S322" s="79"/>
      <c r="T322" s="505"/>
      <c r="U322" s="505"/>
      <c r="V322" s="79"/>
      <c r="W322" s="506"/>
      <c r="X322" s="79"/>
      <c r="Y322" s="505"/>
      <c r="Z322" s="505"/>
      <c r="AA322" s="79"/>
      <c r="AB322" s="505"/>
      <c r="AC322" s="79"/>
      <c r="AD322" s="79"/>
      <c r="AE322" s="79"/>
      <c r="AF322" s="79"/>
      <c r="AZ322" s="68"/>
      <c r="BA322" s="68"/>
      <c r="BB322" s="68"/>
      <c r="BC322" s="68"/>
      <c r="BD322" s="68"/>
      <c r="BE322" s="68"/>
      <c r="BF322" s="68"/>
      <c r="BH322" s="40"/>
      <c r="BI322" s="40"/>
      <c r="BJ322" s="40"/>
      <c r="BK322" s="40"/>
      <c r="BL322" s="40"/>
      <c r="BM322" s="40"/>
      <c r="BN322" s="40"/>
      <c r="BO322" s="40"/>
      <c r="BP322" s="40"/>
      <c r="BQ322" s="40"/>
      <c r="BR322" s="40"/>
      <c r="BS322" s="40"/>
      <c r="BT322" s="40"/>
      <c r="BU322" s="40"/>
      <c r="BV322" s="40"/>
      <c r="BW322" s="40"/>
      <c r="BX322" s="40"/>
      <c r="BY322" s="40"/>
      <c r="BZ322" s="40"/>
      <c r="CA322" s="40"/>
      <c r="CB322" s="40"/>
      <c r="CC322" s="40"/>
      <c r="CD322" s="40"/>
      <c r="CE322" s="40"/>
      <c r="CF322" s="40"/>
      <c r="CG322" s="40"/>
      <c r="CH322" s="40"/>
      <c r="CI322" s="40"/>
      <c r="CJ322" s="40"/>
      <c r="CK322" s="40"/>
      <c r="CL322" s="40"/>
      <c r="CM322" s="40"/>
      <c r="CN322" s="40"/>
      <c r="CO322" s="40"/>
      <c r="CP322" s="40"/>
      <c r="CQ322" s="40"/>
      <c r="CR322" s="40"/>
      <c r="CS322" s="40"/>
      <c r="CT322" s="40"/>
      <c r="CU322" s="40"/>
      <c r="CV322" s="40"/>
      <c r="CW322" s="40"/>
      <c r="CX322" s="40"/>
      <c r="CY322" s="40"/>
      <c r="CZ322" s="40"/>
      <c r="DA322" s="491"/>
      <c r="DB322" s="491"/>
      <c r="DC322" s="492"/>
      <c r="DD322" s="492"/>
      <c r="DE322" s="492"/>
      <c r="DF322" s="492"/>
      <c r="DG322" s="492"/>
      <c r="DH322" s="492"/>
      <c r="DI322" s="492"/>
      <c r="DJ322" s="492"/>
      <c r="DK322" s="492"/>
      <c r="DL322" s="492"/>
      <c r="DM322" s="492"/>
      <c r="DN322" s="492"/>
      <c r="DO322" s="492"/>
      <c r="DP322" s="492"/>
      <c r="DQ322" s="492"/>
      <c r="DR322" s="492"/>
      <c r="DS322" s="40"/>
      <c r="DT322" s="40"/>
      <c r="DU322" s="40"/>
      <c r="DV322" s="40"/>
      <c r="DW322" s="40"/>
      <c r="DX322" s="40"/>
    </row>
    <row r="323" spans="1:128" s="40" customFormat="1" ht="14.25" customHeight="1">
      <c r="A323" s="247"/>
      <c r="B323" s="247"/>
      <c r="C323" s="79"/>
      <c r="D323" s="79"/>
      <c r="E323" s="505"/>
      <c r="F323" s="79"/>
      <c r="G323" s="505"/>
      <c r="H323" s="506"/>
      <c r="I323" s="79"/>
      <c r="J323" s="79"/>
      <c r="K323" s="505"/>
      <c r="L323" s="505"/>
      <c r="M323" s="506"/>
      <c r="N323" s="79"/>
      <c r="O323" s="79"/>
      <c r="P323" s="79"/>
      <c r="Q323" s="79"/>
      <c r="R323" s="506"/>
      <c r="S323" s="79"/>
      <c r="T323" s="505"/>
      <c r="U323" s="505"/>
      <c r="V323" s="79"/>
      <c r="W323" s="506"/>
      <c r="X323" s="79"/>
      <c r="Y323" s="505"/>
      <c r="Z323" s="505"/>
      <c r="AA323" s="79"/>
      <c r="AB323" s="505"/>
      <c r="AC323" s="79"/>
      <c r="AD323" s="79"/>
      <c r="AE323" s="79"/>
      <c r="AF323" s="79"/>
      <c r="AG323" s="247"/>
      <c r="AH323" s="247"/>
      <c r="AI323" s="247"/>
      <c r="AJ323" s="247"/>
      <c r="AK323" s="247"/>
      <c r="AL323" s="247"/>
      <c r="AM323" s="247"/>
      <c r="AN323" s="247"/>
      <c r="AO323" s="247"/>
      <c r="AP323" s="247"/>
      <c r="AQ323" s="247"/>
      <c r="AR323" s="247"/>
      <c r="AS323" s="247"/>
      <c r="AT323" s="247"/>
      <c r="AU323" s="247"/>
      <c r="AV323" s="247"/>
      <c r="AW323" s="247"/>
      <c r="AX323" s="247"/>
      <c r="AY323" s="247"/>
      <c r="AZ323" s="68"/>
      <c r="BA323" s="68"/>
      <c r="BB323" s="68"/>
      <c r="BC323" s="68"/>
      <c r="BD323" s="68"/>
      <c r="BE323" s="68"/>
      <c r="BF323" s="68"/>
      <c r="BG323" s="247"/>
      <c r="DA323" s="491"/>
      <c r="DB323" s="491"/>
      <c r="DC323" s="492"/>
      <c r="DD323" s="492"/>
      <c r="DE323" s="492"/>
      <c r="DF323" s="492"/>
      <c r="DG323" s="492"/>
      <c r="DH323" s="492"/>
      <c r="DI323" s="492"/>
      <c r="DJ323" s="492"/>
      <c r="DK323" s="492"/>
      <c r="DL323" s="492"/>
      <c r="DM323" s="492"/>
      <c r="DN323" s="492"/>
      <c r="DO323" s="492"/>
      <c r="DP323" s="492"/>
      <c r="DQ323" s="492"/>
      <c r="DR323" s="492"/>
    </row>
    <row r="324" spans="1:128" s="40" customFormat="1" ht="14.25" customHeight="1">
      <c r="A324" s="247"/>
      <c r="B324" s="247"/>
      <c r="C324" s="79"/>
      <c r="D324" s="79"/>
      <c r="E324" s="505"/>
      <c r="F324" s="79"/>
      <c r="G324" s="505"/>
      <c r="H324" s="506"/>
      <c r="I324" s="79"/>
      <c r="J324" s="79"/>
      <c r="K324" s="505"/>
      <c r="L324" s="505"/>
      <c r="M324" s="506"/>
      <c r="N324" s="79"/>
      <c r="O324" s="79"/>
      <c r="P324" s="79"/>
      <c r="Q324" s="79"/>
      <c r="R324" s="506"/>
      <c r="S324" s="79"/>
      <c r="T324" s="505"/>
      <c r="U324" s="505"/>
      <c r="V324" s="79"/>
      <c r="W324" s="506"/>
      <c r="X324" s="79"/>
      <c r="Y324" s="505"/>
      <c r="Z324" s="505"/>
      <c r="AA324" s="79"/>
      <c r="AB324" s="505"/>
      <c r="AC324" s="79"/>
      <c r="AD324" s="79"/>
      <c r="AE324" s="79"/>
      <c r="AF324" s="79"/>
      <c r="AG324" s="247"/>
      <c r="AH324" s="247"/>
      <c r="AI324" s="247"/>
      <c r="AJ324" s="247"/>
      <c r="AK324" s="247"/>
      <c r="AL324" s="247"/>
      <c r="AM324" s="247"/>
      <c r="AN324" s="247"/>
      <c r="AO324" s="247"/>
      <c r="AP324" s="247"/>
      <c r="AQ324" s="247"/>
      <c r="AR324" s="247"/>
      <c r="AS324" s="247"/>
      <c r="AT324" s="247"/>
      <c r="AU324" s="247"/>
      <c r="AV324" s="247"/>
      <c r="AW324" s="247"/>
      <c r="AX324" s="247"/>
      <c r="AY324" s="247"/>
      <c r="AZ324" s="68"/>
      <c r="BA324" s="68"/>
      <c r="BB324" s="68"/>
      <c r="BC324" s="68"/>
      <c r="BD324" s="68"/>
      <c r="BE324" s="68"/>
      <c r="BF324" s="68"/>
      <c r="BG324" s="247"/>
      <c r="DA324" s="491"/>
      <c r="DB324" s="491"/>
      <c r="DC324" s="492"/>
      <c r="DD324" s="492"/>
      <c r="DE324" s="492"/>
      <c r="DF324" s="492"/>
      <c r="DG324" s="492"/>
      <c r="DH324" s="492"/>
      <c r="DI324" s="492"/>
      <c r="DJ324" s="492"/>
      <c r="DK324" s="492"/>
      <c r="DL324" s="492"/>
      <c r="DM324" s="492"/>
      <c r="DN324" s="492"/>
      <c r="DO324" s="492"/>
      <c r="DP324" s="492"/>
      <c r="DQ324" s="492"/>
      <c r="DR324" s="492"/>
    </row>
    <row r="325" spans="1:128" s="40" customFormat="1" ht="14.25" customHeight="1">
      <c r="A325" s="247"/>
      <c r="B325" s="247"/>
      <c r="C325" s="79"/>
      <c r="D325" s="79"/>
      <c r="E325" s="505"/>
      <c r="F325" s="79"/>
      <c r="G325" s="505"/>
      <c r="H325" s="506"/>
      <c r="I325" s="79"/>
      <c r="J325" s="79"/>
      <c r="K325" s="505"/>
      <c r="L325" s="505"/>
      <c r="M325" s="506"/>
      <c r="N325" s="79"/>
      <c r="O325" s="79"/>
      <c r="P325" s="79"/>
      <c r="Q325" s="79"/>
      <c r="R325" s="506"/>
      <c r="S325" s="79"/>
      <c r="T325" s="505"/>
      <c r="U325" s="505"/>
      <c r="V325" s="79"/>
      <c r="W325" s="506"/>
      <c r="X325" s="79"/>
      <c r="Y325" s="505"/>
      <c r="Z325" s="505"/>
      <c r="AA325" s="79"/>
      <c r="AB325" s="505"/>
      <c r="AC325" s="79"/>
      <c r="AD325" s="79"/>
      <c r="AE325" s="79"/>
      <c r="AF325" s="79"/>
      <c r="AG325" s="247"/>
      <c r="AH325" s="247"/>
      <c r="AI325" s="247"/>
      <c r="AJ325" s="247"/>
      <c r="AK325" s="247"/>
      <c r="AL325" s="247"/>
      <c r="AM325" s="247"/>
      <c r="AN325" s="247"/>
      <c r="AO325" s="247"/>
      <c r="AP325" s="247"/>
      <c r="AQ325" s="247"/>
      <c r="AR325" s="247"/>
      <c r="AS325" s="247"/>
      <c r="AT325" s="247"/>
      <c r="AU325" s="247"/>
      <c r="AV325" s="247"/>
      <c r="AW325" s="247"/>
      <c r="AX325" s="247"/>
      <c r="AY325" s="247"/>
      <c r="AZ325" s="68"/>
      <c r="BA325" s="68"/>
      <c r="BB325" s="68"/>
      <c r="BC325" s="68"/>
      <c r="BD325" s="68"/>
      <c r="BE325" s="68"/>
      <c r="BF325" s="68"/>
      <c r="BG325" s="247"/>
      <c r="DA325" s="491"/>
      <c r="DB325" s="491"/>
      <c r="DC325" s="492"/>
      <c r="DD325" s="492"/>
      <c r="DE325" s="492"/>
      <c r="DF325" s="492"/>
      <c r="DG325" s="492"/>
      <c r="DH325" s="492"/>
      <c r="DI325" s="492"/>
      <c r="DJ325" s="492"/>
      <c r="DK325" s="492"/>
      <c r="DL325" s="492"/>
      <c r="DM325" s="492"/>
      <c r="DN325" s="492"/>
      <c r="DO325" s="492"/>
      <c r="DP325" s="492"/>
      <c r="DQ325" s="492"/>
      <c r="DR325" s="492"/>
    </row>
    <row r="326" spans="1:128" s="40" customFormat="1" ht="14.25" customHeight="1">
      <c r="A326" s="247"/>
      <c r="B326" s="247"/>
      <c r="C326" s="79"/>
      <c r="D326" s="79"/>
      <c r="E326" s="505"/>
      <c r="F326" s="79"/>
      <c r="G326" s="505"/>
      <c r="H326" s="506"/>
      <c r="I326" s="79"/>
      <c r="J326" s="79"/>
      <c r="K326" s="505"/>
      <c r="L326" s="505"/>
      <c r="M326" s="506"/>
      <c r="N326" s="79"/>
      <c r="O326" s="79"/>
      <c r="P326" s="79"/>
      <c r="Q326" s="79"/>
      <c r="R326" s="506"/>
      <c r="S326" s="79"/>
      <c r="T326" s="505"/>
      <c r="U326" s="505"/>
      <c r="V326" s="79"/>
      <c r="W326" s="506"/>
      <c r="X326" s="79"/>
      <c r="Y326" s="505"/>
      <c r="Z326" s="505"/>
      <c r="AA326" s="79"/>
      <c r="AB326" s="505"/>
      <c r="AC326" s="79"/>
      <c r="AD326" s="79"/>
      <c r="AE326" s="79"/>
      <c r="AF326" s="79"/>
      <c r="AG326" s="247"/>
      <c r="AH326" s="247"/>
      <c r="AI326" s="247"/>
      <c r="AJ326" s="247"/>
      <c r="AK326" s="247"/>
      <c r="AL326" s="247"/>
      <c r="AM326" s="247"/>
      <c r="AN326" s="247"/>
      <c r="AO326" s="247"/>
      <c r="AP326" s="247"/>
      <c r="AQ326" s="247"/>
      <c r="AR326" s="247"/>
      <c r="AS326" s="247"/>
      <c r="AT326" s="247"/>
      <c r="AU326" s="247"/>
      <c r="AV326" s="247"/>
      <c r="AW326" s="247"/>
      <c r="AX326" s="247"/>
      <c r="AY326" s="247"/>
      <c r="AZ326" s="68"/>
      <c r="BA326" s="68"/>
      <c r="BB326" s="68"/>
      <c r="BC326" s="68"/>
      <c r="BD326" s="68"/>
      <c r="BE326" s="68"/>
      <c r="BF326" s="68"/>
      <c r="BG326" s="247"/>
      <c r="DA326" s="491"/>
      <c r="DB326" s="491"/>
      <c r="DC326" s="492"/>
      <c r="DD326" s="492"/>
      <c r="DE326" s="492"/>
      <c r="DF326" s="492"/>
      <c r="DG326" s="492"/>
      <c r="DH326" s="492"/>
      <c r="DI326" s="492"/>
      <c r="DJ326" s="492"/>
      <c r="DK326" s="492"/>
      <c r="DL326" s="492"/>
      <c r="DM326" s="492"/>
      <c r="DN326" s="492"/>
      <c r="DO326" s="492"/>
      <c r="DP326" s="492"/>
      <c r="DQ326" s="492"/>
      <c r="DR326" s="492"/>
    </row>
    <row r="327" spans="1:128" s="40" customFormat="1" ht="14.25" customHeight="1">
      <c r="A327" s="247"/>
      <c r="B327" s="247"/>
      <c r="C327" s="79"/>
      <c r="D327" s="79"/>
      <c r="E327" s="505"/>
      <c r="F327" s="79"/>
      <c r="G327" s="505"/>
      <c r="H327" s="506"/>
      <c r="I327" s="79"/>
      <c r="J327" s="79"/>
      <c r="K327" s="505"/>
      <c r="L327" s="505"/>
      <c r="M327" s="506"/>
      <c r="N327" s="79"/>
      <c r="O327" s="79"/>
      <c r="P327" s="79"/>
      <c r="Q327" s="79"/>
      <c r="R327" s="506"/>
      <c r="S327" s="79"/>
      <c r="T327" s="505"/>
      <c r="U327" s="505"/>
      <c r="V327" s="79"/>
      <c r="W327" s="506"/>
      <c r="X327" s="79"/>
      <c r="Y327" s="505"/>
      <c r="Z327" s="505"/>
      <c r="AA327" s="79"/>
      <c r="AB327" s="505"/>
      <c r="AC327" s="79"/>
      <c r="AD327" s="79"/>
      <c r="AE327" s="79"/>
      <c r="AF327" s="79"/>
      <c r="AG327" s="247"/>
      <c r="AH327" s="247"/>
      <c r="AI327" s="247"/>
      <c r="AJ327" s="247"/>
      <c r="AK327" s="247"/>
      <c r="AL327" s="247"/>
      <c r="AM327" s="247"/>
      <c r="AN327" s="247"/>
      <c r="AO327" s="247"/>
      <c r="AP327" s="247"/>
      <c r="AQ327" s="247"/>
      <c r="AR327" s="247"/>
      <c r="AS327" s="247"/>
      <c r="AT327" s="247"/>
      <c r="AU327" s="247"/>
      <c r="AV327" s="247"/>
      <c r="AW327" s="247"/>
      <c r="AX327" s="247"/>
      <c r="AY327" s="247"/>
      <c r="AZ327" s="68"/>
      <c r="BA327" s="68"/>
      <c r="BB327" s="68"/>
      <c r="BC327" s="68"/>
      <c r="BD327" s="68"/>
      <c r="BE327" s="68"/>
      <c r="BF327" s="68"/>
      <c r="BG327" s="247"/>
      <c r="DA327" s="491"/>
      <c r="DB327" s="491"/>
      <c r="DC327" s="492"/>
      <c r="DD327" s="492"/>
      <c r="DE327" s="492"/>
      <c r="DF327" s="492"/>
      <c r="DG327" s="492"/>
      <c r="DH327" s="492"/>
      <c r="DI327" s="492"/>
      <c r="DJ327" s="492"/>
      <c r="DK327" s="492"/>
      <c r="DL327" s="492"/>
      <c r="DM327" s="492"/>
      <c r="DN327" s="492"/>
      <c r="DO327" s="492"/>
      <c r="DP327" s="492"/>
      <c r="DQ327" s="492"/>
      <c r="DR327" s="492"/>
    </row>
    <row r="328" spans="1:128" s="40" customFormat="1" ht="14.25" customHeight="1">
      <c r="A328" s="247"/>
      <c r="B328" s="247"/>
      <c r="C328" s="79"/>
      <c r="D328" s="79"/>
      <c r="E328" s="505"/>
      <c r="F328" s="79"/>
      <c r="G328" s="505"/>
      <c r="H328" s="506"/>
      <c r="I328" s="79"/>
      <c r="J328" s="79"/>
      <c r="K328" s="505"/>
      <c r="L328" s="505"/>
      <c r="M328" s="506"/>
      <c r="N328" s="79"/>
      <c r="O328" s="79"/>
      <c r="P328" s="79"/>
      <c r="Q328" s="79"/>
      <c r="R328" s="506"/>
      <c r="S328" s="79"/>
      <c r="T328" s="505"/>
      <c r="U328" s="505"/>
      <c r="V328" s="79"/>
      <c r="W328" s="506"/>
      <c r="X328" s="79"/>
      <c r="Y328" s="505"/>
      <c r="Z328" s="505"/>
      <c r="AA328" s="79"/>
      <c r="AB328" s="505"/>
      <c r="AC328" s="79"/>
      <c r="AD328" s="79"/>
      <c r="AE328" s="79"/>
      <c r="AF328" s="79"/>
      <c r="AG328" s="247"/>
      <c r="AH328" s="247"/>
      <c r="AI328" s="247"/>
      <c r="AJ328" s="247"/>
      <c r="AK328" s="247"/>
      <c r="AL328" s="247"/>
      <c r="AM328" s="247"/>
      <c r="AN328" s="247"/>
      <c r="AO328" s="247"/>
      <c r="AP328" s="247"/>
      <c r="AQ328" s="247"/>
      <c r="AR328" s="247"/>
      <c r="AS328" s="247"/>
      <c r="AT328" s="247"/>
      <c r="AU328" s="247"/>
      <c r="AV328" s="247"/>
      <c r="AW328" s="247"/>
      <c r="AX328" s="247"/>
      <c r="AY328" s="247"/>
      <c r="AZ328" s="68"/>
      <c r="BA328" s="68"/>
      <c r="BB328" s="68"/>
      <c r="BC328" s="68"/>
      <c r="BD328" s="68"/>
      <c r="BE328" s="68"/>
      <c r="BF328" s="68"/>
      <c r="BG328" s="247"/>
      <c r="DA328" s="491"/>
      <c r="DB328" s="491"/>
      <c r="DC328" s="492"/>
      <c r="DD328" s="492"/>
      <c r="DE328" s="492"/>
      <c r="DF328" s="492"/>
      <c r="DG328" s="492"/>
      <c r="DH328" s="492"/>
      <c r="DI328" s="492"/>
      <c r="DJ328" s="492"/>
      <c r="DK328" s="492"/>
      <c r="DL328" s="492"/>
      <c r="DM328" s="492"/>
      <c r="DN328" s="492"/>
      <c r="DO328" s="492"/>
      <c r="DP328" s="492"/>
      <c r="DQ328" s="492"/>
      <c r="DR328" s="492"/>
    </row>
    <row r="329" spans="1:128" ht="14.25" customHeight="1">
      <c r="C329" s="79"/>
      <c r="D329" s="79"/>
      <c r="E329" s="505"/>
      <c r="F329" s="79"/>
      <c r="G329" s="505"/>
      <c r="H329" s="506"/>
      <c r="I329" s="79"/>
      <c r="J329" s="79"/>
      <c r="K329" s="505"/>
      <c r="L329" s="505"/>
      <c r="M329" s="506"/>
      <c r="N329" s="79"/>
      <c r="O329" s="79"/>
      <c r="P329" s="79"/>
      <c r="Q329" s="79"/>
      <c r="R329" s="506"/>
      <c r="S329" s="79"/>
      <c r="T329" s="505"/>
      <c r="U329" s="505"/>
      <c r="V329" s="79"/>
      <c r="W329" s="506"/>
      <c r="X329" s="79"/>
      <c r="Y329" s="505"/>
      <c r="Z329" s="505"/>
      <c r="AA329" s="79"/>
      <c r="AB329" s="505"/>
      <c r="AC329" s="79"/>
      <c r="AD329" s="79"/>
      <c r="AE329" s="79"/>
      <c r="AF329" s="79"/>
    </row>
    <row r="330" spans="1:128" ht="14.25" customHeight="1">
      <c r="C330" s="79"/>
      <c r="D330" s="79"/>
      <c r="E330" s="505"/>
      <c r="F330" s="79"/>
      <c r="G330" s="505"/>
      <c r="H330" s="506"/>
      <c r="I330" s="79"/>
      <c r="J330" s="79"/>
      <c r="K330" s="505"/>
      <c r="L330" s="505"/>
      <c r="M330" s="506"/>
      <c r="N330" s="79"/>
      <c r="O330" s="79"/>
      <c r="P330" s="79"/>
      <c r="Q330" s="79"/>
      <c r="R330" s="506"/>
      <c r="S330" s="79"/>
      <c r="T330" s="505"/>
      <c r="U330" s="505"/>
      <c r="V330" s="79"/>
      <c r="W330" s="506"/>
      <c r="X330" s="79"/>
      <c r="Y330" s="505"/>
      <c r="Z330" s="505"/>
      <c r="AA330" s="79"/>
      <c r="AB330" s="505"/>
      <c r="AC330" s="79"/>
      <c r="AD330" s="79"/>
      <c r="AE330" s="79"/>
      <c r="AF330" s="79"/>
    </row>
    <row r="331" spans="1:128" ht="14.25" customHeight="1">
      <c r="C331" s="79"/>
      <c r="D331" s="79"/>
      <c r="E331" s="505"/>
      <c r="F331" s="79"/>
      <c r="G331" s="505"/>
      <c r="H331" s="506"/>
      <c r="I331" s="79"/>
      <c r="J331" s="79"/>
      <c r="K331" s="505"/>
      <c r="L331" s="505"/>
      <c r="M331" s="506"/>
      <c r="N331" s="79"/>
      <c r="O331" s="79"/>
      <c r="P331" s="79"/>
      <c r="Q331" s="79"/>
      <c r="R331" s="506"/>
      <c r="S331" s="79"/>
      <c r="T331" s="505"/>
      <c r="U331" s="505"/>
      <c r="V331" s="79"/>
      <c r="W331" s="506"/>
      <c r="X331" s="79"/>
      <c r="Y331" s="505"/>
      <c r="Z331" s="505"/>
      <c r="AA331" s="79"/>
      <c r="AB331" s="505"/>
      <c r="AC331" s="79"/>
      <c r="AD331" s="79"/>
      <c r="AE331" s="79"/>
      <c r="AF331" s="79"/>
    </row>
    <row r="332" spans="1:128" ht="14.25" customHeight="1">
      <c r="C332" s="79"/>
      <c r="D332" s="79"/>
      <c r="E332" s="505"/>
      <c r="F332" s="79"/>
      <c r="G332" s="505"/>
      <c r="H332" s="506"/>
      <c r="I332" s="79"/>
      <c r="J332" s="79"/>
      <c r="K332" s="505"/>
      <c r="L332" s="505"/>
      <c r="M332" s="506"/>
      <c r="N332" s="79"/>
      <c r="O332" s="79"/>
      <c r="P332" s="79"/>
      <c r="Q332" s="79"/>
      <c r="R332" s="506"/>
      <c r="S332" s="79"/>
      <c r="T332" s="505"/>
      <c r="U332" s="505"/>
      <c r="V332" s="79"/>
      <c r="W332" s="506"/>
      <c r="X332" s="79"/>
      <c r="Y332" s="505"/>
      <c r="Z332" s="505"/>
      <c r="AA332" s="79"/>
      <c r="AB332" s="505"/>
      <c r="AC332" s="79"/>
      <c r="AD332" s="79"/>
      <c r="AE332" s="79"/>
      <c r="AF332" s="79"/>
    </row>
    <row r="333" spans="1:128" ht="14.25" customHeight="1">
      <c r="C333" s="79"/>
      <c r="D333" s="79"/>
      <c r="E333" s="505"/>
      <c r="F333" s="79"/>
      <c r="G333" s="505"/>
      <c r="H333" s="506"/>
      <c r="I333" s="79"/>
      <c r="J333" s="79"/>
      <c r="K333" s="505"/>
      <c r="L333" s="505"/>
      <c r="M333" s="506"/>
      <c r="N333" s="79"/>
      <c r="O333" s="79"/>
      <c r="P333" s="79"/>
      <c r="Q333" s="79"/>
      <c r="R333" s="506"/>
      <c r="S333" s="79"/>
      <c r="T333" s="505"/>
      <c r="U333" s="505"/>
      <c r="V333" s="79"/>
      <c r="W333" s="506"/>
      <c r="X333" s="79"/>
      <c r="Y333" s="505"/>
      <c r="Z333" s="505"/>
      <c r="AA333" s="79"/>
      <c r="AB333" s="505"/>
      <c r="AC333" s="79"/>
      <c r="AD333" s="79"/>
      <c r="AE333" s="79"/>
      <c r="AF333" s="79"/>
    </row>
    <row r="334" spans="1:128" ht="14.25" customHeight="1">
      <c r="C334" s="79"/>
      <c r="D334" s="79"/>
      <c r="E334" s="505"/>
      <c r="F334" s="79"/>
      <c r="G334" s="505"/>
      <c r="H334" s="506"/>
      <c r="I334" s="79"/>
      <c r="J334" s="79"/>
      <c r="K334" s="505"/>
      <c r="L334" s="505"/>
      <c r="M334" s="506"/>
      <c r="N334" s="79"/>
      <c r="O334" s="79"/>
      <c r="P334" s="79"/>
      <c r="Q334" s="79"/>
      <c r="R334" s="506"/>
      <c r="S334" s="79"/>
      <c r="T334" s="505"/>
      <c r="U334" s="505"/>
      <c r="V334" s="79"/>
      <c r="W334" s="506"/>
      <c r="X334" s="79"/>
      <c r="Y334" s="505"/>
      <c r="Z334" s="505"/>
      <c r="AA334" s="79"/>
      <c r="AB334" s="505"/>
      <c r="AC334" s="79"/>
      <c r="AD334" s="79"/>
      <c r="AE334" s="79"/>
      <c r="AF334" s="79"/>
    </row>
    <row r="335" spans="1:128" ht="14.25" customHeight="1">
      <c r="C335" s="79"/>
      <c r="D335" s="79"/>
      <c r="E335" s="505"/>
      <c r="F335" s="79"/>
      <c r="G335" s="505"/>
      <c r="H335" s="506"/>
      <c r="I335" s="79"/>
      <c r="J335" s="79"/>
      <c r="K335" s="505"/>
      <c r="L335" s="505"/>
      <c r="M335" s="506"/>
      <c r="N335" s="79"/>
      <c r="O335" s="79"/>
      <c r="P335" s="79"/>
      <c r="Q335" s="79"/>
      <c r="R335" s="506"/>
      <c r="S335" s="79"/>
      <c r="T335" s="505"/>
      <c r="U335" s="505"/>
      <c r="V335" s="79"/>
      <c r="W335" s="506"/>
      <c r="X335" s="79"/>
      <c r="Y335" s="505"/>
      <c r="Z335" s="505"/>
      <c r="AA335" s="79"/>
      <c r="AB335" s="505"/>
      <c r="AC335" s="79"/>
      <c r="AD335" s="79"/>
      <c r="AE335" s="79"/>
      <c r="AF335" s="79"/>
    </row>
    <row r="336" spans="1:128" ht="14.25" customHeight="1">
      <c r="C336" s="79"/>
      <c r="D336" s="79"/>
      <c r="E336" s="505"/>
      <c r="F336" s="79"/>
      <c r="G336" s="505"/>
      <c r="H336" s="506"/>
      <c r="I336" s="79"/>
      <c r="J336" s="79"/>
      <c r="K336" s="505"/>
      <c r="L336" s="505"/>
      <c r="M336" s="506"/>
      <c r="N336" s="79"/>
      <c r="O336" s="79"/>
      <c r="P336" s="79"/>
      <c r="Q336" s="79"/>
      <c r="R336" s="506"/>
      <c r="S336" s="79"/>
      <c r="T336" s="505"/>
      <c r="U336" s="505"/>
      <c r="V336" s="79"/>
      <c r="W336" s="506"/>
      <c r="X336" s="79"/>
      <c r="Y336" s="505"/>
      <c r="Z336" s="505"/>
      <c r="AA336" s="79"/>
      <c r="AB336" s="505"/>
      <c r="AC336" s="79"/>
      <c r="AD336" s="79"/>
      <c r="AE336" s="79"/>
      <c r="AF336" s="79"/>
    </row>
    <row r="337" spans="3:32" ht="14.25" customHeight="1">
      <c r="C337" s="79"/>
      <c r="D337" s="79"/>
      <c r="E337" s="505"/>
      <c r="F337" s="79"/>
      <c r="G337" s="505"/>
      <c r="H337" s="506"/>
      <c r="I337" s="79"/>
      <c r="J337" s="79"/>
      <c r="K337" s="505"/>
      <c r="L337" s="505"/>
      <c r="M337" s="506"/>
      <c r="N337" s="79"/>
      <c r="O337" s="79"/>
      <c r="P337" s="79"/>
      <c r="Q337" s="79"/>
      <c r="R337" s="506"/>
      <c r="S337" s="79"/>
      <c r="T337" s="505"/>
      <c r="U337" s="505"/>
      <c r="V337" s="79"/>
      <c r="W337" s="506"/>
      <c r="X337" s="79"/>
      <c r="Y337" s="505"/>
      <c r="Z337" s="505"/>
      <c r="AA337" s="79"/>
      <c r="AB337" s="505"/>
      <c r="AC337" s="79"/>
      <c r="AD337" s="79"/>
      <c r="AE337" s="79"/>
      <c r="AF337" s="79"/>
    </row>
    <row r="338" spans="3:32" ht="14.25" customHeight="1">
      <c r="C338" s="79"/>
      <c r="D338" s="79"/>
      <c r="E338" s="505"/>
      <c r="F338" s="79"/>
      <c r="G338" s="505"/>
      <c r="H338" s="506"/>
      <c r="I338" s="79"/>
      <c r="J338" s="79"/>
      <c r="K338" s="505"/>
      <c r="L338" s="505"/>
      <c r="M338" s="506"/>
      <c r="N338" s="79"/>
      <c r="O338" s="79"/>
      <c r="P338" s="79"/>
      <c r="Q338" s="79"/>
      <c r="R338" s="506"/>
      <c r="S338" s="79"/>
      <c r="T338" s="505"/>
      <c r="U338" s="505"/>
      <c r="V338" s="79"/>
      <c r="W338" s="506"/>
      <c r="X338" s="79"/>
      <c r="Y338" s="505"/>
      <c r="Z338" s="505"/>
      <c r="AA338" s="79"/>
      <c r="AB338" s="505"/>
      <c r="AC338" s="79"/>
      <c r="AD338" s="79"/>
      <c r="AE338" s="79"/>
      <c r="AF338" s="79"/>
    </row>
    <row r="339" spans="3:32" ht="14.25" customHeight="1">
      <c r="C339" s="79"/>
      <c r="D339" s="79"/>
      <c r="E339" s="505"/>
      <c r="F339" s="79"/>
      <c r="G339" s="505"/>
      <c r="H339" s="506"/>
      <c r="I339" s="79"/>
      <c r="J339" s="79"/>
      <c r="K339" s="505"/>
      <c r="L339" s="505"/>
      <c r="M339" s="506"/>
      <c r="N339" s="79"/>
      <c r="O339" s="79"/>
      <c r="P339" s="79"/>
      <c r="Q339" s="79"/>
      <c r="R339" s="506"/>
      <c r="S339" s="79"/>
      <c r="T339" s="505"/>
      <c r="U339" s="505"/>
      <c r="V339" s="79"/>
      <c r="W339" s="506"/>
      <c r="X339" s="79"/>
      <c r="Y339" s="505"/>
      <c r="Z339" s="505"/>
      <c r="AA339" s="79"/>
      <c r="AB339" s="505"/>
      <c r="AC339" s="79"/>
      <c r="AD339" s="79"/>
      <c r="AE339" s="79"/>
      <c r="AF339" s="79"/>
    </row>
    <row r="340" spans="3:32" ht="14.25" customHeight="1">
      <c r="C340" s="79"/>
      <c r="D340" s="79"/>
      <c r="E340" s="505"/>
      <c r="F340" s="79"/>
      <c r="G340" s="505"/>
      <c r="H340" s="506"/>
      <c r="I340" s="79"/>
      <c r="J340" s="79"/>
      <c r="K340" s="505"/>
      <c r="L340" s="505"/>
      <c r="M340" s="506"/>
      <c r="N340" s="79"/>
      <c r="O340" s="79"/>
      <c r="P340" s="79"/>
      <c r="Q340" s="79"/>
      <c r="R340" s="506"/>
      <c r="S340" s="79"/>
      <c r="T340" s="505"/>
      <c r="U340" s="505"/>
      <c r="V340" s="79"/>
      <c r="W340" s="506"/>
      <c r="X340" s="79"/>
      <c r="Y340" s="505"/>
      <c r="Z340" s="505"/>
      <c r="AA340" s="79"/>
      <c r="AB340" s="505"/>
      <c r="AC340" s="79"/>
      <c r="AD340" s="79"/>
      <c r="AE340" s="79"/>
      <c r="AF340" s="79"/>
    </row>
    <row r="341" spans="3:32" ht="14.25" customHeight="1">
      <c r="C341" s="79"/>
      <c r="D341" s="79"/>
      <c r="E341" s="505"/>
      <c r="F341" s="79"/>
      <c r="G341" s="505"/>
      <c r="H341" s="506"/>
      <c r="I341" s="79"/>
      <c r="J341" s="79"/>
      <c r="K341" s="505"/>
      <c r="L341" s="505"/>
      <c r="M341" s="506"/>
      <c r="N341" s="79"/>
      <c r="O341" s="79"/>
      <c r="P341" s="79"/>
      <c r="Q341" s="79"/>
      <c r="R341" s="506"/>
      <c r="S341" s="79"/>
      <c r="T341" s="505"/>
      <c r="U341" s="505"/>
      <c r="V341" s="79"/>
      <c r="W341" s="506"/>
      <c r="X341" s="79"/>
      <c r="Y341" s="505"/>
      <c r="Z341" s="505"/>
      <c r="AA341" s="79"/>
      <c r="AB341" s="505"/>
      <c r="AC341" s="79"/>
      <c r="AD341" s="79"/>
      <c r="AE341" s="79"/>
      <c r="AF341" s="79"/>
    </row>
    <row r="342" spans="3:32" ht="14.25" customHeight="1">
      <c r="C342" s="79"/>
      <c r="D342" s="79"/>
      <c r="E342" s="505"/>
      <c r="F342" s="79"/>
      <c r="G342" s="505"/>
      <c r="H342" s="506"/>
      <c r="I342" s="79"/>
      <c r="J342" s="79"/>
      <c r="K342" s="505"/>
      <c r="L342" s="505"/>
      <c r="M342" s="506"/>
      <c r="N342" s="79"/>
      <c r="O342" s="79"/>
      <c r="P342" s="79"/>
      <c r="Q342" s="79"/>
      <c r="R342" s="506"/>
      <c r="S342" s="79"/>
      <c r="T342" s="505"/>
      <c r="U342" s="505"/>
      <c r="V342" s="79"/>
      <c r="W342" s="506"/>
      <c r="X342" s="79"/>
      <c r="Y342" s="505"/>
      <c r="Z342" s="505"/>
      <c r="AA342" s="79"/>
      <c r="AB342" s="505"/>
      <c r="AC342" s="79"/>
      <c r="AD342" s="79"/>
      <c r="AE342" s="79"/>
      <c r="AF342" s="79"/>
    </row>
    <row r="343" spans="3:32" ht="14.25" customHeight="1">
      <c r="C343" s="79"/>
      <c r="D343" s="79"/>
      <c r="E343" s="505"/>
      <c r="F343" s="79"/>
      <c r="G343" s="505"/>
      <c r="H343" s="506"/>
      <c r="I343" s="79"/>
      <c r="J343" s="79"/>
      <c r="K343" s="505"/>
      <c r="L343" s="505"/>
      <c r="M343" s="506"/>
      <c r="N343" s="79"/>
      <c r="O343" s="79"/>
      <c r="P343" s="79"/>
      <c r="Q343" s="79"/>
      <c r="R343" s="506"/>
      <c r="S343" s="79"/>
      <c r="T343" s="505"/>
      <c r="U343" s="505"/>
      <c r="V343" s="79"/>
      <c r="W343" s="506"/>
      <c r="X343" s="79"/>
      <c r="Y343" s="505"/>
      <c r="Z343" s="505"/>
      <c r="AA343" s="79"/>
      <c r="AB343" s="505"/>
      <c r="AC343" s="79"/>
      <c r="AD343" s="79"/>
      <c r="AE343" s="79"/>
      <c r="AF343" s="79"/>
    </row>
    <row r="344" spans="3:32" ht="14.25" customHeight="1">
      <c r="C344" s="79"/>
      <c r="D344" s="79"/>
      <c r="E344" s="505"/>
      <c r="F344" s="79"/>
      <c r="G344" s="505"/>
      <c r="H344" s="506"/>
      <c r="I344" s="79"/>
      <c r="J344" s="79"/>
      <c r="K344" s="505"/>
      <c r="L344" s="505"/>
      <c r="M344" s="506"/>
      <c r="N344" s="79"/>
      <c r="O344" s="79"/>
      <c r="P344" s="79"/>
      <c r="Q344" s="79"/>
      <c r="R344" s="506"/>
      <c r="S344" s="79"/>
      <c r="T344" s="505"/>
      <c r="U344" s="505"/>
      <c r="V344" s="79"/>
      <c r="W344" s="506"/>
      <c r="X344" s="79"/>
      <c r="Y344" s="505"/>
      <c r="Z344" s="505"/>
      <c r="AA344" s="79"/>
      <c r="AB344" s="505"/>
      <c r="AC344" s="79"/>
      <c r="AD344" s="79"/>
      <c r="AE344" s="79"/>
      <c r="AF344" s="79"/>
    </row>
    <row r="345" spans="3:32" ht="14.25" customHeight="1">
      <c r="C345" s="79"/>
      <c r="D345" s="79"/>
      <c r="E345" s="505"/>
      <c r="F345" s="79"/>
      <c r="G345" s="505"/>
      <c r="H345" s="506"/>
      <c r="I345" s="79"/>
      <c r="J345" s="79"/>
      <c r="K345" s="505"/>
      <c r="L345" s="505"/>
      <c r="M345" s="506"/>
      <c r="N345" s="79"/>
      <c r="O345" s="79"/>
      <c r="P345" s="79"/>
      <c r="Q345" s="79"/>
      <c r="R345" s="506"/>
      <c r="S345" s="79"/>
      <c r="T345" s="505"/>
      <c r="U345" s="505"/>
      <c r="V345" s="79"/>
      <c r="W345" s="506"/>
      <c r="X345" s="79"/>
      <c r="Y345" s="505"/>
      <c r="Z345" s="505"/>
      <c r="AA345" s="79"/>
      <c r="AB345" s="505"/>
      <c r="AC345" s="79"/>
      <c r="AD345" s="79"/>
      <c r="AE345" s="79"/>
      <c r="AF345" s="79"/>
    </row>
    <row r="346" spans="3:32" ht="14.25" customHeight="1">
      <c r="C346" s="79"/>
      <c r="D346" s="79"/>
      <c r="E346" s="505"/>
      <c r="F346" s="79"/>
      <c r="G346" s="505"/>
      <c r="H346" s="506"/>
      <c r="I346" s="79"/>
      <c r="J346" s="79"/>
      <c r="K346" s="505"/>
      <c r="L346" s="505"/>
      <c r="M346" s="506"/>
      <c r="N346" s="79"/>
      <c r="O346" s="79"/>
      <c r="P346" s="79"/>
      <c r="Q346" s="79"/>
      <c r="R346" s="506"/>
      <c r="S346" s="79"/>
      <c r="T346" s="505"/>
      <c r="U346" s="505"/>
      <c r="V346" s="79"/>
      <c r="W346" s="506"/>
      <c r="X346" s="79"/>
      <c r="Y346" s="505"/>
      <c r="Z346" s="505"/>
      <c r="AA346" s="79"/>
      <c r="AB346" s="505"/>
      <c r="AC346" s="79"/>
      <c r="AD346" s="79"/>
      <c r="AE346" s="79"/>
      <c r="AF346" s="79"/>
    </row>
    <row r="347" spans="3:32" ht="14.25" customHeight="1">
      <c r="C347" s="79"/>
      <c r="D347" s="79"/>
      <c r="E347" s="505"/>
      <c r="F347" s="79"/>
      <c r="G347" s="505"/>
      <c r="H347" s="506"/>
      <c r="I347" s="79"/>
      <c r="J347" s="79"/>
      <c r="K347" s="505"/>
      <c r="L347" s="505"/>
      <c r="M347" s="506"/>
      <c r="N347" s="79"/>
      <c r="O347" s="79"/>
      <c r="P347" s="79"/>
      <c r="Q347" s="79"/>
      <c r="R347" s="506"/>
      <c r="S347" s="79"/>
      <c r="T347" s="505"/>
      <c r="U347" s="505"/>
      <c r="V347" s="79"/>
      <c r="W347" s="506"/>
      <c r="X347" s="79"/>
      <c r="Y347" s="505"/>
      <c r="Z347" s="505"/>
      <c r="AA347" s="79"/>
      <c r="AB347" s="505"/>
      <c r="AC347" s="79"/>
      <c r="AD347" s="79"/>
      <c r="AE347" s="79"/>
      <c r="AF347" s="79"/>
    </row>
    <row r="348" spans="3:32" ht="14.25" customHeight="1">
      <c r="C348" s="79"/>
      <c r="D348" s="79"/>
      <c r="E348" s="505"/>
      <c r="F348" s="79"/>
      <c r="G348" s="505"/>
      <c r="H348" s="506"/>
      <c r="I348" s="79"/>
      <c r="J348" s="79"/>
      <c r="K348" s="505"/>
      <c r="L348" s="505"/>
      <c r="M348" s="506"/>
      <c r="N348" s="79"/>
      <c r="O348" s="79"/>
      <c r="P348" s="79"/>
      <c r="Q348" s="79"/>
      <c r="R348" s="506"/>
      <c r="S348" s="79"/>
      <c r="T348" s="505"/>
      <c r="U348" s="505"/>
      <c r="V348" s="79"/>
      <c r="W348" s="506"/>
      <c r="X348" s="79"/>
      <c r="Y348" s="505"/>
      <c r="Z348" s="505"/>
      <c r="AA348" s="79"/>
      <c r="AB348" s="505"/>
      <c r="AC348" s="79"/>
      <c r="AD348" s="79"/>
      <c r="AE348" s="79"/>
      <c r="AF348" s="79"/>
    </row>
    <row r="349" spans="3:32" ht="14.25" customHeight="1">
      <c r="C349" s="79"/>
      <c r="D349" s="79"/>
      <c r="E349" s="505"/>
      <c r="F349" s="79"/>
      <c r="G349" s="505"/>
      <c r="H349" s="506"/>
      <c r="I349" s="79"/>
      <c r="J349" s="79"/>
      <c r="K349" s="505"/>
      <c r="L349" s="505"/>
      <c r="M349" s="506"/>
      <c r="N349" s="79"/>
      <c r="O349" s="79"/>
      <c r="P349" s="79"/>
      <c r="Q349" s="79"/>
      <c r="R349" s="506"/>
      <c r="S349" s="79"/>
      <c r="T349" s="505"/>
      <c r="U349" s="505"/>
      <c r="V349" s="79"/>
      <c r="W349" s="506"/>
      <c r="X349" s="79"/>
      <c r="Y349" s="505"/>
      <c r="Z349" s="505"/>
      <c r="AA349" s="79"/>
      <c r="AB349" s="505"/>
      <c r="AC349" s="79"/>
      <c r="AD349" s="79"/>
      <c r="AE349" s="79"/>
      <c r="AF349" s="79"/>
    </row>
    <row r="350" spans="3:32" ht="14.25" customHeight="1">
      <c r="C350" s="79"/>
      <c r="D350" s="79"/>
      <c r="E350" s="505"/>
      <c r="F350" s="79"/>
      <c r="G350" s="505"/>
      <c r="H350" s="506"/>
      <c r="I350" s="79"/>
      <c r="J350" s="79"/>
      <c r="K350" s="505"/>
      <c r="L350" s="505"/>
      <c r="M350" s="506"/>
      <c r="N350" s="79"/>
      <c r="O350" s="79"/>
      <c r="P350" s="79"/>
      <c r="Q350" s="79"/>
      <c r="R350" s="506"/>
      <c r="S350" s="79"/>
      <c r="T350" s="505"/>
      <c r="U350" s="505"/>
      <c r="V350" s="79"/>
      <c r="W350" s="506"/>
      <c r="X350" s="79"/>
      <c r="Y350" s="505"/>
      <c r="Z350" s="505"/>
      <c r="AA350" s="79"/>
      <c r="AB350" s="505"/>
      <c r="AC350" s="79"/>
      <c r="AD350" s="79"/>
      <c r="AE350" s="79"/>
      <c r="AF350" s="79"/>
    </row>
    <row r="351" spans="3:32" ht="14.25" customHeight="1">
      <c r="C351" s="79"/>
      <c r="D351" s="79"/>
      <c r="E351" s="505"/>
      <c r="F351" s="79"/>
      <c r="G351" s="505"/>
      <c r="H351" s="506"/>
      <c r="I351" s="79"/>
      <c r="J351" s="79"/>
      <c r="K351" s="505"/>
      <c r="L351" s="505"/>
      <c r="M351" s="506"/>
      <c r="N351" s="79"/>
      <c r="O351" s="79"/>
      <c r="P351" s="79"/>
      <c r="Q351" s="79"/>
      <c r="R351" s="506"/>
      <c r="S351" s="79"/>
      <c r="T351" s="505"/>
      <c r="U351" s="505"/>
      <c r="V351" s="79"/>
      <c r="W351" s="506"/>
      <c r="X351" s="79"/>
      <c r="Y351" s="505"/>
      <c r="Z351" s="505"/>
      <c r="AA351" s="79"/>
      <c r="AB351" s="505"/>
      <c r="AC351" s="79"/>
      <c r="AD351" s="79"/>
      <c r="AE351" s="79"/>
      <c r="AF351" s="79"/>
    </row>
    <row r="352" spans="3:32" ht="14.25" customHeight="1">
      <c r="C352" s="79"/>
      <c r="D352" s="79"/>
      <c r="E352" s="505"/>
      <c r="F352" s="79"/>
      <c r="G352" s="505"/>
      <c r="H352" s="506"/>
      <c r="I352" s="79"/>
      <c r="J352" s="79"/>
      <c r="K352" s="505"/>
      <c r="L352" s="505"/>
      <c r="M352" s="506"/>
      <c r="N352" s="79"/>
      <c r="O352" s="79"/>
      <c r="P352" s="79"/>
      <c r="Q352" s="79"/>
      <c r="R352" s="506"/>
      <c r="S352" s="79"/>
      <c r="T352" s="505"/>
      <c r="U352" s="505"/>
      <c r="V352" s="79"/>
      <c r="W352" s="506"/>
      <c r="X352" s="79"/>
      <c r="Y352" s="505"/>
      <c r="Z352" s="505"/>
      <c r="AA352" s="79"/>
      <c r="AB352" s="505"/>
      <c r="AC352" s="79"/>
      <c r="AD352" s="79"/>
      <c r="AE352" s="79"/>
      <c r="AF352" s="79"/>
    </row>
    <row r="353" spans="3:128" ht="14.25" customHeight="1">
      <c r="C353" s="79"/>
      <c r="D353" s="79"/>
      <c r="E353" s="505"/>
      <c r="F353" s="79"/>
      <c r="G353" s="505"/>
      <c r="H353" s="506"/>
      <c r="I353" s="79"/>
      <c r="J353" s="79"/>
      <c r="K353" s="505"/>
      <c r="L353" s="505"/>
      <c r="M353" s="506"/>
      <c r="N353" s="79"/>
      <c r="O353" s="79"/>
      <c r="P353" s="79"/>
      <c r="Q353" s="79"/>
      <c r="R353" s="506"/>
      <c r="S353" s="79"/>
      <c r="T353" s="505"/>
      <c r="U353" s="505"/>
      <c r="V353" s="79"/>
      <c r="W353" s="506"/>
      <c r="X353" s="79"/>
      <c r="Y353" s="505"/>
      <c r="Z353" s="505"/>
      <c r="AA353" s="79"/>
      <c r="AB353" s="505"/>
      <c r="AC353" s="79"/>
      <c r="AD353" s="79"/>
      <c r="AE353" s="79"/>
      <c r="AF353" s="79"/>
    </row>
    <row r="354" spans="3:128" ht="14.25" customHeight="1">
      <c r="C354" s="79"/>
      <c r="D354" s="79"/>
      <c r="E354" s="505"/>
      <c r="F354" s="79"/>
      <c r="G354" s="505"/>
      <c r="H354" s="506"/>
      <c r="I354" s="79"/>
      <c r="J354" s="79"/>
      <c r="K354" s="505"/>
      <c r="L354" s="505"/>
      <c r="M354" s="506"/>
      <c r="N354" s="79"/>
      <c r="O354" s="79"/>
      <c r="P354" s="79"/>
      <c r="Q354" s="79"/>
      <c r="R354" s="506"/>
      <c r="S354" s="79"/>
      <c r="T354" s="505"/>
      <c r="U354" s="505"/>
      <c r="V354" s="79"/>
      <c r="W354" s="506"/>
      <c r="X354" s="79"/>
      <c r="Y354" s="505"/>
      <c r="Z354" s="505"/>
      <c r="AA354" s="79"/>
      <c r="AB354" s="505"/>
      <c r="AC354" s="79"/>
      <c r="AD354" s="79"/>
      <c r="AE354" s="79"/>
      <c r="AF354" s="79"/>
    </row>
    <row r="355" spans="3:128" s="68" customFormat="1" ht="14.25" customHeight="1">
      <c r="C355" s="79"/>
      <c r="D355" s="79"/>
      <c r="E355" s="505"/>
      <c r="F355" s="79"/>
      <c r="G355" s="505"/>
      <c r="H355" s="506"/>
      <c r="I355" s="79"/>
      <c r="J355" s="79"/>
      <c r="K355" s="505"/>
      <c r="L355" s="505"/>
      <c r="M355" s="506"/>
      <c r="N355" s="79"/>
      <c r="O355" s="79"/>
      <c r="P355" s="79"/>
      <c r="Q355" s="79"/>
      <c r="R355" s="506"/>
      <c r="S355" s="79"/>
      <c r="T355" s="505"/>
      <c r="U355" s="505"/>
      <c r="V355" s="79"/>
      <c r="W355" s="506"/>
      <c r="X355" s="79"/>
      <c r="Y355" s="505"/>
      <c r="Z355" s="505"/>
      <c r="AA355" s="79"/>
      <c r="AB355" s="505"/>
      <c r="AC355" s="79"/>
      <c r="AD355" s="79"/>
      <c r="AE355" s="79"/>
      <c r="AF355" s="79"/>
      <c r="BH355" s="71"/>
      <c r="BI355" s="71"/>
      <c r="BJ355" s="71"/>
      <c r="BK355" s="71"/>
      <c r="BL355" s="71"/>
      <c r="BM355" s="71"/>
      <c r="BN355" s="71"/>
      <c r="BO355" s="71"/>
      <c r="BP355" s="71"/>
      <c r="BQ355" s="71"/>
      <c r="BR355" s="71"/>
      <c r="BS355" s="71"/>
      <c r="BT355" s="71"/>
      <c r="BU355" s="71"/>
      <c r="BV355" s="71"/>
      <c r="BW355" s="71"/>
      <c r="BX355" s="71"/>
      <c r="BY355" s="71"/>
      <c r="BZ355" s="71"/>
      <c r="CA355" s="71"/>
      <c r="CB355" s="71"/>
      <c r="CC355" s="71"/>
      <c r="CD355" s="71"/>
      <c r="CE355" s="71"/>
      <c r="CF355" s="71"/>
      <c r="CG355" s="71"/>
      <c r="CH355" s="71"/>
      <c r="CI355" s="71"/>
      <c r="CJ355" s="71"/>
      <c r="CK355" s="71"/>
      <c r="CL355" s="71"/>
      <c r="CM355" s="71"/>
      <c r="CN355" s="71"/>
      <c r="CO355" s="71"/>
      <c r="CP355" s="71"/>
      <c r="CQ355" s="71"/>
      <c r="CR355" s="71"/>
      <c r="CS355" s="71"/>
      <c r="CT355" s="71"/>
      <c r="CU355" s="71"/>
      <c r="CV355" s="71"/>
      <c r="CW355" s="71"/>
      <c r="CX355" s="71"/>
      <c r="CY355" s="71"/>
      <c r="CZ355" s="71"/>
      <c r="DA355" s="296"/>
      <c r="DB355" s="296"/>
      <c r="DC355" s="112"/>
      <c r="DD355" s="112"/>
      <c r="DE355" s="112"/>
      <c r="DF355" s="112"/>
      <c r="DG355" s="112"/>
      <c r="DH355" s="112"/>
      <c r="DI355" s="112"/>
      <c r="DJ355" s="112"/>
      <c r="DK355" s="112"/>
      <c r="DL355" s="112"/>
      <c r="DM355" s="112"/>
      <c r="DN355" s="112"/>
      <c r="DO355" s="112"/>
      <c r="DP355" s="112"/>
      <c r="DQ355" s="112"/>
      <c r="DR355" s="112"/>
      <c r="DS355" s="71"/>
      <c r="DT355" s="71"/>
      <c r="DU355" s="71"/>
      <c r="DV355" s="71"/>
      <c r="DW355" s="71"/>
      <c r="DX355" s="71"/>
    </row>
    <row r="356" spans="3:128" s="68" customFormat="1" ht="14.25" customHeight="1">
      <c r="C356" s="79"/>
      <c r="D356" s="79"/>
      <c r="E356" s="505"/>
      <c r="F356" s="79"/>
      <c r="G356" s="505"/>
      <c r="H356" s="506"/>
      <c r="I356" s="79"/>
      <c r="J356" s="79"/>
      <c r="K356" s="505"/>
      <c r="L356" s="505"/>
      <c r="M356" s="506"/>
      <c r="N356" s="79"/>
      <c r="O356" s="79"/>
      <c r="P356" s="79"/>
      <c r="Q356" s="79"/>
      <c r="R356" s="506"/>
      <c r="S356" s="79"/>
      <c r="T356" s="505"/>
      <c r="U356" s="505"/>
      <c r="V356" s="79"/>
      <c r="W356" s="506"/>
      <c r="X356" s="79"/>
      <c r="Y356" s="505"/>
      <c r="Z356" s="505"/>
      <c r="AA356" s="79"/>
      <c r="AB356" s="505"/>
      <c r="AC356" s="79"/>
      <c r="AD356" s="79"/>
      <c r="AE356" s="79"/>
      <c r="AF356" s="79"/>
      <c r="BH356" s="71"/>
      <c r="BI356" s="71"/>
      <c r="BJ356" s="71"/>
      <c r="BK356" s="71"/>
      <c r="BL356" s="71"/>
      <c r="BM356" s="71"/>
      <c r="BN356" s="71"/>
      <c r="BO356" s="71"/>
      <c r="BP356" s="71"/>
      <c r="BQ356" s="71"/>
      <c r="BR356" s="71"/>
      <c r="BS356" s="71"/>
      <c r="BT356" s="71"/>
      <c r="BU356" s="71"/>
      <c r="BV356" s="71"/>
      <c r="BW356" s="71"/>
      <c r="BX356" s="71"/>
      <c r="BY356" s="71"/>
      <c r="BZ356" s="71"/>
      <c r="CA356" s="71"/>
      <c r="CB356" s="71"/>
      <c r="CC356" s="71"/>
      <c r="CD356" s="71"/>
      <c r="CE356" s="71"/>
      <c r="CF356" s="71"/>
      <c r="CG356" s="71"/>
      <c r="CH356" s="71"/>
      <c r="CI356" s="71"/>
      <c r="CJ356" s="71"/>
      <c r="CK356" s="71"/>
      <c r="CL356" s="71"/>
      <c r="CM356" s="71"/>
      <c r="CN356" s="71"/>
      <c r="CO356" s="71"/>
      <c r="CP356" s="71"/>
      <c r="CQ356" s="71"/>
      <c r="CR356" s="71"/>
      <c r="CS356" s="71"/>
      <c r="CT356" s="71"/>
      <c r="CU356" s="71"/>
      <c r="CV356" s="71"/>
      <c r="CW356" s="71"/>
      <c r="CX356" s="71"/>
      <c r="CY356" s="71"/>
      <c r="CZ356" s="71"/>
      <c r="DA356" s="296"/>
      <c r="DB356" s="296"/>
      <c r="DC356" s="112"/>
      <c r="DD356" s="112"/>
      <c r="DE356" s="112"/>
      <c r="DF356" s="112"/>
      <c r="DG356" s="112"/>
      <c r="DH356" s="112"/>
      <c r="DI356" s="112"/>
      <c r="DJ356" s="112"/>
      <c r="DK356" s="112"/>
      <c r="DL356" s="112"/>
      <c r="DM356" s="112"/>
      <c r="DN356" s="112"/>
      <c r="DO356" s="112"/>
      <c r="DP356" s="112"/>
      <c r="DQ356" s="112"/>
      <c r="DR356" s="112"/>
      <c r="DS356" s="71"/>
      <c r="DT356" s="71"/>
      <c r="DU356" s="71"/>
      <c r="DV356" s="71"/>
      <c r="DW356" s="71"/>
      <c r="DX356" s="71"/>
    </row>
    <row r="357" spans="3:128" s="68" customFormat="1" ht="14.25" customHeight="1">
      <c r="C357" s="79"/>
      <c r="D357" s="79"/>
      <c r="E357" s="505"/>
      <c r="F357" s="79"/>
      <c r="G357" s="505"/>
      <c r="H357" s="506"/>
      <c r="I357" s="79"/>
      <c r="J357" s="79"/>
      <c r="K357" s="505"/>
      <c r="L357" s="505"/>
      <c r="M357" s="506"/>
      <c r="N357" s="79"/>
      <c r="O357" s="79"/>
      <c r="P357" s="79"/>
      <c r="Q357" s="79"/>
      <c r="R357" s="506"/>
      <c r="S357" s="79"/>
      <c r="T357" s="505"/>
      <c r="U357" s="505"/>
      <c r="V357" s="79"/>
      <c r="W357" s="506"/>
      <c r="X357" s="79"/>
      <c r="Y357" s="505"/>
      <c r="Z357" s="505"/>
      <c r="AA357" s="79"/>
      <c r="AB357" s="505"/>
      <c r="AC357" s="79"/>
      <c r="AD357" s="79"/>
      <c r="AE357" s="79"/>
      <c r="AF357" s="79"/>
      <c r="BH357" s="71"/>
      <c r="BI357" s="71"/>
      <c r="BJ357" s="71"/>
      <c r="BK357" s="71"/>
      <c r="BL357" s="71"/>
      <c r="BM357" s="71"/>
      <c r="BN357" s="71"/>
      <c r="BO357" s="71"/>
      <c r="BP357" s="71"/>
      <c r="BQ357" s="71"/>
      <c r="BR357" s="71"/>
      <c r="BS357" s="71"/>
      <c r="BT357" s="71"/>
      <c r="BU357" s="71"/>
      <c r="BV357" s="71"/>
      <c r="BW357" s="71"/>
      <c r="BX357" s="71"/>
      <c r="BY357" s="71"/>
      <c r="BZ357" s="71"/>
      <c r="CA357" s="71"/>
      <c r="CB357" s="71"/>
      <c r="CC357" s="71"/>
      <c r="CD357" s="71"/>
      <c r="CE357" s="71"/>
      <c r="CF357" s="71"/>
      <c r="CG357" s="71"/>
      <c r="CH357" s="71"/>
      <c r="CI357" s="71"/>
      <c r="CJ357" s="71"/>
      <c r="CK357" s="71"/>
      <c r="CL357" s="71"/>
      <c r="CM357" s="71"/>
      <c r="CN357" s="71"/>
      <c r="CO357" s="71"/>
      <c r="CP357" s="71"/>
      <c r="CQ357" s="71"/>
      <c r="CR357" s="71"/>
      <c r="CS357" s="71"/>
      <c r="CT357" s="71"/>
      <c r="CU357" s="71"/>
      <c r="CV357" s="71"/>
      <c r="CW357" s="71"/>
      <c r="CX357" s="71"/>
      <c r="CY357" s="71"/>
      <c r="CZ357" s="71"/>
      <c r="DA357" s="296"/>
      <c r="DB357" s="296"/>
      <c r="DC357" s="112"/>
      <c r="DD357" s="112"/>
      <c r="DE357" s="112"/>
      <c r="DF357" s="112"/>
      <c r="DG357" s="112"/>
      <c r="DH357" s="112"/>
      <c r="DI357" s="112"/>
      <c r="DJ357" s="112"/>
      <c r="DK357" s="112"/>
      <c r="DL357" s="112"/>
      <c r="DM357" s="112"/>
      <c r="DN357" s="112"/>
      <c r="DO357" s="112"/>
      <c r="DP357" s="112"/>
      <c r="DQ357" s="112"/>
      <c r="DR357" s="112"/>
      <c r="DS357" s="71"/>
      <c r="DT357" s="71"/>
      <c r="DU357" s="71"/>
      <c r="DV357" s="71"/>
      <c r="DW357" s="71"/>
      <c r="DX357" s="71"/>
    </row>
    <row r="358" spans="3:128" s="68" customFormat="1" ht="14.25" customHeight="1">
      <c r="C358" s="79"/>
      <c r="D358" s="79"/>
      <c r="E358" s="505"/>
      <c r="F358" s="79"/>
      <c r="G358" s="505"/>
      <c r="H358" s="506"/>
      <c r="I358" s="79"/>
      <c r="J358" s="79"/>
      <c r="K358" s="505"/>
      <c r="L358" s="505"/>
      <c r="M358" s="506"/>
      <c r="N358" s="79"/>
      <c r="O358" s="79"/>
      <c r="P358" s="79"/>
      <c r="Q358" s="79"/>
      <c r="R358" s="506"/>
      <c r="S358" s="79"/>
      <c r="T358" s="505"/>
      <c r="U358" s="505"/>
      <c r="V358" s="79"/>
      <c r="W358" s="506"/>
      <c r="X358" s="79"/>
      <c r="Y358" s="505"/>
      <c r="Z358" s="505"/>
      <c r="AA358" s="79"/>
      <c r="AB358" s="505"/>
      <c r="AC358" s="79"/>
      <c r="AD358" s="79"/>
      <c r="AE358" s="79"/>
      <c r="AF358" s="79"/>
      <c r="BH358" s="71"/>
      <c r="BI358" s="71"/>
      <c r="BJ358" s="71"/>
      <c r="BK358" s="71"/>
      <c r="BL358" s="71"/>
      <c r="BM358" s="71"/>
      <c r="BN358" s="71"/>
      <c r="BO358" s="71"/>
      <c r="BP358" s="71"/>
      <c r="BQ358" s="71"/>
      <c r="BR358" s="71"/>
      <c r="BS358" s="71"/>
      <c r="BT358" s="71"/>
      <c r="BU358" s="71"/>
      <c r="BV358" s="71"/>
      <c r="BW358" s="71"/>
      <c r="BX358" s="71"/>
      <c r="BY358" s="71"/>
      <c r="BZ358" s="71"/>
      <c r="CA358" s="71"/>
      <c r="CB358" s="71"/>
      <c r="CC358" s="71"/>
      <c r="CD358" s="71"/>
      <c r="CE358" s="71"/>
      <c r="CF358" s="71"/>
      <c r="CG358" s="71"/>
      <c r="CH358" s="71"/>
      <c r="CI358" s="71"/>
      <c r="CJ358" s="71"/>
      <c r="CK358" s="71"/>
      <c r="CL358" s="71"/>
      <c r="CM358" s="71"/>
      <c r="CN358" s="71"/>
      <c r="CO358" s="71"/>
      <c r="CP358" s="71"/>
      <c r="CQ358" s="71"/>
      <c r="CR358" s="71"/>
      <c r="CS358" s="71"/>
      <c r="CT358" s="71"/>
      <c r="CU358" s="71"/>
      <c r="CV358" s="71"/>
      <c r="CW358" s="71"/>
      <c r="CX358" s="71"/>
      <c r="CY358" s="71"/>
      <c r="CZ358" s="71"/>
      <c r="DA358" s="296"/>
      <c r="DB358" s="296"/>
      <c r="DC358" s="112"/>
      <c r="DD358" s="112"/>
      <c r="DE358" s="112"/>
      <c r="DF358" s="112"/>
      <c r="DG358" s="112"/>
      <c r="DH358" s="112"/>
      <c r="DI358" s="112"/>
      <c r="DJ358" s="112"/>
      <c r="DK358" s="112"/>
      <c r="DL358" s="112"/>
      <c r="DM358" s="112"/>
      <c r="DN358" s="112"/>
      <c r="DO358" s="112"/>
      <c r="DP358" s="112"/>
      <c r="DQ358" s="112"/>
      <c r="DR358" s="112"/>
      <c r="DS358" s="71"/>
      <c r="DT358" s="71"/>
      <c r="DU358" s="71"/>
      <c r="DV358" s="71"/>
      <c r="DW358" s="71"/>
      <c r="DX358" s="71"/>
    </row>
    <row r="359" spans="3:128" s="68" customFormat="1" ht="14.25" customHeight="1">
      <c r="C359" s="79"/>
      <c r="D359" s="79"/>
      <c r="E359" s="505"/>
      <c r="F359" s="79"/>
      <c r="G359" s="505"/>
      <c r="H359" s="506"/>
      <c r="I359" s="79"/>
      <c r="J359" s="79"/>
      <c r="K359" s="505"/>
      <c r="L359" s="505"/>
      <c r="M359" s="506"/>
      <c r="N359" s="79"/>
      <c r="O359" s="79"/>
      <c r="P359" s="79"/>
      <c r="Q359" s="79"/>
      <c r="R359" s="506"/>
      <c r="S359" s="79"/>
      <c r="T359" s="505"/>
      <c r="U359" s="505"/>
      <c r="V359" s="79"/>
      <c r="W359" s="506"/>
      <c r="X359" s="79"/>
      <c r="Y359" s="505"/>
      <c r="Z359" s="505"/>
      <c r="AA359" s="79"/>
      <c r="AB359" s="505"/>
      <c r="AC359" s="79"/>
      <c r="AD359" s="79"/>
      <c r="AE359" s="79"/>
      <c r="AF359" s="79"/>
      <c r="BH359" s="71"/>
      <c r="BI359" s="71"/>
      <c r="BJ359" s="71"/>
      <c r="BK359" s="71"/>
      <c r="BL359" s="71"/>
      <c r="BM359" s="71"/>
      <c r="BN359" s="71"/>
      <c r="BO359" s="71"/>
      <c r="BP359" s="71"/>
      <c r="BQ359" s="71"/>
      <c r="BR359" s="71"/>
      <c r="BS359" s="71"/>
      <c r="BT359" s="71"/>
      <c r="BU359" s="71"/>
      <c r="BV359" s="71"/>
      <c r="BW359" s="71"/>
      <c r="BX359" s="71"/>
      <c r="BY359" s="71"/>
      <c r="BZ359" s="71"/>
      <c r="CA359" s="71"/>
      <c r="CB359" s="71"/>
      <c r="CC359" s="71"/>
      <c r="CD359" s="71"/>
      <c r="CE359" s="71"/>
      <c r="CF359" s="71"/>
      <c r="CG359" s="71"/>
      <c r="CH359" s="71"/>
      <c r="CI359" s="71"/>
      <c r="CJ359" s="71"/>
      <c r="CK359" s="71"/>
      <c r="CL359" s="71"/>
      <c r="CM359" s="71"/>
      <c r="CN359" s="71"/>
      <c r="CO359" s="71"/>
      <c r="CP359" s="71"/>
      <c r="CQ359" s="71"/>
      <c r="CR359" s="71"/>
      <c r="CS359" s="71"/>
      <c r="CT359" s="71"/>
      <c r="CU359" s="71"/>
      <c r="CV359" s="71"/>
      <c r="CW359" s="71"/>
      <c r="CX359" s="71"/>
      <c r="CY359" s="71"/>
      <c r="CZ359" s="71"/>
      <c r="DA359" s="296"/>
      <c r="DB359" s="296"/>
      <c r="DC359" s="112"/>
      <c r="DD359" s="112"/>
      <c r="DE359" s="112"/>
      <c r="DF359" s="112"/>
      <c r="DG359" s="112"/>
      <c r="DH359" s="112"/>
      <c r="DI359" s="112"/>
      <c r="DJ359" s="112"/>
      <c r="DK359" s="112"/>
      <c r="DL359" s="112"/>
      <c r="DM359" s="112"/>
      <c r="DN359" s="112"/>
      <c r="DO359" s="112"/>
      <c r="DP359" s="112"/>
      <c r="DQ359" s="112"/>
      <c r="DR359" s="112"/>
      <c r="DS359" s="71"/>
      <c r="DT359" s="71"/>
      <c r="DU359" s="71"/>
      <c r="DV359" s="71"/>
      <c r="DW359" s="71"/>
      <c r="DX359" s="71"/>
    </row>
    <row r="360" spans="3:128" s="68" customFormat="1" ht="14.25" customHeight="1">
      <c r="C360" s="79"/>
      <c r="D360" s="79"/>
      <c r="E360" s="505"/>
      <c r="F360" s="79"/>
      <c r="G360" s="505"/>
      <c r="H360" s="506"/>
      <c r="I360" s="79"/>
      <c r="J360" s="79"/>
      <c r="K360" s="505"/>
      <c r="L360" s="505"/>
      <c r="M360" s="506"/>
      <c r="N360" s="79"/>
      <c r="O360" s="79"/>
      <c r="P360" s="79"/>
      <c r="Q360" s="79"/>
      <c r="R360" s="506"/>
      <c r="S360" s="79"/>
      <c r="T360" s="505"/>
      <c r="U360" s="505"/>
      <c r="V360" s="79"/>
      <c r="W360" s="506"/>
      <c r="X360" s="79"/>
      <c r="Y360" s="505"/>
      <c r="Z360" s="505"/>
      <c r="AA360" s="79"/>
      <c r="AB360" s="505"/>
      <c r="AC360" s="79"/>
      <c r="AD360" s="79"/>
      <c r="AE360" s="79"/>
      <c r="AF360" s="79"/>
      <c r="BH360" s="71"/>
      <c r="BI360" s="71"/>
      <c r="BJ360" s="71"/>
      <c r="BK360" s="71"/>
      <c r="BL360" s="71"/>
      <c r="BM360" s="71"/>
      <c r="BN360" s="71"/>
      <c r="BO360" s="71"/>
      <c r="BP360" s="71"/>
      <c r="BQ360" s="71"/>
      <c r="BR360" s="71"/>
      <c r="BS360" s="71"/>
      <c r="BT360" s="71"/>
      <c r="BU360" s="71"/>
      <c r="BV360" s="71"/>
      <c r="BW360" s="71"/>
      <c r="BX360" s="71"/>
      <c r="BY360" s="71"/>
      <c r="BZ360" s="71"/>
      <c r="CA360" s="71"/>
      <c r="CB360" s="71"/>
      <c r="CC360" s="71"/>
      <c r="CD360" s="71"/>
      <c r="CE360" s="71"/>
      <c r="CF360" s="71"/>
      <c r="CG360" s="71"/>
      <c r="CH360" s="71"/>
      <c r="CI360" s="71"/>
      <c r="CJ360" s="71"/>
      <c r="CK360" s="71"/>
      <c r="CL360" s="71"/>
      <c r="CM360" s="71"/>
      <c r="CN360" s="71"/>
      <c r="CO360" s="71"/>
      <c r="CP360" s="71"/>
      <c r="CQ360" s="71"/>
      <c r="CR360" s="71"/>
      <c r="CS360" s="71"/>
      <c r="CT360" s="71"/>
      <c r="CU360" s="71"/>
      <c r="CV360" s="71"/>
      <c r="CW360" s="71"/>
      <c r="CX360" s="71"/>
      <c r="CY360" s="71"/>
      <c r="CZ360" s="71"/>
      <c r="DA360" s="296"/>
      <c r="DB360" s="296"/>
      <c r="DC360" s="112"/>
      <c r="DD360" s="112"/>
      <c r="DE360" s="112"/>
      <c r="DF360" s="112"/>
      <c r="DG360" s="112"/>
      <c r="DH360" s="112"/>
      <c r="DI360" s="112"/>
      <c r="DJ360" s="112"/>
      <c r="DK360" s="112"/>
      <c r="DL360" s="112"/>
      <c r="DM360" s="112"/>
      <c r="DN360" s="112"/>
      <c r="DO360" s="112"/>
      <c r="DP360" s="112"/>
      <c r="DQ360" s="112"/>
      <c r="DR360" s="112"/>
      <c r="DS360" s="71"/>
      <c r="DT360" s="71"/>
      <c r="DU360" s="71"/>
      <c r="DV360" s="71"/>
      <c r="DW360" s="71"/>
      <c r="DX360" s="71"/>
    </row>
    <row r="361" spans="3:128" s="68" customFormat="1" ht="14.25" customHeight="1">
      <c r="C361" s="79"/>
      <c r="D361" s="79"/>
      <c r="E361" s="505"/>
      <c r="F361" s="79"/>
      <c r="G361" s="505"/>
      <c r="H361" s="506"/>
      <c r="I361" s="79"/>
      <c r="J361" s="79"/>
      <c r="K361" s="505"/>
      <c r="L361" s="505"/>
      <c r="M361" s="506"/>
      <c r="N361" s="79"/>
      <c r="O361" s="79"/>
      <c r="P361" s="79"/>
      <c r="Q361" s="79"/>
      <c r="R361" s="506"/>
      <c r="S361" s="79"/>
      <c r="T361" s="505"/>
      <c r="U361" s="505"/>
      <c r="V361" s="79"/>
      <c r="W361" s="506"/>
      <c r="X361" s="79"/>
      <c r="Y361" s="505"/>
      <c r="Z361" s="505"/>
      <c r="AA361" s="79"/>
      <c r="AB361" s="505"/>
      <c r="AC361" s="79"/>
      <c r="AD361" s="79"/>
      <c r="AE361" s="79"/>
      <c r="AF361" s="79"/>
      <c r="BH361" s="71"/>
      <c r="BI361" s="71"/>
      <c r="BJ361" s="71"/>
      <c r="BK361" s="71"/>
      <c r="BL361" s="71"/>
      <c r="BM361" s="71"/>
      <c r="BN361" s="71"/>
      <c r="BO361" s="71"/>
      <c r="BP361" s="71"/>
      <c r="BQ361" s="71"/>
      <c r="BR361" s="71"/>
      <c r="BS361" s="71"/>
      <c r="BT361" s="71"/>
      <c r="BU361" s="71"/>
      <c r="BV361" s="71"/>
      <c r="BW361" s="71"/>
      <c r="BX361" s="71"/>
      <c r="BY361" s="71"/>
      <c r="BZ361" s="71"/>
      <c r="CA361" s="71"/>
      <c r="CB361" s="71"/>
      <c r="CC361" s="71"/>
      <c r="CD361" s="71"/>
      <c r="CE361" s="71"/>
      <c r="CF361" s="71"/>
      <c r="CG361" s="71"/>
      <c r="CH361" s="71"/>
      <c r="CI361" s="71"/>
      <c r="CJ361" s="71"/>
      <c r="CK361" s="71"/>
      <c r="CL361" s="71"/>
      <c r="CM361" s="71"/>
      <c r="CN361" s="71"/>
      <c r="CO361" s="71"/>
      <c r="CP361" s="71"/>
      <c r="CQ361" s="71"/>
      <c r="CR361" s="71"/>
      <c r="CS361" s="71"/>
      <c r="CT361" s="71"/>
      <c r="CU361" s="71"/>
      <c r="CV361" s="71"/>
      <c r="CW361" s="71"/>
      <c r="CX361" s="71"/>
      <c r="CY361" s="71"/>
      <c r="CZ361" s="71"/>
      <c r="DA361" s="296"/>
      <c r="DB361" s="296"/>
      <c r="DC361" s="112"/>
      <c r="DD361" s="112"/>
      <c r="DE361" s="112"/>
      <c r="DF361" s="112"/>
      <c r="DG361" s="112"/>
      <c r="DH361" s="112"/>
      <c r="DI361" s="112"/>
      <c r="DJ361" s="112"/>
      <c r="DK361" s="112"/>
      <c r="DL361" s="112"/>
      <c r="DM361" s="112"/>
      <c r="DN361" s="112"/>
      <c r="DO361" s="112"/>
      <c r="DP361" s="112"/>
      <c r="DQ361" s="112"/>
      <c r="DR361" s="112"/>
      <c r="DS361" s="71"/>
      <c r="DT361" s="71"/>
      <c r="DU361" s="71"/>
      <c r="DV361" s="71"/>
      <c r="DW361" s="71"/>
      <c r="DX361" s="71"/>
    </row>
    <row r="362" spans="3:128" s="68" customFormat="1" ht="14.25" customHeight="1">
      <c r="C362" s="79"/>
      <c r="D362" s="79"/>
      <c r="E362" s="505"/>
      <c r="F362" s="79"/>
      <c r="G362" s="505"/>
      <c r="H362" s="506"/>
      <c r="I362" s="79"/>
      <c r="J362" s="79"/>
      <c r="K362" s="505"/>
      <c r="L362" s="505"/>
      <c r="M362" s="506"/>
      <c r="N362" s="79"/>
      <c r="O362" s="79"/>
      <c r="P362" s="79"/>
      <c r="Q362" s="79"/>
      <c r="R362" s="506"/>
      <c r="S362" s="79"/>
      <c r="T362" s="505"/>
      <c r="U362" s="505"/>
      <c r="V362" s="79"/>
      <c r="W362" s="506"/>
      <c r="X362" s="79"/>
      <c r="Y362" s="505"/>
      <c r="Z362" s="505"/>
      <c r="AA362" s="79"/>
      <c r="AB362" s="505"/>
      <c r="AC362" s="79"/>
      <c r="AD362" s="79"/>
      <c r="AE362" s="79"/>
      <c r="AF362" s="79"/>
      <c r="BH362" s="71"/>
      <c r="BI362" s="71"/>
      <c r="BJ362" s="71"/>
      <c r="BK362" s="71"/>
      <c r="BL362" s="71"/>
      <c r="BM362" s="71"/>
      <c r="BN362" s="71"/>
      <c r="BO362" s="71"/>
      <c r="BP362" s="71"/>
      <c r="BQ362" s="71"/>
      <c r="BR362" s="71"/>
      <c r="BS362" s="71"/>
      <c r="BT362" s="71"/>
      <c r="BU362" s="71"/>
      <c r="BV362" s="71"/>
      <c r="BW362" s="71"/>
      <c r="BX362" s="71"/>
      <c r="BY362" s="71"/>
      <c r="BZ362" s="71"/>
      <c r="CA362" s="71"/>
      <c r="CB362" s="71"/>
      <c r="CC362" s="71"/>
      <c r="CD362" s="71"/>
      <c r="CE362" s="71"/>
      <c r="CF362" s="71"/>
      <c r="CG362" s="71"/>
      <c r="CH362" s="71"/>
      <c r="CI362" s="71"/>
      <c r="CJ362" s="71"/>
      <c r="CK362" s="71"/>
      <c r="CL362" s="71"/>
      <c r="CM362" s="71"/>
      <c r="CN362" s="71"/>
      <c r="CO362" s="71"/>
      <c r="CP362" s="71"/>
      <c r="CQ362" s="71"/>
      <c r="CR362" s="71"/>
      <c r="CS362" s="71"/>
      <c r="CT362" s="71"/>
      <c r="CU362" s="71"/>
      <c r="CV362" s="71"/>
      <c r="CW362" s="71"/>
      <c r="CX362" s="71"/>
      <c r="CY362" s="71"/>
      <c r="CZ362" s="71"/>
      <c r="DA362" s="296"/>
      <c r="DB362" s="296"/>
      <c r="DC362" s="112"/>
      <c r="DD362" s="112"/>
      <c r="DE362" s="112"/>
      <c r="DF362" s="112"/>
      <c r="DG362" s="112"/>
      <c r="DH362" s="112"/>
      <c r="DI362" s="112"/>
      <c r="DJ362" s="112"/>
      <c r="DK362" s="112"/>
      <c r="DL362" s="112"/>
      <c r="DM362" s="112"/>
      <c r="DN362" s="112"/>
      <c r="DO362" s="112"/>
      <c r="DP362" s="112"/>
      <c r="DQ362" s="112"/>
      <c r="DR362" s="112"/>
      <c r="DS362" s="71"/>
      <c r="DT362" s="71"/>
      <c r="DU362" s="71"/>
      <c r="DV362" s="71"/>
      <c r="DW362" s="71"/>
      <c r="DX362" s="71"/>
    </row>
    <row r="363" spans="3:128" s="68" customFormat="1" ht="14.25" customHeight="1">
      <c r="C363" s="79"/>
      <c r="D363" s="79"/>
      <c r="E363" s="505"/>
      <c r="F363" s="79"/>
      <c r="G363" s="505"/>
      <c r="H363" s="506"/>
      <c r="I363" s="79"/>
      <c r="J363" s="79"/>
      <c r="K363" s="505"/>
      <c r="L363" s="505"/>
      <c r="M363" s="506"/>
      <c r="N363" s="79"/>
      <c r="O363" s="79"/>
      <c r="P363" s="79"/>
      <c r="Q363" s="79"/>
      <c r="R363" s="506"/>
      <c r="S363" s="79"/>
      <c r="T363" s="505"/>
      <c r="U363" s="505"/>
      <c r="V363" s="79"/>
      <c r="W363" s="506"/>
      <c r="X363" s="79"/>
      <c r="Y363" s="505"/>
      <c r="Z363" s="505"/>
      <c r="AA363" s="79"/>
      <c r="AB363" s="505"/>
      <c r="AC363" s="79"/>
      <c r="AD363" s="79"/>
      <c r="AE363" s="79"/>
      <c r="AF363" s="79"/>
      <c r="BH363" s="71"/>
      <c r="BI363" s="71"/>
      <c r="BJ363" s="71"/>
      <c r="BK363" s="71"/>
      <c r="BL363" s="71"/>
      <c r="BM363" s="71"/>
      <c r="BN363" s="71"/>
      <c r="BO363" s="71"/>
      <c r="BP363" s="71"/>
      <c r="BQ363" s="71"/>
      <c r="BR363" s="71"/>
      <c r="BS363" s="71"/>
      <c r="BT363" s="71"/>
      <c r="BU363" s="71"/>
      <c r="BV363" s="71"/>
      <c r="BW363" s="71"/>
      <c r="BX363" s="71"/>
      <c r="BY363" s="71"/>
      <c r="BZ363" s="71"/>
      <c r="CA363" s="71"/>
      <c r="CB363" s="71"/>
      <c r="CC363" s="71"/>
      <c r="CD363" s="71"/>
      <c r="CE363" s="71"/>
      <c r="CF363" s="71"/>
      <c r="CG363" s="71"/>
      <c r="CH363" s="71"/>
      <c r="CI363" s="71"/>
      <c r="CJ363" s="71"/>
      <c r="CK363" s="71"/>
      <c r="CL363" s="71"/>
      <c r="CM363" s="71"/>
      <c r="CN363" s="71"/>
      <c r="CO363" s="71"/>
      <c r="CP363" s="71"/>
      <c r="CQ363" s="71"/>
      <c r="CR363" s="71"/>
      <c r="CS363" s="71"/>
      <c r="CT363" s="71"/>
      <c r="CU363" s="71"/>
      <c r="CV363" s="71"/>
      <c r="CW363" s="71"/>
      <c r="CX363" s="71"/>
      <c r="CY363" s="71"/>
      <c r="CZ363" s="71"/>
      <c r="DA363" s="296"/>
      <c r="DB363" s="296"/>
      <c r="DC363" s="112"/>
      <c r="DD363" s="112"/>
      <c r="DE363" s="112"/>
      <c r="DF363" s="112"/>
      <c r="DG363" s="112"/>
      <c r="DH363" s="112"/>
      <c r="DI363" s="112"/>
      <c r="DJ363" s="112"/>
      <c r="DK363" s="112"/>
      <c r="DL363" s="112"/>
      <c r="DM363" s="112"/>
      <c r="DN363" s="112"/>
      <c r="DO363" s="112"/>
      <c r="DP363" s="112"/>
      <c r="DQ363" s="112"/>
      <c r="DR363" s="112"/>
      <c r="DS363" s="71"/>
      <c r="DT363" s="71"/>
      <c r="DU363" s="71"/>
      <c r="DV363" s="71"/>
      <c r="DW363" s="71"/>
      <c r="DX363" s="71"/>
    </row>
    <row r="364" spans="3:128" s="68" customFormat="1" ht="14.25" customHeight="1">
      <c r="C364" s="79"/>
      <c r="D364" s="79"/>
      <c r="E364" s="505"/>
      <c r="F364" s="79"/>
      <c r="G364" s="505"/>
      <c r="H364" s="506"/>
      <c r="I364" s="79"/>
      <c r="J364" s="79"/>
      <c r="K364" s="505"/>
      <c r="L364" s="505"/>
      <c r="M364" s="506"/>
      <c r="N364" s="79"/>
      <c r="O364" s="79"/>
      <c r="P364" s="79"/>
      <c r="Q364" s="79"/>
      <c r="R364" s="506"/>
      <c r="S364" s="79"/>
      <c r="T364" s="505"/>
      <c r="U364" s="505"/>
      <c r="V364" s="79"/>
      <c r="W364" s="506"/>
      <c r="X364" s="79"/>
      <c r="Y364" s="505"/>
      <c r="Z364" s="505"/>
      <c r="AA364" s="79"/>
      <c r="AB364" s="505"/>
      <c r="AC364" s="79"/>
      <c r="AD364" s="79"/>
      <c r="AE364" s="79"/>
      <c r="AF364" s="79"/>
      <c r="BH364" s="71"/>
      <c r="BI364" s="71"/>
      <c r="BJ364" s="71"/>
      <c r="BK364" s="71"/>
      <c r="BL364" s="71"/>
      <c r="BM364" s="71"/>
      <c r="BN364" s="71"/>
      <c r="BO364" s="71"/>
      <c r="BP364" s="71"/>
      <c r="BQ364" s="71"/>
      <c r="BR364" s="71"/>
      <c r="BS364" s="71"/>
      <c r="BT364" s="71"/>
      <c r="BU364" s="71"/>
      <c r="BV364" s="71"/>
      <c r="BW364" s="71"/>
      <c r="BX364" s="71"/>
      <c r="BY364" s="71"/>
      <c r="BZ364" s="71"/>
      <c r="CA364" s="71"/>
      <c r="CB364" s="71"/>
      <c r="CC364" s="71"/>
      <c r="CD364" s="71"/>
      <c r="CE364" s="71"/>
      <c r="CF364" s="71"/>
      <c r="CG364" s="71"/>
      <c r="CH364" s="71"/>
      <c r="CI364" s="71"/>
      <c r="CJ364" s="71"/>
      <c r="CK364" s="71"/>
      <c r="CL364" s="71"/>
      <c r="CM364" s="71"/>
      <c r="CN364" s="71"/>
      <c r="CO364" s="71"/>
      <c r="CP364" s="71"/>
      <c r="CQ364" s="71"/>
      <c r="CR364" s="71"/>
      <c r="CS364" s="71"/>
      <c r="CT364" s="71"/>
      <c r="CU364" s="71"/>
      <c r="CV364" s="71"/>
      <c r="CW364" s="71"/>
      <c r="CX364" s="71"/>
      <c r="CY364" s="71"/>
      <c r="CZ364" s="71"/>
      <c r="DA364" s="296"/>
      <c r="DB364" s="296"/>
      <c r="DC364" s="112"/>
      <c r="DD364" s="112"/>
      <c r="DE364" s="112"/>
      <c r="DF364" s="112"/>
      <c r="DG364" s="112"/>
      <c r="DH364" s="112"/>
      <c r="DI364" s="112"/>
      <c r="DJ364" s="112"/>
      <c r="DK364" s="112"/>
      <c r="DL364" s="112"/>
      <c r="DM364" s="112"/>
      <c r="DN364" s="112"/>
      <c r="DO364" s="112"/>
      <c r="DP364" s="112"/>
      <c r="DQ364" s="112"/>
      <c r="DR364" s="112"/>
      <c r="DS364" s="71"/>
      <c r="DT364" s="71"/>
      <c r="DU364" s="71"/>
      <c r="DV364" s="71"/>
      <c r="DW364" s="71"/>
      <c r="DX364" s="71"/>
    </row>
    <row r="365" spans="3:128" s="68" customFormat="1" ht="14.25" customHeight="1">
      <c r="C365" s="79"/>
      <c r="D365" s="79"/>
      <c r="E365" s="505"/>
      <c r="F365" s="79"/>
      <c r="G365" s="505"/>
      <c r="H365" s="506"/>
      <c r="I365" s="79"/>
      <c r="J365" s="79"/>
      <c r="K365" s="505"/>
      <c r="L365" s="505"/>
      <c r="M365" s="506"/>
      <c r="N365" s="79"/>
      <c r="O365" s="79"/>
      <c r="P365" s="79"/>
      <c r="Q365" s="79"/>
      <c r="R365" s="506"/>
      <c r="S365" s="79"/>
      <c r="T365" s="505"/>
      <c r="U365" s="505"/>
      <c r="V365" s="79"/>
      <c r="W365" s="506"/>
      <c r="X365" s="79"/>
      <c r="Y365" s="505"/>
      <c r="Z365" s="505"/>
      <c r="AA365" s="79"/>
      <c r="AB365" s="505"/>
      <c r="AC365" s="79"/>
      <c r="AD365" s="79"/>
      <c r="AE365" s="79"/>
      <c r="AF365" s="79"/>
      <c r="BH365" s="71"/>
      <c r="BI365" s="71"/>
      <c r="BJ365" s="71"/>
      <c r="BK365" s="71"/>
      <c r="BL365" s="71"/>
      <c r="BM365" s="71"/>
      <c r="BN365" s="71"/>
      <c r="BO365" s="71"/>
      <c r="BP365" s="71"/>
      <c r="BQ365" s="71"/>
      <c r="BR365" s="71"/>
      <c r="BS365" s="71"/>
      <c r="BT365" s="71"/>
      <c r="BU365" s="71"/>
      <c r="BV365" s="71"/>
      <c r="BW365" s="71"/>
      <c r="BX365" s="71"/>
      <c r="BY365" s="71"/>
      <c r="BZ365" s="71"/>
      <c r="CA365" s="71"/>
      <c r="CB365" s="71"/>
      <c r="CC365" s="71"/>
      <c r="CD365" s="71"/>
      <c r="CE365" s="71"/>
      <c r="CF365" s="71"/>
      <c r="CG365" s="71"/>
      <c r="CH365" s="71"/>
      <c r="CI365" s="71"/>
      <c r="CJ365" s="71"/>
      <c r="CK365" s="71"/>
      <c r="CL365" s="71"/>
      <c r="CM365" s="71"/>
      <c r="CN365" s="71"/>
      <c r="CO365" s="71"/>
      <c r="CP365" s="71"/>
      <c r="CQ365" s="71"/>
      <c r="CR365" s="71"/>
      <c r="CS365" s="71"/>
      <c r="CT365" s="71"/>
      <c r="CU365" s="71"/>
      <c r="CV365" s="71"/>
      <c r="CW365" s="71"/>
      <c r="CX365" s="71"/>
      <c r="CY365" s="71"/>
      <c r="CZ365" s="71"/>
      <c r="DA365" s="296"/>
      <c r="DB365" s="296"/>
      <c r="DC365" s="112"/>
      <c r="DD365" s="112"/>
      <c r="DE365" s="112"/>
      <c r="DF365" s="112"/>
      <c r="DG365" s="112"/>
      <c r="DH365" s="112"/>
      <c r="DI365" s="112"/>
      <c r="DJ365" s="112"/>
      <c r="DK365" s="112"/>
      <c r="DL365" s="112"/>
      <c r="DM365" s="112"/>
      <c r="DN365" s="112"/>
      <c r="DO365" s="112"/>
      <c r="DP365" s="112"/>
      <c r="DQ365" s="112"/>
      <c r="DR365" s="112"/>
      <c r="DS365" s="71"/>
      <c r="DT365" s="71"/>
      <c r="DU365" s="71"/>
      <c r="DV365" s="71"/>
      <c r="DW365" s="71"/>
      <c r="DX365" s="71"/>
    </row>
    <row r="366" spans="3:128" s="68" customFormat="1" ht="14.25" customHeight="1">
      <c r="C366" s="79"/>
      <c r="D366" s="79"/>
      <c r="E366" s="505"/>
      <c r="F366" s="79"/>
      <c r="G366" s="505"/>
      <c r="H366" s="506"/>
      <c r="I366" s="79"/>
      <c r="J366" s="79"/>
      <c r="K366" s="505"/>
      <c r="L366" s="505"/>
      <c r="M366" s="506"/>
      <c r="N366" s="79"/>
      <c r="O366" s="79"/>
      <c r="P366" s="79"/>
      <c r="Q366" s="79"/>
      <c r="R366" s="506"/>
      <c r="S366" s="79"/>
      <c r="T366" s="505"/>
      <c r="U366" s="505"/>
      <c r="V366" s="79"/>
      <c r="W366" s="506"/>
      <c r="X366" s="79"/>
      <c r="Y366" s="505"/>
      <c r="Z366" s="505"/>
      <c r="AA366" s="79"/>
      <c r="AB366" s="505"/>
      <c r="AC366" s="79"/>
      <c r="AD366" s="79"/>
      <c r="AE366" s="79"/>
      <c r="AF366" s="79"/>
      <c r="BH366" s="71"/>
      <c r="BI366" s="71"/>
      <c r="BJ366" s="71"/>
      <c r="BK366" s="71"/>
      <c r="BL366" s="71"/>
      <c r="BM366" s="71"/>
      <c r="BN366" s="71"/>
      <c r="BO366" s="71"/>
      <c r="BP366" s="71"/>
      <c r="BQ366" s="71"/>
      <c r="BR366" s="71"/>
      <c r="BS366" s="71"/>
      <c r="BT366" s="71"/>
      <c r="BU366" s="71"/>
      <c r="BV366" s="71"/>
      <c r="BW366" s="71"/>
      <c r="BX366" s="71"/>
      <c r="BY366" s="71"/>
      <c r="BZ366" s="71"/>
      <c r="CA366" s="71"/>
      <c r="CB366" s="71"/>
      <c r="CC366" s="71"/>
      <c r="CD366" s="71"/>
      <c r="CE366" s="71"/>
      <c r="CF366" s="71"/>
      <c r="CG366" s="71"/>
      <c r="CH366" s="71"/>
      <c r="CI366" s="71"/>
      <c r="CJ366" s="71"/>
      <c r="CK366" s="71"/>
      <c r="CL366" s="71"/>
      <c r="CM366" s="71"/>
      <c r="CN366" s="71"/>
      <c r="CO366" s="71"/>
      <c r="CP366" s="71"/>
      <c r="CQ366" s="71"/>
      <c r="CR366" s="71"/>
      <c r="CS366" s="71"/>
      <c r="CT366" s="71"/>
      <c r="CU366" s="71"/>
      <c r="CV366" s="71"/>
      <c r="CW366" s="71"/>
      <c r="CX366" s="71"/>
      <c r="CY366" s="71"/>
      <c r="CZ366" s="71"/>
      <c r="DA366" s="296"/>
      <c r="DB366" s="296"/>
      <c r="DC366" s="112"/>
      <c r="DD366" s="112"/>
      <c r="DE366" s="112"/>
      <c r="DF366" s="112"/>
      <c r="DG366" s="112"/>
      <c r="DH366" s="112"/>
      <c r="DI366" s="112"/>
      <c r="DJ366" s="112"/>
      <c r="DK366" s="112"/>
      <c r="DL366" s="112"/>
      <c r="DM366" s="112"/>
      <c r="DN366" s="112"/>
      <c r="DO366" s="112"/>
      <c r="DP366" s="112"/>
      <c r="DQ366" s="112"/>
      <c r="DR366" s="112"/>
      <c r="DS366" s="71"/>
      <c r="DT366" s="71"/>
      <c r="DU366" s="71"/>
      <c r="DV366" s="71"/>
      <c r="DW366" s="71"/>
      <c r="DX366" s="71"/>
    </row>
    <row r="367" spans="3:128" s="68" customFormat="1" ht="14.25" customHeight="1">
      <c r="C367" s="79"/>
      <c r="D367" s="79"/>
      <c r="E367" s="505"/>
      <c r="F367" s="79"/>
      <c r="G367" s="505"/>
      <c r="H367" s="506"/>
      <c r="I367" s="79"/>
      <c r="J367" s="79"/>
      <c r="K367" s="505"/>
      <c r="L367" s="505"/>
      <c r="M367" s="506"/>
      <c r="N367" s="79"/>
      <c r="O367" s="79"/>
      <c r="P367" s="79"/>
      <c r="Q367" s="79"/>
      <c r="R367" s="506"/>
      <c r="S367" s="79"/>
      <c r="T367" s="505"/>
      <c r="U367" s="505"/>
      <c r="V367" s="79"/>
      <c r="W367" s="506"/>
      <c r="X367" s="79"/>
      <c r="Y367" s="505"/>
      <c r="Z367" s="505"/>
      <c r="AA367" s="79"/>
      <c r="AB367" s="505"/>
      <c r="AC367" s="79"/>
      <c r="AD367" s="79"/>
      <c r="AE367" s="79"/>
      <c r="AF367" s="79"/>
      <c r="BH367" s="71"/>
      <c r="BI367" s="71"/>
      <c r="BJ367" s="71"/>
      <c r="BK367" s="71"/>
      <c r="BL367" s="71"/>
      <c r="BM367" s="71"/>
      <c r="BN367" s="71"/>
      <c r="BO367" s="71"/>
      <c r="BP367" s="71"/>
      <c r="BQ367" s="71"/>
      <c r="BR367" s="71"/>
      <c r="BS367" s="71"/>
      <c r="BT367" s="71"/>
      <c r="BU367" s="71"/>
      <c r="BV367" s="71"/>
      <c r="BW367" s="71"/>
      <c r="BX367" s="71"/>
      <c r="BY367" s="71"/>
      <c r="BZ367" s="71"/>
      <c r="CA367" s="71"/>
      <c r="CB367" s="71"/>
      <c r="CC367" s="71"/>
      <c r="CD367" s="71"/>
      <c r="CE367" s="71"/>
      <c r="CF367" s="71"/>
      <c r="CG367" s="71"/>
      <c r="CH367" s="71"/>
      <c r="CI367" s="71"/>
      <c r="CJ367" s="71"/>
      <c r="CK367" s="71"/>
      <c r="CL367" s="71"/>
      <c r="CM367" s="71"/>
      <c r="CN367" s="71"/>
      <c r="CO367" s="71"/>
      <c r="CP367" s="71"/>
      <c r="CQ367" s="71"/>
      <c r="CR367" s="71"/>
      <c r="CS367" s="71"/>
      <c r="CT367" s="71"/>
      <c r="CU367" s="71"/>
      <c r="CV367" s="71"/>
      <c r="CW367" s="71"/>
      <c r="CX367" s="71"/>
      <c r="CY367" s="71"/>
      <c r="CZ367" s="71"/>
      <c r="DA367" s="296"/>
      <c r="DB367" s="296"/>
      <c r="DC367" s="112"/>
      <c r="DD367" s="112"/>
      <c r="DE367" s="112"/>
      <c r="DF367" s="112"/>
      <c r="DG367" s="112"/>
      <c r="DH367" s="112"/>
      <c r="DI367" s="112"/>
      <c r="DJ367" s="112"/>
      <c r="DK367" s="112"/>
      <c r="DL367" s="112"/>
      <c r="DM367" s="112"/>
      <c r="DN367" s="112"/>
      <c r="DO367" s="112"/>
      <c r="DP367" s="112"/>
      <c r="DQ367" s="112"/>
      <c r="DR367" s="112"/>
      <c r="DS367" s="71"/>
      <c r="DT367" s="71"/>
      <c r="DU367" s="71"/>
      <c r="DV367" s="71"/>
      <c r="DW367" s="71"/>
      <c r="DX367" s="71"/>
    </row>
    <row r="368" spans="3:128" s="68" customFormat="1" ht="14.25" customHeight="1">
      <c r="C368" s="79"/>
      <c r="D368" s="79"/>
      <c r="E368" s="505"/>
      <c r="F368" s="79"/>
      <c r="G368" s="505"/>
      <c r="H368" s="506"/>
      <c r="I368" s="79"/>
      <c r="J368" s="79"/>
      <c r="K368" s="505"/>
      <c r="L368" s="505"/>
      <c r="M368" s="506"/>
      <c r="N368" s="79"/>
      <c r="O368" s="79"/>
      <c r="P368" s="79"/>
      <c r="Q368" s="79"/>
      <c r="R368" s="506"/>
      <c r="S368" s="79"/>
      <c r="T368" s="505"/>
      <c r="U368" s="505"/>
      <c r="V368" s="79"/>
      <c r="W368" s="506"/>
      <c r="X368" s="79"/>
      <c r="Y368" s="505"/>
      <c r="Z368" s="505"/>
      <c r="AA368" s="79"/>
      <c r="AB368" s="505"/>
      <c r="AC368" s="79"/>
      <c r="AD368" s="79"/>
      <c r="AE368" s="79"/>
      <c r="AF368" s="79"/>
      <c r="BH368" s="71"/>
      <c r="BI368" s="71"/>
      <c r="BJ368" s="71"/>
      <c r="BK368" s="71"/>
      <c r="BL368" s="71"/>
      <c r="BM368" s="71"/>
      <c r="BN368" s="71"/>
      <c r="BO368" s="71"/>
      <c r="BP368" s="71"/>
      <c r="BQ368" s="71"/>
      <c r="BR368" s="71"/>
      <c r="BS368" s="71"/>
      <c r="BT368" s="71"/>
      <c r="BU368" s="71"/>
      <c r="BV368" s="71"/>
      <c r="BW368" s="71"/>
      <c r="BX368" s="71"/>
      <c r="BY368" s="71"/>
      <c r="BZ368" s="71"/>
      <c r="CA368" s="71"/>
      <c r="CB368" s="71"/>
      <c r="CC368" s="71"/>
      <c r="CD368" s="71"/>
      <c r="CE368" s="71"/>
      <c r="CF368" s="71"/>
      <c r="CG368" s="71"/>
      <c r="CH368" s="71"/>
      <c r="CI368" s="71"/>
      <c r="CJ368" s="71"/>
      <c r="CK368" s="71"/>
      <c r="CL368" s="71"/>
      <c r="CM368" s="71"/>
      <c r="CN368" s="71"/>
      <c r="CO368" s="71"/>
      <c r="CP368" s="71"/>
      <c r="CQ368" s="71"/>
      <c r="CR368" s="71"/>
      <c r="CS368" s="71"/>
      <c r="CT368" s="71"/>
      <c r="CU368" s="71"/>
      <c r="CV368" s="71"/>
      <c r="CW368" s="71"/>
      <c r="CX368" s="71"/>
      <c r="CY368" s="71"/>
      <c r="CZ368" s="71"/>
      <c r="DA368" s="296"/>
      <c r="DB368" s="296"/>
      <c r="DC368" s="112"/>
      <c r="DD368" s="112"/>
      <c r="DE368" s="112"/>
      <c r="DF368" s="112"/>
      <c r="DG368" s="112"/>
      <c r="DH368" s="112"/>
      <c r="DI368" s="112"/>
      <c r="DJ368" s="112"/>
      <c r="DK368" s="112"/>
      <c r="DL368" s="112"/>
      <c r="DM368" s="112"/>
      <c r="DN368" s="112"/>
      <c r="DO368" s="112"/>
      <c r="DP368" s="112"/>
      <c r="DQ368" s="112"/>
      <c r="DR368" s="112"/>
      <c r="DS368" s="71"/>
      <c r="DT368" s="71"/>
      <c r="DU368" s="71"/>
      <c r="DV368" s="71"/>
      <c r="DW368" s="71"/>
      <c r="DX368" s="71"/>
    </row>
    <row r="369" spans="3:128" s="79" customFormat="1" ht="14.25" customHeight="1">
      <c r="E369" s="505"/>
      <c r="G369" s="505"/>
      <c r="H369" s="506"/>
      <c r="K369" s="505"/>
      <c r="L369" s="505"/>
      <c r="M369" s="506"/>
      <c r="R369" s="506"/>
      <c r="T369" s="505"/>
      <c r="U369" s="505"/>
      <c r="W369" s="506"/>
      <c r="Y369" s="505"/>
      <c r="Z369" s="505"/>
      <c r="AB369" s="505"/>
      <c r="BH369" s="107"/>
      <c r="BI369" s="107"/>
      <c r="BJ369" s="107"/>
      <c r="BK369" s="107"/>
      <c r="BL369" s="107"/>
      <c r="BM369" s="107"/>
      <c r="BN369" s="107"/>
      <c r="BO369" s="107"/>
      <c r="BP369" s="107"/>
      <c r="BQ369" s="107"/>
      <c r="BR369" s="107"/>
      <c r="BS369" s="107"/>
      <c r="BT369" s="107"/>
      <c r="BU369" s="107"/>
      <c r="BV369" s="107"/>
      <c r="BW369" s="107"/>
      <c r="BX369" s="107"/>
      <c r="BY369" s="107"/>
      <c r="BZ369" s="107"/>
      <c r="CA369" s="107"/>
      <c r="CB369" s="107"/>
      <c r="CC369" s="107"/>
      <c r="CD369" s="107"/>
      <c r="CE369" s="107"/>
      <c r="CF369" s="107"/>
      <c r="CG369" s="107"/>
      <c r="CH369" s="107"/>
      <c r="CI369" s="107"/>
      <c r="CJ369" s="107"/>
      <c r="CK369" s="107"/>
      <c r="CL369" s="107"/>
      <c r="CM369" s="107"/>
      <c r="CN369" s="107"/>
      <c r="CO369" s="107"/>
      <c r="CP369" s="107"/>
      <c r="CQ369" s="107"/>
      <c r="CR369" s="107"/>
      <c r="CS369" s="107"/>
      <c r="CT369" s="107"/>
      <c r="CU369" s="107"/>
      <c r="CV369" s="107"/>
      <c r="CW369" s="107"/>
      <c r="CX369" s="107"/>
      <c r="CY369" s="107"/>
      <c r="CZ369" s="107"/>
      <c r="DA369" s="341"/>
      <c r="DB369" s="341"/>
      <c r="DC369" s="485"/>
      <c r="DD369" s="485"/>
      <c r="DE369" s="485"/>
      <c r="DF369" s="485"/>
      <c r="DG369" s="485"/>
      <c r="DH369" s="485"/>
      <c r="DI369" s="485"/>
      <c r="DJ369" s="485"/>
      <c r="DK369" s="485"/>
      <c r="DL369" s="485"/>
      <c r="DM369" s="485"/>
      <c r="DN369" s="485"/>
      <c r="DO369" s="485"/>
      <c r="DP369" s="485"/>
      <c r="DQ369" s="485"/>
      <c r="DR369" s="485"/>
      <c r="DS369" s="107"/>
      <c r="DT369" s="107"/>
      <c r="DU369" s="107"/>
      <c r="DV369" s="107"/>
      <c r="DW369" s="107"/>
      <c r="DX369" s="107"/>
    </row>
    <row r="370" spans="3:128" s="79" customFormat="1" ht="14.25" customHeight="1">
      <c r="E370" s="505"/>
      <c r="G370" s="505"/>
      <c r="H370" s="506"/>
      <c r="K370" s="505"/>
      <c r="L370" s="505"/>
      <c r="M370" s="506"/>
      <c r="R370" s="506"/>
      <c r="T370" s="505"/>
      <c r="U370" s="505"/>
      <c r="W370" s="506"/>
      <c r="Y370" s="505"/>
      <c r="Z370" s="505"/>
      <c r="AB370" s="505"/>
      <c r="BH370" s="107"/>
      <c r="BI370" s="107"/>
      <c r="BJ370" s="107"/>
      <c r="BK370" s="107"/>
      <c r="BL370" s="107"/>
      <c r="BM370" s="107"/>
      <c r="BN370" s="107"/>
      <c r="BO370" s="107"/>
      <c r="BP370" s="107"/>
      <c r="BQ370" s="107"/>
      <c r="BR370" s="107"/>
      <c r="BS370" s="107"/>
      <c r="BT370" s="107"/>
      <c r="BU370" s="107"/>
      <c r="BV370" s="107"/>
      <c r="BW370" s="107"/>
      <c r="BX370" s="107"/>
      <c r="BY370" s="107"/>
      <c r="BZ370" s="107"/>
      <c r="CA370" s="107"/>
      <c r="CB370" s="107"/>
      <c r="CC370" s="107"/>
      <c r="CD370" s="107"/>
      <c r="CE370" s="107"/>
      <c r="CF370" s="107"/>
      <c r="CG370" s="107"/>
      <c r="CH370" s="107"/>
      <c r="CI370" s="107"/>
      <c r="CJ370" s="107"/>
      <c r="CK370" s="107"/>
      <c r="CL370" s="107"/>
      <c r="CM370" s="107"/>
      <c r="CN370" s="107"/>
      <c r="CO370" s="107"/>
      <c r="CP370" s="107"/>
      <c r="CQ370" s="107"/>
      <c r="CR370" s="107"/>
      <c r="CS370" s="107"/>
      <c r="CT370" s="107"/>
      <c r="CU370" s="107"/>
      <c r="CV370" s="107"/>
      <c r="CW370" s="107"/>
      <c r="CX370" s="107"/>
      <c r="CY370" s="107"/>
      <c r="CZ370" s="107"/>
      <c r="DA370" s="341"/>
      <c r="DB370" s="341"/>
      <c r="DC370" s="485"/>
      <c r="DD370" s="485"/>
      <c r="DE370" s="485"/>
      <c r="DF370" s="485"/>
      <c r="DG370" s="485"/>
      <c r="DH370" s="485"/>
      <c r="DI370" s="485"/>
      <c r="DJ370" s="485"/>
      <c r="DK370" s="485"/>
      <c r="DL370" s="485"/>
      <c r="DM370" s="485"/>
      <c r="DN370" s="485"/>
      <c r="DO370" s="485"/>
      <c r="DP370" s="485"/>
      <c r="DQ370" s="485"/>
      <c r="DR370" s="485"/>
      <c r="DS370" s="107"/>
      <c r="DT370" s="107"/>
      <c r="DU370" s="107"/>
      <c r="DV370" s="107"/>
      <c r="DW370" s="107"/>
      <c r="DX370" s="107"/>
    </row>
    <row r="371" spans="3:128" s="79" customFormat="1" ht="14.25" customHeight="1">
      <c r="E371" s="505"/>
      <c r="G371" s="505"/>
      <c r="H371" s="506"/>
      <c r="K371" s="505"/>
      <c r="L371" s="505"/>
      <c r="M371" s="506"/>
      <c r="R371" s="506"/>
      <c r="T371" s="505"/>
      <c r="U371" s="505"/>
      <c r="W371" s="506"/>
      <c r="Y371" s="505"/>
      <c r="Z371" s="505"/>
      <c r="AB371" s="505"/>
      <c r="BH371" s="107"/>
      <c r="BI371" s="107"/>
      <c r="BJ371" s="107"/>
      <c r="BK371" s="107"/>
      <c r="BL371" s="107"/>
      <c r="BM371" s="107"/>
      <c r="BN371" s="107"/>
      <c r="BO371" s="107"/>
      <c r="BP371" s="107"/>
      <c r="BQ371" s="107"/>
      <c r="BR371" s="107"/>
      <c r="BS371" s="107"/>
      <c r="BT371" s="107"/>
      <c r="BU371" s="107"/>
      <c r="BV371" s="107"/>
      <c r="BW371" s="107"/>
      <c r="BX371" s="107"/>
      <c r="BY371" s="107"/>
      <c r="BZ371" s="107"/>
      <c r="CA371" s="107"/>
      <c r="CB371" s="107"/>
      <c r="CC371" s="107"/>
      <c r="CD371" s="107"/>
      <c r="CE371" s="107"/>
      <c r="CF371" s="107"/>
      <c r="CG371" s="107"/>
      <c r="CH371" s="107"/>
      <c r="CI371" s="107"/>
      <c r="CJ371" s="107"/>
      <c r="CK371" s="107"/>
      <c r="CL371" s="107"/>
      <c r="CM371" s="107"/>
      <c r="CN371" s="107"/>
      <c r="CO371" s="107"/>
      <c r="CP371" s="107"/>
      <c r="CQ371" s="107"/>
      <c r="CR371" s="107"/>
      <c r="CS371" s="107"/>
      <c r="CT371" s="107"/>
      <c r="CU371" s="107"/>
      <c r="CV371" s="107"/>
      <c r="CW371" s="107"/>
      <c r="CX371" s="107"/>
      <c r="CY371" s="107"/>
      <c r="CZ371" s="107"/>
      <c r="DA371" s="341"/>
      <c r="DB371" s="341"/>
      <c r="DC371" s="485"/>
      <c r="DD371" s="485"/>
      <c r="DE371" s="485"/>
      <c r="DF371" s="485"/>
      <c r="DG371" s="485"/>
      <c r="DH371" s="485"/>
      <c r="DI371" s="485"/>
      <c r="DJ371" s="485"/>
      <c r="DK371" s="485"/>
      <c r="DL371" s="485"/>
      <c r="DM371" s="485"/>
      <c r="DN371" s="485"/>
      <c r="DO371" s="485"/>
      <c r="DP371" s="485"/>
      <c r="DQ371" s="485"/>
      <c r="DR371" s="485"/>
      <c r="DS371" s="107"/>
      <c r="DT371" s="107"/>
      <c r="DU371" s="107"/>
      <c r="DV371" s="107"/>
      <c r="DW371" s="107"/>
      <c r="DX371" s="107"/>
    </row>
    <row r="372" spans="3:128" s="79" customFormat="1">
      <c r="E372" s="505"/>
      <c r="G372" s="505"/>
      <c r="H372" s="506"/>
      <c r="K372" s="505"/>
      <c r="L372" s="505"/>
      <c r="M372" s="506"/>
      <c r="R372" s="506"/>
      <c r="T372" s="505"/>
      <c r="U372" s="505"/>
      <c r="W372" s="506"/>
      <c r="Y372" s="505"/>
      <c r="Z372" s="505"/>
      <c r="AB372" s="505"/>
      <c r="BH372" s="107"/>
      <c r="BI372" s="107"/>
      <c r="BJ372" s="107"/>
      <c r="BK372" s="107"/>
      <c r="BL372" s="107"/>
      <c r="BM372" s="107"/>
      <c r="BN372" s="107"/>
      <c r="BO372" s="107"/>
      <c r="BP372" s="107"/>
      <c r="BQ372" s="107"/>
      <c r="BR372" s="107"/>
      <c r="BS372" s="107"/>
      <c r="BT372" s="107"/>
      <c r="BU372" s="107"/>
      <c r="BV372" s="107"/>
      <c r="BW372" s="107"/>
      <c r="BX372" s="107"/>
      <c r="BY372" s="107"/>
      <c r="BZ372" s="107"/>
      <c r="CA372" s="107"/>
      <c r="CB372" s="107"/>
      <c r="CC372" s="107"/>
      <c r="CD372" s="107"/>
      <c r="CE372" s="107"/>
      <c r="CF372" s="107"/>
      <c r="CG372" s="107"/>
      <c r="CH372" s="107"/>
      <c r="CI372" s="107"/>
      <c r="CJ372" s="107"/>
      <c r="CK372" s="107"/>
      <c r="CL372" s="107"/>
      <c r="CM372" s="107"/>
      <c r="CN372" s="107"/>
      <c r="CO372" s="107"/>
      <c r="CP372" s="107"/>
      <c r="CQ372" s="107"/>
      <c r="CR372" s="107"/>
      <c r="CS372" s="107"/>
      <c r="CT372" s="107"/>
      <c r="CU372" s="107"/>
      <c r="CV372" s="107"/>
      <c r="CW372" s="107"/>
      <c r="CX372" s="107"/>
      <c r="CY372" s="107"/>
      <c r="CZ372" s="107"/>
      <c r="DA372" s="341"/>
      <c r="DB372" s="341"/>
      <c r="DC372" s="485"/>
      <c r="DD372" s="485"/>
      <c r="DE372" s="485"/>
      <c r="DF372" s="485"/>
      <c r="DG372" s="485"/>
      <c r="DH372" s="485"/>
      <c r="DI372" s="485"/>
      <c r="DJ372" s="485"/>
      <c r="DK372" s="485"/>
      <c r="DL372" s="485"/>
      <c r="DM372" s="485"/>
      <c r="DN372" s="485"/>
      <c r="DO372" s="485"/>
      <c r="DP372" s="485"/>
      <c r="DQ372" s="485"/>
      <c r="DR372" s="485"/>
      <c r="DS372" s="107"/>
      <c r="DT372" s="107"/>
      <c r="DU372" s="107"/>
      <c r="DV372" s="107"/>
      <c r="DW372" s="107"/>
      <c r="DX372" s="107"/>
    </row>
    <row r="373" spans="3:128" s="79" customFormat="1">
      <c r="E373" s="505"/>
      <c r="G373" s="505"/>
      <c r="H373" s="506"/>
      <c r="K373" s="505"/>
      <c r="L373" s="505"/>
      <c r="M373" s="506"/>
      <c r="R373" s="506"/>
      <c r="T373" s="505"/>
      <c r="U373" s="505"/>
      <c r="W373" s="506"/>
      <c r="Y373" s="505"/>
      <c r="Z373" s="505"/>
      <c r="AB373" s="505"/>
      <c r="BH373" s="107"/>
      <c r="BI373" s="107"/>
      <c r="BJ373" s="107"/>
      <c r="BK373" s="107"/>
      <c r="BL373" s="107"/>
      <c r="BM373" s="107"/>
      <c r="BN373" s="107"/>
      <c r="BO373" s="107"/>
      <c r="BP373" s="107"/>
      <c r="BQ373" s="107"/>
      <c r="BR373" s="107"/>
      <c r="BS373" s="107"/>
      <c r="BT373" s="107"/>
      <c r="BU373" s="107"/>
      <c r="BV373" s="107"/>
      <c r="BW373" s="107"/>
      <c r="BX373" s="107"/>
      <c r="BY373" s="107"/>
      <c r="BZ373" s="107"/>
      <c r="CA373" s="107"/>
      <c r="CB373" s="107"/>
      <c r="CC373" s="107"/>
      <c r="CD373" s="107"/>
      <c r="CE373" s="107"/>
      <c r="CF373" s="107"/>
      <c r="CG373" s="107"/>
      <c r="CH373" s="107"/>
      <c r="CI373" s="107"/>
      <c r="CJ373" s="107"/>
      <c r="CK373" s="107"/>
      <c r="CL373" s="107"/>
      <c r="CM373" s="107"/>
      <c r="CN373" s="107"/>
      <c r="CO373" s="107"/>
      <c r="CP373" s="107"/>
      <c r="CQ373" s="107"/>
      <c r="CR373" s="107"/>
      <c r="CS373" s="107"/>
      <c r="CT373" s="107"/>
      <c r="CU373" s="107"/>
      <c r="CV373" s="107"/>
      <c r="CW373" s="107"/>
      <c r="CX373" s="107"/>
      <c r="CY373" s="107"/>
      <c r="CZ373" s="107"/>
      <c r="DA373" s="341"/>
      <c r="DB373" s="341"/>
      <c r="DC373" s="485"/>
      <c r="DD373" s="485"/>
      <c r="DE373" s="485"/>
      <c r="DF373" s="485"/>
      <c r="DG373" s="485"/>
      <c r="DH373" s="485"/>
      <c r="DI373" s="485"/>
      <c r="DJ373" s="485"/>
      <c r="DK373" s="485"/>
      <c r="DL373" s="485"/>
      <c r="DM373" s="485"/>
      <c r="DN373" s="485"/>
      <c r="DO373" s="485"/>
      <c r="DP373" s="485"/>
      <c r="DQ373" s="485"/>
      <c r="DR373" s="485"/>
      <c r="DS373" s="107"/>
      <c r="DT373" s="107"/>
      <c r="DU373" s="107"/>
      <c r="DV373" s="107"/>
      <c r="DW373" s="107"/>
      <c r="DX373" s="107"/>
    </row>
    <row r="374" spans="3:128" s="79" customFormat="1">
      <c r="E374" s="505"/>
      <c r="G374" s="505"/>
      <c r="H374" s="506"/>
      <c r="K374" s="505"/>
      <c r="L374" s="505"/>
      <c r="M374" s="506"/>
      <c r="R374" s="506"/>
      <c r="T374" s="505"/>
      <c r="U374" s="505"/>
      <c r="W374" s="506"/>
      <c r="Y374" s="505"/>
      <c r="Z374" s="505"/>
      <c r="AB374" s="505"/>
      <c r="BH374" s="107"/>
      <c r="BI374" s="107"/>
      <c r="BJ374" s="107"/>
      <c r="BK374" s="107"/>
      <c r="BL374" s="107"/>
      <c r="BM374" s="107"/>
      <c r="BN374" s="107"/>
      <c r="BO374" s="107"/>
      <c r="BP374" s="107"/>
      <c r="BQ374" s="107"/>
      <c r="BR374" s="107"/>
      <c r="BS374" s="107"/>
      <c r="BT374" s="107"/>
      <c r="BU374" s="107"/>
      <c r="BV374" s="107"/>
      <c r="BW374" s="107"/>
      <c r="BX374" s="107"/>
      <c r="BY374" s="107"/>
      <c r="BZ374" s="107"/>
      <c r="CA374" s="107"/>
      <c r="CB374" s="107"/>
      <c r="CC374" s="107"/>
      <c r="CD374" s="107"/>
      <c r="CE374" s="107"/>
      <c r="CF374" s="107"/>
      <c r="CG374" s="107"/>
      <c r="CH374" s="107"/>
      <c r="CI374" s="107"/>
      <c r="CJ374" s="107"/>
      <c r="CK374" s="107"/>
      <c r="CL374" s="107"/>
      <c r="CM374" s="107"/>
      <c r="CN374" s="107"/>
      <c r="CO374" s="107"/>
      <c r="CP374" s="107"/>
      <c r="CQ374" s="107"/>
      <c r="CR374" s="107"/>
      <c r="CS374" s="107"/>
      <c r="CT374" s="107"/>
      <c r="CU374" s="107"/>
      <c r="CV374" s="107"/>
      <c r="CW374" s="107"/>
      <c r="CX374" s="107"/>
      <c r="CY374" s="107"/>
      <c r="CZ374" s="107"/>
      <c r="DA374" s="341"/>
      <c r="DB374" s="341"/>
      <c r="DC374" s="485"/>
      <c r="DD374" s="485"/>
      <c r="DE374" s="485"/>
      <c r="DF374" s="485"/>
      <c r="DG374" s="485"/>
      <c r="DH374" s="485"/>
      <c r="DI374" s="485"/>
      <c r="DJ374" s="485"/>
      <c r="DK374" s="485"/>
      <c r="DL374" s="485"/>
      <c r="DM374" s="485"/>
      <c r="DN374" s="485"/>
      <c r="DO374" s="485"/>
      <c r="DP374" s="485"/>
      <c r="DQ374" s="485"/>
      <c r="DR374" s="485"/>
      <c r="DS374" s="107"/>
      <c r="DT374" s="107"/>
      <c r="DU374" s="107"/>
      <c r="DV374" s="107"/>
      <c r="DW374" s="107"/>
      <c r="DX374" s="107"/>
    </row>
    <row r="375" spans="3:128" s="79" customFormat="1">
      <c r="E375" s="505"/>
      <c r="G375" s="505"/>
      <c r="H375" s="506"/>
      <c r="K375" s="505"/>
      <c r="L375" s="505"/>
      <c r="M375" s="506"/>
      <c r="R375" s="506"/>
      <c r="T375" s="505"/>
      <c r="U375" s="505"/>
      <c r="W375" s="506"/>
      <c r="Y375" s="505"/>
      <c r="Z375" s="505"/>
      <c r="AB375" s="505"/>
      <c r="BH375" s="107"/>
      <c r="BI375" s="107"/>
      <c r="BJ375" s="107"/>
      <c r="BK375" s="107"/>
      <c r="BL375" s="107"/>
      <c r="BM375" s="107"/>
      <c r="BN375" s="107"/>
      <c r="BO375" s="107"/>
      <c r="BP375" s="107"/>
      <c r="BQ375" s="107"/>
      <c r="BR375" s="107"/>
      <c r="BS375" s="107"/>
      <c r="BT375" s="107"/>
      <c r="BU375" s="107"/>
      <c r="BV375" s="107"/>
      <c r="BW375" s="107"/>
      <c r="BX375" s="107"/>
      <c r="BY375" s="107"/>
      <c r="BZ375" s="107"/>
      <c r="CA375" s="107"/>
      <c r="CB375" s="107"/>
      <c r="CC375" s="107"/>
      <c r="CD375" s="107"/>
      <c r="CE375" s="107"/>
      <c r="CF375" s="107"/>
      <c r="CG375" s="107"/>
      <c r="CH375" s="107"/>
      <c r="CI375" s="107"/>
      <c r="CJ375" s="107"/>
      <c r="CK375" s="107"/>
      <c r="CL375" s="107"/>
      <c r="CM375" s="107"/>
      <c r="CN375" s="107"/>
      <c r="CO375" s="107"/>
      <c r="CP375" s="107"/>
      <c r="CQ375" s="107"/>
      <c r="CR375" s="107"/>
      <c r="CS375" s="107"/>
      <c r="CT375" s="107"/>
      <c r="CU375" s="107"/>
      <c r="CV375" s="107"/>
      <c r="CW375" s="107"/>
      <c r="CX375" s="107"/>
      <c r="CY375" s="107"/>
      <c r="CZ375" s="107"/>
      <c r="DA375" s="341"/>
      <c r="DB375" s="341"/>
      <c r="DC375" s="485"/>
      <c r="DD375" s="485"/>
      <c r="DE375" s="485"/>
      <c r="DF375" s="485"/>
      <c r="DG375" s="485"/>
      <c r="DH375" s="485"/>
      <c r="DI375" s="485"/>
      <c r="DJ375" s="485"/>
      <c r="DK375" s="485"/>
      <c r="DL375" s="485"/>
      <c r="DM375" s="485"/>
      <c r="DN375" s="485"/>
      <c r="DO375" s="485"/>
      <c r="DP375" s="485"/>
      <c r="DQ375" s="485"/>
      <c r="DR375" s="485"/>
      <c r="DS375" s="107"/>
      <c r="DT375" s="107"/>
      <c r="DU375" s="107"/>
      <c r="DV375" s="107"/>
      <c r="DW375" s="107"/>
      <c r="DX375" s="107"/>
    </row>
    <row r="376" spans="3:128" s="79" customFormat="1">
      <c r="E376" s="505"/>
      <c r="G376" s="505"/>
      <c r="H376" s="506"/>
      <c r="K376" s="505"/>
      <c r="L376" s="505"/>
      <c r="M376" s="506"/>
      <c r="R376" s="506"/>
      <c r="T376" s="505"/>
      <c r="U376" s="505"/>
      <c r="W376" s="506"/>
      <c r="Y376" s="505"/>
      <c r="Z376" s="505"/>
      <c r="AB376" s="505"/>
      <c r="BH376" s="107"/>
      <c r="BI376" s="107"/>
      <c r="BJ376" s="107"/>
      <c r="BK376" s="107"/>
      <c r="BL376" s="107"/>
      <c r="BM376" s="107"/>
      <c r="BN376" s="107"/>
      <c r="BO376" s="107"/>
      <c r="BP376" s="107"/>
      <c r="BQ376" s="107"/>
      <c r="BR376" s="107"/>
      <c r="BS376" s="107"/>
      <c r="BT376" s="107"/>
      <c r="BU376" s="107"/>
      <c r="BV376" s="107"/>
      <c r="BW376" s="107"/>
      <c r="BX376" s="107"/>
      <c r="BY376" s="107"/>
      <c r="BZ376" s="107"/>
      <c r="CA376" s="107"/>
      <c r="CB376" s="107"/>
      <c r="CC376" s="107"/>
      <c r="CD376" s="107"/>
      <c r="CE376" s="107"/>
      <c r="CF376" s="107"/>
      <c r="CG376" s="107"/>
      <c r="CH376" s="107"/>
      <c r="CI376" s="107"/>
      <c r="CJ376" s="107"/>
      <c r="CK376" s="107"/>
      <c r="CL376" s="107"/>
      <c r="CM376" s="107"/>
      <c r="CN376" s="107"/>
      <c r="CO376" s="107"/>
      <c r="CP376" s="107"/>
      <c r="CQ376" s="107"/>
      <c r="CR376" s="107"/>
      <c r="CS376" s="107"/>
      <c r="CT376" s="107"/>
      <c r="CU376" s="107"/>
      <c r="CV376" s="107"/>
      <c r="CW376" s="107"/>
      <c r="CX376" s="107"/>
      <c r="CY376" s="107"/>
      <c r="CZ376" s="107"/>
      <c r="DA376" s="341"/>
      <c r="DB376" s="341"/>
      <c r="DC376" s="485"/>
      <c r="DD376" s="485"/>
      <c r="DE376" s="485"/>
      <c r="DF376" s="485"/>
      <c r="DG376" s="485"/>
      <c r="DH376" s="485"/>
      <c r="DI376" s="485"/>
      <c r="DJ376" s="485"/>
      <c r="DK376" s="485"/>
      <c r="DL376" s="485"/>
      <c r="DM376" s="485"/>
      <c r="DN376" s="485"/>
      <c r="DO376" s="485"/>
      <c r="DP376" s="485"/>
      <c r="DQ376" s="485"/>
      <c r="DR376" s="485"/>
      <c r="DS376" s="107"/>
      <c r="DT376" s="107"/>
      <c r="DU376" s="107"/>
      <c r="DV376" s="107"/>
      <c r="DW376" s="107"/>
      <c r="DX376" s="107"/>
    </row>
    <row r="377" spans="3:128" s="79" customFormat="1">
      <c r="E377" s="505"/>
      <c r="G377" s="505"/>
      <c r="H377" s="506"/>
      <c r="K377" s="505"/>
      <c r="L377" s="505"/>
      <c r="M377" s="506"/>
      <c r="R377" s="506"/>
      <c r="T377" s="505"/>
      <c r="U377" s="505"/>
      <c r="W377" s="506"/>
      <c r="Y377" s="505"/>
      <c r="Z377" s="505"/>
      <c r="AB377" s="505"/>
      <c r="BH377" s="107"/>
      <c r="BI377" s="107"/>
      <c r="BJ377" s="107"/>
      <c r="BK377" s="107"/>
      <c r="BL377" s="107"/>
      <c r="BM377" s="107"/>
      <c r="BN377" s="107"/>
      <c r="BO377" s="107"/>
      <c r="BP377" s="107"/>
      <c r="BQ377" s="107"/>
      <c r="BR377" s="107"/>
      <c r="BS377" s="107"/>
      <c r="BT377" s="107"/>
      <c r="BU377" s="107"/>
      <c r="BV377" s="107"/>
      <c r="BW377" s="107"/>
      <c r="BX377" s="107"/>
      <c r="BY377" s="107"/>
      <c r="BZ377" s="107"/>
      <c r="CA377" s="107"/>
      <c r="CB377" s="107"/>
      <c r="CC377" s="107"/>
      <c r="CD377" s="107"/>
      <c r="CE377" s="107"/>
      <c r="CF377" s="107"/>
      <c r="CG377" s="107"/>
      <c r="CH377" s="107"/>
      <c r="CI377" s="107"/>
      <c r="CJ377" s="107"/>
      <c r="CK377" s="107"/>
      <c r="CL377" s="107"/>
      <c r="CM377" s="107"/>
      <c r="CN377" s="107"/>
      <c r="CO377" s="107"/>
      <c r="CP377" s="107"/>
      <c r="CQ377" s="107"/>
      <c r="CR377" s="107"/>
      <c r="CS377" s="107"/>
      <c r="CT377" s="107"/>
      <c r="CU377" s="107"/>
      <c r="CV377" s="107"/>
      <c r="CW377" s="107"/>
      <c r="CX377" s="107"/>
      <c r="CY377" s="107"/>
      <c r="CZ377" s="107"/>
      <c r="DA377" s="341"/>
      <c r="DB377" s="341"/>
      <c r="DC377" s="485"/>
      <c r="DD377" s="485"/>
      <c r="DE377" s="485"/>
      <c r="DF377" s="485"/>
      <c r="DG377" s="485"/>
      <c r="DH377" s="485"/>
      <c r="DI377" s="485"/>
      <c r="DJ377" s="485"/>
      <c r="DK377" s="485"/>
      <c r="DL377" s="485"/>
      <c r="DM377" s="485"/>
      <c r="DN377" s="485"/>
      <c r="DO377" s="485"/>
      <c r="DP377" s="485"/>
      <c r="DQ377" s="485"/>
      <c r="DR377" s="485"/>
      <c r="DS377" s="107"/>
      <c r="DT377" s="107"/>
      <c r="DU377" s="107"/>
      <c r="DV377" s="107"/>
      <c r="DW377" s="107"/>
      <c r="DX377" s="107"/>
    </row>
    <row r="378" spans="3:128" s="79" customFormat="1">
      <c r="E378" s="505"/>
      <c r="G378" s="505"/>
      <c r="H378" s="506"/>
      <c r="K378" s="505"/>
      <c r="L378" s="505"/>
      <c r="M378" s="506"/>
      <c r="R378" s="506"/>
      <c r="T378" s="505"/>
      <c r="U378" s="505"/>
      <c r="W378" s="506"/>
      <c r="Y378" s="505"/>
      <c r="Z378" s="505"/>
      <c r="AB378" s="505"/>
      <c r="BH378" s="107"/>
      <c r="BI378" s="107"/>
      <c r="BJ378" s="107"/>
      <c r="BK378" s="107"/>
      <c r="BL378" s="107"/>
      <c r="BM378" s="107"/>
      <c r="BN378" s="107"/>
      <c r="BO378" s="107"/>
      <c r="BP378" s="107"/>
      <c r="BQ378" s="107"/>
      <c r="BR378" s="107"/>
      <c r="BS378" s="107"/>
      <c r="BT378" s="107"/>
      <c r="BU378" s="107"/>
      <c r="BV378" s="107"/>
      <c r="BW378" s="107"/>
      <c r="BX378" s="107"/>
      <c r="BY378" s="107"/>
      <c r="BZ378" s="107"/>
      <c r="CA378" s="107"/>
      <c r="CB378" s="107"/>
      <c r="CC378" s="107"/>
      <c r="CD378" s="107"/>
      <c r="CE378" s="107"/>
      <c r="CF378" s="107"/>
      <c r="CG378" s="107"/>
      <c r="CH378" s="107"/>
      <c r="CI378" s="107"/>
      <c r="CJ378" s="107"/>
      <c r="CK378" s="107"/>
      <c r="CL378" s="107"/>
      <c r="CM378" s="107"/>
      <c r="CN378" s="107"/>
      <c r="CO378" s="107"/>
      <c r="CP378" s="107"/>
      <c r="CQ378" s="107"/>
      <c r="CR378" s="107"/>
      <c r="CS378" s="107"/>
      <c r="CT378" s="107"/>
      <c r="CU378" s="107"/>
      <c r="CV378" s="107"/>
      <c r="CW378" s="107"/>
      <c r="CX378" s="107"/>
      <c r="CY378" s="107"/>
      <c r="CZ378" s="107"/>
      <c r="DA378" s="341"/>
      <c r="DB378" s="341"/>
      <c r="DC378" s="485"/>
      <c r="DD378" s="485"/>
      <c r="DE378" s="485"/>
      <c r="DF378" s="485"/>
      <c r="DG378" s="485"/>
      <c r="DH378" s="485"/>
      <c r="DI378" s="485"/>
      <c r="DJ378" s="485"/>
      <c r="DK378" s="485"/>
      <c r="DL378" s="485"/>
      <c r="DM378" s="485"/>
      <c r="DN378" s="485"/>
      <c r="DO378" s="485"/>
      <c r="DP378" s="485"/>
      <c r="DQ378" s="485"/>
      <c r="DR378" s="485"/>
      <c r="DS378" s="107"/>
      <c r="DT378" s="107"/>
      <c r="DU378" s="107"/>
      <c r="DV378" s="107"/>
      <c r="DW378" s="107"/>
      <c r="DX378" s="107"/>
    </row>
    <row r="379" spans="3:128" s="79" customFormat="1">
      <c r="E379" s="505"/>
      <c r="G379" s="505"/>
      <c r="H379" s="506"/>
      <c r="K379" s="505"/>
      <c r="L379" s="505"/>
      <c r="M379" s="506"/>
      <c r="R379" s="506"/>
      <c r="T379" s="505"/>
      <c r="U379" s="505"/>
      <c r="W379" s="506"/>
      <c r="Y379" s="505"/>
      <c r="Z379" s="505"/>
      <c r="AB379" s="505"/>
      <c r="BH379" s="107"/>
      <c r="BI379" s="107"/>
      <c r="BJ379" s="107"/>
      <c r="BK379" s="107"/>
      <c r="BL379" s="107"/>
      <c r="BM379" s="107"/>
      <c r="BN379" s="107"/>
      <c r="BO379" s="107"/>
      <c r="BP379" s="107"/>
      <c r="BQ379" s="107"/>
      <c r="BR379" s="107"/>
      <c r="BS379" s="107"/>
      <c r="BT379" s="107"/>
      <c r="BU379" s="107"/>
      <c r="BV379" s="107"/>
      <c r="BW379" s="107"/>
      <c r="BX379" s="107"/>
      <c r="BY379" s="107"/>
      <c r="BZ379" s="107"/>
      <c r="CA379" s="107"/>
      <c r="CB379" s="107"/>
      <c r="CC379" s="107"/>
      <c r="CD379" s="107"/>
      <c r="CE379" s="107"/>
      <c r="CF379" s="107"/>
      <c r="CG379" s="107"/>
      <c r="CH379" s="107"/>
      <c r="CI379" s="107"/>
      <c r="CJ379" s="107"/>
      <c r="CK379" s="107"/>
      <c r="CL379" s="107"/>
      <c r="CM379" s="107"/>
      <c r="CN379" s="107"/>
      <c r="CO379" s="107"/>
      <c r="CP379" s="107"/>
      <c r="CQ379" s="107"/>
      <c r="CR379" s="107"/>
      <c r="CS379" s="107"/>
      <c r="CT379" s="107"/>
      <c r="CU379" s="107"/>
      <c r="CV379" s="107"/>
      <c r="CW379" s="107"/>
      <c r="CX379" s="107"/>
      <c r="CY379" s="107"/>
      <c r="CZ379" s="107"/>
      <c r="DA379" s="341"/>
      <c r="DB379" s="341"/>
      <c r="DC379" s="485"/>
      <c r="DD379" s="485"/>
      <c r="DE379" s="485"/>
      <c r="DF379" s="485"/>
      <c r="DG379" s="485"/>
      <c r="DH379" s="485"/>
      <c r="DI379" s="485"/>
      <c r="DJ379" s="485"/>
      <c r="DK379" s="485"/>
      <c r="DL379" s="485"/>
      <c r="DM379" s="485"/>
      <c r="DN379" s="485"/>
      <c r="DO379" s="485"/>
      <c r="DP379" s="485"/>
      <c r="DQ379" s="485"/>
      <c r="DR379" s="485"/>
      <c r="DS379" s="107"/>
      <c r="DT379" s="107"/>
      <c r="DU379" s="107"/>
      <c r="DV379" s="107"/>
      <c r="DW379" s="107"/>
      <c r="DX379" s="107"/>
    </row>
    <row r="380" spans="3:128" s="79" customFormat="1">
      <c r="E380" s="505"/>
      <c r="G380" s="505"/>
      <c r="H380" s="506"/>
      <c r="K380" s="505"/>
      <c r="L380" s="505"/>
      <c r="M380" s="506"/>
      <c r="R380" s="506"/>
      <c r="T380" s="505"/>
      <c r="U380" s="505"/>
      <c r="W380" s="506"/>
      <c r="Y380" s="505"/>
      <c r="Z380" s="505"/>
      <c r="AB380" s="505"/>
      <c r="BH380" s="107"/>
      <c r="BI380" s="107"/>
      <c r="BJ380" s="107"/>
      <c r="BK380" s="107"/>
      <c r="BL380" s="107"/>
      <c r="BM380" s="107"/>
      <c r="BN380" s="107"/>
      <c r="BO380" s="107"/>
      <c r="BP380" s="107"/>
      <c r="BQ380" s="107"/>
      <c r="BR380" s="107"/>
      <c r="BS380" s="107"/>
      <c r="BT380" s="107"/>
      <c r="BU380" s="107"/>
      <c r="BV380" s="107"/>
      <c r="BW380" s="107"/>
      <c r="BX380" s="107"/>
      <c r="BY380" s="107"/>
      <c r="BZ380" s="107"/>
      <c r="CA380" s="107"/>
      <c r="CB380" s="107"/>
      <c r="CC380" s="107"/>
      <c r="CD380" s="107"/>
      <c r="CE380" s="107"/>
      <c r="CF380" s="107"/>
      <c r="CG380" s="107"/>
      <c r="CH380" s="107"/>
      <c r="CI380" s="107"/>
      <c r="CJ380" s="107"/>
      <c r="CK380" s="107"/>
      <c r="CL380" s="107"/>
      <c r="CM380" s="107"/>
      <c r="CN380" s="107"/>
      <c r="CO380" s="107"/>
      <c r="CP380" s="107"/>
      <c r="CQ380" s="107"/>
      <c r="CR380" s="107"/>
      <c r="CS380" s="107"/>
      <c r="CT380" s="107"/>
      <c r="CU380" s="107"/>
      <c r="CV380" s="107"/>
      <c r="CW380" s="107"/>
      <c r="CX380" s="107"/>
      <c r="CY380" s="107"/>
      <c r="CZ380" s="107"/>
      <c r="DA380" s="341"/>
      <c r="DB380" s="341"/>
      <c r="DC380" s="485"/>
      <c r="DD380" s="485"/>
      <c r="DE380" s="485"/>
      <c r="DF380" s="485"/>
      <c r="DG380" s="485"/>
      <c r="DH380" s="485"/>
      <c r="DI380" s="485"/>
      <c r="DJ380" s="485"/>
      <c r="DK380" s="485"/>
      <c r="DL380" s="485"/>
      <c r="DM380" s="485"/>
      <c r="DN380" s="485"/>
      <c r="DO380" s="485"/>
      <c r="DP380" s="485"/>
      <c r="DQ380" s="485"/>
      <c r="DR380" s="485"/>
      <c r="DS380" s="107"/>
      <c r="DT380" s="107"/>
      <c r="DU380" s="107"/>
      <c r="DV380" s="107"/>
      <c r="DW380" s="107"/>
      <c r="DX380" s="107"/>
    </row>
    <row r="381" spans="3:128" s="79" customFormat="1">
      <c r="E381" s="505"/>
      <c r="G381" s="505"/>
      <c r="H381" s="506"/>
      <c r="K381" s="505"/>
      <c r="L381" s="505"/>
      <c r="M381" s="506"/>
      <c r="R381" s="506"/>
      <c r="T381" s="505"/>
      <c r="U381" s="505"/>
      <c r="W381" s="506"/>
      <c r="Y381" s="505"/>
      <c r="Z381" s="505"/>
      <c r="AB381" s="505"/>
      <c r="BH381" s="107"/>
      <c r="BI381" s="107"/>
      <c r="BJ381" s="107"/>
      <c r="BK381" s="107"/>
      <c r="BL381" s="107"/>
      <c r="BM381" s="107"/>
      <c r="BN381" s="107"/>
      <c r="BO381" s="107"/>
      <c r="BP381" s="107"/>
      <c r="BQ381" s="107"/>
      <c r="BR381" s="107"/>
      <c r="BS381" s="107"/>
      <c r="BT381" s="107"/>
      <c r="BU381" s="107"/>
      <c r="BV381" s="107"/>
      <c r="BW381" s="107"/>
      <c r="BX381" s="107"/>
      <c r="BY381" s="107"/>
      <c r="BZ381" s="107"/>
      <c r="CA381" s="107"/>
      <c r="CB381" s="107"/>
      <c r="CC381" s="107"/>
      <c r="CD381" s="107"/>
      <c r="CE381" s="107"/>
      <c r="CF381" s="107"/>
      <c r="CG381" s="107"/>
      <c r="CH381" s="107"/>
      <c r="CI381" s="107"/>
      <c r="CJ381" s="107"/>
      <c r="CK381" s="107"/>
      <c r="CL381" s="107"/>
      <c r="CM381" s="107"/>
      <c r="CN381" s="107"/>
      <c r="CO381" s="107"/>
      <c r="CP381" s="107"/>
      <c r="CQ381" s="107"/>
      <c r="CR381" s="107"/>
      <c r="CS381" s="107"/>
      <c r="CT381" s="107"/>
      <c r="CU381" s="107"/>
      <c r="CV381" s="107"/>
      <c r="CW381" s="107"/>
      <c r="CX381" s="107"/>
      <c r="CY381" s="107"/>
      <c r="CZ381" s="107"/>
      <c r="DA381" s="341"/>
      <c r="DB381" s="341"/>
      <c r="DC381" s="485"/>
      <c r="DD381" s="485"/>
      <c r="DE381" s="485"/>
      <c r="DF381" s="485"/>
      <c r="DG381" s="485"/>
      <c r="DH381" s="485"/>
      <c r="DI381" s="485"/>
      <c r="DJ381" s="485"/>
      <c r="DK381" s="485"/>
      <c r="DL381" s="485"/>
      <c r="DM381" s="485"/>
      <c r="DN381" s="485"/>
      <c r="DO381" s="485"/>
      <c r="DP381" s="485"/>
      <c r="DQ381" s="485"/>
      <c r="DR381" s="485"/>
      <c r="DS381" s="107"/>
      <c r="DT381" s="107"/>
      <c r="DU381" s="107"/>
      <c r="DV381" s="107"/>
      <c r="DW381" s="107"/>
      <c r="DX381" s="107"/>
    </row>
    <row r="382" spans="3:128" s="79" customFormat="1">
      <c r="E382" s="505"/>
      <c r="G382" s="505"/>
      <c r="H382" s="506"/>
      <c r="K382" s="505"/>
      <c r="L382" s="505"/>
      <c r="M382" s="506"/>
      <c r="R382" s="506"/>
      <c r="T382" s="505"/>
      <c r="U382" s="505"/>
      <c r="W382" s="506"/>
      <c r="Y382" s="505"/>
      <c r="Z382" s="505"/>
      <c r="AB382" s="505"/>
      <c r="BH382" s="107"/>
      <c r="BI382" s="107"/>
      <c r="BJ382" s="107"/>
      <c r="BK382" s="107"/>
      <c r="BL382" s="107"/>
      <c r="BM382" s="107"/>
      <c r="BN382" s="107"/>
      <c r="BO382" s="107"/>
      <c r="BP382" s="107"/>
      <c r="BQ382" s="107"/>
      <c r="BR382" s="107"/>
      <c r="BS382" s="107"/>
      <c r="BT382" s="107"/>
      <c r="BU382" s="107"/>
      <c r="BV382" s="107"/>
      <c r="BW382" s="107"/>
      <c r="BX382" s="107"/>
      <c r="BY382" s="107"/>
      <c r="BZ382" s="107"/>
      <c r="CA382" s="107"/>
      <c r="CB382" s="107"/>
      <c r="CC382" s="107"/>
      <c r="CD382" s="107"/>
      <c r="CE382" s="107"/>
      <c r="CF382" s="107"/>
      <c r="CG382" s="107"/>
      <c r="CH382" s="107"/>
      <c r="CI382" s="107"/>
      <c r="CJ382" s="107"/>
      <c r="CK382" s="107"/>
      <c r="CL382" s="107"/>
      <c r="CM382" s="107"/>
      <c r="CN382" s="107"/>
      <c r="CO382" s="107"/>
      <c r="CP382" s="107"/>
      <c r="CQ382" s="107"/>
      <c r="CR382" s="107"/>
      <c r="CS382" s="107"/>
      <c r="CT382" s="107"/>
      <c r="CU382" s="107"/>
      <c r="CV382" s="107"/>
      <c r="CW382" s="107"/>
      <c r="CX382" s="107"/>
      <c r="CY382" s="107"/>
      <c r="CZ382" s="107"/>
      <c r="DA382" s="341"/>
      <c r="DB382" s="341"/>
      <c r="DC382" s="485"/>
      <c r="DD382" s="485"/>
      <c r="DE382" s="485"/>
      <c r="DF382" s="485"/>
      <c r="DG382" s="485"/>
      <c r="DH382" s="485"/>
      <c r="DI382" s="485"/>
      <c r="DJ382" s="485"/>
      <c r="DK382" s="485"/>
      <c r="DL382" s="485"/>
      <c r="DM382" s="485"/>
      <c r="DN382" s="485"/>
      <c r="DO382" s="485"/>
      <c r="DP382" s="485"/>
      <c r="DQ382" s="485"/>
      <c r="DR382" s="485"/>
      <c r="DS382" s="107"/>
      <c r="DT382" s="107"/>
      <c r="DU382" s="107"/>
      <c r="DV382" s="107"/>
      <c r="DW382" s="107"/>
      <c r="DX382" s="107"/>
    </row>
    <row r="383" spans="3:128" s="79" customFormat="1">
      <c r="E383" s="505"/>
      <c r="G383" s="505"/>
      <c r="H383" s="506"/>
      <c r="K383" s="505"/>
      <c r="L383" s="505"/>
      <c r="M383" s="506"/>
      <c r="R383" s="506"/>
      <c r="T383" s="505"/>
      <c r="U383" s="505"/>
      <c r="W383" s="506"/>
      <c r="Y383" s="505"/>
      <c r="Z383" s="505"/>
      <c r="AB383" s="505"/>
      <c r="BH383" s="107"/>
      <c r="BI383" s="107"/>
      <c r="BJ383" s="107"/>
      <c r="BK383" s="107"/>
      <c r="BL383" s="107"/>
      <c r="BM383" s="107"/>
      <c r="BN383" s="107"/>
      <c r="BO383" s="107"/>
      <c r="BP383" s="107"/>
      <c r="BQ383" s="107"/>
      <c r="BR383" s="107"/>
      <c r="BS383" s="107"/>
      <c r="BT383" s="107"/>
      <c r="BU383" s="107"/>
      <c r="BV383" s="107"/>
      <c r="BW383" s="107"/>
      <c r="BX383" s="107"/>
      <c r="BY383" s="107"/>
      <c r="BZ383" s="107"/>
      <c r="CA383" s="107"/>
      <c r="CB383" s="107"/>
      <c r="CC383" s="107"/>
      <c r="CD383" s="107"/>
      <c r="CE383" s="107"/>
      <c r="CF383" s="107"/>
      <c r="CG383" s="107"/>
      <c r="CH383" s="107"/>
      <c r="CI383" s="107"/>
      <c r="CJ383" s="107"/>
      <c r="CK383" s="107"/>
      <c r="CL383" s="107"/>
      <c r="CM383" s="107"/>
      <c r="CN383" s="107"/>
      <c r="CO383" s="107"/>
      <c r="CP383" s="107"/>
      <c r="CQ383" s="107"/>
      <c r="CR383" s="107"/>
      <c r="CS383" s="107"/>
      <c r="CT383" s="107"/>
      <c r="CU383" s="107"/>
      <c r="CV383" s="107"/>
      <c r="CW383" s="107"/>
      <c r="CX383" s="107"/>
      <c r="CY383" s="107"/>
      <c r="CZ383" s="107"/>
      <c r="DA383" s="341"/>
      <c r="DB383" s="341"/>
      <c r="DC383" s="485"/>
      <c r="DD383" s="485"/>
      <c r="DE383" s="485"/>
      <c r="DF383" s="485"/>
      <c r="DG383" s="485"/>
      <c r="DH383" s="485"/>
      <c r="DI383" s="485"/>
      <c r="DJ383" s="485"/>
      <c r="DK383" s="485"/>
      <c r="DL383" s="485"/>
      <c r="DM383" s="485"/>
      <c r="DN383" s="485"/>
      <c r="DO383" s="485"/>
      <c r="DP383" s="485"/>
      <c r="DQ383" s="485"/>
      <c r="DR383" s="485"/>
      <c r="DS383" s="107"/>
      <c r="DT383" s="107"/>
      <c r="DU383" s="107"/>
      <c r="DV383" s="107"/>
      <c r="DW383" s="107"/>
      <c r="DX383" s="107"/>
    </row>
    <row r="384" spans="3:128" s="68" customFormat="1">
      <c r="C384" s="79"/>
      <c r="D384" s="79"/>
      <c r="E384" s="505"/>
      <c r="F384" s="79"/>
      <c r="G384" s="505"/>
      <c r="H384" s="506"/>
      <c r="I384" s="79"/>
      <c r="J384" s="79"/>
      <c r="K384" s="505"/>
      <c r="L384" s="505"/>
      <c r="M384" s="506"/>
      <c r="N384" s="79"/>
      <c r="O384" s="79"/>
      <c r="P384" s="79"/>
      <c r="Q384" s="79"/>
      <c r="R384" s="506"/>
      <c r="S384" s="79"/>
      <c r="T384" s="505"/>
      <c r="U384" s="505"/>
      <c r="V384" s="79"/>
      <c r="W384" s="506"/>
      <c r="X384" s="79"/>
      <c r="Y384" s="505"/>
      <c r="Z384" s="505"/>
      <c r="AA384" s="79"/>
      <c r="AB384" s="505"/>
      <c r="AC384" s="79"/>
      <c r="AD384" s="79"/>
      <c r="AE384" s="79"/>
      <c r="AF384" s="79"/>
      <c r="BH384" s="71"/>
      <c r="BI384" s="71"/>
      <c r="BJ384" s="71"/>
      <c r="BK384" s="71"/>
      <c r="BL384" s="71"/>
      <c r="BM384" s="71"/>
      <c r="BN384" s="71"/>
      <c r="BO384" s="71"/>
      <c r="BP384" s="71"/>
      <c r="BQ384" s="71"/>
      <c r="BR384" s="71"/>
      <c r="BS384" s="71"/>
      <c r="BT384" s="71"/>
      <c r="BU384" s="71"/>
      <c r="BV384" s="71"/>
      <c r="BW384" s="71"/>
      <c r="BX384" s="71"/>
      <c r="BY384" s="71"/>
      <c r="BZ384" s="71"/>
      <c r="CA384" s="71"/>
      <c r="CB384" s="71"/>
      <c r="CC384" s="71"/>
      <c r="CD384" s="71"/>
      <c r="CE384" s="71"/>
      <c r="CF384" s="71"/>
      <c r="CG384" s="71"/>
      <c r="CH384" s="71"/>
      <c r="CI384" s="71"/>
      <c r="CJ384" s="71"/>
      <c r="CK384" s="71"/>
      <c r="CL384" s="71"/>
      <c r="CM384" s="71"/>
      <c r="CN384" s="71"/>
      <c r="CO384" s="71"/>
      <c r="CP384" s="71"/>
      <c r="CQ384" s="71"/>
      <c r="CR384" s="71"/>
      <c r="CS384" s="71"/>
      <c r="CT384" s="71"/>
      <c r="CU384" s="71"/>
      <c r="CV384" s="71"/>
      <c r="CW384" s="71"/>
      <c r="CX384" s="71"/>
      <c r="CY384" s="71"/>
      <c r="CZ384" s="71"/>
      <c r="DA384" s="296"/>
      <c r="DB384" s="296"/>
      <c r="DC384" s="112"/>
      <c r="DD384" s="112"/>
      <c r="DE384" s="112"/>
      <c r="DF384" s="112"/>
      <c r="DG384" s="112"/>
      <c r="DH384" s="112"/>
      <c r="DI384" s="112"/>
      <c r="DJ384" s="112"/>
      <c r="DK384" s="112"/>
      <c r="DL384" s="112"/>
      <c r="DM384" s="112"/>
      <c r="DN384" s="112"/>
      <c r="DO384" s="112"/>
      <c r="DP384" s="112"/>
      <c r="DQ384" s="112"/>
      <c r="DR384" s="112"/>
      <c r="DS384" s="71"/>
      <c r="DT384" s="71"/>
      <c r="DU384" s="71"/>
      <c r="DV384" s="71"/>
      <c r="DW384" s="71"/>
      <c r="DX384" s="71"/>
    </row>
    <row r="385" spans="3:128" s="68" customFormat="1">
      <c r="C385" s="79"/>
      <c r="D385" s="79"/>
      <c r="E385" s="505"/>
      <c r="F385" s="79"/>
      <c r="G385" s="505"/>
      <c r="H385" s="506"/>
      <c r="I385" s="79"/>
      <c r="J385" s="79"/>
      <c r="K385" s="505"/>
      <c r="L385" s="505"/>
      <c r="M385" s="506"/>
      <c r="N385" s="79"/>
      <c r="O385" s="79"/>
      <c r="P385" s="79"/>
      <c r="Q385" s="79"/>
      <c r="R385" s="506"/>
      <c r="S385" s="79"/>
      <c r="T385" s="505"/>
      <c r="U385" s="505"/>
      <c r="V385" s="79"/>
      <c r="W385" s="506"/>
      <c r="X385" s="79"/>
      <c r="Y385" s="505"/>
      <c r="Z385" s="505"/>
      <c r="AA385" s="79"/>
      <c r="AB385" s="505"/>
      <c r="AC385" s="79"/>
      <c r="AD385" s="79"/>
      <c r="AE385" s="79"/>
      <c r="AF385" s="79"/>
      <c r="BH385" s="71"/>
      <c r="BI385" s="71"/>
      <c r="BJ385" s="71"/>
      <c r="BK385" s="71"/>
      <c r="BL385" s="71"/>
      <c r="BM385" s="71"/>
      <c r="BN385" s="71"/>
      <c r="BO385" s="71"/>
      <c r="BP385" s="71"/>
      <c r="BQ385" s="71"/>
      <c r="BR385" s="71"/>
      <c r="BS385" s="71"/>
      <c r="BT385" s="71"/>
      <c r="BU385" s="71"/>
      <c r="BV385" s="71"/>
      <c r="BW385" s="71"/>
      <c r="BX385" s="71"/>
      <c r="BY385" s="71"/>
      <c r="BZ385" s="71"/>
      <c r="CA385" s="71"/>
      <c r="CB385" s="71"/>
      <c r="CC385" s="71"/>
      <c r="CD385" s="71"/>
      <c r="CE385" s="71"/>
      <c r="CF385" s="71"/>
      <c r="CG385" s="71"/>
      <c r="CH385" s="71"/>
      <c r="CI385" s="71"/>
      <c r="CJ385" s="71"/>
      <c r="CK385" s="71"/>
      <c r="CL385" s="71"/>
      <c r="CM385" s="71"/>
      <c r="CN385" s="71"/>
      <c r="CO385" s="71"/>
      <c r="CP385" s="71"/>
      <c r="CQ385" s="71"/>
      <c r="CR385" s="71"/>
      <c r="CS385" s="71"/>
      <c r="CT385" s="71"/>
      <c r="CU385" s="71"/>
      <c r="CV385" s="71"/>
      <c r="CW385" s="71"/>
      <c r="CX385" s="71"/>
      <c r="CY385" s="71"/>
      <c r="CZ385" s="71"/>
      <c r="DA385" s="296"/>
      <c r="DB385" s="296"/>
      <c r="DC385" s="112"/>
      <c r="DD385" s="112"/>
      <c r="DE385" s="112"/>
      <c r="DF385" s="112"/>
      <c r="DG385" s="112"/>
      <c r="DH385" s="112"/>
      <c r="DI385" s="112"/>
      <c r="DJ385" s="112"/>
      <c r="DK385" s="112"/>
      <c r="DL385" s="112"/>
      <c r="DM385" s="112"/>
      <c r="DN385" s="112"/>
      <c r="DO385" s="112"/>
      <c r="DP385" s="112"/>
      <c r="DQ385" s="112"/>
      <c r="DR385" s="112"/>
      <c r="DS385" s="71"/>
      <c r="DT385" s="71"/>
      <c r="DU385" s="71"/>
      <c r="DV385" s="71"/>
      <c r="DW385" s="71"/>
      <c r="DX385" s="71"/>
    </row>
    <row r="386" spans="3:128" s="68" customFormat="1">
      <c r="C386" s="79"/>
      <c r="D386" s="79"/>
      <c r="E386" s="505"/>
      <c r="F386" s="79"/>
      <c r="G386" s="505"/>
      <c r="H386" s="506"/>
      <c r="I386" s="79"/>
      <c r="J386" s="79"/>
      <c r="K386" s="505"/>
      <c r="L386" s="505"/>
      <c r="M386" s="506"/>
      <c r="N386" s="79"/>
      <c r="O386" s="79"/>
      <c r="P386" s="79"/>
      <c r="Q386" s="79"/>
      <c r="R386" s="506"/>
      <c r="S386" s="79"/>
      <c r="T386" s="505"/>
      <c r="U386" s="505"/>
      <c r="V386" s="79"/>
      <c r="W386" s="506"/>
      <c r="X386" s="79"/>
      <c r="Y386" s="505"/>
      <c r="Z386" s="505"/>
      <c r="AA386" s="79"/>
      <c r="AB386" s="505"/>
      <c r="AC386" s="79"/>
      <c r="AD386" s="79"/>
      <c r="AE386" s="79"/>
      <c r="AF386" s="79"/>
      <c r="BH386" s="71"/>
      <c r="BI386" s="71"/>
      <c r="BJ386" s="71"/>
      <c r="BK386" s="71"/>
      <c r="BL386" s="71"/>
      <c r="BM386" s="71"/>
      <c r="BN386" s="71"/>
      <c r="BO386" s="71"/>
      <c r="BP386" s="71"/>
      <c r="BQ386" s="71"/>
      <c r="BR386" s="71"/>
      <c r="BS386" s="71"/>
      <c r="BT386" s="71"/>
      <c r="BU386" s="71"/>
      <c r="BV386" s="71"/>
      <c r="BW386" s="71"/>
      <c r="BX386" s="71"/>
      <c r="BY386" s="71"/>
      <c r="BZ386" s="71"/>
      <c r="CA386" s="71"/>
      <c r="CB386" s="71"/>
      <c r="CC386" s="71"/>
      <c r="CD386" s="71"/>
      <c r="CE386" s="71"/>
      <c r="CF386" s="71"/>
      <c r="CG386" s="71"/>
      <c r="CH386" s="71"/>
      <c r="CI386" s="71"/>
      <c r="CJ386" s="71"/>
      <c r="CK386" s="71"/>
      <c r="CL386" s="71"/>
      <c r="CM386" s="71"/>
      <c r="CN386" s="71"/>
      <c r="CO386" s="71"/>
      <c r="CP386" s="71"/>
      <c r="CQ386" s="71"/>
      <c r="CR386" s="71"/>
      <c r="CS386" s="71"/>
      <c r="CT386" s="71"/>
      <c r="CU386" s="71"/>
      <c r="CV386" s="71"/>
      <c r="CW386" s="71"/>
      <c r="CX386" s="71"/>
      <c r="CY386" s="71"/>
      <c r="CZ386" s="71"/>
      <c r="DA386" s="296"/>
      <c r="DB386" s="296"/>
      <c r="DC386" s="112"/>
      <c r="DD386" s="112"/>
      <c r="DE386" s="112"/>
      <c r="DF386" s="112"/>
      <c r="DG386" s="112"/>
      <c r="DH386" s="112"/>
      <c r="DI386" s="112"/>
      <c r="DJ386" s="112"/>
      <c r="DK386" s="112"/>
      <c r="DL386" s="112"/>
      <c r="DM386" s="112"/>
      <c r="DN386" s="112"/>
      <c r="DO386" s="112"/>
      <c r="DP386" s="112"/>
      <c r="DQ386" s="112"/>
      <c r="DR386" s="112"/>
      <c r="DS386" s="71"/>
      <c r="DT386" s="71"/>
      <c r="DU386" s="71"/>
      <c r="DV386" s="71"/>
      <c r="DW386" s="71"/>
      <c r="DX386" s="71"/>
    </row>
    <row r="387" spans="3:128" s="68" customFormat="1">
      <c r="C387" s="79"/>
      <c r="D387" s="79"/>
      <c r="E387" s="505"/>
      <c r="F387" s="79"/>
      <c r="G387" s="505"/>
      <c r="H387" s="506"/>
      <c r="I387" s="79"/>
      <c r="J387" s="79"/>
      <c r="K387" s="505"/>
      <c r="L387" s="505"/>
      <c r="M387" s="506"/>
      <c r="N387" s="79"/>
      <c r="O387" s="79"/>
      <c r="P387" s="79"/>
      <c r="Q387" s="79"/>
      <c r="R387" s="506"/>
      <c r="S387" s="79"/>
      <c r="T387" s="505"/>
      <c r="U387" s="505"/>
      <c r="V387" s="79"/>
      <c r="W387" s="506"/>
      <c r="X387" s="79"/>
      <c r="Y387" s="505"/>
      <c r="Z387" s="505"/>
      <c r="AA387" s="79"/>
      <c r="AB387" s="505"/>
      <c r="AC387" s="79"/>
      <c r="AD387" s="79"/>
      <c r="AE387" s="79"/>
      <c r="AF387" s="79"/>
      <c r="BH387" s="71"/>
      <c r="BI387" s="71"/>
      <c r="BJ387" s="71"/>
      <c r="BK387" s="71"/>
      <c r="BL387" s="71"/>
      <c r="BM387" s="71"/>
      <c r="BN387" s="71"/>
      <c r="BO387" s="71"/>
      <c r="BP387" s="71"/>
      <c r="BQ387" s="71"/>
      <c r="BR387" s="71"/>
      <c r="BS387" s="71"/>
      <c r="BT387" s="71"/>
      <c r="BU387" s="71"/>
      <c r="BV387" s="71"/>
      <c r="BW387" s="71"/>
      <c r="BX387" s="71"/>
      <c r="BY387" s="71"/>
      <c r="BZ387" s="71"/>
      <c r="CA387" s="71"/>
      <c r="CB387" s="71"/>
      <c r="CC387" s="71"/>
      <c r="CD387" s="71"/>
      <c r="CE387" s="71"/>
      <c r="CF387" s="71"/>
      <c r="CG387" s="71"/>
      <c r="CH387" s="71"/>
      <c r="CI387" s="71"/>
      <c r="CJ387" s="71"/>
      <c r="CK387" s="71"/>
      <c r="CL387" s="71"/>
      <c r="CM387" s="71"/>
      <c r="CN387" s="71"/>
      <c r="CO387" s="71"/>
      <c r="CP387" s="71"/>
      <c r="CQ387" s="71"/>
      <c r="CR387" s="71"/>
      <c r="CS387" s="71"/>
      <c r="CT387" s="71"/>
      <c r="CU387" s="71"/>
      <c r="CV387" s="71"/>
      <c r="CW387" s="71"/>
      <c r="CX387" s="71"/>
      <c r="CY387" s="71"/>
      <c r="CZ387" s="71"/>
      <c r="DA387" s="296"/>
      <c r="DB387" s="296"/>
      <c r="DC387" s="112"/>
      <c r="DD387" s="112"/>
      <c r="DE387" s="112"/>
      <c r="DF387" s="112"/>
      <c r="DG387" s="112"/>
      <c r="DH387" s="112"/>
      <c r="DI387" s="112"/>
      <c r="DJ387" s="112"/>
      <c r="DK387" s="112"/>
      <c r="DL387" s="112"/>
      <c r="DM387" s="112"/>
      <c r="DN387" s="112"/>
      <c r="DO387" s="112"/>
      <c r="DP387" s="112"/>
      <c r="DQ387" s="112"/>
      <c r="DR387" s="112"/>
      <c r="DS387" s="71"/>
      <c r="DT387" s="71"/>
      <c r="DU387" s="71"/>
      <c r="DV387" s="71"/>
      <c r="DW387" s="71"/>
      <c r="DX387" s="71"/>
    </row>
    <row r="388" spans="3:128" s="68" customFormat="1">
      <c r="C388" s="79"/>
      <c r="D388" s="79"/>
      <c r="E388" s="505"/>
      <c r="F388" s="79"/>
      <c r="G388" s="505"/>
      <c r="H388" s="506"/>
      <c r="I388" s="79"/>
      <c r="J388" s="79"/>
      <c r="K388" s="505"/>
      <c r="L388" s="505"/>
      <c r="M388" s="506"/>
      <c r="N388" s="79"/>
      <c r="O388" s="79"/>
      <c r="P388" s="79"/>
      <c r="Q388" s="79"/>
      <c r="R388" s="506"/>
      <c r="S388" s="79"/>
      <c r="T388" s="505"/>
      <c r="U388" s="505"/>
      <c r="V388" s="79"/>
      <c r="W388" s="506"/>
      <c r="X388" s="79"/>
      <c r="Y388" s="505"/>
      <c r="Z388" s="505"/>
      <c r="AA388" s="79"/>
      <c r="AB388" s="505"/>
      <c r="AC388" s="79"/>
      <c r="AD388" s="79"/>
      <c r="AE388" s="79"/>
      <c r="AF388" s="79"/>
      <c r="BH388" s="71"/>
      <c r="BI388" s="71"/>
      <c r="BJ388" s="71"/>
      <c r="BK388" s="71"/>
      <c r="BL388" s="71"/>
      <c r="BM388" s="71"/>
      <c r="BN388" s="71"/>
      <c r="BO388" s="71"/>
      <c r="BP388" s="71"/>
      <c r="BQ388" s="71"/>
      <c r="BR388" s="71"/>
      <c r="BS388" s="71"/>
      <c r="BT388" s="71"/>
      <c r="BU388" s="71"/>
      <c r="BV388" s="71"/>
      <c r="BW388" s="71"/>
      <c r="BX388" s="71"/>
      <c r="BY388" s="71"/>
      <c r="BZ388" s="71"/>
      <c r="CA388" s="71"/>
      <c r="CB388" s="71"/>
      <c r="CC388" s="71"/>
      <c r="CD388" s="71"/>
      <c r="CE388" s="71"/>
      <c r="CF388" s="71"/>
      <c r="CG388" s="71"/>
      <c r="CH388" s="71"/>
      <c r="CI388" s="71"/>
      <c r="CJ388" s="71"/>
      <c r="CK388" s="71"/>
      <c r="CL388" s="71"/>
      <c r="CM388" s="71"/>
      <c r="CN388" s="71"/>
      <c r="CO388" s="71"/>
      <c r="CP388" s="71"/>
      <c r="CQ388" s="71"/>
      <c r="CR388" s="71"/>
      <c r="CS388" s="71"/>
      <c r="CT388" s="71"/>
      <c r="CU388" s="71"/>
      <c r="CV388" s="71"/>
      <c r="CW388" s="71"/>
      <c r="CX388" s="71"/>
      <c r="CY388" s="71"/>
      <c r="CZ388" s="71"/>
      <c r="DA388" s="296"/>
      <c r="DB388" s="296"/>
      <c r="DC388" s="112"/>
      <c r="DD388" s="112"/>
      <c r="DE388" s="112"/>
      <c r="DF388" s="112"/>
      <c r="DG388" s="112"/>
      <c r="DH388" s="112"/>
      <c r="DI388" s="112"/>
      <c r="DJ388" s="112"/>
      <c r="DK388" s="112"/>
      <c r="DL388" s="112"/>
      <c r="DM388" s="112"/>
      <c r="DN388" s="112"/>
      <c r="DO388" s="112"/>
      <c r="DP388" s="112"/>
      <c r="DQ388" s="112"/>
      <c r="DR388" s="112"/>
      <c r="DS388" s="71"/>
      <c r="DT388" s="71"/>
      <c r="DU388" s="71"/>
      <c r="DV388" s="71"/>
      <c r="DW388" s="71"/>
      <c r="DX388" s="71"/>
    </row>
    <row r="389" spans="3:128" s="68" customFormat="1">
      <c r="C389" s="79"/>
      <c r="D389" s="79"/>
      <c r="E389" s="505"/>
      <c r="F389" s="79"/>
      <c r="G389" s="505"/>
      <c r="H389" s="506"/>
      <c r="I389" s="79"/>
      <c r="J389" s="79"/>
      <c r="K389" s="505"/>
      <c r="L389" s="505"/>
      <c r="M389" s="506"/>
      <c r="N389" s="79"/>
      <c r="O389" s="79"/>
      <c r="P389" s="79"/>
      <c r="Q389" s="79"/>
      <c r="R389" s="506"/>
      <c r="S389" s="79"/>
      <c r="T389" s="505"/>
      <c r="U389" s="505"/>
      <c r="V389" s="79"/>
      <c r="W389" s="506"/>
      <c r="X389" s="79"/>
      <c r="Y389" s="505"/>
      <c r="Z389" s="505"/>
      <c r="AA389" s="79"/>
      <c r="AB389" s="505"/>
      <c r="AC389" s="79"/>
      <c r="AD389" s="79"/>
      <c r="AE389" s="79"/>
      <c r="AF389" s="79"/>
      <c r="BH389" s="71"/>
      <c r="BI389" s="71"/>
      <c r="BJ389" s="71"/>
      <c r="BK389" s="71"/>
      <c r="BL389" s="71"/>
      <c r="BM389" s="71"/>
      <c r="BN389" s="71"/>
      <c r="BO389" s="71"/>
      <c r="BP389" s="71"/>
      <c r="BQ389" s="71"/>
      <c r="BR389" s="71"/>
      <c r="BS389" s="71"/>
      <c r="BT389" s="71"/>
      <c r="BU389" s="71"/>
      <c r="BV389" s="71"/>
      <c r="BW389" s="71"/>
      <c r="BX389" s="71"/>
      <c r="BY389" s="71"/>
      <c r="BZ389" s="71"/>
      <c r="CA389" s="71"/>
      <c r="CB389" s="71"/>
      <c r="CC389" s="71"/>
      <c r="CD389" s="71"/>
      <c r="CE389" s="71"/>
      <c r="CF389" s="71"/>
      <c r="CG389" s="71"/>
      <c r="CH389" s="71"/>
      <c r="CI389" s="71"/>
      <c r="CJ389" s="71"/>
      <c r="CK389" s="71"/>
      <c r="CL389" s="71"/>
      <c r="CM389" s="71"/>
      <c r="CN389" s="71"/>
      <c r="CO389" s="71"/>
      <c r="CP389" s="71"/>
      <c r="CQ389" s="71"/>
      <c r="CR389" s="71"/>
      <c r="CS389" s="71"/>
      <c r="CT389" s="71"/>
      <c r="CU389" s="71"/>
      <c r="CV389" s="71"/>
      <c r="CW389" s="71"/>
      <c r="CX389" s="71"/>
      <c r="CY389" s="71"/>
      <c r="CZ389" s="71"/>
      <c r="DA389" s="296"/>
      <c r="DB389" s="296"/>
      <c r="DC389" s="112"/>
      <c r="DD389" s="112"/>
      <c r="DE389" s="112"/>
      <c r="DF389" s="112"/>
      <c r="DG389" s="112"/>
      <c r="DH389" s="112"/>
      <c r="DI389" s="112"/>
      <c r="DJ389" s="112"/>
      <c r="DK389" s="112"/>
      <c r="DL389" s="112"/>
      <c r="DM389" s="112"/>
      <c r="DN389" s="112"/>
      <c r="DO389" s="112"/>
      <c r="DP389" s="112"/>
      <c r="DQ389" s="112"/>
      <c r="DR389" s="112"/>
      <c r="DS389" s="71"/>
      <c r="DT389" s="71"/>
      <c r="DU389" s="71"/>
      <c r="DV389" s="71"/>
      <c r="DW389" s="71"/>
      <c r="DX389" s="71"/>
    </row>
    <row r="390" spans="3:128" s="68" customFormat="1">
      <c r="C390" s="79"/>
      <c r="D390" s="79"/>
      <c r="E390" s="505"/>
      <c r="F390" s="79"/>
      <c r="G390" s="505"/>
      <c r="H390" s="506"/>
      <c r="I390" s="79"/>
      <c r="J390" s="79"/>
      <c r="K390" s="505"/>
      <c r="L390" s="505"/>
      <c r="M390" s="506"/>
      <c r="N390" s="79"/>
      <c r="O390" s="79"/>
      <c r="P390" s="79"/>
      <c r="Q390" s="79"/>
      <c r="R390" s="506"/>
      <c r="S390" s="79"/>
      <c r="T390" s="505"/>
      <c r="U390" s="505"/>
      <c r="V390" s="79"/>
      <c r="W390" s="506"/>
      <c r="X390" s="79"/>
      <c r="Y390" s="505"/>
      <c r="Z390" s="505"/>
      <c r="AA390" s="79"/>
      <c r="AB390" s="505"/>
      <c r="AC390" s="79"/>
      <c r="AD390" s="79"/>
      <c r="AE390" s="79"/>
      <c r="AF390" s="79"/>
      <c r="BH390" s="71"/>
      <c r="BI390" s="71"/>
      <c r="BJ390" s="71"/>
      <c r="BK390" s="71"/>
      <c r="BL390" s="71"/>
      <c r="BM390" s="71"/>
      <c r="BN390" s="71"/>
      <c r="BO390" s="71"/>
      <c r="BP390" s="71"/>
      <c r="BQ390" s="71"/>
      <c r="BR390" s="71"/>
      <c r="BS390" s="71"/>
      <c r="BT390" s="71"/>
      <c r="BU390" s="71"/>
      <c r="BV390" s="71"/>
      <c r="BW390" s="71"/>
      <c r="BX390" s="71"/>
      <c r="BY390" s="71"/>
      <c r="BZ390" s="71"/>
      <c r="CA390" s="71"/>
      <c r="CB390" s="71"/>
      <c r="CC390" s="71"/>
      <c r="CD390" s="71"/>
      <c r="CE390" s="71"/>
      <c r="CF390" s="71"/>
      <c r="CG390" s="71"/>
      <c r="CH390" s="71"/>
      <c r="CI390" s="71"/>
      <c r="CJ390" s="71"/>
      <c r="CK390" s="71"/>
      <c r="CL390" s="71"/>
      <c r="CM390" s="71"/>
      <c r="CN390" s="71"/>
      <c r="CO390" s="71"/>
      <c r="CP390" s="71"/>
      <c r="CQ390" s="71"/>
      <c r="CR390" s="71"/>
      <c r="CS390" s="71"/>
      <c r="CT390" s="71"/>
      <c r="CU390" s="71"/>
      <c r="CV390" s="71"/>
      <c r="CW390" s="71"/>
      <c r="CX390" s="71"/>
      <c r="CY390" s="71"/>
      <c r="CZ390" s="71"/>
      <c r="DA390" s="296"/>
      <c r="DB390" s="296"/>
      <c r="DC390" s="112"/>
      <c r="DD390" s="112"/>
      <c r="DE390" s="112"/>
      <c r="DF390" s="112"/>
      <c r="DG390" s="112"/>
      <c r="DH390" s="112"/>
      <c r="DI390" s="112"/>
      <c r="DJ390" s="112"/>
      <c r="DK390" s="112"/>
      <c r="DL390" s="112"/>
      <c r="DM390" s="112"/>
      <c r="DN390" s="112"/>
      <c r="DO390" s="112"/>
      <c r="DP390" s="112"/>
      <c r="DQ390" s="112"/>
      <c r="DR390" s="112"/>
      <c r="DS390" s="71"/>
      <c r="DT390" s="71"/>
      <c r="DU390" s="71"/>
      <c r="DV390" s="71"/>
      <c r="DW390" s="71"/>
      <c r="DX390" s="71"/>
    </row>
    <row r="391" spans="3:128" s="68" customFormat="1">
      <c r="C391" s="79"/>
      <c r="D391" s="79"/>
      <c r="E391" s="505"/>
      <c r="F391" s="79"/>
      <c r="G391" s="505"/>
      <c r="H391" s="506"/>
      <c r="I391" s="79"/>
      <c r="J391" s="79"/>
      <c r="K391" s="505"/>
      <c r="L391" s="505"/>
      <c r="M391" s="506"/>
      <c r="N391" s="79"/>
      <c r="O391" s="79"/>
      <c r="P391" s="79"/>
      <c r="Q391" s="79"/>
      <c r="R391" s="506"/>
      <c r="S391" s="79"/>
      <c r="T391" s="505"/>
      <c r="U391" s="505"/>
      <c r="V391" s="79"/>
      <c r="W391" s="506"/>
      <c r="X391" s="79"/>
      <c r="Y391" s="505"/>
      <c r="Z391" s="505"/>
      <c r="AA391" s="79"/>
      <c r="AB391" s="505"/>
      <c r="AC391" s="79"/>
      <c r="AD391" s="79"/>
      <c r="AE391" s="79"/>
      <c r="AF391" s="79"/>
      <c r="BH391" s="71"/>
      <c r="BI391" s="71"/>
      <c r="BJ391" s="71"/>
      <c r="BK391" s="71"/>
      <c r="BL391" s="71"/>
      <c r="BM391" s="71"/>
      <c r="BN391" s="71"/>
      <c r="BO391" s="71"/>
      <c r="BP391" s="71"/>
      <c r="BQ391" s="71"/>
      <c r="BR391" s="71"/>
      <c r="BS391" s="71"/>
      <c r="BT391" s="71"/>
      <c r="BU391" s="71"/>
      <c r="BV391" s="71"/>
      <c r="BW391" s="71"/>
      <c r="BX391" s="71"/>
      <c r="BY391" s="71"/>
      <c r="BZ391" s="71"/>
      <c r="CA391" s="71"/>
      <c r="CB391" s="71"/>
      <c r="CC391" s="71"/>
      <c r="CD391" s="71"/>
      <c r="CE391" s="71"/>
      <c r="CF391" s="71"/>
      <c r="CG391" s="71"/>
      <c r="CH391" s="71"/>
      <c r="CI391" s="71"/>
      <c r="CJ391" s="71"/>
      <c r="CK391" s="71"/>
      <c r="CL391" s="71"/>
      <c r="CM391" s="71"/>
      <c r="CN391" s="71"/>
      <c r="CO391" s="71"/>
      <c r="CP391" s="71"/>
      <c r="CQ391" s="71"/>
      <c r="CR391" s="71"/>
      <c r="CS391" s="71"/>
      <c r="CT391" s="71"/>
      <c r="CU391" s="71"/>
      <c r="CV391" s="71"/>
      <c r="CW391" s="71"/>
      <c r="CX391" s="71"/>
      <c r="CY391" s="71"/>
      <c r="CZ391" s="71"/>
      <c r="DA391" s="296"/>
      <c r="DB391" s="296"/>
      <c r="DC391" s="112"/>
      <c r="DD391" s="112"/>
      <c r="DE391" s="112"/>
      <c r="DF391" s="112"/>
      <c r="DG391" s="112"/>
      <c r="DH391" s="112"/>
      <c r="DI391" s="112"/>
      <c r="DJ391" s="112"/>
      <c r="DK391" s="112"/>
      <c r="DL391" s="112"/>
      <c r="DM391" s="112"/>
      <c r="DN391" s="112"/>
      <c r="DO391" s="112"/>
      <c r="DP391" s="112"/>
      <c r="DQ391" s="112"/>
      <c r="DR391" s="112"/>
      <c r="DS391" s="71"/>
      <c r="DT391" s="71"/>
      <c r="DU391" s="71"/>
      <c r="DV391" s="71"/>
      <c r="DW391" s="71"/>
      <c r="DX391" s="71"/>
    </row>
    <row r="392" spans="3:128" s="68" customFormat="1">
      <c r="C392" s="79"/>
      <c r="D392" s="79"/>
      <c r="E392" s="505"/>
      <c r="F392" s="79"/>
      <c r="G392" s="505"/>
      <c r="H392" s="506"/>
      <c r="I392" s="79"/>
      <c r="J392" s="79"/>
      <c r="K392" s="505"/>
      <c r="L392" s="505"/>
      <c r="M392" s="506"/>
      <c r="N392" s="79"/>
      <c r="O392" s="79"/>
      <c r="P392" s="79"/>
      <c r="Q392" s="79"/>
      <c r="R392" s="506"/>
      <c r="S392" s="79"/>
      <c r="T392" s="505"/>
      <c r="U392" s="505"/>
      <c r="V392" s="79"/>
      <c r="W392" s="506"/>
      <c r="X392" s="79"/>
      <c r="Y392" s="505"/>
      <c r="Z392" s="505"/>
      <c r="AA392" s="79"/>
      <c r="AB392" s="505"/>
      <c r="AC392" s="79"/>
      <c r="AD392" s="79"/>
      <c r="AE392" s="79"/>
      <c r="AF392" s="79"/>
      <c r="BH392" s="71"/>
      <c r="BI392" s="71"/>
      <c r="BJ392" s="71"/>
      <c r="BK392" s="71"/>
      <c r="BL392" s="71"/>
      <c r="BM392" s="71"/>
      <c r="BN392" s="71"/>
      <c r="BO392" s="71"/>
      <c r="BP392" s="71"/>
      <c r="BQ392" s="71"/>
      <c r="BR392" s="71"/>
      <c r="BS392" s="71"/>
      <c r="BT392" s="71"/>
      <c r="BU392" s="71"/>
      <c r="BV392" s="71"/>
      <c r="BW392" s="71"/>
      <c r="BX392" s="71"/>
      <c r="BY392" s="71"/>
      <c r="BZ392" s="71"/>
      <c r="CA392" s="71"/>
      <c r="CB392" s="71"/>
      <c r="CC392" s="71"/>
      <c r="CD392" s="71"/>
      <c r="CE392" s="71"/>
      <c r="CF392" s="71"/>
      <c r="CG392" s="71"/>
      <c r="CH392" s="71"/>
      <c r="CI392" s="71"/>
      <c r="CJ392" s="71"/>
      <c r="CK392" s="71"/>
      <c r="CL392" s="71"/>
      <c r="CM392" s="71"/>
      <c r="CN392" s="71"/>
      <c r="CO392" s="71"/>
      <c r="CP392" s="71"/>
      <c r="CQ392" s="71"/>
      <c r="CR392" s="71"/>
      <c r="CS392" s="71"/>
      <c r="CT392" s="71"/>
      <c r="CU392" s="71"/>
      <c r="CV392" s="71"/>
      <c r="CW392" s="71"/>
      <c r="CX392" s="71"/>
      <c r="CY392" s="71"/>
      <c r="CZ392" s="71"/>
      <c r="DA392" s="296"/>
      <c r="DB392" s="296"/>
      <c r="DC392" s="112"/>
      <c r="DD392" s="112"/>
      <c r="DE392" s="112"/>
      <c r="DF392" s="112"/>
      <c r="DG392" s="112"/>
      <c r="DH392" s="112"/>
      <c r="DI392" s="112"/>
      <c r="DJ392" s="112"/>
      <c r="DK392" s="112"/>
      <c r="DL392" s="112"/>
      <c r="DM392" s="112"/>
      <c r="DN392" s="112"/>
      <c r="DO392" s="112"/>
      <c r="DP392" s="112"/>
      <c r="DQ392" s="112"/>
      <c r="DR392" s="112"/>
      <c r="DS392" s="71"/>
      <c r="DT392" s="71"/>
      <c r="DU392" s="71"/>
      <c r="DV392" s="71"/>
      <c r="DW392" s="71"/>
      <c r="DX392" s="71"/>
    </row>
    <row r="393" spans="3:128" s="68" customFormat="1">
      <c r="C393" s="79"/>
      <c r="D393" s="79"/>
      <c r="E393" s="505"/>
      <c r="F393" s="79"/>
      <c r="G393" s="505"/>
      <c r="H393" s="506"/>
      <c r="I393" s="79"/>
      <c r="J393" s="79"/>
      <c r="K393" s="505"/>
      <c r="L393" s="505"/>
      <c r="M393" s="506"/>
      <c r="N393" s="79"/>
      <c r="O393" s="79"/>
      <c r="P393" s="79"/>
      <c r="Q393" s="79"/>
      <c r="R393" s="506"/>
      <c r="S393" s="79"/>
      <c r="T393" s="505"/>
      <c r="U393" s="505"/>
      <c r="V393" s="79"/>
      <c r="W393" s="506"/>
      <c r="X393" s="79"/>
      <c r="Y393" s="505"/>
      <c r="Z393" s="505"/>
      <c r="AA393" s="79"/>
      <c r="AB393" s="505"/>
      <c r="AC393" s="79"/>
      <c r="AD393" s="79"/>
      <c r="AE393" s="79"/>
      <c r="AF393" s="79"/>
      <c r="BH393" s="71"/>
      <c r="BI393" s="71"/>
      <c r="BJ393" s="71"/>
      <c r="BK393" s="71"/>
      <c r="BL393" s="71"/>
      <c r="BM393" s="71"/>
      <c r="BN393" s="71"/>
      <c r="BO393" s="71"/>
      <c r="BP393" s="71"/>
      <c r="BQ393" s="71"/>
      <c r="BR393" s="71"/>
      <c r="BS393" s="71"/>
      <c r="BT393" s="71"/>
      <c r="BU393" s="71"/>
      <c r="BV393" s="71"/>
      <c r="BW393" s="71"/>
      <c r="BX393" s="71"/>
      <c r="BY393" s="71"/>
      <c r="BZ393" s="71"/>
      <c r="CA393" s="71"/>
      <c r="CB393" s="71"/>
      <c r="CC393" s="71"/>
      <c r="CD393" s="71"/>
      <c r="CE393" s="71"/>
      <c r="CF393" s="71"/>
      <c r="CG393" s="71"/>
      <c r="CH393" s="71"/>
      <c r="CI393" s="71"/>
      <c r="CJ393" s="71"/>
      <c r="CK393" s="71"/>
      <c r="CL393" s="71"/>
      <c r="CM393" s="71"/>
      <c r="CN393" s="71"/>
      <c r="CO393" s="71"/>
      <c r="CP393" s="71"/>
      <c r="CQ393" s="71"/>
      <c r="CR393" s="71"/>
      <c r="CS393" s="71"/>
      <c r="CT393" s="71"/>
      <c r="CU393" s="71"/>
      <c r="CV393" s="71"/>
      <c r="CW393" s="71"/>
      <c r="CX393" s="71"/>
      <c r="CY393" s="71"/>
      <c r="CZ393" s="71"/>
      <c r="DA393" s="296"/>
      <c r="DB393" s="296"/>
      <c r="DC393" s="112"/>
      <c r="DD393" s="112"/>
      <c r="DE393" s="112"/>
      <c r="DF393" s="112"/>
      <c r="DG393" s="112"/>
      <c r="DH393" s="112"/>
      <c r="DI393" s="112"/>
      <c r="DJ393" s="112"/>
      <c r="DK393" s="112"/>
      <c r="DL393" s="112"/>
      <c r="DM393" s="112"/>
      <c r="DN393" s="112"/>
      <c r="DO393" s="112"/>
      <c r="DP393" s="112"/>
      <c r="DQ393" s="112"/>
      <c r="DR393" s="112"/>
      <c r="DS393" s="71"/>
      <c r="DT393" s="71"/>
      <c r="DU393" s="71"/>
      <c r="DV393" s="71"/>
      <c r="DW393" s="71"/>
      <c r="DX393" s="71"/>
    </row>
    <row r="394" spans="3:128" s="68" customFormat="1">
      <c r="C394" s="79"/>
      <c r="D394" s="79"/>
      <c r="E394" s="505"/>
      <c r="F394" s="79"/>
      <c r="G394" s="505"/>
      <c r="H394" s="506"/>
      <c r="I394" s="79"/>
      <c r="J394" s="79"/>
      <c r="K394" s="505"/>
      <c r="L394" s="505"/>
      <c r="M394" s="506"/>
      <c r="N394" s="79"/>
      <c r="O394" s="79"/>
      <c r="P394" s="79"/>
      <c r="Q394" s="79"/>
      <c r="R394" s="506"/>
      <c r="S394" s="79"/>
      <c r="T394" s="505"/>
      <c r="U394" s="505"/>
      <c r="V394" s="79"/>
      <c r="W394" s="506"/>
      <c r="X394" s="79"/>
      <c r="Y394" s="505"/>
      <c r="Z394" s="505"/>
      <c r="AA394" s="79"/>
      <c r="AB394" s="505"/>
      <c r="AC394" s="79"/>
      <c r="AD394" s="79"/>
      <c r="AE394" s="79"/>
      <c r="AF394" s="79"/>
      <c r="BH394" s="71"/>
      <c r="BI394" s="71"/>
      <c r="BJ394" s="71"/>
      <c r="BK394" s="71"/>
      <c r="BL394" s="71"/>
      <c r="BM394" s="71"/>
      <c r="BN394" s="71"/>
      <c r="BO394" s="71"/>
      <c r="BP394" s="71"/>
      <c r="BQ394" s="71"/>
      <c r="BR394" s="71"/>
      <c r="BS394" s="71"/>
      <c r="BT394" s="71"/>
      <c r="BU394" s="71"/>
      <c r="BV394" s="71"/>
      <c r="BW394" s="71"/>
      <c r="BX394" s="71"/>
      <c r="BY394" s="71"/>
      <c r="BZ394" s="71"/>
      <c r="CA394" s="71"/>
      <c r="CB394" s="71"/>
      <c r="CC394" s="71"/>
      <c r="CD394" s="71"/>
      <c r="CE394" s="71"/>
      <c r="CF394" s="71"/>
      <c r="CG394" s="71"/>
      <c r="CH394" s="71"/>
      <c r="CI394" s="71"/>
      <c r="CJ394" s="71"/>
      <c r="CK394" s="71"/>
      <c r="CL394" s="71"/>
      <c r="CM394" s="71"/>
      <c r="CN394" s="71"/>
      <c r="CO394" s="71"/>
      <c r="CP394" s="71"/>
      <c r="CQ394" s="71"/>
      <c r="CR394" s="71"/>
      <c r="CS394" s="71"/>
      <c r="CT394" s="71"/>
      <c r="CU394" s="71"/>
      <c r="CV394" s="71"/>
      <c r="CW394" s="71"/>
      <c r="CX394" s="71"/>
      <c r="CY394" s="71"/>
      <c r="CZ394" s="71"/>
      <c r="DA394" s="296"/>
      <c r="DB394" s="296"/>
      <c r="DC394" s="112"/>
      <c r="DD394" s="112"/>
      <c r="DE394" s="112"/>
      <c r="DF394" s="112"/>
      <c r="DG394" s="112"/>
      <c r="DH394" s="112"/>
      <c r="DI394" s="112"/>
      <c r="DJ394" s="112"/>
      <c r="DK394" s="112"/>
      <c r="DL394" s="112"/>
      <c r="DM394" s="112"/>
      <c r="DN394" s="112"/>
      <c r="DO394" s="112"/>
      <c r="DP394" s="112"/>
      <c r="DQ394" s="112"/>
      <c r="DR394" s="112"/>
      <c r="DS394" s="71"/>
      <c r="DT394" s="71"/>
      <c r="DU394" s="71"/>
      <c r="DV394" s="71"/>
      <c r="DW394" s="71"/>
      <c r="DX394" s="71"/>
    </row>
    <row r="395" spans="3:128" s="68" customFormat="1">
      <c r="C395" s="79"/>
      <c r="D395" s="79"/>
      <c r="E395" s="505"/>
      <c r="F395" s="79"/>
      <c r="G395" s="505"/>
      <c r="H395" s="506"/>
      <c r="I395" s="79"/>
      <c r="J395" s="79"/>
      <c r="K395" s="505"/>
      <c r="L395" s="505"/>
      <c r="M395" s="506"/>
      <c r="N395" s="79"/>
      <c r="O395" s="79"/>
      <c r="P395" s="79"/>
      <c r="Q395" s="79"/>
      <c r="R395" s="506"/>
      <c r="S395" s="79"/>
      <c r="T395" s="505"/>
      <c r="U395" s="505"/>
      <c r="V395" s="79"/>
      <c r="W395" s="506"/>
      <c r="X395" s="79"/>
      <c r="Y395" s="505"/>
      <c r="Z395" s="505"/>
      <c r="AA395" s="79"/>
      <c r="AB395" s="505"/>
      <c r="AC395" s="79"/>
      <c r="AD395" s="79"/>
      <c r="AE395" s="79"/>
      <c r="AF395" s="79"/>
      <c r="BH395" s="71"/>
      <c r="BI395" s="71"/>
      <c r="BJ395" s="71"/>
      <c r="BK395" s="71"/>
      <c r="BL395" s="71"/>
      <c r="BM395" s="71"/>
      <c r="BN395" s="71"/>
      <c r="BO395" s="71"/>
      <c r="BP395" s="71"/>
      <c r="BQ395" s="71"/>
      <c r="BR395" s="71"/>
      <c r="BS395" s="71"/>
      <c r="BT395" s="71"/>
      <c r="BU395" s="71"/>
      <c r="BV395" s="71"/>
      <c r="BW395" s="71"/>
      <c r="BX395" s="71"/>
      <c r="BY395" s="71"/>
      <c r="BZ395" s="71"/>
      <c r="CA395" s="71"/>
      <c r="CB395" s="71"/>
      <c r="CC395" s="71"/>
      <c r="CD395" s="71"/>
      <c r="CE395" s="71"/>
      <c r="CF395" s="71"/>
      <c r="CG395" s="71"/>
      <c r="CH395" s="71"/>
      <c r="CI395" s="71"/>
      <c r="CJ395" s="71"/>
      <c r="CK395" s="71"/>
      <c r="CL395" s="71"/>
      <c r="CM395" s="71"/>
      <c r="CN395" s="71"/>
      <c r="CO395" s="71"/>
      <c r="CP395" s="71"/>
      <c r="CQ395" s="71"/>
      <c r="CR395" s="71"/>
      <c r="CS395" s="71"/>
      <c r="CT395" s="71"/>
      <c r="CU395" s="71"/>
      <c r="CV395" s="71"/>
      <c r="CW395" s="71"/>
      <c r="CX395" s="71"/>
      <c r="CY395" s="71"/>
      <c r="CZ395" s="71"/>
      <c r="DA395" s="296"/>
      <c r="DB395" s="296"/>
      <c r="DC395" s="112"/>
      <c r="DD395" s="112"/>
      <c r="DE395" s="112"/>
      <c r="DF395" s="112"/>
      <c r="DG395" s="112"/>
      <c r="DH395" s="112"/>
      <c r="DI395" s="112"/>
      <c r="DJ395" s="112"/>
      <c r="DK395" s="112"/>
      <c r="DL395" s="112"/>
      <c r="DM395" s="112"/>
      <c r="DN395" s="112"/>
      <c r="DO395" s="112"/>
      <c r="DP395" s="112"/>
      <c r="DQ395" s="112"/>
      <c r="DR395" s="112"/>
      <c r="DS395" s="71"/>
      <c r="DT395" s="71"/>
      <c r="DU395" s="71"/>
      <c r="DV395" s="71"/>
      <c r="DW395" s="71"/>
      <c r="DX395" s="71"/>
    </row>
    <row r="396" spans="3:128" s="68" customFormat="1">
      <c r="C396" s="79"/>
      <c r="D396" s="79"/>
      <c r="E396" s="505"/>
      <c r="F396" s="79"/>
      <c r="G396" s="505"/>
      <c r="H396" s="506"/>
      <c r="I396" s="79"/>
      <c r="J396" s="79"/>
      <c r="K396" s="505"/>
      <c r="L396" s="505"/>
      <c r="M396" s="506"/>
      <c r="N396" s="79"/>
      <c r="O396" s="79"/>
      <c r="P396" s="79"/>
      <c r="Q396" s="79"/>
      <c r="R396" s="506"/>
      <c r="S396" s="79"/>
      <c r="T396" s="505"/>
      <c r="U396" s="505"/>
      <c r="V396" s="79"/>
      <c r="W396" s="506"/>
      <c r="X396" s="79"/>
      <c r="Y396" s="505"/>
      <c r="Z396" s="505"/>
      <c r="AA396" s="79"/>
      <c r="AB396" s="505"/>
      <c r="AC396" s="79"/>
      <c r="AD396" s="79"/>
      <c r="AE396" s="79"/>
      <c r="AF396" s="79"/>
      <c r="BH396" s="71"/>
      <c r="BI396" s="71"/>
      <c r="BJ396" s="71"/>
      <c r="BK396" s="71"/>
      <c r="BL396" s="71"/>
      <c r="BM396" s="71"/>
      <c r="BN396" s="71"/>
      <c r="BO396" s="71"/>
      <c r="BP396" s="71"/>
      <c r="BQ396" s="71"/>
      <c r="BR396" s="71"/>
      <c r="BS396" s="71"/>
      <c r="BT396" s="71"/>
      <c r="BU396" s="71"/>
      <c r="BV396" s="71"/>
      <c r="BW396" s="71"/>
      <c r="BX396" s="71"/>
      <c r="BY396" s="71"/>
      <c r="BZ396" s="71"/>
      <c r="CA396" s="71"/>
      <c r="CB396" s="71"/>
      <c r="CC396" s="71"/>
      <c r="CD396" s="71"/>
      <c r="CE396" s="71"/>
      <c r="CF396" s="71"/>
      <c r="CG396" s="71"/>
      <c r="CH396" s="71"/>
      <c r="CI396" s="71"/>
      <c r="CJ396" s="71"/>
      <c r="CK396" s="71"/>
      <c r="CL396" s="71"/>
      <c r="CM396" s="71"/>
      <c r="CN396" s="71"/>
      <c r="CO396" s="71"/>
      <c r="CP396" s="71"/>
      <c r="CQ396" s="71"/>
      <c r="CR396" s="71"/>
      <c r="CS396" s="71"/>
      <c r="CT396" s="71"/>
      <c r="CU396" s="71"/>
      <c r="CV396" s="71"/>
      <c r="CW396" s="71"/>
      <c r="CX396" s="71"/>
      <c r="CY396" s="71"/>
      <c r="CZ396" s="71"/>
      <c r="DA396" s="296"/>
      <c r="DB396" s="296"/>
      <c r="DC396" s="112"/>
      <c r="DD396" s="112"/>
      <c r="DE396" s="112"/>
      <c r="DF396" s="112"/>
      <c r="DG396" s="112"/>
      <c r="DH396" s="112"/>
      <c r="DI396" s="112"/>
      <c r="DJ396" s="112"/>
      <c r="DK396" s="112"/>
      <c r="DL396" s="112"/>
      <c r="DM396" s="112"/>
      <c r="DN396" s="112"/>
      <c r="DO396" s="112"/>
      <c r="DP396" s="112"/>
      <c r="DQ396" s="112"/>
      <c r="DR396" s="112"/>
      <c r="DS396" s="71"/>
      <c r="DT396" s="71"/>
      <c r="DU396" s="71"/>
      <c r="DV396" s="71"/>
      <c r="DW396" s="71"/>
      <c r="DX396" s="71"/>
    </row>
    <row r="397" spans="3:128" s="68" customFormat="1">
      <c r="C397" s="79"/>
      <c r="D397" s="79"/>
      <c r="E397" s="505"/>
      <c r="F397" s="79"/>
      <c r="G397" s="505"/>
      <c r="H397" s="506"/>
      <c r="I397" s="79"/>
      <c r="J397" s="79"/>
      <c r="K397" s="505"/>
      <c r="L397" s="505"/>
      <c r="M397" s="506"/>
      <c r="N397" s="79"/>
      <c r="O397" s="79"/>
      <c r="P397" s="79"/>
      <c r="Q397" s="79"/>
      <c r="R397" s="506"/>
      <c r="S397" s="79"/>
      <c r="T397" s="505"/>
      <c r="U397" s="505"/>
      <c r="V397" s="79"/>
      <c r="W397" s="506"/>
      <c r="X397" s="79"/>
      <c r="Y397" s="505"/>
      <c r="Z397" s="505"/>
      <c r="AA397" s="79"/>
      <c r="AB397" s="505"/>
      <c r="AC397" s="79"/>
      <c r="AD397" s="79"/>
      <c r="AE397" s="79"/>
      <c r="AF397" s="79"/>
      <c r="BH397" s="71"/>
      <c r="BI397" s="71"/>
      <c r="BJ397" s="71"/>
      <c r="BK397" s="71"/>
      <c r="BL397" s="71"/>
      <c r="BM397" s="71"/>
      <c r="BN397" s="71"/>
      <c r="BO397" s="71"/>
      <c r="BP397" s="71"/>
      <c r="BQ397" s="71"/>
      <c r="BR397" s="71"/>
      <c r="BS397" s="71"/>
      <c r="BT397" s="71"/>
      <c r="BU397" s="71"/>
      <c r="BV397" s="71"/>
      <c r="BW397" s="71"/>
      <c r="BX397" s="71"/>
      <c r="BY397" s="71"/>
      <c r="BZ397" s="71"/>
      <c r="CA397" s="71"/>
      <c r="CB397" s="71"/>
      <c r="CC397" s="71"/>
      <c r="CD397" s="71"/>
      <c r="CE397" s="71"/>
      <c r="CF397" s="71"/>
      <c r="CG397" s="71"/>
      <c r="CH397" s="71"/>
      <c r="CI397" s="71"/>
      <c r="CJ397" s="71"/>
      <c r="CK397" s="71"/>
      <c r="CL397" s="71"/>
      <c r="CM397" s="71"/>
      <c r="CN397" s="71"/>
      <c r="CO397" s="71"/>
      <c r="CP397" s="71"/>
      <c r="CQ397" s="71"/>
      <c r="CR397" s="71"/>
      <c r="CS397" s="71"/>
      <c r="CT397" s="71"/>
      <c r="CU397" s="71"/>
      <c r="CV397" s="71"/>
      <c r="CW397" s="71"/>
      <c r="CX397" s="71"/>
      <c r="CY397" s="71"/>
      <c r="CZ397" s="71"/>
      <c r="DA397" s="296"/>
      <c r="DB397" s="296"/>
      <c r="DC397" s="112"/>
      <c r="DD397" s="112"/>
      <c r="DE397" s="112"/>
      <c r="DF397" s="112"/>
      <c r="DG397" s="112"/>
      <c r="DH397" s="112"/>
      <c r="DI397" s="112"/>
      <c r="DJ397" s="112"/>
      <c r="DK397" s="112"/>
      <c r="DL397" s="112"/>
      <c r="DM397" s="112"/>
      <c r="DN397" s="112"/>
      <c r="DO397" s="112"/>
      <c r="DP397" s="112"/>
      <c r="DQ397" s="112"/>
      <c r="DR397" s="112"/>
      <c r="DS397" s="71"/>
      <c r="DT397" s="71"/>
      <c r="DU397" s="71"/>
      <c r="DV397" s="71"/>
      <c r="DW397" s="71"/>
      <c r="DX397" s="71"/>
    </row>
    <row r="398" spans="3:128" s="68" customFormat="1">
      <c r="C398" s="79"/>
      <c r="D398" s="79"/>
      <c r="E398" s="505"/>
      <c r="F398" s="79"/>
      <c r="G398" s="505"/>
      <c r="H398" s="506"/>
      <c r="I398" s="79"/>
      <c r="J398" s="79"/>
      <c r="K398" s="505"/>
      <c r="L398" s="505"/>
      <c r="M398" s="506"/>
      <c r="N398" s="79"/>
      <c r="O398" s="79"/>
      <c r="P398" s="79"/>
      <c r="Q398" s="79"/>
      <c r="R398" s="506"/>
      <c r="S398" s="79"/>
      <c r="T398" s="505"/>
      <c r="U398" s="505"/>
      <c r="V398" s="79"/>
      <c r="W398" s="506"/>
      <c r="X398" s="79"/>
      <c r="Y398" s="505"/>
      <c r="Z398" s="505"/>
      <c r="AA398" s="79"/>
      <c r="AB398" s="505"/>
      <c r="AC398" s="79"/>
      <c r="AD398" s="79"/>
      <c r="AE398" s="79"/>
      <c r="AF398" s="79"/>
      <c r="BH398" s="71"/>
      <c r="BI398" s="71"/>
      <c r="BJ398" s="71"/>
      <c r="BK398" s="71"/>
      <c r="BL398" s="71"/>
      <c r="BM398" s="71"/>
      <c r="BN398" s="71"/>
      <c r="BO398" s="71"/>
      <c r="BP398" s="71"/>
      <c r="BQ398" s="71"/>
      <c r="BR398" s="71"/>
      <c r="BS398" s="71"/>
      <c r="BT398" s="71"/>
      <c r="BU398" s="71"/>
      <c r="BV398" s="71"/>
      <c r="BW398" s="71"/>
      <c r="BX398" s="71"/>
      <c r="BY398" s="71"/>
      <c r="BZ398" s="71"/>
      <c r="CA398" s="71"/>
      <c r="CB398" s="71"/>
      <c r="CC398" s="71"/>
      <c r="CD398" s="71"/>
      <c r="CE398" s="71"/>
      <c r="CF398" s="71"/>
      <c r="CG398" s="71"/>
      <c r="CH398" s="71"/>
      <c r="CI398" s="71"/>
      <c r="CJ398" s="71"/>
      <c r="CK398" s="71"/>
      <c r="CL398" s="71"/>
      <c r="CM398" s="71"/>
      <c r="CN398" s="71"/>
      <c r="CO398" s="71"/>
      <c r="CP398" s="71"/>
      <c r="CQ398" s="71"/>
      <c r="CR398" s="71"/>
      <c r="CS398" s="71"/>
      <c r="CT398" s="71"/>
      <c r="CU398" s="71"/>
      <c r="CV398" s="71"/>
      <c r="CW398" s="71"/>
      <c r="CX398" s="71"/>
      <c r="CY398" s="71"/>
      <c r="CZ398" s="71"/>
      <c r="DA398" s="296"/>
      <c r="DB398" s="296"/>
      <c r="DC398" s="112"/>
      <c r="DD398" s="112"/>
      <c r="DE398" s="112"/>
      <c r="DF398" s="112"/>
      <c r="DG398" s="112"/>
      <c r="DH398" s="112"/>
      <c r="DI398" s="112"/>
      <c r="DJ398" s="112"/>
      <c r="DK398" s="112"/>
      <c r="DL398" s="112"/>
      <c r="DM398" s="112"/>
      <c r="DN398" s="112"/>
      <c r="DO398" s="112"/>
      <c r="DP398" s="112"/>
      <c r="DQ398" s="112"/>
      <c r="DR398" s="112"/>
      <c r="DS398" s="71"/>
      <c r="DT398" s="71"/>
      <c r="DU398" s="71"/>
      <c r="DV398" s="71"/>
      <c r="DW398" s="71"/>
      <c r="DX398" s="71"/>
    </row>
    <row r="399" spans="3:128" s="68" customFormat="1">
      <c r="C399" s="79"/>
      <c r="D399" s="79"/>
      <c r="E399" s="505"/>
      <c r="F399" s="79"/>
      <c r="G399" s="505"/>
      <c r="H399" s="506"/>
      <c r="I399" s="79"/>
      <c r="J399" s="79"/>
      <c r="K399" s="505"/>
      <c r="L399" s="505"/>
      <c r="M399" s="506"/>
      <c r="N399" s="79"/>
      <c r="O399" s="79"/>
      <c r="P399" s="79"/>
      <c r="Q399" s="79"/>
      <c r="R399" s="506"/>
      <c r="S399" s="79"/>
      <c r="T399" s="505"/>
      <c r="U399" s="505"/>
      <c r="V399" s="79"/>
      <c r="W399" s="506"/>
      <c r="X399" s="79"/>
      <c r="Y399" s="505"/>
      <c r="Z399" s="505"/>
      <c r="AA399" s="79"/>
      <c r="AB399" s="505"/>
      <c r="AC399" s="79"/>
      <c r="AD399" s="79"/>
      <c r="AE399" s="79"/>
      <c r="AF399" s="79"/>
      <c r="BH399" s="71"/>
      <c r="BI399" s="71"/>
      <c r="BJ399" s="71"/>
      <c r="BK399" s="71"/>
      <c r="BL399" s="71"/>
      <c r="BM399" s="71"/>
      <c r="BN399" s="71"/>
      <c r="BO399" s="71"/>
      <c r="BP399" s="71"/>
      <c r="BQ399" s="71"/>
      <c r="BR399" s="71"/>
      <c r="BS399" s="71"/>
      <c r="BT399" s="71"/>
      <c r="BU399" s="71"/>
      <c r="BV399" s="71"/>
      <c r="BW399" s="71"/>
      <c r="BX399" s="71"/>
      <c r="BY399" s="71"/>
      <c r="BZ399" s="71"/>
      <c r="CA399" s="71"/>
      <c r="CB399" s="71"/>
      <c r="CC399" s="71"/>
      <c r="CD399" s="71"/>
      <c r="CE399" s="71"/>
      <c r="CF399" s="71"/>
      <c r="CG399" s="71"/>
      <c r="CH399" s="71"/>
      <c r="CI399" s="71"/>
      <c r="CJ399" s="71"/>
      <c r="CK399" s="71"/>
      <c r="CL399" s="71"/>
      <c r="CM399" s="71"/>
      <c r="CN399" s="71"/>
      <c r="CO399" s="71"/>
      <c r="CP399" s="71"/>
      <c r="CQ399" s="71"/>
      <c r="CR399" s="71"/>
      <c r="CS399" s="71"/>
      <c r="CT399" s="71"/>
      <c r="CU399" s="71"/>
      <c r="CV399" s="71"/>
      <c r="CW399" s="71"/>
      <c r="CX399" s="71"/>
      <c r="CY399" s="71"/>
      <c r="CZ399" s="71"/>
      <c r="DA399" s="296"/>
      <c r="DB399" s="296"/>
      <c r="DC399" s="112"/>
      <c r="DD399" s="112"/>
      <c r="DE399" s="112"/>
      <c r="DF399" s="112"/>
      <c r="DG399" s="112"/>
      <c r="DH399" s="112"/>
      <c r="DI399" s="112"/>
      <c r="DJ399" s="112"/>
      <c r="DK399" s="112"/>
      <c r="DL399" s="112"/>
      <c r="DM399" s="112"/>
      <c r="DN399" s="112"/>
      <c r="DO399" s="112"/>
      <c r="DP399" s="112"/>
      <c r="DQ399" s="112"/>
      <c r="DR399" s="112"/>
      <c r="DS399" s="71"/>
      <c r="DT399" s="71"/>
      <c r="DU399" s="71"/>
      <c r="DV399" s="71"/>
      <c r="DW399" s="71"/>
      <c r="DX399" s="71"/>
    </row>
    <row r="400" spans="3:128" s="68" customFormat="1">
      <c r="C400" s="79"/>
      <c r="D400" s="79"/>
      <c r="E400" s="505"/>
      <c r="F400" s="79"/>
      <c r="G400" s="505"/>
      <c r="H400" s="506"/>
      <c r="I400" s="79"/>
      <c r="J400" s="79"/>
      <c r="K400" s="505"/>
      <c r="L400" s="505"/>
      <c r="M400" s="506"/>
      <c r="N400" s="79"/>
      <c r="O400" s="79"/>
      <c r="P400" s="79"/>
      <c r="Q400" s="79"/>
      <c r="R400" s="506"/>
      <c r="S400" s="79"/>
      <c r="T400" s="505"/>
      <c r="U400" s="505"/>
      <c r="V400" s="79"/>
      <c r="W400" s="506"/>
      <c r="X400" s="79"/>
      <c r="Y400" s="505"/>
      <c r="Z400" s="505"/>
      <c r="AA400" s="79"/>
      <c r="AB400" s="505"/>
      <c r="AC400" s="79"/>
      <c r="AD400" s="79"/>
      <c r="AE400" s="79"/>
      <c r="AF400" s="79"/>
      <c r="BH400" s="71"/>
      <c r="BI400" s="71"/>
      <c r="BJ400" s="71"/>
      <c r="BK400" s="71"/>
      <c r="BL400" s="71"/>
      <c r="BM400" s="71"/>
      <c r="BN400" s="71"/>
      <c r="BO400" s="71"/>
      <c r="BP400" s="71"/>
      <c r="BQ400" s="71"/>
      <c r="BR400" s="71"/>
      <c r="BS400" s="71"/>
      <c r="BT400" s="71"/>
      <c r="BU400" s="71"/>
      <c r="BV400" s="71"/>
      <c r="BW400" s="71"/>
      <c r="BX400" s="71"/>
      <c r="BY400" s="71"/>
      <c r="BZ400" s="71"/>
      <c r="CA400" s="71"/>
      <c r="CB400" s="71"/>
      <c r="CC400" s="71"/>
      <c r="CD400" s="71"/>
      <c r="CE400" s="71"/>
      <c r="CF400" s="71"/>
      <c r="CG400" s="71"/>
      <c r="CH400" s="71"/>
      <c r="CI400" s="71"/>
      <c r="CJ400" s="71"/>
      <c r="CK400" s="71"/>
      <c r="CL400" s="71"/>
      <c r="CM400" s="71"/>
      <c r="CN400" s="71"/>
      <c r="CO400" s="71"/>
      <c r="CP400" s="71"/>
      <c r="CQ400" s="71"/>
      <c r="CR400" s="71"/>
      <c r="CS400" s="71"/>
      <c r="CT400" s="71"/>
      <c r="CU400" s="71"/>
      <c r="CV400" s="71"/>
      <c r="CW400" s="71"/>
      <c r="CX400" s="71"/>
      <c r="CY400" s="71"/>
      <c r="CZ400" s="71"/>
      <c r="DA400" s="296"/>
      <c r="DB400" s="296"/>
      <c r="DC400" s="112"/>
      <c r="DD400" s="112"/>
      <c r="DE400" s="112"/>
      <c r="DF400" s="112"/>
      <c r="DG400" s="112"/>
      <c r="DH400" s="112"/>
      <c r="DI400" s="112"/>
      <c r="DJ400" s="112"/>
      <c r="DK400" s="112"/>
      <c r="DL400" s="112"/>
      <c r="DM400" s="112"/>
      <c r="DN400" s="112"/>
      <c r="DO400" s="112"/>
      <c r="DP400" s="112"/>
      <c r="DQ400" s="112"/>
      <c r="DR400" s="112"/>
      <c r="DS400" s="71"/>
      <c r="DT400" s="71"/>
      <c r="DU400" s="71"/>
      <c r="DV400" s="71"/>
      <c r="DW400" s="71"/>
      <c r="DX400" s="71"/>
    </row>
    <row r="401" spans="3:128" s="68" customFormat="1">
      <c r="C401" s="79"/>
      <c r="D401" s="79"/>
      <c r="E401" s="505"/>
      <c r="F401" s="79"/>
      <c r="G401" s="505"/>
      <c r="H401" s="506"/>
      <c r="I401" s="79"/>
      <c r="J401" s="79"/>
      <c r="K401" s="505"/>
      <c r="L401" s="505"/>
      <c r="M401" s="506"/>
      <c r="N401" s="79"/>
      <c r="O401" s="79"/>
      <c r="P401" s="79"/>
      <c r="Q401" s="79"/>
      <c r="R401" s="506"/>
      <c r="S401" s="79"/>
      <c r="T401" s="505"/>
      <c r="U401" s="505"/>
      <c r="V401" s="79"/>
      <c r="W401" s="506"/>
      <c r="X401" s="79"/>
      <c r="Y401" s="505"/>
      <c r="Z401" s="505"/>
      <c r="AA401" s="79"/>
      <c r="AB401" s="505"/>
      <c r="AC401" s="79"/>
      <c r="AD401" s="79"/>
      <c r="AE401" s="79"/>
      <c r="AF401" s="79"/>
      <c r="BH401" s="71"/>
      <c r="BI401" s="71"/>
      <c r="BJ401" s="71"/>
      <c r="BK401" s="71"/>
      <c r="BL401" s="71"/>
      <c r="BM401" s="71"/>
      <c r="BN401" s="71"/>
      <c r="BO401" s="71"/>
      <c r="BP401" s="71"/>
      <c r="BQ401" s="71"/>
      <c r="BR401" s="71"/>
      <c r="BS401" s="71"/>
      <c r="BT401" s="71"/>
      <c r="BU401" s="71"/>
      <c r="BV401" s="71"/>
      <c r="BW401" s="71"/>
      <c r="BX401" s="71"/>
      <c r="BY401" s="71"/>
      <c r="BZ401" s="71"/>
      <c r="CA401" s="71"/>
      <c r="CB401" s="71"/>
      <c r="CC401" s="71"/>
      <c r="CD401" s="71"/>
      <c r="CE401" s="71"/>
      <c r="CF401" s="71"/>
      <c r="CG401" s="71"/>
      <c r="CH401" s="71"/>
      <c r="CI401" s="71"/>
      <c r="CJ401" s="71"/>
      <c r="CK401" s="71"/>
      <c r="CL401" s="71"/>
      <c r="CM401" s="71"/>
      <c r="CN401" s="71"/>
      <c r="CO401" s="71"/>
      <c r="CP401" s="71"/>
      <c r="CQ401" s="71"/>
      <c r="CR401" s="71"/>
      <c r="CS401" s="71"/>
      <c r="CT401" s="71"/>
      <c r="CU401" s="71"/>
      <c r="CV401" s="71"/>
      <c r="CW401" s="71"/>
      <c r="CX401" s="71"/>
      <c r="CY401" s="71"/>
      <c r="CZ401" s="71"/>
      <c r="DA401" s="296"/>
      <c r="DB401" s="296"/>
      <c r="DC401" s="112"/>
      <c r="DD401" s="112"/>
      <c r="DE401" s="112"/>
      <c r="DF401" s="112"/>
      <c r="DG401" s="112"/>
      <c r="DH401" s="112"/>
      <c r="DI401" s="112"/>
      <c r="DJ401" s="112"/>
      <c r="DK401" s="112"/>
      <c r="DL401" s="112"/>
      <c r="DM401" s="112"/>
      <c r="DN401" s="112"/>
      <c r="DO401" s="112"/>
      <c r="DP401" s="112"/>
      <c r="DQ401" s="112"/>
      <c r="DR401" s="112"/>
      <c r="DS401" s="71"/>
      <c r="DT401" s="71"/>
      <c r="DU401" s="71"/>
      <c r="DV401" s="71"/>
      <c r="DW401" s="71"/>
      <c r="DX401" s="71"/>
    </row>
    <row r="402" spans="3:128" s="68" customFormat="1">
      <c r="C402" s="79"/>
      <c r="D402" s="79"/>
      <c r="E402" s="505"/>
      <c r="F402" s="79"/>
      <c r="G402" s="505"/>
      <c r="H402" s="506"/>
      <c r="I402" s="79"/>
      <c r="J402" s="79"/>
      <c r="K402" s="505"/>
      <c r="L402" s="505"/>
      <c r="M402" s="506"/>
      <c r="N402" s="79"/>
      <c r="O402" s="79"/>
      <c r="P402" s="79"/>
      <c r="Q402" s="79"/>
      <c r="R402" s="506"/>
      <c r="S402" s="79"/>
      <c r="T402" s="505"/>
      <c r="U402" s="505"/>
      <c r="V402" s="79"/>
      <c r="W402" s="506"/>
      <c r="X402" s="79"/>
      <c r="Y402" s="505"/>
      <c r="Z402" s="505"/>
      <c r="AA402" s="79"/>
      <c r="AB402" s="505"/>
      <c r="AC402" s="79"/>
      <c r="AD402" s="79"/>
      <c r="AE402" s="79"/>
      <c r="AF402" s="79"/>
      <c r="BH402" s="71"/>
      <c r="BI402" s="71"/>
      <c r="BJ402" s="71"/>
      <c r="BK402" s="71"/>
      <c r="BL402" s="71"/>
      <c r="BM402" s="71"/>
      <c r="BN402" s="71"/>
      <c r="BO402" s="71"/>
      <c r="BP402" s="71"/>
      <c r="BQ402" s="71"/>
      <c r="BR402" s="71"/>
      <c r="BS402" s="71"/>
      <c r="BT402" s="71"/>
      <c r="BU402" s="71"/>
      <c r="BV402" s="71"/>
      <c r="BW402" s="71"/>
      <c r="BX402" s="71"/>
      <c r="BY402" s="71"/>
      <c r="BZ402" s="71"/>
      <c r="CA402" s="71"/>
      <c r="CB402" s="71"/>
      <c r="CC402" s="71"/>
      <c r="CD402" s="71"/>
      <c r="CE402" s="71"/>
      <c r="CF402" s="71"/>
      <c r="CG402" s="71"/>
      <c r="CH402" s="71"/>
      <c r="CI402" s="71"/>
      <c r="CJ402" s="71"/>
      <c r="CK402" s="71"/>
      <c r="CL402" s="71"/>
      <c r="CM402" s="71"/>
      <c r="CN402" s="71"/>
      <c r="CO402" s="71"/>
      <c r="CP402" s="71"/>
      <c r="CQ402" s="71"/>
      <c r="CR402" s="71"/>
      <c r="CS402" s="71"/>
      <c r="CT402" s="71"/>
      <c r="CU402" s="71"/>
      <c r="CV402" s="71"/>
      <c r="CW402" s="71"/>
      <c r="CX402" s="71"/>
      <c r="CY402" s="71"/>
      <c r="CZ402" s="71"/>
      <c r="DA402" s="296"/>
      <c r="DB402" s="296"/>
      <c r="DC402" s="112"/>
      <c r="DD402" s="112"/>
      <c r="DE402" s="112"/>
      <c r="DF402" s="112"/>
      <c r="DG402" s="112"/>
      <c r="DH402" s="112"/>
      <c r="DI402" s="112"/>
      <c r="DJ402" s="112"/>
      <c r="DK402" s="112"/>
      <c r="DL402" s="112"/>
      <c r="DM402" s="112"/>
      <c r="DN402" s="112"/>
      <c r="DO402" s="112"/>
      <c r="DP402" s="112"/>
      <c r="DQ402" s="112"/>
      <c r="DR402" s="112"/>
      <c r="DS402" s="71"/>
      <c r="DT402" s="71"/>
      <c r="DU402" s="71"/>
      <c r="DV402" s="71"/>
      <c r="DW402" s="71"/>
      <c r="DX402" s="71"/>
    </row>
    <row r="403" spans="3:128" s="68" customFormat="1">
      <c r="C403" s="79"/>
      <c r="D403" s="79"/>
      <c r="E403" s="505"/>
      <c r="F403" s="79"/>
      <c r="G403" s="505"/>
      <c r="H403" s="506"/>
      <c r="I403" s="79"/>
      <c r="J403" s="79"/>
      <c r="K403" s="505"/>
      <c r="L403" s="505"/>
      <c r="M403" s="506"/>
      <c r="N403" s="79"/>
      <c r="O403" s="79"/>
      <c r="P403" s="79"/>
      <c r="Q403" s="79"/>
      <c r="R403" s="506"/>
      <c r="S403" s="79"/>
      <c r="T403" s="505"/>
      <c r="U403" s="505"/>
      <c r="V403" s="79"/>
      <c r="W403" s="506"/>
      <c r="X403" s="79"/>
      <c r="Y403" s="505"/>
      <c r="Z403" s="505"/>
      <c r="AA403" s="79"/>
      <c r="AB403" s="505"/>
      <c r="AC403" s="79"/>
      <c r="AD403" s="79"/>
      <c r="AE403" s="79"/>
      <c r="AF403" s="79"/>
      <c r="BH403" s="71"/>
      <c r="BI403" s="71"/>
      <c r="BJ403" s="71"/>
      <c r="BK403" s="71"/>
      <c r="BL403" s="71"/>
      <c r="BM403" s="71"/>
      <c r="BN403" s="71"/>
      <c r="BO403" s="71"/>
      <c r="BP403" s="71"/>
      <c r="BQ403" s="71"/>
      <c r="BR403" s="71"/>
      <c r="BS403" s="71"/>
      <c r="BT403" s="71"/>
      <c r="BU403" s="71"/>
      <c r="BV403" s="71"/>
      <c r="BW403" s="71"/>
      <c r="BX403" s="71"/>
      <c r="BY403" s="71"/>
      <c r="BZ403" s="71"/>
      <c r="CA403" s="71"/>
      <c r="CB403" s="71"/>
      <c r="CC403" s="71"/>
      <c r="CD403" s="71"/>
      <c r="CE403" s="71"/>
      <c r="CF403" s="71"/>
      <c r="CG403" s="71"/>
      <c r="CH403" s="71"/>
      <c r="CI403" s="71"/>
      <c r="CJ403" s="71"/>
      <c r="CK403" s="71"/>
      <c r="CL403" s="71"/>
      <c r="CM403" s="71"/>
      <c r="CN403" s="71"/>
      <c r="CO403" s="71"/>
      <c r="CP403" s="71"/>
      <c r="CQ403" s="71"/>
      <c r="CR403" s="71"/>
      <c r="CS403" s="71"/>
      <c r="CT403" s="71"/>
      <c r="CU403" s="71"/>
      <c r="CV403" s="71"/>
      <c r="CW403" s="71"/>
      <c r="CX403" s="71"/>
      <c r="CY403" s="71"/>
      <c r="CZ403" s="71"/>
      <c r="DA403" s="296"/>
      <c r="DB403" s="296"/>
      <c r="DC403" s="112"/>
      <c r="DD403" s="112"/>
      <c r="DE403" s="112"/>
      <c r="DF403" s="112"/>
      <c r="DG403" s="112"/>
      <c r="DH403" s="112"/>
      <c r="DI403" s="112"/>
      <c r="DJ403" s="112"/>
      <c r="DK403" s="112"/>
      <c r="DL403" s="112"/>
      <c r="DM403" s="112"/>
      <c r="DN403" s="112"/>
      <c r="DO403" s="112"/>
      <c r="DP403" s="112"/>
      <c r="DQ403" s="112"/>
      <c r="DR403" s="112"/>
      <c r="DS403" s="71"/>
      <c r="DT403" s="71"/>
      <c r="DU403" s="71"/>
      <c r="DV403" s="71"/>
      <c r="DW403" s="71"/>
      <c r="DX403" s="71"/>
    </row>
    <row r="404" spans="3:128" s="68" customFormat="1">
      <c r="C404" s="79"/>
      <c r="D404" s="79"/>
      <c r="E404" s="505"/>
      <c r="F404" s="79"/>
      <c r="G404" s="505"/>
      <c r="H404" s="506"/>
      <c r="I404" s="79"/>
      <c r="J404" s="79"/>
      <c r="K404" s="505"/>
      <c r="L404" s="505"/>
      <c r="M404" s="506"/>
      <c r="N404" s="79"/>
      <c r="O404" s="79"/>
      <c r="P404" s="79"/>
      <c r="Q404" s="79"/>
      <c r="R404" s="506"/>
      <c r="S404" s="79"/>
      <c r="T404" s="505"/>
      <c r="U404" s="505"/>
      <c r="V404" s="79"/>
      <c r="W404" s="506"/>
      <c r="X404" s="79"/>
      <c r="Y404" s="505"/>
      <c r="Z404" s="505"/>
      <c r="AA404" s="79"/>
      <c r="AB404" s="505"/>
      <c r="AC404" s="79"/>
      <c r="AD404" s="79"/>
      <c r="AE404" s="79"/>
      <c r="AF404" s="79"/>
      <c r="BH404" s="71"/>
      <c r="BI404" s="71"/>
      <c r="BJ404" s="71"/>
      <c r="BK404" s="71"/>
      <c r="BL404" s="71"/>
      <c r="BM404" s="71"/>
      <c r="BN404" s="71"/>
      <c r="BO404" s="71"/>
      <c r="BP404" s="71"/>
      <c r="BQ404" s="71"/>
      <c r="BR404" s="71"/>
      <c r="BS404" s="71"/>
      <c r="BT404" s="71"/>
      <c r="BU404" s="71"/>
      <c r="BV404" s="71"/>
      <c r="BW404" s="71"/>
      <c r="BX404" s="71"/>
      <c r="BY404" s="71"/>
      <c r="BZ404" s="71"/>
      <c r="CA404" s="71"/>
      <c r="CB404" s="71"/>
      <c r="CC404" s="71"/>
      <c r="CD404" s="71"/>
      <c r="CE404" s="71"/>
      <c r="CF404" s="71"/>
      <c r="CG404" s="71"/>
      <c r="CH404" s="71"/>
      <c r="CI404" s="71"/>
      <c r="CJ404" s="71"/>
      <c r="CK404" s="71"/>
      <c r="CL404" s="71"/>
      <c r="CM404" s="71"/>
      <c r="CN404" s="71"/>
      <c r="CO404" s="71"/>
      <c r="CP404" s="71"/>
      <c r="CQ404" s="71"/>
      <c r="CR404" s="71"/>
      <c r="CS404" s="71"/>
      <c r="CT404" s="71"/>
      <c r="CU404" s="71"/>
      <c r="CV404" s="71"/>
      <c r="CW404" s="71"/>
      <c r="CX404" s="71"/>
      <c r="CY404" s="71"/>
      <c r="CZ404" s="71"/>
      <c r="DA404" s="296"/>
      <c r="DB404" s="296"/>
      <c r="DC404" s="112"/>
      <c r="DD404" s="112"/>
      <c r="DE404" s="112"/>
      <c r="DF404" s="112"/>
      <c r="DG404" s="112"/>
      <c r="DH404" s="112"/>
      <c r="DI404" s="112"/>
      <c r="DJ404" s="112"/>
      <c r="DK404" s="112"/>
      <c r="DL404" s="112"/>
      <c r="DM404" s="112"/>
      <c r="DN404" s="112"/>
      <c r="DO404" s="112"/>
      <c r="DP404" s="112"/>
      <c r="DQ404" s="112"/>
      <c r="DR404" s="112"/>
      <c r="DS404" s="71"/>
      <c r="DT404" s="71"/>
      <c r="DU404" s="71"/>
      <c r="DV404" s="71"/>
      <c r="DW404" s="71"/>
      <c r="DX404" s="71"/>
    </row>
    <row r="405" spans="3:128" s="68" customFormat="1">
      <c r="C405" s="79"/>
      <c r="D405" s="79"/>
      <c r="E405" s="505"/>
      <c r="F405" s="79"/>
      <c r="G405" s="505"/>
      <c r="H405" s="506"/>
      <c r="I405" s="79"/>
      <c r="J405" s="79"/>
      <c r="K405" s="505"/>
      <c r="L405" s="505"/>
      <c r="M405" s="506"/>
      <c r="N405" s="79"/>
      <c r="O405" s="79"/>
      <c r="P405" s="79"/>
      <c r="Q405" s="79"/>
      <c r="R405" s="506"/>
      <c r="S405" s="79"/>
      <c r="T405" s="505"/>
      <c r="U405" s="505"/>
      <c r="V405" s="79"/>
      <c r="W405" s="506"/>
      <c r="X405" s="79"/>
      <c r="Y405" s="505"/>
      <c r="Z405" s="505"/>
      <c r="AA405" s="79"/>
      <c r="AB405" s="505"/>
      <c r="AC405" s="79"/>
      <c r="AD405" s="79"/>
      <c r="AE405" s="79"/>
      <c r="AF405" s="79"/>
      <c r="BH405" s="71"/>
      <c r="BI405" s="71"/>
      <c r="BJ405" s="71"/>
      <c r="BK405" s="71"/>
      <c r="BL405" s="71"/>
      <c r="BM405" s="71"/>
      <c r="BN405" s="71"/>
      <c r="BO405" s="71"/>
      <c r="BP405" s="71"/>
      <c r="BQ405" s="71"/>
      <c r="BR405" s="71"/>
      <c r="BS405" s="71"/>
      <c r="BT405" s="71"/>
      <c r="BU405" s="71"/>
      <c r="BV405" s="71"/>
      <c r="BW405" s="71"/>
      <c r="BX405" s="71"/>
      <c r="BY405" s="71"/>
      <c r="BZ405" s="71"/>
      <c r="CA405" s="71"/>
      <c r="CB405" s="71"/>
      <c r="CC405" s="71"/>
      <c r="CD405" s="71"/>
      <c r="CE405" s="71"/>
      <c r="CF405" s="71"/>
      <c r="CG405" s="71"/>
      <c r="CH405" s="71"/>
      <c r="CI405" s="71"/>
      <c r="CJ405" s="71"/>
      <c r="CK405" s="71"/>
      <c r="CL405" s="71"/>
      <c r="CM405" s="71"/>
      <c r="CN405" s="71"/>
      <c r="CO405" s="71"/>
      <c r="CP405" s="71"/>
      <c r="CQ405" s="71"/>
      <c r="CR405" s="71"/>
      <c r="CS405" s="71"/>
      <c r="CT405" s="71"/>
      <c r="CU405" s="71"/>
      <c r="CV405" s="71"/>
      <c r="CW405" s="71"/>
      <c r="CX405" s="71"/>
      <c r="CY405" s="71"/>
      <c r="CZ405" s="71"/>
      <c r="DA405" s="296"/>
      <c r="DB405" s="296"/>
      <c r="DC405" s="112"/>
      <c r="DD405" s="112"/>
      <c r="DE405" s="112"/>
      <c r="DF405" s="112"/>
      <c r="DG405" s="112"/>
      <c r="DH405" s="112"/>
      <c r="DI405" s="112"/>
      <c r="DJ405" s="112"/>
      <c r="DK405" s="112"/>
      <c r="DL405" s="112"/>
      <c r="DM405" s="112"/>
      <c r="DN405" s="112"/>
      <c r="DO405" s="112"/>
      <c r="DP405" s="112"/>
      <c r="DQ405" s="112"/>
      <c r="DR405" s="112"/>
      <c r="DS405" s="71"/>
      <c r="DT405" s="71"/>
      <c r="DU405" s="71"/>
      <c r="DV405" s="71"/>
      <c r="DW405" s="71"/>
      <c r="DX405" s="71"/>
    </row>
    <row r="406" spans="3:128" s="68" customFormat="1">
      <c r="C406" s="79"/>
      <c r="D406" s="79"/>
      <c r="E406" s="505"/>
      <c r="F406" s="79"/>
      <c r="G406" s="505"/>
      <c r="H406" s="506"/>
      <c r="I406" s="79"/>
      <c r="J406" s="79"/>
      <c r="K406" s="505"/>
      <c r="L406" s="505"/>
      <c r="M406" s="506"/>
      <c r="N406" s="79"/>
      <c r="O406" s="79"/>
      <c r="P406" s="79"/>
      <c r="Q406" s="79"/>
      <c r="R406" s="506"/>
      <c r="S406" s="79"/>
      <c r="T406" s="505"/>
      <c r="U406" s="505"/>
      <c r="V406" s="79"/>
      <c r="W406" s="506"/>
      <c r="X406" s="79"/>
      <c r="Y406" s="505"/>
      <c r="Z406" s="505"/>
      <c r="AA406" s="79"/>
      <c r="AB406" s="505"/>
      <c r="AC406" s="79"/>
      <c r="AD406" s="79"/>
      <c r="AE406" s="79"/>
      <c r="AF406" s="79"/>
      <c r="BH406" s="71"/>
      <c r="BI406" s="71"/>
      <c r="BJ406" s="71"/>
      <c r="BK406" s="71"/>
      <c r="BL406" s="71"/>
      <c r="BM406" s="71"/>
      <c r="BN406" s="71"/>
      <c r="BO406" s="71"/>
      <c r="BP406" s="71"/>
      <c r="BQ406" s="71"/>
      <c r="BR406" s="71"/>
      <c r="BS406" s="71"/>
      <c r="BT406" s="71"/>
      <c r="BU406" s="71"/>
      <c r="BV406" s="71"/>
      <c r="BW406" s="71"/>
      <c r="BX406" s="71"/>
      <c r="BY406" s="71"/>
      <c r="BZ406" s="71"/>
      <c r="CA406" s="71"/>
      <c r="CB406" s="71"/>
      <c r="CC406" s="71"/>
      <c r="CD406" s="71"/>
      <c r="CE406" s="71"/>
      <c r="CF406" s="71"/>
      <c r="CG406" s="71"/>
      <c r="CH406" s="71"/>
      <c r="CI406" s="71"/>
      <c r="CJ406" s="71"/>
      <c r="CK406" s="71"/>
      <c r="CL406" s="71"/>
      <c r="CM406" s="71"/>
      <c r="CN406" s="71"/>
      <c r="CO406" s="71"/>
      <c r="CP406" s="71"/>
      <c r="CQ406" s="71"/>
      <c r="CR406" s="71"/>
      <c r="CS406" s="71"/>
      <c r="CT406" s="71"/>
      <c r="CU406" s="71"/>
      <c r="CV406" s="71"/>
      <c r="CW406" s="71"/>
      <c r="CX406" s="71"/>
      <c r="CY406" s="71"/>
      <c r="CZ406" s="71"/>
      <c r="DA406" s="296"/>
      <c r="DB406" s="296"/>
      <c r="DC406" s="112"/>
      <c r="DD406" s="112"/>
      <c r="DE406" s="112"/>
      <c r="DF406" s="112"/>
      <c r="DG406" s="112"/>
      <c r="DH406" s="112"/>
      <c r="DI406" s="112"/>
      <c r="DJ406" s="112"/>
      <c r="DK406" s="112"/>
      <c r="DL406" s="112"/>
      <c r="DM406" s="112"/>
      <c r="DN406" s="112"/>
      <c r="DO406" s="112"/>
      <c r="DP406" s="112"/>
      <c r="DQ406" s="112"/>
      <c r="DR406" s="112"/>
      <c r="DS406" s="71"/>
      <c r="DT406" s="71"/>
      <c r="DU406" s="71"/>
      <c r="DV406" s="71"/>
      <c r="DW406" s="71"/>
      <c r="DX406" s="71"/>
    </row>
    <row r="407" spans="3:128" s="68" customFormat="1">
      <c r="C407" s="79"/>
      <c r="D407" s="79"/>
      <c r="E407" s="505"/>
      <c r="F407" s="79"/>
      <c r="G407" s="505"/>
      <c r="H407" s="506"/>
      <c r="I407" s="79"/>
      <c r="J407" s="79"/>
      <c r="K407" s="505"/>
      <c r="L407" s="505"/>
      <c r="M407" s="506"/>
      <c r="N407" s="79"/>
      <c r="O407" s="79"/>
      <c r="P407" s="79"/>
      <c r="Q407" s="79"/>
      <c r="R407" s="506"/>
      <c r="S407" s="79"/>
      <c r="T407" s="505"/>
      <c r="U407" s="505"/>
      <c r="V407" s="79"/>
      <c r="W407" s="506"/>
      <c r="X407" s="79"/>
      <c r="Y407" s="505"/>
      <c r="Z407" s="505"/>
      <c r="AA407" s="79"/>
      <c r="AB407" s="505"/>
      <c r="AC407" s="79"/>
      <c r="AD407" s="79"/>
      <c r="AE407" s="79"/>
      <c r="AF407" s="79"/>
      <c r="BH407" s="71"/>
      <c r="BI407" s="71"/>
      <c r="BJ407" s="71"/>
      <c r="BK407" s="71"/>
      <c r="BL407" s="71"/>
      <c r="BM407" s="71"/>
      <c r="BN407" s="71"/>
      <c r="BO407" s="71"/>
      <c r="BP407" s="71"/>
      <c r="BQ407" s="71"/>
      <c r="BR407" s="71"/>
      <c r="BS407" s="71"/>
      <c r="BT407" s="71"/>
      <c r="BU407" s="71"/>
      <c r="BV407" s="71"/>
      <c r="BW407" s="71"/>
      <c r="BX407" s="71"/>
      <c r="BY407" s="71"/>
      <c r="BZ407" s="71"/>
      <c r="CA407" s="71"/>
      <c r="CB407" s="71"/>
      <c r="CC407" s="71"/>
      <c r="CD407" s="71"/>
      <c r="CE407" s="71"/>
      <c r="CF407" s="71"/>
      <c r="CG407" s="71"/>
      <c r="CH407" s="71"/>
      <c r="CI407" s="71"/>
      <c r="CJ407" s="71"/>
      <c r="CK407" s="71"/>
      <c r="CL407" s="71"/>
      <c r="CM407" s="71"/>
      <c r="CN407" s="71"/>
      <c r="CO407" s="71"/>
      <c r="CP407" s="71"/>
      <c r="CQ407" s="71"/>
      <c r="CR407" s="71"/>
      <c r="CS407" s="71"/>
      <c r="CT407" s="71"/>
      <c r="CU407" s="71"/>
      <c r="CV407" s="71"/>
      <c r="CW407" s="71"/>
      <c r="CX407" s="71"/>
      <c r="CY407" s="71"/>
      <c r="CZ407" s="71"/>
      <c r="DA407" s="296"/>
      <c r="DB407" s="296"/>
      <c r="DC407" s="112"/>
      <c r="DD407" s="112"/>
      <c r="DE407" s="112"/>
      <c r="DF407" s="112"/>
      <c r="DG407" s="112"/>
      <c r="DH407" s="112"/>
      <c r="DI407" s="112"/>
      <c r="DJ407" s="112"/>
      <c r="DK407" s="112"/>
      <c r="DL407" s="112"/>
      <c r="DM407" s="112"/>
      <c r="DN407" s="112"/>
      <c r="DO407" s="112"/>
      <c r="DP407" s="112"/>
      <c r="DQ407" s="112"/>
      <c r="DR407" s="112"/>
      <c r="DS407" s="71"/>
      <c r="DT407" s="71"/>
      <c r="DU407" s="71"/>
      <c r="DV407" s="71"/>
      <c r="DW407" s="71"/>
      <c r="DX407" s="71"/>
    </row>
    <row r="408" spans="3:128" s="68" customFormat="1">
      <c r="C408" s="79"/>
      <c r="D408" s="79"/>
      <c r="E408" s="505"/>
      <c r="F408" s="79"/>
      <c r="G408" s="505"/>
      <c r="H408" s="506"/>
      <c r="I408" s="79"/>
      <c r="J408" s="79"/>
      <c r="K408" s="505"/>
      <c r="L408" s="505"/>
      <c r="M408" s="506"/>
      <c r="N408" s="79"/>
      <c r="O408" s="79"/>
      <c r="P408" s="79"/>
      <c r="Q408" s="79"/>
      <c r="R408" s="506"/>
      <c r="S408" s="79"/>
      <c r="T408" s="505"/>
      <c r="U408" s="505"/>
      <c r="V408" s="79"/>
      <c r="W408" s="506"/>
      <c r="X408" s="79"/>
      <c r="Y408" s="505"/>
      <c r="Z408" s="505"/>
      <c r="AA408" s="79"/>
      <c r="AB408" s="505"/>
      <c r="AC408" s="79"/>
      <c r="AD408" s="79"/>
      <c r="AE408" s="79"/>
      <c r="AF408" s="79"/>
      <c r="BH408" s="71"/>
      <c r="BI408" s="71"/>
      <c r="BJ408" s="71"/>
      <c r="BK408" s="71"/>
      <c r="BL408" s="71"/>
      <c r="BM408" s="71"/>
      <c r="BN408" s="71"/>
      <c r="BO408" s="71"/>
      <c r="BP408" s="71"/>
      <c r="BQ408" s="71"/>
      <c r="BR408" s="71"/>
      <c r="BS408" s="71"/>
      <c r="BT408" s="71"/>
      <c r="BU408" s="71"/>
      <c r="BV408" s="71"/>
      <c r="BW408" s="71"/>
      <c r="BX408" s="71"/>
      <c r="BY408" s="71"/>
      <c r="BZ408" s="71"/>
      <c r="CA408" s="71"/>
      <c r="CB408" s="71"/>
      <c r="CC408" s="71"/>
      <c r="CD408" s="71"/>
      <c r="CE408" s="71"/>
      <c r="CF408" s="71"/>
      <c r="CG408" s="71"/>
      <c r="CH408" s="71"/>
      <c r="CI408" s="71"/>
      <c r="CJ408" s="71"/>
      <c r="CK408" s="71"/>
      <c r="CL408" s="71"/>
      <c r="CM408" s="71"/>
      <c r="CN408" s="71"/>
      <c r="CO408" s="71"/>
      <c r="CP408" s="71"/>
      <c r="CQ408" s="71"/>
      <c r="CR408" s="71"/>
      <c r="CS408" s="71"/>
      <c r="CT408" s="71"/>
      <c r="CU408" s="71"/>
      <c r="CV408" s="71"/>
      <c r="CW408" s="71"/>
      <c r="CX408" s="71"/>
      <c r="CY408" s="71"/>
      <c r="CZ408" s="71"/>
      <c r="DA408" s="296"/>
      <c r="DB408" s="296"/>
      <c r="DC408" s="112"/>
      <c r="DD408" s="112"/>
      <c r="DE408" s="112"/>
      <c r="DF408" s="112"/>
      <c r="DG408" s="112"/>
      <c r="DH408" s="112"/>
      <c r="DI408" s="112"/>
      <c r="DJ408" s="112"/>
      <c r="DK408" s="112"/>
      <c r="DL408" s="112"/>
      <c r="DM408" s="112"/>
      <c r="DN408" s="112"/>
      <c r="DO408" s="112"/>
      <c r="DP408" s="112"/>
      <c r="DQ408" s="112"/>
      <c r="DR408" s="112"/>
      <c r="DS408" s="71"/>
      <c r="DT408" s="71"/>
      <c r="DU408" s="71"/>
      <c r="DV408" s="71"/>
      <c r="DW408" s="71"/>
      <c r="DX408" s="71"/>
    </row>
    <row r="409" spans="3:128" s="68" customFormat="1">
      <c r="C409" s="79"/>
      <c r="D409" s="79"/>
      <c r="E409" s="505"/>
      <c r="F409" s="79"/>
      <c r="G409" s="505"/>
      <c r="H409" s="506"/>
      <c r="I409" s="79"/>
      <c r="J409" s="79"/>
      <c r="K409" s="505"/>
      <c r="L409" s="505"/>
      <c r="M409" s="506"/>
      <c r="N409" s="79"/>
      <c r="O409" s="79"/>
      <c r="P409" s="79"/>
      <c r="Q409" s="79"/>
      <c r="R409" s="506"/>
      <c r="S409" s="79"/>
      <c r="T409" s="505"/>
      <c r="U409" s="505"/>
      <c r="V409" s="79"/>
      <c r="W409" s="506"/>
      <c r="X409" s="79"/>
      <c r="Y409" s="505"/>
      <c r="Z409" s="505"/>
      <c r="AA409" s="79"/>
      <c r="AB409" s="505"/>
      <c r="AC409" s="79"/>
      <c r="AD409" s="79"/>
      <c r="AE409" s="79"/>
      <c r="AF409" s="79"/>
      <c r="BH409" s="71"/>
      <c r="BI409" s="71"/>
      <c r="BJ409" s="71"/>
      <c r="BK409" s="71"/>
      <c r="BL409" s="71"/>
      <c r="BM409" s="71"/>
      <c r="BN409" s="71"/>
      <c r="BO409" s="71"/>
      <c r="BP409" s="71"/>
      <c r="BQ409" s="71"/>
      <c r="BR409" s="71"/>
      <c r="BS409" s="71"/>
      <c r="BT409" s="71"/>
      <c r="BU409" s="71"/>
      <c r="BV409" s="71"/>
      <c r="BW409" s="71"/>
      <c r="BX409" s="71"/>
      <c r="BY409" s="71"/>
      <c r="BZ409" s="71"/>
      <c r="CA409" s="71"/>
      <c r="CB409" s="71"/>
      <c r="CC409" s="71"/>
      <c r="CD409" s="71"/>
      <c r="CE409" s="71"/>
      <c r="CF409" s="71"/>
      <c r="CG409" s="71"/>
      <c r="CH409" s="71"/>
      <c r="CI409" s="71"/>
      <c r="CJ409" s="71"/>
      <c r="CK409" s="71"/>
      <c r="CL409" s="71"/>
      <c r="CM409" s="71"/>
      <c r="CN409" s="71"/>
      <c r="CO409" s="71"/>
      <c r="CP409" s="71"/>
      <c r="CQ409" s="71"/>
      <c r="CR409" s="71"/>
      <c r="CS409" s="71"/>
      <c r="CT409" s="71"/>
      <c r="CU409" s="71"/>
      <c r="CV409" s="71"/>
      <c r="CW409" s="71"/>
      <c r="CX409" s="71"/>
      <c r="CY409" s="71"/>
      <c r="CZ409" s="71"/>
      <c r="DA409" s="296"/>
      <c r="DB409" s="296"/>
      <c r="DC409" s="112"/>
      <c r="DD409" s="112"/>
      <c r="DE409" s="112"/>
      <c r="DF409" s="112"/>
      <c r="DG409" s="112"/>
      <c r="DH409" s="112"/>
      <c r="DI409" s="112"/>
      <c r="DJ409" s="112"/>
      <c r="DK409" s="112"/>
      <c r="DL409" s="112"/>
      <c r="DM409" s="112"/>
      <c r="DN409" s="112"/>
      <c r="DO409" s="112"/>
      <c r="DP409" s="112"/>
      <c r="DQ409" s="112"/>
      <c r="DR409" s="112"/>
      <c r="DS409" s="71"/>
      <c r="DT409" s="71"/>
      <c r="DU409" s="71"/>
      <c r="DV409" s="71"/>
      <c r="DW409" s="71"/>
      <c r="DX409" s="71"/>
    </row>
    <row r="410" spans="3:128" s="68" customFormat="1">
      <c r="C410" s="79"/>
      <c r="D410" s="79"/>
      <c r="E410" s="505"/>
      <c r="F410" s="79"/>
      <c r="G410" s="505"/>
      <c r="H410" s="506"/>
      <c r="I410" s="79"/>
      <c r="J410" s="79"/>
      <c r="K410" s="505"/>
      <c r="L410" s="505"/>
      <c r="M410" s="506"/>
      <c r="N410" s="79"/>
      <c r="O410" s="79"/>
      <c r="P410" s="79"/>
      <c r="Q410" s="79"/>
      <c r="R410" s="506"/>
      <c r="S410" s="79"/>
      <c r="T410" s="505"/>
      <c r="U410" s="505"/>
      <c r="V410" s="79"/>
      <c r="W410" s="506"/>
      <c r="X410" s="79"/>
      <c r="Y410" s="505"/>
      <c r="Z410" s="505"/>
      <c r="AA410" s="79"/>
      <c r="AB410" s="505"/>
      <c r="AC410" s="79"/>
      <c r="AD410" s="79"/>
      <c r="AE410" s="79"/>
      <c r="AF410" s="79"/>
      <c r="BH410" s="71"/>
      <c r="BI410" s="71"/>
      <c r="BJ410" s="71"/>
      <c r="BK410" s="71"/>
      <c r="BL410" s="71"/>
      <c r="BM410" s="71"/>
      <c r="BN410" s="71"/>
      <c r="BO410" s="71"/>
      <c r="BP410" s="71"/>
      <c r="BQ410" s="71"/>
      <c r="BR410" s="71"/>
      <c r="BS410" s="71"/>
      <c r="BT410" s="71"/>
      <c r="BU410" s="71"/>
      <c r="BV410" s="71"/>
      <c r="BW410" s="71"/>
      <c r="BX410" s="71"/>
      <c r="BY410" s="71"/>
      <c r="BZ410" s="71"/>
      <c r="CA410" s="71"/>
      <c r="CB410" s="71"/>
      <c r="CC410" s="71"/>
      <c r="CD410" s="71"/>
      <c r="CE410" s="71"/>
      <c r="CF410" s="71"/>
      <c r="CG410" s="71"/>
      <c r="CH410" s="71"/>
      <c r="CI410" s="71"/>
      <c r="CJ410" s="71"/>
      <c r="CK410" s="71"/>
      <c r="CL410" s="71"/>
      <c r="CM410" s="71"/>
      <c r="CN410" s="71"/>
      <c r="CO410" s="71"/>
      <c r="CP410" s="71"/>
      <c r="CQ410" s="71"/>
      <c r="CR410" s="71"/>
      <c r="CS410" s="71"/>
      <c r="CT410" s="71"/>
      <c r="CU410" s="71"/>
      <c r="CV410" s="71"/>
      <c r="CW410" s="71"/>
      <c r="CX410" s="71"/>
      <c r="CY410" s="71"/>
      <c r="CZ410" s="71"/>
      <c r="DA410" s="296"/>
      <c r="DB410" s="296"/>
      <c r="DC410" s="112"/>
      <c r="DD410" s="112"/>
      <c r="DE410" s="112"/>
      <c r="DF410" s="112"/>
      <c r="DG410" s="112"/>
      <c r="DH410" s="112"/>
      <c r="DI410" s="112"/>
      <c r="DJ410" s="112"/>
      <c r="DK410" s="112"/>
      <c r="DL410" s="112"/>
      <c r="DM410" s="112"/>
      <c r="DN410" s="112"/>
      <c r="DO410" s="112"/>
      <c r="DP410" s="112"/>
      <c r="DQ410" s="112"/>
      <c r="DR410" s="112"/>
      <c r="DS410" s="71"/>
      <c r="DT410" s="71"/>
      <c r="DU410" s="71"/>
      <c r="DV410" s="71"/>
      <c r="DW410" s="71"/>
      <c r="DX410" s="71"/>
    </row>
    <row r="411" spans="3:128" s="68" customFormat="1">
      <c r="C411" s="79"/>
      <c r="D411" s="79"/>
      <c r="E411" s="505"/>
      <c r="F411" s="79"/>
      <c r="G411" s="505"/>
      <c r="H411" s="506"/>
      <c r="I411" s="79"/>
      <c r="J411" s="79"/>
      <c r="K411" s="505"/>
      <c r="L411" s="505"/>
      <c r="M411" s="506"/>
      <c r="N411" s="79"/>
      <c r="O411" s="79"/>
      <c r="P411" s="79"/>
      <c r="Q411" s="79"/>
      <c r="R411" s="506"/>
      <c r="S411" s="79"/>
      <c r="T411" s="505"/>
      <c r="U411" s="505"/>
      <c r="V411" s="79"/>
      <c r="W411" s="506"/>
      <c r="X411" s="79"/>
      <c r="Y411" s="505"/>
      <c r="Z411" s="505"/>
      <c r="AA411" s="79"/>
      <c r="AB411" s="505"/>
      <c r="AC411" s="79"/>
      <c r="AD411" s="79"/>
      <c r="AE411" s="79"/>
      <c r="AF411" s="79"/>
      <c r="BH411" s="71"/>
      <c r="BI411" s="71"/>
      <c r="BJ411" s="71"/>
      <c r="BK411" s="71"/>
      <c r="BL411" s="71"/>
      <c r="BM411" s="71"/>
      <c r="BN411" s="71"/>
      <c r="BO411" s="71"/>
      <c r="BP411" s="71"/>
      <c r="BQ411" s="71"/>
      <c r="BR411" s="71"/>
      <c r="BS411" s="71"/>
      <c r="BT411" s="71"/>
      <c r="BU411" s="71"/>
      <c r="BV411" s="71"/>
      <c r="BW411" s="71"/>
      <c r="BX411" s="71"/>
      <c r="BY411" s="71"/>
      <c r="BZ411" s="71"/>
      <c r="CA411" s="71"/>
      <c r="CB411" s="71"/>
      <c r="CC411" s="71"/>
      <c r="CD411" s="71"/>
      <c r="CE411" s="71"/>
      <c r="CF411" s="71"/>
      <c r="CG411" s="71"/>
      <c r="CH411" s="71"/>
      <c r="CI411" s="71"/>
      <c r="CJ411" s="71"/>
      <c r="CK411" s="71"/>
      <c r="CL411" s="71"/>
      <c r="CM411" s="71"/>
      <c r="CN411" s="71"/>
      <c r="CO411" s="71"/>
      <c r="CP411" s="71"/>
      <c r="CQ411" s="71"/>
      <c r="CR411" s="71"/>
      <c r="CS411" s="71"/>
      <c r="CT411" s="71"/>
      <c r="CU411" s="71"/>
      <c r="CV411" s="71"/>
      <c r="CW411" s="71"/>
      <c r="CX411" s="71"/>
      <c r="CY411" s="71"/>
      <c r="CZ411" s="71"/>
      <c r="DA411" s="296"/>
      <c r="DB411" s="296"/>
      <c r="DC411" s="112"/>
      <c r="DD411" s="112"/>
      <c r="DE411" s="112"/>
      <c r="DF411" s="112"/>
      <c r="DG411" s="112"/>
      <c r="DH411" s="112"/>
      <c r="DI411" s="112"/>
      <c r="DJ411" s="112"/>
      <c r="DK411" s="112"/>
      <c r="DL411" s="112"/>
      <c r="DM411" s="112"/>
      <c r="DN411" s="112"/>
      <c r="DO411" s="112"/>
      <c r="DP411" s="112"/>
      <c r="DQ411" s="112"/>
      <c r="DR411" s="112"/>
      <c r="DS411" s="71"/>
      <c r="DT411" s="71"/>
      <c r="DU411" s="71"/>
      <c r="DV411" s="71"/>
      <c r="DW411" s="71"/>
      <c r="DX411" s="71"/>
    </row>
    <row r="412" spans="3:128" s="68" customFormat="1">
      <c r="C412" s="79"/>
      <c r="D412" s="79"/>
      <c r="E412" s="505"/>
      <c r="F412" s="79"/>
      <c r="G412" s="505"/>
      <c r="H412" s="506"/>
      <c r="I412" s="79"/>
      <c r="J412" s="79"/>
      <c r="K412" s="505"/>
      <c r="L412" s="505"/>
      <c r="M412" s="506"/>
      <c r="N412" s="79"/>
      <c r="O412" s="79"/>
      <c r="P412" s="79"/>
      <c r="Q412" s="79"/>
      <c r="R412" s="506"/>
      <c r="S412" s="79"/>
      <c r="T412" s="505"/>
      <c r="U412" s="505"/>
      <c r="V412" s="79"/>
      <c r="W412" s="506"/>
      <c r="X412" s="79"/>
      <c r="Y412" s="505"/>
      <c r="Z412" s="505"/>
      <c r="AA412" s="79"/>
      <c r="AB412" s="505"/>
      <c r="AC412" s="79"/>
      <c r="AD412" s="79"/>
      <c r="AE412" s="79"/>
      <c r="AF412" s="79"/>
      <c r="BH412" s="71"/>
      <c r="BI412" s="71"/>
      <c r="BJ412" s="71"/>
      <c r="BK412" s="71"/>
      <c r="BL412" s="71"/>
      <c r="BM412" s="71"/>
      <c r="BN412" s="71"/>
      <c r="BO412" s="71"/>
      <c r="BP412" s="71"/>
      <c r="BQ412" s="71"/>
      <c r="BR412" s="71"/>
      <c r="BS412" s="71"/>
      <c r="BT412" s="71"/>
      <c r="BU412" s="71"/>
      <c r="BV412" s="71"/>
      <c r="BW412" s="71"/>
      <c r="BX412" s="71"/>
      <c r="BY412" s="71"/>
      <c r="BZ412" s="71"/>
      <c r="CA412" s="71"/>
      <c r="CB412" s="71"/>
      <c r="CC412" s="71"/>
      <c r="CD412" s="71"/>
      <c r="CE412" s="71"/>
      <c r="CF412" s="71"/>
      <c r="CG412" s="71"/>
      <c r="CH412" s="71"/>
      <c r="CI412" s="71"/>
      <c r="CJ412" s="71"/>
      <c r="CK412" s="71"/>
      <c r="CL412" s="71"/>
      <c r="CM412" s="71"/>
      <c r="CN412" s="71"/>
      <c r="CO412" s="71"/>
      <c r="CP412" s="71"/>
      <c r="CQ412" s="71"/>
      <c r="CR412" s="71"/>
      <c r="CS412" s="71"/>
      <c r="CT412" s="71"/>
      <c r="CU412" s="71"/>
      <c r="CV412" s="71"/>
      <c r="CW412" s="71"/>
      <c r="CX412" s="71"/>
      <c r="CY412" s="71"/>
      <c r="CZ412" s="71"/>
      <c r="DA412" s="296"/>
      <c r="DB412" s="296"/>
      <c r="DC412" s="112"/>
      <c r="DD412" s="112"/>
      <c r="DE412" s="112"/>
      <c r="DF412" s="112"/>
      <c r="DG412" s="112"/>
      <c r="DH412" s="112"/>
      <c r="DI412" s="112"/>
      <c r="DJ412" s="112"/>
      <c r="DK412" s="112"/>
      <c r="DL412" s="112"/>
      <c r="DM412" s="112"/>
      <c r="DN412" s="112"/>
      <c r="DO412" s="112"/>
      <c r="DP412" s="112"/>
      <c r="DQ412" s="112"/>
      <c r="DR412" s="112"/>
      <c r="DS412" s="71"/>
      <c r="DT412" s="71"/>
      <c r="DU412" s="71"/>
      <c r="DV412" s="71"/>
      <c r="DW412" s="71"/>
      <c r="DX412" s="71"/>
    </row>
    <row r="413" spans="3:128" s="68" customFormat="1">
      <c r="C413" s="79"/>
      <c r="D413" s="79"/>
      <c r="E413" s="505"/>
      <c r="F413" s="79"/>
      <c r="G413" s="505"/>
      <c r="H413" s="506"/>
      <c r="I413" s="79"/>
      <c r="J413" s="79"/>
      <c r="K413" s="505"/>
      <c r="L413" s="505"/>
      <c r="M413" s="506"/>
      <c r="N413" s="79"/>
      <c r="O413" s="79"/>
      <c r="P413" s="79"/>
      <c r="Q413" s="79"/>
      <c r="R413" s="506"/>
      <c r="S413" s="79"/>
      <c r="T413" s="505"/>
      <c r="U413" s="505"/>
      <c r="V413" s="79"/>
      <c r="W413" s="506"/>
      <c r="X413" s="79"/>
      <c r="Y413" s="505"/>
      <c r="Z413" s="505"/>
      <c r="AA413" s="79"/>
      <c r="AB413" s="505"/>
      <c r="AC413" s="79"/>
      <c r="AD413" s="79"/>
      <c r="AE413" s="79"/>
      <c r="AF413" s="79"/>
      <c r="BH413" s="71"/>
      <c r="BI413" s="71"/>
      <c r="BJ413" s="71"/>
      <c r="BK413" s="71"/>
      <c r="BL413" s="71"/>
      <c r="BM413" s="71"/>
      <c r="BN413" s="71"/>
      <c r="BO413" s="71"/>
      <c r="BP413" s="71"/>
      <c r="BQ413" s="71"/>
      <c r="BR413" s="71"/>
      <c r="BS413" s="71"/>
      <c r="BT413" s="71"/>
      <c r="BU413" s="71"/>
      <c r="BV413" s="71"/>
      <c r="BW413" s="71"/>
      <c r="BX413" s="71"/>
      <c r="BY413" s="71"/>
      <c r="BZ413" s="71"/>
      <c r="CA413" s="71"/>
      <c r="CB413" s="71"/>
      <c r="CC413" s="71"/>
      <c r="CD413" s="71"/>
      <c r="CE413" s="71"/>
      <c r="CF413" s="71"/>
      <c r="CG413" s="71"/>
      <c r="CH413" s="71"/>
      <c r="CI413" s="71"/>
      <c r="CJ413" s="71"/>
      <c r="CK413" s="71"/>
      <c r="CL413" s="71"/>
      <c r="CM413" s="71"/>
      <c r="CN413" s="71"/>
      <c r="CO413" s="71"/>
      <c r="CP413" s="71"/>
      <c r="CQ413" s="71"/>
      <c r="CR413" s="71"/>
      <c r="CS413" s="71"/>
      <c r="CT413" s="71"/>
      <c r="CU413" s="71"/>
      <c r="CV413" s="71"/>
      <c r="CW413" s="71"/>
      <c r="CX413" s="71"/>
      <c r="CY413" s="71"/>
      <c r="CZ413" s="71"/>
      <c r="DA413" s="296"/>
      <c r="DB413" s="296"/>
      <c r="DC413" s="112"/>
      <c r="DD413" s="112"/>
      <c r="DE413" s="112"/>
      <c r="DF413" s="112"/>
      <c r="DG413" s="112"/>
      <c r="DH413" s="112"/>
      <c r="DI413" s="112"/>
      <c r="DJ413" s="112"/>
      <c r="DK413" s="112"/>
      <c r="DL413" s="112"/>
      <c r="DM413" s="112"/>
      <c r="DN413" s="112"/>
      <c r="DO413" s="112"/>
      <c r="DP413" s="112"/>
      <c r="DQ413" s="112"/>
      <c r="DR413" s="112"/>
      <c r="DS413" s="71"/>
      <c r="DT413" s="71"/>
      <c r="DU413" s="71"/>
      <c r="DV413" s="71"/>
      <c r="DW413" s="71"/>
      <c r="DX413" s="71"/>
    </row>
    <row r="414" spans="3:128" s="68" customFormat="1">
      <c r="C414" s="79"/>
      <c r="D414" s="79"/>
      <c r="E414" s="505"/>
      <c r="F414" s="79"/>
      <c r="G414" s="505"/>
      <c r="H414" s="506"/>
      <c r="I414" s="79"/>
      <c r="J414" s="79"/>
      <c r="K414" s="505"/>
      <c r="L414" s="505"/>
      <c r="M414" s="506"/>
      <c r="N414" s="79"/>
      <c r="O414" s="79"/>
      <c r="P414" s="79"/>
      <c r="Q414" s="79"/>
      <c r="R414" s="506"/>
      <c r="S414" s="79"/>
      <c r="T414" s="505"/>
      <c r="U414" s="505"/>
      <c r="V414" s="79"/>
      <c r="W414" s="506"/>
      <c r="X414" s="79"/>
      <c r="Y414" s="505"/>
      <c r="Z414" s="505"/>
      <c r="AA414" s="79"/>
      <c r="AB414" s="505"/>
      <c r="AC414" s="79"/>
      <c r="AD414" s="79"/>
      <c r="AE414" s="79"/>
      <c r="AF414" s="79"/>
      <c r="BH414" s="71"/>
      <c r="BI414" s="71"/>
      <c r="BJ414" s="71"/>
      <c r="BK414" s="71"/>
      <c r="BL414" s="71"/>
      <c r="BM414" s="71"/>
      <c r="BN414" s="71"/>
      <c r="BO414" s="71"/>
      <c r="BP414" s="71"/>
      <c r="BQ414" s="71"/>
      <c r="BR414" s="71"/>
      <c r="BS414" s="71"/>
      <c r="BT414" s="71"/>
      <c r="BU414" s="71"/>
      <c r="BV414" s="71"/>
      <c r="BW414" s="71"/>
      <c r="BX414" s="71"/>
      <c r="BY414" s="71"/>
      <c r="BZ414" s="71"/>
      <c r="CA414" s="71"/>
      <c r="CB414" s="71"/>
      <c r="CC414" s="71"/>
      <c r="CD414" s="71"/>
      <c r="CE414" s="71"/>
      <c r="CF414" s="71"/>
      <c r="CG414" s="71"/>
      <c r="CH414" s="71"/>
      <c r="CI414" s="71"/>
      <c r="CJ414" s="71"/>
      <c r="CK414" s="71"/>
      <c r="CL414" s="71"/>
      <c r="CM414" s="71"/>
      <c r="CN414" s="71"/>
      <c r="CO414" s="71"/>
      <c r="CP414" s="71"/>
      <c r="CQ414" s="71"/>
      <c r="CR414" s="71"/>
      <c r="CS414" s="71"/>
      <c r="CT414" s="71"/>
      <c r="CU414" s="71"/>
      <c r="CV414" s="71"/>
      <c r="CW414" s="71"/>
      <c r="CX414" s="71"/>
      <c r="CY414" s="71"/>
      <c r="CZ414" s="71"/>
      <c r="DA414" s="296"/>
      <c r="DB414" s="296"/>
      <c r="DC414" s="112"/>
      <c r="DD414" s="112"/>
      <c r="DE414" s="112"/>
      <c r="DF414" s="112"/>
      <c r="DG414" s="112"/>
      <c r="DH414" s="112"/>
      <c r="DI414" s="112"/>
      <c r="DJ414" s="112"/>
      <c r="DK414" s="112"/>
      <c r="DL414" s="112"/>
      <c r="DM414" s="112"/>
      <c r="DN414" s="112"/>
      <c r="DO414" s="112"/>
      <c r="DP414" s="112"/>
      <c r="DQ414" s="112"/>
      <c r="DR414" s="112"/>
      <c r="DS414" s="71"/>
      <c r="DT414" s="71"/>
      <c r="DU414" s="71"/>
      <c r="DV414" s="71"/>
      <c r="DW414" s="71"/>
      <c r="DX414" s="71"/>
    </row>
    <row r="415" spans="3:128" s="68" customFormat="1">
      <c r="C415" s="79"/>
      <c r="D415" s="79"/>
      <c r="E415" s="505"/>
      <c r="F415" s="79"/>
      <c r="G415" s="505"/>
      <c r="H415" s="506"/>
      <c r="I415" s="79"/>
      <c r="J415" s="79"/>
      <c r="K415" s="505"/>
      <c r="L415" s="505"/>
      <c r="M415" s="506"/>
      <c r="N415" s="79"/>
      <c r="O415" s="79"/>
      <c r="P415" s="79"/>
      <c r="Q415" s="79"/>
      <c r="R415" s="506"/>
      <c r="S415" s="79"/>
      <c r="T415" s="505"/>
      <c r="U415" s="505"/>
      <c r="V415" s="79"/>
      <c r="W415" s="506"/>
      <c r="X415" s="79"/>
      <c r="Y415" s="505"/>
      <c r="Z415" s="505"/>
      <c r="AA415" s="79"/>
      <c r="AB415" s="505"/>
      <c r="AC415" s="79"/>
      <c r="AD415" s="79"/>
      <c r="AE415" s="79"/>
      <c r="AF415" s="79"/>
      <c r="BH415" s="71"/>
      <c r="BI415" s="71"/>
      <c r="BJ415" s="71"/>
      <c r="BK415" s="71"/>
      <c r="BL415" s="71"/>
      <c r="BM415" s="71"/>
      <c r="BN415" s="71"/>
      <c r="BO415" s="71"/>
      <c r="BP415" s="71"/>
      <c r="BQ415" s="71"/>
      <c r="BR415" s="71"/>
      <c r="BS415" s="71"/>
      <c r="BT415" s="71"/>
      <c r="BU415" s="71"/>
      <c r="BV415" s="71"/>
      <c r="BW415" s="71"/>
      <c r="BX415" s="71"/>
      <c r="BY415" s="71"/>
      <c r="BZ415" s="71"/>
      <c r="CA415" s="71"/>
      <c r="CB415" s="71"/>
      <c r="CC415" s="71"/>
      <c r="CD415" s="71"/>
      <c r="CE415" s="71"/>
      <c r="CF415" s="71"/>
      <c r="CG415" s="71"/>
      <c r="CH415" s="71"/>
      <c r="CI415" s="71"/>
      <c r="CJ415" s="71"/>
      <c r="CK415" s="71"/>
      <c r="CL415" s="71"/>
      <c r="CM415" s="71"/>
      <c r="CN415" s="71"/>
      <c r="CO415" s="71"/>
      <c r="CP415" s="71"/>
      <c r="CQ415" s="71"/>
      <c r="CR415" s="71"/>
      <c r="CS415" s="71"/>
      <c r="CT415" s="71"/>
      <c r="CU415" s="71"/>
      <c r="CV415" s="71"/>
      <c r="CW415" s="71"/>
      <c r="CX415" s="71"/>
      <c r="CY415" s="71"/>
      <c r="CZ415" s="71"/>
      <c r="DA415" s="296"/>
      <c r="DB415" s="296"/>
      <c r="DC415" s="112"/>
      <c r="DD415" s="112"/>
      <c r="DE415" s="112"/>
      <c r="DF415" s="112"/>
      <c r="DG415" s="112"/>
      <c r="DH415" s="112"/>
      <c r="DI415" s="112"/>
      <c r="DJ415" s="112"/>
      <c r="DK415" s="112"/>
      <c r="DL415" s="112"/>
      <c r="DM415" s="112"/>
      <c r="DN415" s="112"/>
      <c r="DO415" s="112"/>
      <c r="DP415" s="112"/>
      <c r="DQ415" s="112"/>
      <c r="DR415" s="112"/>
      <c r="DS415" s="71"/>
      <c r="DT415" s="71"/>
      <c r="DU415" s="71"/>
      <c r="DV415" s="71"/>
      <c r="DW415" s="71"/>
      <c r="DX415" s="71"/>
    </row>
    <row r="416" spans="3:128" s="68" customFormat="1">
      <c r="C416" s="79"/>
      <c r="D416" s="79"/>
      <c r="E416" s="505"/>
      <c r="F416" s="79"/>
      <c r="G416" s="505"/>
      <c r="H416" s="506"/>
      <c r="I416" s="79"/>
      <c r="J416" s="79"/>
      <c r="K416" s="505"/>
      <c r="L416" s="505"/>
      <c r="M416" s="506"/>
      <c r="N416" s="79"/>
      <c r="O416" s="79"/>
      <c r="P416" s="79"/>
      <c r="Q416" s="79"/>
      <c r="R416" s="506"/>
      <c r="S416" s="79"/>
      <c r="T416" s="505"/>
      <c r="U416" s="505"/>
      <c r="V416" s="79"/>
      <c r="W416" s="506"/>
      <c r="X416" s="79"/>
      <c r="Y416" s="505"/>
      <c r="Z416" s="505"/>
      <c r="AA416" s="79"/>
      <c r="AB416" s="505"/>
      <c r="AC416" s="79"/>
      <c r="AD416" s="79"/>
      <c r="AE416" s="79"/>
      <c r="AF416" s="79"/>
      <c r="BH416" s="71"/>
      <c r="BI416" s="71"/>
      <c r="BJ416" s="71"/>
      <c r="BK416" s="71"/>
      <c r="BL416" s="71"/>
      <c r="BM416" s="71"/>
      <c r="BN416" s="71"/>
      <c r="BO416" s="71"/>
      <c r="BP416" s="71"/>
      <c r="BQ416" s="71"/>
      <c r="BR416" s="71"/>
      <c r="BS416" s="71"/>
      <c r="BT416" s="71"/>
      <c r="BU416" s="71"/>
      <c r="BV416" s="71"/>
      <c r="BW416" s="71"/>
      <c r="BX416" s="71"/>
      <c r="BY416" s="71"/>
      <c r="BZ416" s="71"/>
      <c r="CA416" s="71"/>
      <c r="CB416" s="71"/>
      <c r="CC416" s="71"/>
      <c r="CD416" s="71"/>
      <c r="CE416" s="71"/>
      <c r="CF416" s="71"/>
      <c r="CG416" s="71"/>
      <c r="CH416" s="71"/>
      <c r="CI416" s="71"/>
      <c r="CJ416" s="71"/>
      <c r="CK416" s="71"/>
      <c r="CL416" s="71"/>
      <c r="CM416" s="71"/>
      <c r="CN416" s="71"/>
      <c r="CO416" s="71"/>
      <c r="CP416" s="71"/>
      <c r="CQ416" s="71"/>
      <c r="CR416" s="71"/>
      <c r="CS416" s="71"/>
      <c r="CT416" s="71"/>
      <c r="CU416" s="71"/>
      <c r="CV416" s="71"/>
      <c r="CW416" s="71"/>
      <c r="CX416" s="71"/>
      <c r="CY416" s="71"/>
      <c r="CZ416" s="71"/>
      <c r="DA416" s="296"/>
      <c r="DB416" s="296"/>
      <c r="DC416" s="112"/>
      <c r="DD416" s="112"/>
      <c r="DE416" s="112"/>
      <c r="DF416" s="112"/>
      <c r="DG416" s="112"/>
      <c r="DH416" s="112"/>
      <c r="DI416" s="112"/>
      <c r="DJ416" s="112"/>
      <c r="DK416" s="112"/>
      <c r="DL416" s="112"/>
      <c r="DM416" s="112"/>
      <c r="DN416" s="112"/>
      <c r="DO416" s="112"/>
      <c r="DP416" s="112"/>
      <c r="DQ416" s="112"/>
      <c r="DR416" s="112"/>
      <c r="DS416" s="71"/>
      <c r="DT416" s="71"/>
      <c r="DU416" s="71"/>
      <c r="DV416" s="71"/>
      <c r="DW416" s="71"/>
      <c r="DX416" s="71"/>
    </row>
    <row r="417" spans="3:128" s="68" customFormat="1">
      <c r="C417" s="79"/>
      <c r="D417" s="79"/>
      <c r="E417" s="505"/>
      <c r="F417" s="79"/>
      <c r="G417" s="505"/>
      <c r="H417" s="506"/>
      <c r="I417" s="79"/>
      <c r="J417" s="79"/>
      <c r="K417" s="505"/>
      <c r="L417" s="505"/>
      <c r="M417" s="506"/>
      <c r="N417" s="79"/>
      <c r="O417" s="79"/>
      <c r="P417" s="79"/>
      <c r="Q417" s="79"/>
      <c r="R417" s="506"/>
      <c r="S417" s="79"/>
      <c r="T417" s="505"/>
      <c r="U417" s="505"/>
      <c r="V417" s="79"/>
      <c r="W417" s="506"/>
      <c r="X417" s="79"/>
      <c r="Y417" s="505"/>
      <c r="Z417" s="505"/>
      <c r="AA417" s="79"/>
      <c r="AB417" s="505"/>
      <c r="AC417" s="79"/>
      <c r="AD417" s="79"/>
      <c r="AE417" s="79"/>
      <c r="AF417" s="79"/>
      <c r="BH417" s="71"/>
      <c r="BI417" s="71"/>
      <c r="BJ417" s="71"/>
      <c r="BK417" s="71"/>
      <c r="BL417" s="71"/>
      <c r="BM417" s="71"/>
      <c r="BN417" s="71"/>
      <c r="BO417" s="71"/>
      <c r="BP417" s="71"/>
      <c r="BQ417" s="71"/>
      <c r="BR417" s="71"/>
      <c r="BS417" s="71"/>
      <c r="BT417" s="71"/>
      <c r="BU417" s="71"/>
      <c r="BV417" s="71"/>
      <c r="BW417" s="71"/>
      <c r="BX417" s="71"/>
      <c r="BY417" s="71"/>
      <c r="BZ417" s="71"/>
      <c r="CA417" s="71"/>
      <c r="CB417" s="71"/>
      <c r="CC417" s="71"/>
      <c r="CD417" s="71"/>
      <c r="CE417" s="71"/>
      <c r="CF417" s="71"/>
      <c r="CG417" s="71"/>
      <c r="CH417" s="71"/>
      <c r="CI417" s="71"/>
      <c r="CJ417" s="71"/>
      <c r="CK417" s="71"/>
      <c r="CL417" s="71"/>
      <c r="CM417" s="71"/>
      <c r="CN417" s="71"/>
      <c r="CO417" s="71"/>
      <c r="CP417" s="71"/>
      <c r="CQ417" s="71"/>
      <c r="CR417" s="71"/>
      <c r="CS417" s="71"/>
      <c r="CT417" s="71"/>
      <c r="CU417" s="71"/>
      <c r="CV417" s="71"/>
      <c r="CW417" s="71"/>
      <c r="CX417" s="71"/>
      <c r="CY417" s="71"/>
      <c r="CZ417" s="71"/>
      <c r="DA417" s="296"/>
      <c r="DB417" s="296"/>
      <c r="DC417" s="112"/>
      <c r="DD417" s="112"/>
      <c r="DE417" s="112"/>
      <c r="DF417" s="112"/>
      <c r="DG417" s="112"/>
      <c r="DH417" s="112"/>
      <c r="DI417" s="112"/>
      <c r="DJ417" s="112"/>
      <c r="DK417" s="112"/>
      <c r="DL417" s="112"/>
      <c r="DM417" s="112"/>
      <c r="DN417" s="112"/>
      <c r="DO417" s="112"/>
      <c r="DP417" s="112"/>
      <c r="DQ417" s="112"/>
      <c r="DR417" s="112"/>
      <c r="DS417" s="71"/>
      <c r="DT417" s="71"/>
      <c r="DU417" s="71"/>
      <c r="DV417" s="71"/>
      <c r="DW417" s="71"/>
      <c r="DX417" s="71"/>
    </row>
    <row r="418" spans="3:128" s="68" customFormat="1">
      <c r="C418" s="79"/>
      <c r="D418" s="79"/>
      <c r="E418" s="505"/>
      <c r="F418" s="79"/>
      <c r="G418" s="505"/>
      <c r="H418" s="506"/>
      <c r="I418" s="79"/>
      <c r="J418" s="79"/>
      <c r="K418" s="505"/>
      <c r="L418" s="505"/>
      <c r="M418" s="506"/>
      <c r="N418" s="79"/>
      <c r="O418" s="79"/>
      <c r="P418" s="79"/>
      <c r="Q418" s="79"/>
      <c r="R418" s="506"/>
      <c r="S418" s="79"/>
      <c r="T418" s="505"/>
      <c r="U418" s="505"/>
      <c r="V418" s="79"/>
      <c r="W418" s="506"/>
      <c r="X418" s="79"/>
      <c r="Y418" s="505"/>
      <c r="Z418" s="505"/>
      <c r="AA418" s="79"/>
      <c r="AB418" s="505"/>
      <c r="AC418" s="79"/>
      <c r="AD418" s="79"/>
      <c r="AE418" s="79"/>
      <c r="AF418" s="79"/>
      <c r="BH418" s="71"/>
      <c r="BI418" s="71"/>
      <c r="BJ418" s="71"/>
      <c r="BK418" s="71"/>
      <c r="BL418" s="71"/>
      <c r="BM418" s="71"/>
      <c r="BN418" s="71"/>
      <c r="BO418" s="71"/>
      <c r="BP418" s="71"/>
      <c r="BQ418" s="71"/>
      <c r="BR418" s="71"/>
      <c r="BS418" s="71"/>
      <c r="BT418" s="71"/>
      <c r="BU418" s="71"/>
      <c r="BV418" s="71"/>
      <c r="BW418" s="71"/>
      <c r="BX418" s="71"/>
      <c r="BY418" s="71"/>
      <c r="BZ418" s="71"/>
      <c r="CA418" s="71"/>
      <c r="CB418" s="71"/>
      <c r="CC418" s="71"/>
      <c r="CD418" s="71"/>
      <c r="CE418" s="71"/>
      <c r="CF418" s="71"/>
      <c r="CG418" s="71"/>
      <c r="CH418" s="71"/>
      <c r="CI418" s="71"/>
      <c r="CJ418" s="71"/>
      <c r="CK418" s="71"/>
      <c r="CL418" s="71"/>
      <c r="CM418" s="71"/>
      <c r="CN418" s="71"/>
      <c r="CO418" s="71"/>
      <c r="CP418" s="71"/>
      <c r="CQ418" s="71"/>
      <c r="CR418" s="71"/>
      <c r="CS418" s="71"/>
      <c r="CT418" s="71"/>
      <c r="CU418" s="71"/>
      <c r="CV418" s="71"/>
      <c r="CW418" s="71"/>
      <c r="CX418" s="71"/>
      <c r="CY418" s="71"/>
      <c r="CZ418" s="71"/>
      <c r="DA418" s="296"/>
      <c r="DB418" s="296"/>
      <c r="DC418" s="112"/>
      <c r="DD418" s="112"/>
      <c r="DE418" s="112"/>
      <c r="DF418" s="112"/>
      <c r="DG418" s="112"/>
      <c r="DH418" s="112"/>
      <c r="DI418" s="112"/>
      <c r="DJ418" s="112"/>
      <c r="DK418" s="112"/>
      <c r="DL418" s="112"/>
      <c r="DM418" s="112"/>
      <c r="DN418" s="112"/>
      <c r="DO418" s="112"/>
      <c r="DP418" s="112"/>
      <c r="DQ418" s="112"/>
      <c r="DR418" s="112"/>
      <c r="DS418" s="71"/>
      <c r="DT418" s="71"/>
      <c r="DU418" s="71"/>
      <c r="DV418" s="71"/>
      <c r="DW418" s="71"/>
      <c r="DX418" s="71"/>
    </row>
    <row r="419" spans="3:128">
      <c r="C419" s="107"/>
      <c r="D419" s="107"/>
      <c r="E419" s="1886"/>
      <c r="F419" s="107"/>
      <c r="G419" s="1886"/>
      <c r="H419" s="1887"/>
      <c r="I419" s="107"/>
      <c r="J419" s="107"/>
      <c r="K419" s="1886"/>
      <c r="L419" s="1886"/>
      <c r="M419" s="1887"/>
      <c r="N419" s="107"/>
      <c r="O419" s="107"/>
      <c r="P419" s="107"/>
      <c r="Q419" s="107"/>
      <c r="R419" s="1887"/>
      <c r="S419" s="107"/>
      <c r="T419" s="505"/>
      <c r="U419" s="505"/>
      <c r="V419" s="107"/>
      <c r="W419" s="1887"/>
      <c r="X419" s="107"/>
      <c r="Y419" s="505"/>
      <c r="Z419" s="505"/>
      <c r="AA419" s="107"/>
      <c r="AB419" s="505"/>
      <c r="AC419" s="79"/>
      <c r="AD419" s="79"/>
      <c r="AE419" s="79"/>
      <c r="AF419" s="79"/>
    </row>
    <row r="420" spans="3:128">
      <c r="C420" s="107"/>
      <c r="D420" s="107"/>
      <c r="E420" s="1886"/>
      <c r="F420" s="107"/>
      <c r="G420" s="1886"/>
      <c r="H420" s="1887"/>
      <c r="I420" s="107"/>
      <c r="J420" s="107"/>
      <c r="K420" s="1886"/>
      <c r="L420" s="1886"/>
      <c r="M420" s="1887"/>
      <c r="N420" s="107"/>
      <c r="O420" s="107"/>
      <c r="P420" s="107"/>
      <c r="Q420" s="107"/>
      <c r="R420" s="1887"/>
      <c r="S420" s="107"/>
      <c r="T420" s="505"/>
      <c r="U420" s="505"/>
      <c r="V420" s="107"/>
      <c r="W420" s="1887"/>
      <c r="X420" s="107"/>
      <c r="Y420" s="505"/>
      <c r="Z420" s="505"/>
      <c r="AA420" s="107"/>
      <c r="AB420" s="505"/>
      <c r="AC420" s="79"/>
      <c r="AD420" s="79"/>
      <c r="AE420" s="79"/>
      <c r="AF420" s="79"/>
    </row>
    <row r="1000" spans="1:1">
      <c r="A1000" s="68">
        <v>75</v>
      </c>
    </row>
  </sheetData>
  <sheetProtection algorithmName="SHA-512" hashValue="Exyq0Kvwu+ZQxbTR+1R/u//ja913gIS4Q30E8XJsofN5kLthJxGYxxOIm/mHGO5T23WnCVMomOSZliLSsMCDFQ==" saltValue="zcQsUZ6sUlKPu5tysrZ9kw==" spinCount="100000" sheet="1" objects="1" scenarios="1"/>
  <mergeCells count="31">
    <mergeCell ref="H10:I10"/>
    <mergeCell ref="M10:N10"/>
    <mergeCell ref="R10:S10"/>
    <mergeCell ref="W10:X10"/>
    <mergeCell ref="H11:I11"/>
    <mergeCell ref="M11:N11"/>
    <mergeCell ref="R11:S11"/>
    <mergeCell ref="H4:I4"/>
    <mergeCell ref="M4:N4"/>
    <mergeCell ref="R4:S4"/>
    <mergeCell ref="W4:X4"/>
    <mergeCell ref="H5:I5"/>
    <mergeCell ref="R5:S5"/>
    <mergeCell ref="H6:I6"/>
    <mergeCell ref="H7:I7"/>
    <mergeCell ref="H8:I8"/>
    <mergeCell ref="H9:I9"/>
    <mergeCell ref="M5:N5"/>
    <mergeCell ref="M6:N6"/>
    <mergeCell ref="M7:N7"/>
    <mergeCell ref="M8:N8"/>
    <mergeCell ref="M9:N9"/>
    <mergeCell ref="R6:S6"/>
    <mergeCell ref="R7:S7"/>
    <mergeCell ref="R8:S8"/>
    <mergeCell ref="R9:S9"/>
    <mergeCell ref="W5:X5"/>
    <mergeCell ref="W6:X6"/>
    <mergeCell ref="W7:X7"/>
    <mergeCell ref="W8:X8"/>
    <mergeCell ref="W9:X9"/>
  </mergeCells>
  <phoneticPr fontId="74" type="noConversion"/>
  <conditionalFormatting sqref="D5:D9">
    <cfRule type="expression" dxfId="113" priority="6">
      <formula>IF(_xlfn.ISFORMULA(D5),0,1)</formula>
    </cfRule>
  </conditionalFormatting>
  <conditionalFormatting sqref="E3 J3 O3">
    <cfRule type="expression" dxfId="112" priority="1542">
      <formula>IF(AND(E12=1,SUM(#REF!)=0),1,0)</formula>
    </cfRule>
    <cfRule type="expression" dxfId="111" priority="1541">
      <formula>IF(AND(CE12=1,SUM(#REF!)&gt;0),1,0)</formula>
    </cfRule>
    <cfRule type="expression" dxfId="110" priority="1540">
      <formula>IF(E12=0,1,0)</formula>
    </cfRule>
  </conditionalFormatting>
  <conditionalFormatting sqref="E5:G9">
    <cfRule type="cellIs" dxfId="108" priority="91" operator="greaterThan">
      <formula>0</formula>
    </cfRule>
  </conditionalFormatting>
  <conditionalFormatting sqref="H5:I9">
    <cfRule type="expression" dxfId="105" priority="5">
      <formula>IF(_xlfn.ISFORMULA(H5),0,1)</formula>
    </cfRule>
  </conditionalFormatting>
  <conditionalFormatting sqref="J5:L9">
    <cfRule type="cellIs" dxfId="103" priority="62" operator="greaterThan">
      <formula>0</formula>
    </cfRule>
  </conditionalFormatting>
  <conditionalFormatting sqref="M5:N9">
    <cfRule type="expression" dxfId="100" priority="4">
      <formula>IF(_xlfn.ISFORMULA(M5),0,1)</formula>
    </cfRule>
  </conditionalFormatting>
  <conditionalFormatting sqref="O5:Q9">
    <cfRule type="cellIs" dxfId="98" priority="50" operator="greaterThan">
      <formula>0</formula>
    </cfRule>
  </conditionalFormatting>
  <conditionalFormatting sqref="R5:S9">
    <cfRule type="expression" dxfId="95" priority="3">
      <formula>IF(_xlfn.ISFORMULA(R5),0,1)</formula>
    </cfRule>
  </conditionalFormatting>
  <conditionalFormatting sqref="T5:V9">
    <cfRule type="cellIs" dxfId="91" priority="360" operator="notEqual">
      <formula>0</formula>
    </cfRule>
  </conditionalFormatting>
  <conditionalFormatting sqref="W5:X9">
    <cfRule type="expression" dxfId="84" priority="2">
      <formula>IF(_xlfn.ISFORMULA(W5),0,1)</formula>
    </cfRule>
  </conditionalFormatting>
  <conditionalFormatting sqref="Y5:AA9">
    <cfRule type="cellIs" dxfId="82" priority="277" operator="greaterThan">
      <formula>0</formula>
    </cfRule>
  </conditionalFormatting>
  <dataValidations count="2">
    <dataValidation errorStyle="information" allowBlank="1" showInputMessage="1" showErrorMessage="1" error="Einzelwerte müssen zwischne 200 uns 1000 EUR liegen" sqref="AF14:AG21 AI14:AJ21 AL14:AM21 AO14:AP21 AC14:AD21" xr:uid="{C444C821-274B-4AAB-9173-CB799B82B6B0}"/>
    <dataValidation type="decimal" operator="greaterThanOrEqual" allowBlank="1" showInputMessage="1" showErrorMessage="1" sqref="J5:J9 O5:O9 T5:T9 E5:E9 Y5:Y9" xr:uid="{330EBF1A-6A54-4F90-BBBA-70A2BA5F5B60}">
      <formula1>800</formula1>
    </dataValidation>
  </dataValidations>
  <printOptions horizontalCentered="1" verticalCentered="1"/>
  <pageMargins left="0.51181102362204722" right="0.51181102362204722" top="1.3779527559055118" bottom="1.1811023622047245" header="0.70866141732283472" footer="0.31496062992125984"/>
  <pageSetup paperSize="9" scale="52" orientation="landscape" r:id="rId1"/>
  <headerFooter>
    <oddHeader>&amp;L&amp;G&amp;C&amp;48Investitionen|Invest&amp;R&amp;G</oddHeader>
    <oddFooter>&amp;L&amp;12&amp;F / &amp;" / ,Standard"&amp;A&amp;CSeite &amp;P von &amp;N&amp;R&amp;12© 2026 Juergen Erlewein</oddFooter>
  </headerFooter>
  <ignoredErrors>
    <ignoredError sqref="D5 H5:I5 M5:N8 R5:S9 W5:X9 D8:D9 H8:I9 M9 H6:I7 D6:D7" unlockedFormula="1"/>
  </ignoredErrors>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expression" priority="86" id="{746D9BE1-C875-4BCE-AF52-8D515BD148E2}">
            <xm:f>IF(SUM(E5:G5)=0,0,IF(AND(AND(E5&gt;Basisdaten!$C$53,F5&gt;0,G5&gt;0),_xlfn.XOR(F5&gt;0,G5=0)),0,1))</xm:f>
            <x14:dxf>
              <font>
                <color theme="0"/>
              </font>
              <fill>
                <patternFill>
                  <bgColor rgb="FFFF0000"/>
                </patternFill>
              </fill>
            </x14:dxf>
          </x14:cfRule>
          <xm:sqref>E5:E9</xm:sqref>
        </x14:conditionalFormatting>
        <x14:conditionalFormatting xmlns:xm="http://schemas.microsoft.com/office/excel/2006/main">
          <x14:cfRule type="expression" priority="85" id="{EE7C2D87-47CD-41EA-AC91-E211A0472C35}">
            <xm:f>IF(SUM(E5:G5)=0,0,IF(AND(AND(E5&gt;Basisdaten!$C$53,F5&gt;0,G5&gt;0),_xlfn.XOR(F5&gt;0,G5=0)),0,1))</xm:f>
            <x14:dxf>
              <font>
                <color theme="0"/>
              </font>
              <fill>
                <patternFill>
                  <bgColor rgb="FFFF0000"/>
                </patternFill>
              </fill>
            </x14:dxf>
          </x14:cfRule>
          <xm:sqref>F5:F9</xm:sqref>
        </x14:conditionalFormatting>
        <x14:conditionalFormatting xmlns:xm="http://schemas.microsoft.com/office/excel/2006/main">
          <x14:cfRule type="expression" priority="84" id="{0AAB3B15-6998-4AE9-885B-9C0270E24AD4}">
            <xm:f>IF(SUM(E5:G5)=0,0,IF(AND(AND(E5&gt;Basisdaten!$C$53,F5&gt;0,G5&gt;0),_xlfn.XOR(F5&gt;0,G5=0)),0,1))</xm:f>
            <x14:dxf>
              <font>
                <color theme="0"/>
              </font>
              <fill>
                <patternFill>
                  <bgColor rgb="FFFF0000"/>
                </patternFill>
              </fill>
            </x14:dxf>
          </x14:cfRule>
          <xm:sqref>G5:G9</xm:sqref>
        </x14:conditionalFormatting>
        <x14:conditionalFormatting xmlns:xm="http://schemas.microsoft.com/office/excel/2006/main">
          <x14:cfRule type="expression" priority="52" id="{CE3C6656-9851-4020-9657-4A0F84E2396C}">
            <xm:f>IF(SUM(J5:L5)=0,0,IF(AND(AND(J5&gt;Basisdaten!$C$53,K5&gt;0,L5&gt;0),_xlfn.XOR(K5&gt;0,L5=0)),0,1))</xm:f>
            <x14:dxf>
              <font>
                <color theme="0"/>
              </font>
              <fill>
                <patternFill>
                  <bgColor rgb="FFFF0000"/>
                </patternFill>
              </fill>
            </x14:dxf>
          </x14:cfRule>
          <xm:sqref>J5:J9</xm:sqref>
        </x14:conditionalFormatting>
        <x14:conditionalFormatting xmlns:xm="http://schemas.microsoft.com/office/excel/2006/main">
          <x14:cfRule type="expression" priority="51" id="{20EC355F-9A9E-49E9-950A-52916EF3C992}">
            <xm:f>IF(SUM(J5:L5)=0,0,IF(AND(AND(J5&gt;Basisdaten!$C$53,K5&gt;0,L5&gt;0),_xlfn.XOR(K5&gt;0,L5=0)),0,1))</xm:f>
            <x14:dxf>
              <font>
                <color theme="0"/>
              </font>
              <fill>
                <patternFill>
                  <bgColor rgb="FFFF0000"/>
                </patternFill>
              </fill>
            </x14:dxf>
          </x14:cfRule>
          <xm:sqref>K5:K9</xm:sqref>
        </x14:conditionalFormatting>
        <x14:conditionalFormatting xmlns:xm="http://schemas.microsoft.com/office/excel/2006/main">
          <x14:cfRule type="expression" priority="24" id="{9A9D83BB-EA7B-405E-B86E-F7D755926F96}">
            <xm:f>IF(SUM(J5:L5)=0,0,IF(AND(AND(J5&gt;Basisdaten!$C$53,K5&gt;0,L5&gt;0),_xlfn.XOR(K5&gt;0,L5=0)),0,1))</xm:f>
            <x14:dxf>
              <font>
                <color theme="0"/>
              </font>
              <fill>
                <patternFill>
                  <bgColor rgb="FFFF0000"/>
                </patternFill>
              </fill>
            </x14:dxf>
          </x14:cfRule>
          <xm:sqref>L5:L9</xm:sqref>
        </x14:conditionalFormatting>
        <x14:conditionalFormatting xmlns:xm="http://schemas.microsoft.com/office/excel/2006/main">
          <x14:cfRule type="expression" priority="37" id="{7E1C0608-D99A-4BF0-969F-B37C525AF4BA}">
            <xm:f>IF(SUM(O5:Q5)=0,0,IF(AND(AND(O5&gt;Basisdaten!$C$53,P5&gt;0,Q5&gt;0),_xlfn.XOR(P5&gt;0,Q5=0)),0,1))</xm:f>
            <x14:dxf>
              <font>
                <color theme="0"/>
              </font>
              <fill>
                <patternFill>
                  <bgColor rgb="FFFF0000"/>
                </patternFill>
              </fill>
            </x14:dxf>
          </x14:cfRule>
          <xm:sqref>O5:O9</xm:sqref>
        </x14:conditionalFormatting>
        <x14:conditionalFormatting xmlns:xm="http://schemas.microsoft.com/office/excel/2006/main">
          <x14:cfRule type="expression" priority="36" id="{24EE54C8-482F-4C99-B139-B340CD76A663}">
            <xm:f>IF(SUM(O5:Q5)=0,0,IF(AND(AND(O5&gt;Basisdaten!$C$53,P5&gt;0,Q5&gt;0),_xlfn.XOR(P5&gt;0,Q5=0)),0,1))</xm:f>
            <x14:dxf>
              <font>
                <color theme="0"/>
              </font>
              <fill>
                <patternFill>
                  <bgColor rgb="FFFF0000"/>
                </patternFill>
              </fill>
            </x14:dxf>
          </x14:cfRule>
          <xm:sqref>P5:P9</xm:sqref>
        </x14:conditionalFormatting>
        <x14:conditionalFormatting xmlns:xm="http://schemas.microsoft.com/office/excel/2006/main">
          <x14:cfRule type="expression" priority="25" id="{0861BA10-DDC5-475F-8AA3-366E6B9AB434}">
            <xm:f>IF(SUM(O5:Q5)=0,0,IF(AND(AND(O5&gt;Basisdaten!$C$53,P5&gt;0,Q5&gt;0),_xlfn.XOR(P5&gt;0,Q5=0)),0,1))</xm:f>
            <x14:dxf>
              <font>
                <color theme="0"/>
              </font>
              <fill>
                <patternFill>
                  <bgColor rgb="FFFF0000"/>
                </patternFill>
              </fill>
            </x14:dxf>
          </x14:cfRule>
          <xm:sqref>Q5:Q9</xm:sqref>
        </x14:conditionalFormatting>
        <x14:conditionalFormatting xmlns:xm="http://schemas.microsoft.com/office/excel/2006/main">
          <x14:cfRule type="expression" priority="22" id="{ED252922-D994-42D0-8493-96B2EA7A61AE}">
            <xm:f>IF(SUM(T5:V5)=0,0,IF(AND(AND(T5&gt;Basisdaten!$C$53,U5&gt;0,V5&gt;0),_xlfn.XOR(U5&gt;0,V5=0)),0,1))</xm:f>
            <x14:dxf>
              <font>
                <color theme="0"/>
              </font>
              <fill>
                <patternFill>
                  <bgColor rgb="FFFF0000"/>
                </patternFill>
              </fill>
            </x14:dxf>
          </x14:cfRule>
          <xm:sqref>T5:T9</xm:sqref>
        </x14:conditionalFormatting>
        <x14:conditionalFormatting xmlns:xm="http://schemas.microsoft.com/office/excel/2006/main">
          <x14:cfRule type="expression" priority="172" id="{00000000-000E-0000-0500-000052000000}">
            <xm:f>IF(SUM(T8:V8)=0,0,IF(AND(AND(T8&gt;Basisdaten!$C$53,U8&gt;0,V8&gt;0),_xlfn.XOR(U8&gt;0,V8=0)),0,1))</xm:f>
            <x14:dxf>
              <font>
                <b/>
                <i val="0"/>
                <color theme="0"/>
              </font>
              <fill>
                <patternFill>
                  <bgColor rgb="FFFF0000"/>
                </patternFill>
              </fill>
            </x14:dxf>
          </x14:cfRule>
          <xm:sqref>T8</xm:sqref>
        </x14:conditionalFormatting>
        <x14:conditionalFormatting xmlns:xm="http://schemas.microsoft.com/office/excel/2006/main">
          <x14:cfRule type="expression" priority="35" id="{00000000-000E-0000-0500-00004E000000}">
            <xm:f>IF(SUM(T9:V9)=0,0,IF(AND(AND(T9&gt;Basisdaten!$C$53,U9&gt;0,V9&gt;0),_xlfn.XOR(U9&gt;0,V9=0)),0,1))</xm:f>
            <x14:dxf>
              <font>
                <b/>
                <i val="0"/>
                <strike val="0"/>
                <color theme="0"/>
              </font>
              <fill>
                <patternFill>
                  <bgColor rgb="FFFF0000"/>
                </patternFill>
              </fill>
            </x14:dxf>
          </x14:cfRule>
          <xm:sqref>T9</xm:sqref>
        </x14:conditionalFormatting>
        <x14:conditionalFormatting xmlns:xm="http://schemas.microsoft.com/office/excel/2006/main">
          <x14:cfRule type="expression" priority="29" id="{182FAE39-BD10-40E8-B1A3-DBDBD8AB3B96}">
            <xm:f>IF(SUM(T5:V5)=0,0,IF(AND(AND(T5&gt;Basisdaten!$C$53,U5&gt;0,V5&gt;0),_xlfn.XOR(U5&gt;0,V5=0)),0,1))</xm:f>
            <x14:dxf>
              <font>
                <color theme="0"/>
              </font>
              <fill>
                <patternFill>
                  <bgColor rgb="FFFF0000"/>
                </patternFill>
              </fill>
            </x14:dxf>
          </x14:cfRule>
          <xm:sqref>U5:U9</xm:sqref>
        </x14:conditionalFormatting>
        <x14:conditionalFormatting xmlns:xm="http://schemas.microsoft.com/office/excel/2006/main">
          <x14:cfRule type="expression" priority="358" id="{00000000-000E-0000-0500-00000A010000}">
            <xm:f>IF(SUM(T7:V7)=0,0,IF(AND(AND(T7&gt;Basisdaten!$C$53,U7&gt;0,V7&gt;0),_xlfn.XOR(U7&gt;0,V7=0)),0,1))</xm:f>
            <x14:dxf>
              <font>
                <b/>
                <i val="0"/>
                <strike val="0"/>
                <color theme="0"/>
              </font>
              <fill>
                <patternFill>
                  <bgColor rgb="FFFF0000"/>
                </patternFill>
              </fill>
            </x14:dxf>
          </x14:cfRule>
          <xm:sqref>U7</xm:sqref>
        </x14:conditionalFormatting>
        <x14:conditionalFormatting xmlns:xm="http://schemas.microsoft.com/office/excel/2006/main">
          <x14:cfRule type="expression" priority="354" id="{00000000-000E-0000-0500-000008010000}">
            <xm:f>IF(SUM(T8:V8)=0,0,IF(AND(AND(T8&gt;Basisdaten!$C$53,U8&gt;0,V8&gt;0),_xlfn.XOR(U8&gt;0,V8=0)),0,1))</xm:f>
            <x14:dxf>
              <font>
                <b/>
                <i val="0"/>
                <color theme="0"/>
              </font>
              <fill>
                <patternFill>
                  <bgColor rgb="FFFF0000"/>
                </patternFill>
              </fill>
            </x14:dxf>
          </x14:cfRule>
          <xm:sqref>U8</xm:sqref>
        </x14:conditionalFormatting>
        <x14:conditionalFormatting xmlns:xm="http://schemas.microsoft.com/office/excel/2006/main">
          <x14:cfRule type="expression" priority="258" id="{00000000-000E-0000-0500-000004010000}">
            <xm:f>IF(SUM(T9:V9)=0,0,IF(AND(AND(T9&gt;Basisdaten!$C$53,U9&gt;0,V9&gt;0),_xlfn.XOR(U9&gt;0,V9=0)),0,1))</xm:f>
            <x14:dxf>
              <font>
                <b/>
                <i val="0"/>
                <strike val="0"/>
                <color theme="0"/>
              </font>
              <fill>
                <patternFill>
                  <bgColor rgb="FFFF0000"/>
                </patternFill>
              </fill>
            </x14:dxf>
          </x14:cfRule>
          <xm:sqref>U9</xm:sqref>
        </x14:conditionalFormatting>
        <x14:conditionalFormatting xmlns:xm="http://schemas.microsoft.com/office/excel/2006/main">
          <x14:cfRule type="expression" priority="26" id="{A3EBD874-99B0-4DDC-ABC6-9370D100E59F}">
            <xm:f>IF(SUM(T5:V5)=0,0,IF(AND(AND(T5&gt;Basisdaten!$C$53,U5&gt;0,V5&gt;0),_xlfn.XOR(U5&gt;0,V5=0)),0,1))</xm:f>
            <x14:dxf>
              <font>
                <color theme="0"/>
              </font>
              <fill>
                <patternFill>
                  <bgColor rgb="FFFF0000"/>
                </patternFill>
              </fill>
            </x14:dxf>
          </x14:cfRule>
          <xm:sqref>V5:V9</xm:sqref>
        </x14:conditionalFormatting>
        <x14:conditionalFormatting xmlns:xm="http://schemas.microsoft.com/office/excel/2006/main">
          <x14:cfRule type="expression" priority="176" id="{00000000-000E-0000-0500-00009E000000}">
            <xm:f>IF(SUM(T7:V7)=0,0,IF(AND(AND(T7&gt;Basisdaten!$C$53,U7&gt;0,V7&gt;0),_xlfn.XOR(U7&gt;0,V7=0)),0,1))</xm:f>
            <x14:dxf>
              <font>
                <b/>
                <i val="0"/>
                <strike val="0"/>
                <color theme="0"/>
              </font>
              <fill>
                <patternFill>
                  <bgColor rgb="FFFF0000"/>
                </patternFill>
              </fill>
            </x14:dxf>
          </x14:cfRule>
          <xm:sqref>V7:V9</xm:sqref>
        </x14:conditionalFormatting>
        <x14:conditionalFormatting xmlns:xm="http://schemas.microsoft.com/office/excel/2006/main">
          <x14:cfRule type="expression" priority="157" id="{00000000-000E-0000-0500-000048000000}">
            <xm:f>IF(SUM(Y5:AA5)=0,0,IF(AND(AND(Y5&gt;Basisdaten!$C$53,Z5&gt;0,AA5&gt;0),_xlfn.XOR(Z5&gt;0,AA5=0)),0,1))</xm:f>
            <x14:dxf>
              <font>
                <b/>
                <i val="0"/>
                <strike val="0"/>
                <color theme="0"/>
              </font>
              <fill>
                <patternFill>
                  <bgColor rgb="FFFF0000"/>
                </patternFill>
              </fill>
            </x14:dxf>
          </x14:cfRule>
          <xm:sqref>Y5:Y9</xm:sqref>
        </x14:conditionalFormatting>
        <x14:conditionalFormatting xmlns:xm="http://schemas.microsoft.com/office/excel/2006/main">
          <x14:cfRule type="expression" priority="1" id="{B053FAD9-0E3D-4CF4-9A2B-3EDD9380331C}">
            <xm:f>IF(SUM(Y5:AA5)=0,0,IF(AND(AND(Y5&gt;Basisdaten!$C$53,Z5&gt;0,AA5&gt;0),_xlfn.XOR(Z5&gt;0,AA5=0)),0,1))</xm:f>
            <x14:dxf>
              <font>
                <color theme="0"/>
              </font>
              <fill>
                <patternFill>
                  <bgColor rgb="FFFF0000"/>
                </patternFill>
              </fill>
            </x14:dxf>
          </x14:cfRule>
          <xm:sqref>Z5:Z9</xm:sqref>
        </x14:conditionalFormatting>
        <x14:conditionalFormatting xmlns:xm="http://schemas.microsoft.com/office/excel/2006/main">
          <x14:cfRule type="expression" priority="11" id="{697110E3-F53B-4243-85D4-58746BD06858}">
            <xm:f>IF(SUM(Y5:AA5)=0,0,IF(AND(AND(Y5&gt;Basisdaten!$C$53,Z5&gt;0,AA5&gt;0),_xlfn.XOR(Z5&gt;0,AA5=0)),0,1))</xm:f>
            <x14:dxf>
              <font>
                <color theme="0"/>
              </font>
              <fill>
                <patternFill>
                  <bgColor rgb="FFFF0000"/>
                </patternFill>
              </fill>
            </x14:dxf>
          </x14:cfRule>
          <xm:sqref>AA5 AA7 AA9</xm:sqref>
        </x14:conditionalFormatting>
        <x14:conditionalFormatting xmlns:xm="http://schemas.microsoft.com/office/excel/2006/main">
          <x14:cfRule type="expression" priority="271" id="{00000000-000E-0000-0500-0000B7000000}">
            <xm:f>IF(SUM(Y5:AA5)=0,0,IF(AND(AND(Y5&gt;Basisdaten!$C$53,Z5&gt;0,AA5&gt;0),_xlfn.XOR(Z5&gt;0,AA5=0)),0,1))</xm:f>
            <x14:dxf>
              <font>
                <b/>
                <i val="0"/>
                <strike val="0"/>
                <color theme="0"/>
              </font>
              <fill>
                <patternFill>
                  <bgColor rgb="FFFF0000"/>
                </patternFill>
              </fill>
            </x14:dxf>
          </x14:cfRule>
          <xm:sqref>AA5:AA9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2750634-58B7-4E85-8C65-135FE7E4D6C9}">
          <x14:formula1>
            <xm:f>Basisdaten!$E$7:$P$7</xm:f>
          </x14:formula1>
          <xm:sqref>K5:K9 P5:P9 U5:U9 F5:F9 Z5:Z9</xm:sqref>
        </x14:dataValidation>
        <x14:dataValidation type="list" allowBlank="1" showInputMessage="1" showErrorMessage="1" xr:uid="{E6861970-C46F-479E-8E58-9254049DB82D}">
          <x14:formula1>
            <xm:f>Basisdaten!$F$48:$F$58</xm:f>
          </x14:formula1>
          <xm:sqref>Q5:Q9 L5:L9 V5:V9 G5:G9 AA5:AA9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0C458-536F-4AE5-A370-3AD9FC8EEDF8}">
  <sheetPr codeName="Tabelle16">
    <pageSetUpPr fitToPage="1"/>
  </sheetPr>
  <dimension ref="A1:DM1000"/>
  <sheetViews>
    <sheetView showGridLines="0" zoomScale="75" zoomScaleNormal="75" workbookViewId="0">
      <selection activeCell="A2" sqref="A2"/>
    </sheetView>
  </sheetViews>
  <sheetFormatPr baseColWidth="10" defaultColWidth="11.44140625" defaultRowHeight="13.8"/>
  <cols>
    <col min="1" max="1" width="6.109375" style="71" customWidth="1"/>
    <col min="2" max="2" width="2.33203125" style="71" customWidth="1"/>
    <col min="3" max="3" width="72" style="71" customWidth="1"/>
    <col min="4" max="15" width="14.6640625" style="71" customWidth="1"/>
    <col min="16" max="16" width="14.6640625" style="86" customWidth="1"/>
    <col min="17" max="18" width="8.5546875" style="80" customWidth="1"/>
    <col min="19" max="19" width="60.6640625" style="74" customWidth="1"/>
    <col min="20" max="26" width="15.88671875" style="68" customWidth="1"/>
    <col min="27" max="37" width="12.6640625" style="68" customWidth="1"/>
    <col min="38" max="38" width="4.88671875" style="68" customWidth="1"/>
    <col min="39" max="41" width="12.6640625" style="68" customWidth="1"/>
    <col min="42" max="42" width="15.6640625" style="68" customWidth="1"/>
    <col min="43" max="43" width="12.6640625" style="68" customWidth="1"/>
    <col min="44" max="52" width="15.6640625" style="68" customWidth="1"/>
    <col min="53" max="56" width="15.6640625" style="68" hidden="1" customWidth="1"/>
    <col min="57" max="66" width="15.6640625" style="68" customWidth="1"/>
    <col min="67" max="67" width="6.109375" style="68" bestFit="1" customWidth="1"/>
    <col min="68" max="68" width="6.88671875" style="68" bestFit="1" customWidth="1"/>
    <col min="69" max="69" width="24.33203125" style="68" bestFit="1" customWidth="1"/>
    <col min="70" max="70" width="18.5546875" style="68" bestFit="1" customWidth="1"/>
    <col min="71" max="71" width="21.88671875" style="68" bestFit="1" customWidth="1"/>
    <col min="72" max="72" width="11.109375" style="68" bestFit="1" customWidth="1"/>
    <col min="73" max="73" width="18.6640625" style="68" bestFit="1" customWidth="1"/>
    <col min="74" max="74" width="11.109375" style="68" bestFit="1" customWidth="1"/>
    <col min="75" max="75" width="20.33203125" style="68" bestFit="1" customWidth="1"/>
    <col min="76" max="76" width="11.109375" style="68" bestFit="1" customWidth="1"/>
    <col min="77" max="77" width="20.5546875" style="68" bestFit="1" customWidth="1"/>
    <col min="78" max="78" width="11.109375" style="68" bestFit="1" customWidth="1"/>
    <col min="79" max="79" width="4.88671875" style="68" hidden="1" customWidth="1"/>
    <col min="80" max="80" width="5.6640625" style="68" hidden="1" customWidth="1"/>
    <col min="81" max="81" width="6" style="68" hidden="1" customWidth="1"/>
    <col min="82" max="82" width="4.88671875" style="68" hidden="1" customWidth="1"/>
    <col min="83" max="83" width="6.109375" style="68" hidden="1" customWidth="1"/>
    <col min="84" max="84" width="6.88671875" style="68" hidden="1" customWidth="1"/>
    <col min="85" max="85" width="11.5546875" style="68" hidden="1" customWidth="1"/>
    <col min="86" max="86" width="11.109375" style="68" hidden="1" customWidth="1"/>
    <col min="87" max="87" width="6.6640625" style="68" hidden="1" customWidth="1"/>
    <col min="88" max="88" width="11.109375" style="68" hidden="1" customWidth="1"/>
    <col min="89" max="89" width="6.6640625" style="68" hidden="1" customWidth="1"/>
    <col min="90" max="90" width="11.109375" style="68" hidden="1" customWidth="1"/>
    <col min="91" max="91" width="4.88671875" style="68" hidden="1" customWidth="1"/>
    <col min="92" max="92" width="5.6640625" style="68" hidden="1" customWidth="1"/>
    <col min="93" max="93" width="20" style="68" hidden="1" customWidth="1"/>
    <col min="94" max="94" width="4.88671875" style="69" hidden="1" customWidth="1"/>
    <col min="95" max="95" width="6.109375" style="69" hidden="1" customWidth="1"/>
    <col min="96" max="96" width="37.88671875" style="69" hidden="1" customWidth="1"/>
    <col min="97" max="97" width="11.33203125" style="69" hidden="1" customWidth="1"/>
    <col min="98" max="98" width="21.5546875" style="69" hidden="1" customWidth="1"/>
    <col min="99" max="99" width="18.88671875" style="15" hidden="1" customWidth="1"/>
    <col min="100" max="101" width="18.88671875" style="9" hidden="1" customWidth="1"/>
    <col min="102" max="102" width="5.109375" hidden="1" customWidth="1"/>
    <col min="103" max="103" width="71.88671875" style="620" hidden="1" customWidth="1"/>
    <col min="104" max="104" width="70.33203125" style="296" hidden="1" customWidth="1"/>
    <col min="105" max="105" width="69.44140625" style="296" customWidth="1"/>
    <col min="106" max="106" width="6.5546875" style="88" customWidth="1"/>
    <col min="107" max="107" width="6.109375" style="88" customWidth="1"/>
    <col min="108" max="108" width="5.6640625" style="88" customWidth="1"/>
    <col min="109" max="109" width="6.109375" style="88" customWidth="1"/>
    <col min="110" max="110" width="5.44140625" style="88" customWidth="1"/>
    <col min="111" max="111" width="6.109375" style="88" customWidth="1"/>
    <col min="112" max="112" width="6.88671875" style="88" customWidth="1"/>
    <col min="113" max="113" width="6.33203125" style="88" bestFit="1" customWidth="1"/>
    <col min="114" max="114" width="6.5546875" style="88" bestFit="1" customWidth="1"/>
    <col min="115" max="115" width="6.109375" style="88" customWidth="1"/>
    <col min="116" max="116" width="12.44140625" style="88" customWidth="1"/>
    <col min="117" max="117" width="10.5546875" style="71" customWidth="1"/>
    <col min="118" max="130" width="4.88671875" style="71" customWidth="1"/>
    <col min="131" max="16384" width="11.44140625" style="71"/>
  </cols>
  <sheetData>
    <row r="1" spans="1:117">
      <c r="C1" s="130" t="s">
        <v>1028</v>
      </c>
    </row>
    <row r="2" spans="1:117" s="37" customFormat="1" ht="24.6">
      <c r="A2" s="336" t="s">
        <v>507</v>
      </c>
      <c r="B2" s="55"/>
      <c r="C2" s="163" t="str">
        <f ca="1">CY2</f>
        <v>5.1 Monatlicher Gewinn/Verlust im Startjahr 2026</v>
      </c>
      <c r="Q2" s="136"/>
      <c r="R2" s="136"/>
      <c r="T2" s="27" t="s">
        <v>193</v>
      </c>
      <c r="CF2" s="117"/>
      <c r="CG2" s="117"/>
      <c r="CH2" s="117"/>
      <c r="CI2" s="117"/>
      <c r="CJ2" s="117"/>
      <c r="CK2" s="117"/>
      <c r="CL2" s="117"/>
      <c r="CM2" s="117"/>
      <c r="CN2" s="117"/>
      <c r="CO2" s="117"/>
      <c r="CP2" s="117"/>
      <c r="CQ2" s="117"/>
      <c r="CR2" s="117"/>
      <c r="CS2" s="117"/>
      <c r="CT2" s="170"/>
      <c r="CU2" s="295"/>
      <c r="CV2" s="295"/>
      <c r="CW2" s="295"/>
      <c r="CY2" s="621" t="str">
        <f ca="1">IF(Basisdaten!$B$15=Basisdaten!$C$4,DA2,CZ2)</f>
        <v>5.1 Monatlicher Gewinn/Verlust im Startjahr 2026</v>
      </c>
      <c r="CZ2" s="305" t="str">
        <f ca="1">"5.1 Monatlicher Gewinn/Verlust im Startjahr " &amp;Basisdaten!$C$15</f>
        <v>5.1 Monatlicher Gewinn/Verlust im Startjahr 2026</v>
      </c>
      <c r="DA2" s="383" t="str">
        <f ca="1">"5.1 Monthly profit/loss for founding year  " &amp;Basisdaten!$C$15</f>
        <v>5.1 Monthly profit/loss for founding year  2026</v>
      </c>
    </row>
    <row r="3" spans="1:117" s="68" customFormat="1" ht="9.9" customHeight="1">
      <c r="A3" s="247"/>
      <c r="B3" s="55"/>
      <c r="P3" s="70"/>
      <c r="Q3" s="80"/>
      <c r="R3" s="80"/>
      <c r="T3" s="35"/>
      <c r="CF3" s="117"/>
      <c r="CG3" s="117"/>
      <c r="CH3" s="117"/>
      <c r="CI3" s="117"/>
      <c r="CJ3" s="117"/>
      <c r="CK3" s="117"/>
      <c r="CL3" s="117"/>
      <c r="CM3" s="117"/>
      <c r="CN3" s="117"/>
      <c r="CO3" s="117"/>
      <c r="CP3" s="117"/>
      <c r="CQ3" s="117"/>
      <c r="CR3" s="117"/>
      <c r="CS3" s="117"/>
      <c r="CT3" s="170"/>
      <c r="CU3" s="117"/>
      <c r="CV3" s="117"/>
      <c r="CW3" s="117"/>
      <c r="CY3" s="621">
        <f>IF(Basisdaten!$B$15=Basisdaten!$C$4,DA3,CZ3)</f>
        <v>0</v>
      </c>
      <c r="CZ3" s="305"/>
      <c r="DA3" s="161"/>
    </row>
    <row r="4" spans="1:117" s="30" customFormat="1" ht="18" customHeight="1">
      <c r="A4" s="55"/>
      <c r="B4" s="55"/>
      <c r="C4" s="533"/>
      <c r="D4" s="342" t="str">
        <f>Basisdaten!E8</f>
        <v>Jan.</v>
      </c>
      <c r="E4" s="342" t="str">
        <f>Basisdaten!F8</f>
        <v>Feb</v>
      </c>
      <c r="F4" s="342" t="str">
        <f>Basisdaten!G8</f>
        <v>Mrz</v>
      </c>
      <c r="G4" s="342" t="str">
        <f>Basisdaten!H8</f>
        <v>Apr</v>
      </c>
      <c r="H4" s="342" t="str">
        <f>Basisdaten!I8</f>
        <v>Mai</v>
      </c>
      <c r="I4" s="342" t="str">
        <f>Basisdaten!J8</f>
        <v>Jun</v>
      </c>
      <c r="J4" s="342" t="str">
        <f>Basisdaten!K8</f>
        <v>Jul</v>
      </c>
      <c r="K4" s="342" t="str">
        <f>Basisdaten!L8</f>
        <v>Aug</v>
      </c>
      <c r="L4" s="342" t="str">
        <f>Basisdaten!M8</f>
        <v>Sep</v>
      </c>
      <c r="M4" s="342" t="str">
        <f>Basisdaten!N8</f>
        <v>Okt</v>
      </c>
      <c r="N4" s="342" t="str">
        <f>Basisdaten!O8</f>
        <v>Nov</v>
      </c>
      <c r="O4" s="342" t="str">
        <f>Basisdaten!P8</f>
        <v>Dez</v>
      </c>
      <c r="P4" s="342" t="str">
        <f ca="1">Basisdaten!O15</f>
        <v>Jahr 2026</v>
      </c>
      <c r="Q4" s="136"/>
      <c r="R4" s="136"/>
      <c r="S4" s="342" t="str">
        <f>CY4</f>
        <v>Aufgaben und/oder Kommentar</v>
      </c>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117"/>
      <c r="CG4" s="117"/>
      <c r="CH4" s="117"/>
      <c r="CI4" s="117"/>
      <c r="CJ4" s="117"/>
      <c r="CK4" s="117"/>
      <c r="CL4" s="117"/>
      <c r="CM4" s="117"/>
      <c r="CN4" s="117"/>
      <c r="CO4" s="117"/>
      <c r="CP4" s="117"/>
      <c r="CQ4" s="117"/>
      <c r="CR4" s="117"/>
      <c r="CS4" s="117"/>
      <c r="CT4" s="98"/>
      <c r="CU4" s="295"/>
      <c r="CV4" s="117"/>
      <c r="CW4" s="117"/>
      <c r="CY4" s="621" t="str">
        <f>IF(Basisdaten!$B$15=Basisdaten!$C$4,DA4,CZ4)</f>
        <v>Aufgaben und/oder Kommentar</v>
      </c>
      <c r="CZ4" s="622" t="s">
        <v>131</v>
      </c>
      <c r="DA4" s="623" t="s">
        <v>193</v>
      </c>
      <c r="DB4" s="98"/>
      <c r="DC4" s="98"/>
      <c r="DD4" s="98"/>
      <c r="DE4" s="98"/>
      <c r="DF4" s="98"/>
      <c r="DG4" s="98"/>
      <c r="DH4" s="98"/>
      <c r="DI4" s="98"/>
      <c r="DJ4" s="98"/>
      <c r="DK4" s="98"/>
      <c r="DL4" s="98"/>
      <c r="DM4" s="170"/>
    </row>
    <row r="5" spans="1:117" s="216" customFormat="1" ht="18" customHeight="1">
      <c r="A5" s="654"/>
      <c r="B5" s="654"/>
      <c r="C5" s="624" t="str">
        <f>CY5</f>
        <v>Umsätze aus Tab. 2.1 (ohne MwSt)</v>
      </c>
      <c r="D5" s="625">
        <f>'2 Umsatz|Sales'!H31</f>
        <v>0</v>
      </c>
      <c r="E5" s="625">
        <f>'2 Umsatz|Sales'!I31</f>
        <v>0</v>
      </c>
      <c r="F5" s="625">
        <f>'2 Umsatz|Sales'!J31</f>
        <v>0</v>
      </c>
      <c r="G5" s="625">
        <f>'2 Umsatz|Sales'!K31</f>
        <v>0</v>
      </c>
      <c r="H5" s="625">
        <f>'2 Umsatz|Sales'!L31</f>
        <v>0</v>
      </c>
      <c r="I5" s="625">
        <f>'2 Umsatz|Sales'!M31</f>
        <v>0</v>
      </c>
      <c r="J5" s="625">
        <f>'2 Umsatz|Sales'!N31</f>
        <v>0</v>
      </c>
      <c r="K5" s="625">
        <f>'2 Umsatz|Sales'!O31</f>
        <v>0</v>
      </c>
      <c r="L5" s="625">
        <f>'2 Umsatz|Sales'!P31</f>
        <v>0</v>
      </c>
      <c r="M5" s="625">
        <f>'2 Umsatz|Sales'!Q31</f>
        <v>0</v>
      </c>
      <c r="N5" s="625">
        <f>'2 Umsatz|Sales'!R31</f>
        <v>0</v>
      </c>
      <c r="O5" s="625">
        <f>'2 Umsatz|Sales'!S31</f>
        <v>0</v>
      </c>
      <c r="P5" s="625">
        <f>SUM(D5:O5)</f>
        <v>0</v>
      </c>
      <c r="Q5" s="626"/>
      <c r="R5" s="626"/>
      <c r="S5" s="627"/>
      <c r="T5" s="628"/>
      <c r="U5" s="628"/>
      <c r="V5" s="628"/>
      <c r="W5" s="628"/>
      <c r="X5" s="628"/>
      <c r="Y5" s="628"/>
      <c r="Z5" s="628"/>
      <c r="AA5" s="628"/>
      <c r="AB5" s="628"/>
      <c r="AC5" s="628"/>
      <c r="AD5" s="628"/>
      <c r="AE5" s="628"/>
      <c r="AF5" s="628"/>
      <c r="AG5" s="628"/>
      <c r="AH5" s="628"/>
      <c r="AI5" s="628"/>
      <c r="AJ5" s="628"/>
      <c r="AK5" s="628"/>
      <c r="AL5" s="628"/>
      <c r="AM5" s="628"/>
      <c r="AN5" s="628"/>
      <c r="AO5" s="628"/>
      <c r="AP5" s="628"/>
      <c r="AQ5" s="628"/>
      <c r="AR5" s="628"/>
      <c r="AS5" s="628"/>
      <c r="AT5" s="628"/>
      <c r="AU5" s="628"/>
      <c r="AV5" s="628"/>
      <c r="AW5" s="628"/>
      <c r="AX5" s="628"/>
      <c r="AY5" s="628"/>
      <c r="AZ5" s="628"/>
      <c r="BA5" s="628"/>
      <c r="BB5" s="628"/>
      <c r="BC5" s="628"/>
      <c r="BD5" s="628"/>
      <c r="BE5" s="628"/>
      <c r="BF5" s="628"/>
      <c r="BG5" s="628"/>
      <c r="BH5" s="628"/>
      <c r="BI5" s="628"/>
      <c r="BJ5" s="628"/>
      <c r="BK5" s="628"/>
      <c r="BL5" s="628"/>
      <c r="BM5" s="628"/>
      <c r="BN5" s="628"/>
      <c r="BO5" s="628"/>
      <c r="BP5" s="628"/>
      <c r="BQ5" s="628"/>
      <c r="BR5" s="628"/>
      <c r="BS5" s="628"/>
      <c r="BT5" s="628"/>
      <c r="BU5" s="628"/>
      <c r="BV5" s="628"/>
      <c r="BW5" s="628"/>
      <c r="BX5" s="628"/>
      <c r="BY5" s="628"/>
      <c r="BZ5" s="628"/>
      <c r="CA5" s="628"/>
      <c r="CB5" s="628"/>
      <c r="CC5" s="628"/>
      <c r="CD5" s="628"/>
      <c r="CE5" s="628"/>
      <c r="CF5" s="628"/>
      <c r="CG5" s="628"/>
      <c r="CH5" s="628"/>
      <c r="CI5" s="628"/>
      <c r="CJ5" s="628"/>
      <c r="CQ5" s="628"/>
      <c r="CR5" s="628"/>
      <c r="CS5" s="628"/>
      <c r="CT5" s="628"/>
      <c r="CU5" s="295"/>
      <c r="CV5" s="117"/>
      <c r="CW5" s="117"/>
      <c r="CY5" s="621" t="str">
        <f>IF(Basisdaten!$B$15=Basisdaten!$C$4,DA5,CZ5)</f>
        <v>Umsätze aus Tab. 2.1 (ohne MwSt)</v>
      </c>
      <c r="CZ5" s="305" t="str">
        <f>IF($CW$7&lt;&gt;1,"Umsätze aus Tab. 2.1 (ohne MwSt)","Umsätze aus Tab. 2.1 (mit MwSt)")</f>
        <v>Umsätze aus Tab. 2.1 (ohne MwSt)</v>
      </c>
      <c r="DA5" s="305" t="s">
        <v>626</v>
      </c>
      <c r="DB5" s="170"/>
      <c r="DC5" s="170"/>
      <c r="DD5" s="170"/>
      <c r="DE5" s="170"/>
      <c r="DF5" s="170"/>
    </row>
    <row r="6" spans="1:117" ht="18" customHeight="1">
      <c r="A6" s="88"/>
      <c r="B6" s="88"/>
      <c r="C6" s="629" t="str">
        <f>CY6</f>
        <v>abzügl. Summe Betriebskosten II aus Tab. 4.1 (ohne MwSt)</v>
      </c>
      <c r="D6" s="630">
        <f>'3  Betriebskosten|Operation Ex'!G67</f>
        <v>0</v>
      </c>
      <c r="E6" s="630">
        <f>'3  Betriebskosten|Operation Ex'!H67</f>
        <v>0</v>
      </c>
      <c r="F6" s="630">
        <f>'3  Betriebskosten|Operation Ex'!I67</f>
        <v>0</v>
      </c>
      <c r="G6" s="630">
        <f>'3  Betriebskosten|Operation Ex'!J67</f>
        <v>0</v>
      </c>
      <c r="H6" s="630">
        <f>'3  Betriebskosten|Operation Ex'!K67</f>
        <v>0</v>
      </c>
      <c r="I6" s="630">
        <f>'3  Betriebskosten|Operation Ex'!L67</f>
        <v>0</v>
      </c>
      <c r="J6" s="630">
        <f>'3  Betriebskosten|Operation Ex'!M67</f>
        <v>0</v>
      </c>
      <c r="K6" s="630">
        <f>'3  Betriebskosten|Operation Ex'!N67</f>
        <v>0</v>
      </c>
      <c r="L6" s="630">
        <f>'3  Betriebskosten|Operation Ex'!O67</f>
        <v>0</v>
      </c>
      <c r="M6" s="630">
        <f>'3  Betriebskosten|Operation Ex'!P67</f>
        <v>0</v>
      </c>
      <c r="N6" s="630">
        <f>'3  Betriebskosten|Operation Ex'!Q67</f>
        <v>0</v>
      </c>
      <c r="O6" s="630">
        <f>'3  Betriebskosten|Operation Ex'!R67</f>
        <v>0</v>
      </c>
      <c r="P6" s="1377">
        <f>SUM(D6:O6)</f>
        <v>0</v>
      </c>
      <c r="S6" s="631"/>
      <c r="CQ6" s="628"/>
      <c r="CR6" s="628"/>
      <c r="CS6" s="628"/>
      <c r="CT6" s="628"/>
      <c r="CU6" s="295"/>
      <c r="CV6" s="117"/>
      <c r="CW6" s="117"/>
      <c r="CY6" s="621" t="str">
        <f>IF(Basisdaten!$B$15=Basisdaten!$C$4,DA6,CZ6)</f>
        <v>abzügl. Summe Betriebskosten II aus Tab. 4.1 (ohne MwSt)</v>
      </c>
      <c r="CZ6" s="305" t="str">
        <f>IF($CW$7&lt;&gt;1,"abzügl. Summe Betriebskosten II aus Tab. 4.1 (ohne MwSt)","abzügl. Summe Betriebskosten II aus Tab. 4.1 (mit MwSt)")</f>
        <v>abzügl. Summe Betriebskosten II aus Tab. 4.1 (ohne MwSt)</v>
      </c>
      <c r="DA6" s="305" t="str">
        <f>IF($CW$7&lt;&gt;1,"(-) sum operating costs II from tab.4.1 (w/o VAT)","(-) sum operating costs II from tab.4.1 (incl. VAT)")</f>
        <v>(-) sum operating costs II from tab.4.1 (w/o VAT)</v>
      </c>
      <c r="DB6" s="170"/>
      <c r="DC6" s="170"/>
      <c r="DD6" s="170"/>
      <c r="DE6" s="170"/>
      <c r="DF6" s="170"/>
      <c r="DG6" s="216"/>
      <c r="DH6" s="216"/>
      <c r="DI6" s="216"/>
      <c r="DJ6" s="216"/>
      <c r="DK6" s="216"/>
      <c r="DL6" s="216"/>
      <c r="DM6" s="216"/>
    </row>
    <row r="7" spans="1:117" ht="18" customHeight="1">
      <c r="A7" s="88"/>
      <c r="B7" s="88"/>
      <c r="C7" s="632" t="str">
        <f>CY8</f>
        <v>EBIT Vorläufiges Ergebnis / Gewinn vor Steuer</v>
      </c>
      <c r="D7" s="633">
        <f t="shared" ref="D7:O7" si="0">D5-D6</f>
        <v>0</v>
      </c>
      <c r="E7" s="633">
        <f t="shared" si="0"/>
        <v>0</v>
      </c>
      <c r="F7" s="633">
        <f t="shared" si="0"/>
        <v>0</v>
      </c>
      <c r="G7" s="633">
        <f t="shared" si="0"/>
        <v>0</v>
      </c>
      <c r="H7" s="633">
        <f t="shared" si="0"/>
        <v>0</v>
      </c>
      <c r="I7" s="633">
        <f t="shared" si="0"/>
        <v>0</v>
      </c>
      <c r="J7" s="633">
        <f t="shared" si="0"/>
        <v>0</v>
      </c>
      <c r="K7" s="633">
        <f t="shared" si="0"/>
        <v>0</v>
      </c>
      <c r="L7" s="633">
        <f t="shared" si="0"/>
        <v>0</v>
      </c>
      <c r="M7" s="633">
        <f t="shared" si="0"/>
        <v>0</v>
      </c>
      <c r="N7" s="633">
        <f t="shared" si="0"/>
        <v>0</v>
      </c>
      <c r="O7" s="633">
        <f t="shared" si="0"/>
        <v>0</v>
      </c>
      <c r="P7" s="633">
        <f>IF(P5="","",P5-P6)</f>
        <v>0</v>
      </c>
      <c r="CQ7" s="628"/>
      <c r="CR7" s="628"/>
      <c r="CS7" s="628"/>
      <c r="CT7" s="628"/>
      <c r="CU7" s="295"/>
      <c r="CV7" s="117"/>
      <c r="CW7" s="117"/>
      <c r="CY7" s="621">
        <f>IF(Basisdaten!$B$15=Basisdaten!$C$4,DA7,CZ7)</f>
        <v>0</v>
      </c>
      <c r="CZ7" s="305"/>
      <c r="DA7" s="305"/>
      <c r="DB7" s="170"/>
      <c r="DC7" s="170"/>
      <c r="DD7" s="170"/>
      <c r="DE7" s="170"/>
      <c r="DF7" s="170"/>
      <c r="DG7" s="216"/>
      <c r="DH7" s="216"/>
      <c r="DI7" s="216"/>
      <c r="DJ7" s="216"/>
      <c r="DK7" s="216"/>
      <c r="DL7" s="216"/>
      <c r="DM7" s="216"/>
    </row>
    <row r="8" spans="1:117" ht="18" customHeight="1">
      <c r="A8" s="88"/>
      <c r="B8" s="88"/>
      <c r="C8" s="634" t="str">
        <f>CY9</f>
        <v>Akkumuliert: Vorläufiges Ergebnis / Gewinn vor Steuer</v>
      </c>
      <c r="D8" s="635">
        <f>D7</f>
        <v>0</v>
      </c>
      <c r="E8" s="635">
        <f>E7+D8</f>
        <v>0</v>
      </c>
      <c r="F8" s="635">
        <f>F7+E8</f>
        <v>0</v>
      </c>
      <c r="G8" s="635">
        <f t="shared" ref="G8:O8" si="1">G7+F8</f>
        <v>0</v>
      </c>
      <c r="H8" s="635">
        <f t="shared" si="1"/>
        <v>0</v>
      </c>
      <c r="I8" s="635">
        <f t="shared" si="1"/>
        <v>0</v>
      </c>
      <c r="J8" s="635">
        <f t="shared" si="1"/>
        <v>0</v>
      </c>
      <c r="K8" s="635">
        <f t="shared" si="1"/>
        <v>0</v>
      </c>
      <c r="L8" s="635">
        <f t="shared" si="1"/>
        <v>0</v>
      </c>
      <c r="M8" s="635">
        <f t="shared" si="1"/>
        <v>0</v>
      </c>
      <c r="N8" s="635">
        <f t="shared" si="1"/>
        <v>0</v>
      </c>
      <c r="O8" s="635">
        <f t="shared" si="1"/>
        <v>0</v>
      </c>
      <c r="P8" s="636"/>
      <c r="CQ8" s="628"/>
      <c r="CR8" s="628"/>
      <c r="CS8" s="628"/>
      <c r="CT8" s="628"/>
      <c r="CU8" s="295"/>
      <c r="CV8" s="117"/>
      <c r="CW8" s="117"/>
      <c r="CY8" s="621" t="str">
        <f>IF(Basisdaten!$B$15=Basisdaten!$C$4,DA8,CZ8)</f>
        <v>EBIT Vorläufiges Ergebnis / Gewinn vor Steuer</v>
      </c>
      <c r="CZ8" s="487" t="s">
        <v>627</v>
      </c>
      <c r="DA8" s="305" t="s">
        <v>628</v>
      </c>
      <c r="DB8" s="170"/>
      <c r="DC8" s="170"/>
      <c r="DD8" s="170"/>
      <c r="DE8" s="170"/>
      <c r="DF8" s="170"/>
      <c r="DG8" s="216"/>
      <c r="DH8" s="216"/>
      <c r="DI8" s="216"/>
      <c r="DJ8" s="216"/>
      <c r="DK8" s="216"/>
      <c r="DL8" s="216"/>
      <c r="DM8" s="216"/>
    </row>
    <row r="9" spans="1:117" s="146" customFormat="1" ht="16.2">
      <c r="D9" s="637"/>
      <c r="E9" s="637"/>
      <c r="F9" s="637"/>
      <c r="G9" s="637"/>
      <c r="H9" s="637"/>
      <c r="I9" s="637"/>
      <c r="J9" s="637"/>
      <c r="K9" s="637"/>
      <c r="L9" s="637"/>
      <c r="M9" s="637"/>
      <c r="N9" s="637"/>
      <c r="O9" s="637"/>
      <c r="P9" s="149"/>
      <c r="S9" s="148"/>
      <c r="CQ9" s="626"/>
      <c r="CR9" s="626"/>
      <c r="CS9" s="626"/>
      <c r="CT9" s="626"/>
      <c r="CU9" s="295"/>
      <c r="CV9" s="117"/>
      <c r="CW9" s="117"/>
      <c r="CX9" s="147"/>
      <c r="CY9" s="621" t="str">
        <f>IF(Basisdaten!$B$15=Basisdaten!$C$4,DA9,CZ9)</f>
        <v>Akkumuliert: Vorläufiges Ergebnis / Gewinn vor Steuer</v>
      </c>
      <c r="CZ9" s="487" t="s">
        <v>629</v>
      </c>
      <c r="DA9" s="305" t="s">
        <v>630</v>
      </c>
      <c r="DB9" s="638"/>
      <c r="DC9" s="638"/>
      <c r="DD9" s="638"/>
      <c r="DE9" s="638"/>
      <c r="DF9" s="638"/>
      <c r="DG9" s="639"/>
      <c r="DH9" s="639"/>
      <c r="DI9" s="639"/>
      <c r="DJ9" s="639"/>
      <c r="DK9" s="639"/>
      <c r="DL9" s="639"/>
      <c r="DM9" s="626"/>
    </row>
    <row r="10" spans="1:117" s="150" customFormat="1" ht="24.6">
      <c r="C10" s="163" t="str">
        <f ca="1">CZ12</f>
        <v>5.2 Monatlicher Gewinn/Verlust im Jahr 2027</v>
      </c>
      <c r="Q10" s="151"/>
      <c r="R10" s="151"/>
      <c r="CQ10" s="98"/>
      <c r="CR10" s="98"/>
      <c r="CS10" s="98"/>
      <c r="CT10" s="98"/>
      <c r="CU10" s="295"/>
      <c r="CV10" s="117"/>
      <c r="CW10" s="117"/>
      <c r="CY10" s="621" t="str">
        <f>IF(Basisdaten!$B$15=Basisdaten!$C$4,DA10,CZ10)</f>
        <v>Gewinn/Verlust vor Steuer</v>
      </c>
      <c r="CZ10" s="640" t="s">
        <v>252</v>
      </c>
      <c r="DA10" s="640" t="s">
        <v>389</v>
      </c>
      <c r="DB10" s="638"/>
      <c r="DC10" s="638"/>
      <c r="DD10" s="638"/>
      <c r="DE10" s="638"/>
      <c r="DF10" s="638"/>
      <c r="DG10" s="639"/>
      <c r="DH10" s="639"/>
      <c r="DI10" s="639"/>
      <c r="DJ10" s="639"/>
      <c r="DK10" s="639"/>
      <c r="DL10" s="639"/>
      <c r="DM10" s="98"/>
    </row>
    <row r="11" spans="1:117" s="68" customFormat="1" ht="9.9" customHeight="1">
      <c r="P11" s="70"/>
      <c r="Q11" s="80"/>
      <c r="R11" s="80"/>
      <c r="S11" s="74"/>
      <c r="CQ11" s="628"/>
      <c r="CR11" s="628"/>
      <c r="CS11" s="628"/>
      <c r="CT11" s="628"/>
      <c r="CU11" s="295"/>
      <c r="CV11" s="117"/>
      <c r="CW11" s="117"/>
      <c r="CY11" s="621">
        <f>IF(Basisdaten!$B$15=Basisdaten!$C$4,DA11,CZ11)</f>
        <v>0</v>
      </c>
      <c r="CZ11" s="305"/>
      <c r="DA11" s="305"/>
      <c r="DB11" s="98"/>
      <c r="DC11" s="98"/>
      <c r="DD11" s="98"/>
      <c r="DE11" s="98"/>
      <c r="DF11" s="98"/>
      <c r="DG11" s="628"/>
      <c r="DH11" s="628"/>
      <c r="DI11" s="628"/>
      <c r="DJ11" s="628"/>
      <c r="DK11" s="628"/>
      <c r="DL11" s="628"/>
      <c r="DM11" s="628"/>
    </row>
    <row r="12" spans="1:117" s="30" customFormat="1" ht="18" customHeight="1">
      <c r="C12" s="533"/>
      <c r="D12" s="342" t="str">
        <f t="shared" ref="D12:O12" si="2">D4</f>
        <v>Jan.</v>
      </c>
      <c r="E12" s="342" t="str">
        <f t="shared" si="2"/>
        <v>Feb</v>
      </c>
      <c r="F12" s="342" t="str">
        <f t="shared" si="2"/>
        <v>Mrz</v>
      </c>
      <c r="G12" s="342" t="str">
        <f t="shared" si="2"/>
        <v>Apr</v>
      </c>
      <c r="H12" s="342" t="str">
        <f t="shared" si="2"/>
        <v>Mai</v>
      </c>
      <c r="I12" s="342" t="str">
        <f t="shared" si="2"/>
        <v>Jun</v>
      </c>
      <c r="J12" s="342" t="str">
        <f t="shared" si="2"/>
        <v>Jul</v>
      </c>
      <c r="K12" s="342" t="str">
        <f t="shared" si="2"/>
        <v>Aug</v>
      </c>
      <c r="L12" s="342" t="str">
        <f t="shared" si="2"/>
        <v>Sep</v>
      </c>
      <c r="M12" s="342" t="str">
        <f t="shared" si="2"/>
        <v>Okt</v>
      </c>
      <c r="N12" s="342" t="str">
        <f t="shared" si="2"/>
        <v>Nov</v>
      </c>
      <c r="O12" s="342" t="str">
        <f t="shared" si="2"/>
        <v>Dez</v>
      </c>
      <c r="P12" s="342" t="str">
        <f ca="1">Basisdaten!O16</f>
        <v>Jahr 2027</v>
      </c>
      <c r="Q12" s="136"/>
      <c r="R12" s="136"/>
      <c r="S12" s="342" t="str">
        <f>S4</f>
        <v>Aufgaben und/oder Kommentar</v>
      </c>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Q12" s="98"/>
      <c r="CR12" s="98"/>
      <c r="CS12" s="98"/>
      <c r="CT12" s="98"/>
      <c r="CU12" s="295"/>
      <c r="CV12" s="117"/>
      <c r="CW12" s="117"/>
      <c r="CY12" s="621" t="str">
        <f ca="1">IF(Basisdaten!$B$15=Basisdaten!$C$4,DA12,CZ12)</f>
        <v>5.2 Monatlicher Gewinn/Verlust im Jahr 2027</v>
      </c>
      <c r="CZ12" s="305" t="str">
        <f ca="1">"5.2 Monatlicher Gewinn/Verlust im Jahr " &amp;Basisdaten!$C$15+1</f>
        <v>5.2 Monatlicher Gewinn/Verlust im Jahr 2027</v>
      </c>
      <c r="DA12" s="305" t="str">
        <f ca="1">"5.2 Monthly profit/loss (EUR) for year  " &amp;Basisdaten!$C$15+1</f>
        <v>5.2 Monthly profit/loss (EUR) for year  2027</v>
      </c>
      <c r="DB12" s="98"/>
      <c r="DC12" s="98"/>
      <c r="DD12" s="98"/>
      <c r="DE12" s="98"/>
      <c r="DF12" s="98"/>
      <c r="DG12" s="98"/>
      <c r="DH12" s="98"/>
      <c r="DI12" s="98"/>
      <c r="DJ12" s="98"/>
      <c r="DK12" s="98"/>
      <c r="DL12" s="98"/>
      <c r="DM12" s="170"/>
    </row>
    <row r="13" spans="1:117" ht="18" customHeight="1">
      <c r="C13" s="624" t="str">
        <f>CY13</f>
        <v>Umsätze aus Tab. 2.2 (ohne MwSt)</v>
      </c>
      <c r="D13" s="641">
        <f>'2 Umsatz|Sales'!H65</f>
        <v>0</v>
      </c>
      <c r="E13" s="641">
        <f>'2 Umsatz|Sales'!I65</f>
        <v>0</v>
      </c>
      <c r="F13" s="641">
        <f>'2 Umsatz|Sales'!J65</f>
        <v>0</v>
      </c>
      <c r="G13" s="641">
        <f>'2 Umsatz|Sales'!K65</f>
        <v>0</v>
      </c>
      <c r="H13" s="641">
        <f>'2 Umsatz|Sales'!L65</f>
        <v>0</v>
      </c>
      <c r="I13" s="641">
        <f>'2 Umsatz|Sales'!M65</f>
        <v>0</v>
      </c>
      <c r="J13" s="641">
        <f>'2 Umsatz|Sales'!N65</f>
        <v>0</v>
      </c>
      <c r="K13" s="641">
        <f>'2 Umsatz|Sales'!O65</f>
        <v>0</v>
      </c>
      <c r="L13" s="641">
        <f>'2 Umsatz|Sales'!P65</f>
        <v>0</v>
      </c>
      <c r="M13" s="641">
        <f>'2 Umsatz|Sales'!Q65</f>
        <v>0</v>
      </c>
      <c r="N13" s="641">
        <f>'2 Umsatz|Sales'!R65</f>
        <v>0</v>
      </c>
      <c r="O13" s="641">
        <f>'2 Umsatz|Sales'!S65</f>
        <v>0</v>
      </c>
      <c r="P13" s="642">
        <f>SUM(D13:O13)</f>
        <v>0</v>
      </c>
      <c r="S13" s="643"/>
      <c r="CQ13" s="628"/>
      <c r="CR13" s="628"/>
      <c r="CS13" s="628"/>
      <c r="CT13" s="628"/>
      <c r="CU13" s="295"/>
      <c r="CV13" s="117"/>
      <c r="CW13" s="117"/>
      <c r="CY13" s="621" t="str">
        <f>IF(Basisdaten!$B$15=Basisdaten!$C$4,DA13,CZ13)</f>
        <v>Umsätze aus Tab. 2.2 (ohne MwSt)</v>
      </c>
      <c r="CZ13" s="305" t="str">
        <f>IF($CW$7&lt;&gt;1,"Umsätze aus Tab. 2.2 (ohne MwSt)","Umsätze aus Tab. 2.2 (mit MwSt)")</f>
        <v>Umsätze aus Tab. 2.2 (ohne MwSt)</v>
      </c>
      <c r="DA13" s="305" t="str">
        <f>IF($CW$7&lt;&gt;1,"Turnover from tab. 2.2 (w/o VAT)","Turnover from tab. 2.2 (incl. VAT)")</f>
        <v>Turnover from tab. 2.2 (w/o VAT)</v>
      </c>
      <c r="DB13" s="98"/>
      <c r="DC13" s="98"/>
      <c r="DD13" s="98"/>
      <c r="DE13" s="98"/>
      <c r="DF13" s="98"/>
      <c r="DG13" s="628"/>
      <c r="DH13" s="628"/>
      <c r="DI13" s="628"/>
      <c r="DJ13" s="628"/>
      <c r="DK13" s="628"/>
      <c r="DL13" s="628"/>
      <c r="DM13" s="216"/>
    </row>
    <row r="14" spans="1:117" ht="18" customHeight="1">
      <c r="C14" s="629" t="str">
        <f>CY14</f>
        <v>abzügl. Summe Betriebskosten II aus Tab. 4.2 (ohne MwSt)</v>
      </c>
      <c r="D14" s="644">
        <f>'3  Betriebskosten|Operation Ex'!G145</f>
        <v>0</v>
      </c>
      <c r="E14" s="644">
        <f>'3  Betriebskosten|Operation Ex'!H145</f>
        <v>0</v>
      </c>
      <c r="F14" s="644">
        <f>'3  Betriebskosten|Operation Ex'!I145</f>
        <v>0</v>
      </c>
      <c r="G14" s="644">
        <f>'3  Betriebskosten|Operation Ex'!J145</f>
        <v>0</v>
      </c>
      <c r="H14" s="644">
        <f>'3  Betriebskosten|Operation Ex'!K145</f>
        <v>0</v>
      </c>
      <c r="I14" s="644">
        <f>'3  Betriebskosten|Operation Ex'!L145</f>
        <v>0</v>
      </c>
      <c r="J14" s="644">
        <f>'3  Betriebskosten|Operation Ex'!M145</f>
        <v>0</v>
      </c>
      <c r="K14" s="644">
        <f>'3  Betriebskosten|Operation Ex'!N145</f>
        <v>0</v>
      </c>
      <c r="L14" s="644">
        <f>'3  Betriebskosten|Operation Ex'!O145</f>
        <v>0</v>
      </c>
      <c r="M14" s="644">
        <f>'3  Betriebskosten|Operation Ex'!P145</f>
        <v>0</v>
      </c>
      <c r="N14" s="644">
        <f>'3  Betriebskosten|Operation Ex'!Q145</f>
        <v>0</v>
      </c>
      <c r="O14" s="644">
        <f>'3  Betriebskosten|Operation Ex'!R145</f>
        <v>0</v>
      </c>
      <c r="P14" s="2036">
        <f>SUM(D14:O14)</f>
        <v>0</v>
      </c>
      <c r="S14" s="631"/>
      <c r="CQ14" s="628"/>
      <c r="CR14" s="628"/>
      <c r="CS14" s="628"/>
      <c r="CT14" s="628"/>
      <c r="CU14" s="295"/>
      <c r="CV14" s="117"/>
      <c r="CW14" s="117"/>
      <c r="CY14" s="621" t="str">
        <f>IF(Basisdaten!$B$15=Basisdaten!$C$4,DA14,CZ14)</f>
        <v>abzügl. Summe Betriebskosten II aus Tab. 4.2 (ohne MwSt)</v>
      </c>
      <c r="CZ14" s="305" t="str">
        <f>IF($CW$7&lt;&gt;1,"abzügl. Summe Betriebskosten II aus Tab. 4.2 (ohne MwSt)","abzügl. Summe Betriebskosten II aus Tab. 4.2 (mit MwSt)")</f>
        <v>abzügl. Summe Betriebskosten II aus Tab. 4.2 (ohne MwSt)</v>
      </c>
      <c r="DA14" s="305" t="str">
        <f>IF($CW$7&lt;&gt;1,"(-) sum operating costs II from tab.4a (w/o VAT)","(-) sum operating costs II from tab.4a (incl. VAT)")</f>
        <v>(-) sum operating costs II from tab.4a (w/o VAT)</v>
      </c>
      <c r="DB14" s="170"/>
      <c r="DC14" s="170"/>
      <c r="DD14" s="170"/>
      <c r="DE14" s="170"/>
      <c r="DF14" s="170"/>
      <c r="DG14" s="216"/>
      <c r="DH14" s="216"/>
      <c r="DI14" s="216"/>
      <c r="DJ14" s="216"/>
      <c r="DK14" s="216"/>
      <c r="DL14" s="216"/>
      <c r="DM14" s="216"/>
    </row>
    <row r="15" spans="1:117" ht="18" customHeight="1">
      <c r="C15" s="645" t="str">
        <f>C7</f>
        <v>EBIT Vorläufiges Ergebnis / Gewinn vor Steuer</v>
      </c>
      <c r="D15" s="646">
        <f t="shared" ref="D15:O15" si="3">D13-D14</f>
        <v>0</v>
      </c>
      <c r="E15" s="646">
        <f t="shared" si="3"/>
        <v>0</v>
      </c>
      <c r="F15" s="646">
        <f t="shared" si="3"/>
        <v>0</v>
      </c>
      <c r="G15" s="646">
        <f t="shared" si="3"/>
        <v>0</v>
      </c>
      <c r="H15" s="646">
        <f t="shared" si="3"/>
        <v>0</v>
      </c>
      <c r="I15" s="646">
        <f t="shared" si="3"/>
        <v>0</v>
      </c>
      <c r="J15" s="646">
        <f t="shared" si="3"/>
        <v>0</v>
      </c>
      <c r="K15" s="646">
        <f t="shared" si="3"/>
        <v>0</v>
      </c>
      <c r="L15" s="646">
        <f t="shared" si="3"/>
        <v>0</v>
      </c>
      <c r="M15" s="646">
        <f t="shared" si="3"/>
        <v>0</v>
      </c>
      <c r="N15" s="646">
        <f t="shared" si="3"/>
        <v>0</v>
      </c>
      <c r="O15" s="646">
        <f t="shared" si="3"/>
        <v>0</v>
      </c>
      <c r="P15" s="646">
        <f>IF(P13="","",P13-P14)</f>
        <v>0</v>
      </c>
      <c r="CU15" s="295"/>
      <c r="CV15" s="117"/>
      <c r="CW15" s="117"/>
      <c r="CY15" s="621">
        <f>IF(Basisdaten!$B$15=Basisdaten!$C$4,DA15,CZ15)</f>
        <v>0</v>
      </c>
      <c r="CZ15" s="305"/>
      <c r="DA15" s="305"/>
      <c r="DB15" s="55"/>
      <c r="DC15" s="55"/>
      <c r="DD15" s="55"/>
      <c r="DE15" s="55"/>
      <c r="DF15" s="55"/>
    </row>
    <row r="16" spans="1:117" ht="18" customHeight="1">
      <c r="C16" s="647" t="str">
        <f>C8</f>
        <v>Akkumuliert: Vorläufiges Ergebnis / Gewinn vor Steuer</v>
      </c>
      <c r="D16" s="648">
        <f>D15+O8</f>
        <v>0</v>
      </c>
      <c r="E16" s="648">
        <f>E15+D16</f>
        <v>0</v>
      </c>
      <c r="F16" s="648">
        <f>F15+E16</f>
        <v>0</v>
      </c>
      <c r="G16" s="648">
        <f t="shared" ref="G16:O16" si="4">G15+F16</f>
        <v>0</v>
      </c>
      <c r="H16" s="648">
        <f t="shared" si="4"/>
        <v>0</v>
      </c>
      <c r="I16" s="648">
        <f t="shared" si="4"/>
        <v>0</v>
      </c>
      <c r="J16" s="648">
        <f t="shared" si="4"/>
        <v>0</v>
      </c>
      <c r="K16" s="648">
        <f t="shared" si="4"/>
        <v>0</v>
      </c>
      <c r="L16" s="648">
        <f t="shared" si="4"/>
        <v>0</v>
      </c>
      <c r="M16" s="648">
        <f t="shared" si="4"/>
        <v>0</v>
      </c>
      <c r="N16" s="648">
        <f t="shared" si="4"/>
        <v>0</v>
      </c>
      <c r="O16" s="648">
        <f t="shared" si="4"/>
        <v>0</v>
      </c>
      <c r="P16" s="636"/>
      <c r="CU16" s="295"/>
      <c r="CV16" s="117"/>
      <c r="CW16" s="117"/>
      <c r="CY16" s="621">
        <f>IF(Basisdaten!$B$15=Basisdaten!$C$4,DA16,CZ16)</f>
        <v>0</v>
      </c>
    </row>
    <row r="17" spans="3:116" s="68" customFormat="1">
      <c r="C17" s="139"/>
      <c r="D17" s="126"/>
      <c r="E17" s="126"/>
      <c r="F17" s="126"/>
      <c r="G17" s="126"/>
      <c r="H17" s="126"/>
      <c r="I17" s="126"/>
      <c r="J17" s="126"/>
      <c r="K17" s="126"/>
      <c r="L17" s="126"/>
      <c r="M17" s="126"/>
      <c r="N17" s="126"/>
      <c r="O17" s="126"/>
      <c r="P17" s="126"/>
      <c r="Q17" s="80"/>
      <c r="R17" s="80"/>
      <c r="S17" s="74"/>
      <c r="CP17" s="69"/>
      <c r="CQ17" s="69"/>
      <c r="CR17" s="69"/>
      <c r="CS17" s="69"/>
      <c r="CT17" s="69"/>
      <c r="CU17" s="295"/>
      <c r="CV17" s="117"/>
      <c r="CW17" s="117"/>
      <c r="CY17" s="621">
        <f>IF(Basisdaten!$B$15=Basisdaten!$C$4,DA17,CZ17)</f>
        <v>0</v>
      </c>
      <c r="CZ17" s="161"/>
      <c r="DA17" s="161"/>
      <c r="DB17" s="69"/>
      <c r="DC17" s="69"/>
      <c r="DD17" s="69"/>
      <c r="DE17" s="69"/>
      <c r="DF17" s="69"/>
      <c r="DG17" s="69"/>
      <c r="DH17" s="69"/>
      <c r="DI17" s="69"/>
      <c r="DJ17" s="69"/>
      <c r="DK17" s="69"/>
      <c r="DL17" s="69"/>
    </row>
    <row r="18" spans="3:116" s="68" customFormat="1" ht="19.8">
      <c r="C18" s="139"/>
      <c r="D18" s="126"/>
      <c r="E18" s="126"/>
      <c r="F18" s="126"/>
      <c r="G18" s="612"/>
      <c r="H18" s="126"/>
      <c r="I18" s="126"/>
      <c r="J18" s="126"/>
      <c r="K18" s="126"/>
      <c r="L18" s="126"/>
      <c r="M18" s="126"/>
      <c r="N18" s="126"/>
      <c r="O18" s="126"/>
      <c r="P18" s="126"/>
      <c r="Q18" s="80"/>
      <c r="R18" s="80"/>
      <c r="S18" s="74"/>
      <c r="CP18" s="69"/>
      <c r="CQ18" s="69"/>
      <c r="CR18" s="69"/>
      <c r="CS18" s="69"/>
      <c r="CT18" s="69"/>
      <c r="CU18" s="15"/>
      <c r="CV18" s="16"/>
      <c r="CW18" s="16"/>
      <c r="CY18" s="621">
        <f>IF(Basisdaten!$B$15=Basisdaten!$C$4,DA18,CZ18)</f>
        <v>0</v>
      </c>
      <c r="CZ18" s="161"/>
      <c r="DA18" s="161"/>
      <c r="DB18" s="69"/>
      <c r="DC18" s="69"/>
      <c r="DD18" s="69"/>
      <c r="DE18" s="69"/>
      <c r="DF18" s="69"/>
      <c r="DG18" s="69"/>
      <c r="DH18" s="69"/>
      <c r="DI18" s="69"/>
      <c r="DJ18" s="69"/>
      <c r="DK18" s="69"/>
      <c r="DL18" s="69"/>
    </row>
    <row r="19" spans="3:116" s="68" customFormat="1" ht="14.4">
      <c r="C19" s="261"/>
      <c r="D19" s="110"/>
      <c r="E19" s="110"/>
      <c r="F19" s="110"/>
      <c r="G19" s="69"/>
      <c r="H19" s="110"/>
      <c r="I19" s="110"/>
      <c r="J19" s="110"/>
      <c r="K19" s="110"/>
      <c r="L19" s="110"/>
      <c r="M19" s="110"/>
      <c r="N19" s="110"/>
      <c r="O19" s="110"/>
      <c r="P19" s="110"/>
      <c r="Q19" s="80"/>
      <c r="R19" s="80"/>
      <c r="S19" s="1118"/>
      <c r="CP19" s="69"/>
      <c r="CQ19" s="69"/>
      <c r="CR19" s="69"/>
      <c r="CS19" s="69"/>
      <c r="CT19" s="69"/>
      <c r="CU19" s="15"/>
      <c r="CV19" s="16"/>
      <c r="CW19" s="16"/>
      <c r="CY19" s="621">
        <f>IF(Basisdaten!$B$15=Basisdaten!$C$4,DA19,CZ19)</f>
        <v>0</v>
      </c>
      <c r="CZ19" s="161"/>
      <c r="DA19" s="161"/>
      <c r="DB19" s="69"/>
      <c r="DC19" s="69"/>
      <c r="DD19" s="69"/>
      <c r="DE19" s="69"/>
      <c r="DF19" s="69"/>
      <c r="DG19" s="69"/>
      <c r="DH19" s="69"/>
      <c r="DI19" s="69"/>
      <c r="DJ19" s="69"/>
      <c r="DK19" s="69"/>
      <c r="DL19" s="69"/>
    </row>
    <row r="20" spans="3:116" s="68" customFormat="1">
      <c r="C20" s="261"/>
      <c r="D20" s="110"/>
      <c r="E20" s="110"/>
      <c r="F20" s="110"/>
      <c r="G20" s="110"/>
      <c r="H20" s="110"/>
      <c r="I20" s="110"/>
      <c r="J20" s="110"/>
      <c r="K20" s="110"/>
      <c r="L20" s="110"/>
      <c r="M20" s="110"/>
      <c r="N20" s="110"/>
      <c r="O20" s="110"/>
      <c r="P20" s="110"/>
      <c r="Q20" s="80"/>
      <c r="R20" s="80"/>
      <c r="S20" s="74"/>
      <c r="CP20" s="69"/>
      <c r="CQ20" s="69"/>
      <c r="CR20" s="69"/>
      <c r="CS20" s="69"/>
      <c r="CT20" s="69"/>
      <c r="CU20" s="15"/>
      <c r="CV20" s="16"/>
      <c r="CW20" s="16"/>
      <c r="CY20" s="621">
        <f>IF(Basisdaten!$B$15=Basisdaten!$C$4,DA20,CZ20)</f>
        <v>0</v>
      </c>
      <c r="CZ20" s="161"/>
      <c r="DA20" s="161"/>
      <c r="DB20" s="69"/>
      <c r="DC20" s="69"/>
      <c r="DD20" s="69"/>
      <c r="DE20" s="69"/>
      <c r="DF20" s="69"/>
      <c r="DG20" s="69"/>
      <c r="DH20" s="69"/>
      <c r="DI20" s="69"/>
      <c r="DJ20" s="69"/>
      <c r="DK20" s="69"/>
      <c r="DL20" s="69"/>
    </row>
    <row r="21" spans="3:116" s="68" customFormat="1">
      <c r="C21" s="261"/>
      <c r="D21" s="110"/>
      <c r="E21" s="110"/>
      <c r="F21" s="110"/>
      <c r="G21" s="110"/>
      <c r="H21" s="110"/>
      <c r="I21" s="110"/>
      <c r="J21" s="110"/>
      <c r="K21" s="110"/>
      <c r="L21" s="110"/>
      <c r="M21" s="110"/>
      <c r="N21" s="110"/>
      <c r="O21" s="110"/>
      <c r="P21" s="110"/>
      <c r="Q21" s="80"/>
      <c r="R21" s="80"/>
      <c r="S21" s="74"/>
      <c r="CP21" s="69"/>
      <c r="CQ21" s="69"/>
      <c r="CR21" s="69"/>
      <c r="CS21" s="69"/>
      <c r="CT21" s="69"/>
      <c r="CU21" s="15"/>
      <c r="CV21" s="16"/>
      <c r="CW21" s="16"/>
      <c r="CY21" s="621">
        <f>IF(Basisdaten!$B$15=Basisdaten!$C$4,DA21,CZ21)</f>
        <v>0</v>
      </c>
      <c r="CZ21" s="161"/>
      <c r="DA21" s="161"/>
      <c r="DB21" s="69"/>
      <c r="DC21" s="69"/>
      <c r="DD21" s="69"/>
      <c r="DE21" s="69"/>
      <c r="DF21" s="69"/>
      <c r="DG21" s="69"/>
      <c r="DH21" s="69"/>
      <c r="DI21" s="69"/>
      <c r="DJ21" s="69"/>
      <c r="DK21" s="69"/>
      <c r="DL21" s="69"/>
    </row>
    <row r="22" spans="3:116" s="68" customFormat="1">
      <c r="C22" s="139"/>
      <c r="D22" s="126"/>
      <c r="E22" s="126"/>
      <c r="F22" s="126"/>
      <c r="G22" s="126"/>
      <c r="H22" s="126"/>
      <c r="I22" s="126"/>
      <c r="J22" s="126"/>
      <c r="K22" s="126"/>
      <c r="L22" s="126"/>
      <c r="M22" s="126"/>
      <c r="N22" s="126"/>
      <c r="O22" s="126"/>
      <c r="P22" s="126"/>
      <c r="Q22" s="80"/>
      <c r="R22" s="80"/>
      <c r="S22" s="74"/>
      <c r="CP22" s="69"/>
      <c r="CQ22" s="69"/>
      <c r="CR22" s="69"/>
      <c r="CS22" s="69"/>
      <c r="CT22" s="69"/>
      <c r="CU22" s="15"/>
      <c r="CV22" s="16"/>
      <c r="CW22" s="16"/>
      <c r="CY22" s="621">
        <f>IF(Basisdaten!$B$15=Basisdaten!$C$4,DA22,CZ22)</f>
        <v>0</v>
      </c>
      <c r="CZ22" s="161"/>
      <c r="DA22" s="161"/>
      <c r="DB22" s="69"/>
      <c r="DC22" s="69"/>
      <c r="DD22" s="69"/>
      <c r="DE22" s="69"/>
      <c r="DF22" s="69"/>
      <c r="DG22" s="69"/>
      <c r="DH22" s="69"/>
      <c r="DI22" s="69"/>
      <c r="DJ22" s="69"/>
      <c r="DK22" s="69"/>
      <c r="DL22" s="69"/>
    </row>
    <row r="23" spans="3:116" s="68" customFormat="1">
      <c r="C23" s="139"/>
      <c r="D23" s="126"/>
      <c r="E23" s="126"/>
      <c r="F23" s="126"/>
      <c r="G23" s="126"/>
      <c r="H23" s="126"/>
      <c r="I23" s="126"/>
      <c r="J23" s="126"/>
      <c r="K23" s="126"/>
      <c r="L23" s="126"/>
      <c r="M23" s="126"/>
      <c r="N23" s="126"/>
      <c r="O23" s="126"/>
      <c r="P23" s="126"/>
      <c r="Q23" s="80"/>
      <c r="R23" s="80"/>
      <c r="S23" s="74"/>
      <c r="CP23" s="69"/>
      <c r="CQ23" s="69"/>
      <c r="CR23" s="69"/>
      <c r="CS23" s="69"/>
      <c r="CT23" s="69"/>
      <c r="CU23" s="15"/>
      <c r="CV23" s="16"/>
      <c r="CW23" s="16"/>
      <c r="CY23" s="621">
        <f>IF(Basisdaten!$B$15=Basisdaten!$C$4,DA23,CZ23)</f>
        <v>0</v>
      </c>
      <c r="CZ23" s="161"/>
      <c r="DA23" s="161"/>
      <c r="DB23" s="69"/>
      <c r="DC23" s="69"/>
      <c r="DD23" s="69"/>
      <c r="DE23" s="69"/>
      <c r="DF23" s="69"/>
      <c r="DG23" s="69"/>
      <c r="DH23" s="69"/>
      <c r="DI23" s="69"/>
      <c r="DJ23" s="69"/>
      <c r="DK23" s="69"/>
      <c r="DL23" s="69"/>
    </row>
    <row r="24" spans="3:116" s="68" customFormat="1">
      <c r="C24" s="139"/>
      <c r="D24" s="126"/>
      <c r="E24" s="126"/>
      <c r="F24" s="126"/>
      <c r="G24" s="126"/>
      <c r="H24" s="126"/>
      <c r="I24" s="126"/>
      <c r="J24" s="126"/>
      <c r="K24" s="126"/>
      <c r="L24" s="126"/>
      <c r="M24" s="126"/>
      <c r="N24" s="126"/>
      <c r="O24" s="126"/>
      <c r="P24" s="126"/>
      <c r="Q24" s="80"/>
      <c r="R24" s="80"/>
      <c r="S24" s="74"/>
      <c r="CP24" s="69"/>
      <c r="CQ24" s="69"/>
      <c r="CR24" s="69"/>
      <c r="CS24" s="69"/>
      <c r="CT24" s="69"/>
      <c r="CU24" s="15"/>
      <c r="CV24" s="16"/>
      <c r="CW24" s="16"/>
      <c r="CX24" s="16"/>
      <c r="CY24" s="16"/>
      <c r="CZ24" s="16"/>
      <c r="DA24" s="16"/>
      <c r="DB24" s="16"/>
      <c r="DC24" s="69"/>
      <c r="DD24" s="69"/>
      <c r="DE24" s="69"/>
      <c r="DF24" s="69"/>
      <c r="DG24" s="69"/>
      <c r="DH24" s="69"/>
      <c r="DI24" s="69"/>
      <c r="DJ24" s="69"/>
      <c r="DK24" s="69"/>
      <c r="DL24" s="69"/>
    </row>
    <row r="25" spans="3:116" s="68" customFormat="1">
      <c r="C25" s="139"/>
      <c r="D25" s="126"/>
      <c r="E25" s="126"/>
      <c r="F25" s="126"/>
      <c r="G25" s="126"/>
      <c r="H25" s="126"/>
      <c r="I25" s="126"/>
      <c r="J25" s="126"/>
      <c r="K25" s="126"/>
      <c r="L25" s="126"/>
      <c r="M25" s="126"/>
      <c r="N25" s="126"/>
      <c r="O25" s="126"/>
      <c r="P25" s="126"/>
      <c r="Q25" s="80"/>
      <c r="R25" s="80"/>
      <c r="S25" s="74"/>
      <c r="CP25" s="69"/>
      <c r="CQ25" s="69"/>
      <c r="CR25" s="69"/>
      <c r="CS25" s="69"/>
      <c r="CT25" s="69"/>
      <c r="CU25" s="15"/>
      <c r="CV25" s="16"/>
      <c r="CW25" s="16"/>
      <c r="CX25" s="16"/>
      <c r="CY25" s="16"/>
      <c r="CZ25" s="16"/>
      <c r="DA25" s="16"/>
      <c r="DB25" s="16"/>
      <c r="DC25" s="69"/>
      <c r="DD25" s="69"/>
      <c r="DE25" s="69"/>
      <c r="DF25" s="69"/>
      <c r="DG25" s="69"/>
      <c r="DH25" s="69"/>
      <c r="DI25" s="69"/>
      <c r="DJ25" s="69"/>
      <c r="DK25" s="69"/>
      <c r="DL25" s="69"/>
    </row>
    <row r="26" spans="3:116" s="68" customFormat="1">
      <c r="C26" s="139"/>
      <c r="D26" s="126"/>
      <c r="E26" s="126"/>
      <c r="F26" s="126"/>
      <c r="G26" s="126"/>
      <c r="H26" s="126"/>
      <c r="I26" s="126"/>
      <c r="J26" s="126"/>
      <c r="K26" s="126"/>
      <c r="L26" s="126"/>
      <c r="M26" s="126"/>
      <c r="N26" s="126"/>
      <c r="O26" s="126"/>
      <c r="P26" s="126"/>
      <c r="Q26" s="80"/>
      <c r="R26" s="80"/>
      <c r="S26" s="74"/>
      <c r="CP26" s="69"/>
      <c r="CQ26" s="69"/>
      <c r="CR26" s="69"/>
      <c r="CS26" s="69"/>
      <c r="CT26" s="69"/>
      <c r="CU26" s="15"/>
      <c r="CV26" s="16"/>
      <c r="CW26" s="16"/>
      <c r="CX26" s="16"/>
      <c r="CY26" s="16"/>
      <c r="CZ26" s="16"/>
      <c r="DA26" s="16"/>
      <c r="DB26" s="16"/>
      <c r="DC26" s="69"/>
      <c r="DD26" s="69"/>
      <c r="DE26" s="69"/>
      <c r="DF26" s="69"/>
      <c r="DG26" s="69"/>
      <c r="DH26" s="69"/>
      <c r="DI26" s="69"/>
      <c r="DJ26" s="69"/>
      <c r="DK26" s="69"/>
      <c r="DL26" s="69"/>
    </row>
    <row r="27" spans="3:116" s="68" customFormat="1">
      <c r="C27" s="139"/>
      <c r="D27" s="126"/>
      <c r="E27" s="126"/>
      <c r="F27" s="126"/>
      <c r="G27" s="126"/>
      <c r="H27" s="126"/>
      <c r="I27" s="126"/>
      <c r="J27" s="126"/>
      <c r="K27" s="126"/>
      <c r="L27" s="126"/>
      <c r="M27" s="126"/>
      <c r="N27" s="126"/>
      <c r="O27" s="126"/>
      <c r="P27" s="126"/>
      <c r="Q27" s="80"/>
      <c r="R27" s="80"/>
      <c r="S27" s="74"/>
      <c r="CP27" s="69"/>
      <c r="CQ27" s="69"/>
      <c r="CR27" s="69"/>
      <c r="CS27" s="69"/>
      <c r="CT27" s="69"/>
      <c r="CU27" s="15"/>
      <c r="CV27" s="16"/>
      <c r="CW27" s="16"/>
      <c r="CY27" s="621">
        <f>IF(Basisdaten!$B$15=Basisdaten!$C$4,DA27,CZ27)</f>
        <v>0</v>
      </c>
      <c r="CZ27" s="161"/>
      <c r="DA27" s="161"/>
      <c r="DB27" s="69"/>
      <c r="DC27" s="69"/>
      <c r="DD27" s="69"/>
      <c r="DE27" s="69"/>
      <c r="DF27" s="69"/>
      <c r="DG27" s="69"/>
      <c r="DH27" s="69"/>
      <c r="DI27" s="69"/>
      <c r="DJ27" s="69"/>
      <c r="DK27" s="69"/>
      <c r="DL27" s="69"/>
    </row>
    <row r="28" spans="3:116" s="68" customFormat="1">
      <c r="C28" s="139"/>
      <c r="D28" s="126"/>
      <c r="E28" s="126"/>
      <c r="F28" s="126"/>
      <c r="G28" s="126"/>
      <c r="H28" s="126"/>
      <c r="I28" s="126"/>
      <c r="J28" s="126"/>
      <c r="K28" s="126"/>
      <c r="L28" s="126"/>
      <c r="M28" s="126"/>
      <c r="N28" s="126"/>
      <c r="O28" s="126"/>
      <c r="P28" s="126"/>
      <c r="Q28" s="80"/>
      <c r="R28" s="80"/>
      <c r="S28" s="74"/>
      <c r="CP28" s="69"/>
      <c r="CQ28" s="69"/>
      <c r="CR28" s="69"/>
      <c r="CS28" s="69"/>
      <c r="CT28" s="69"/>
      <c r="CU28" s="15"/>
      <c r="CV28" s="16"/>
      <c r="CW28" s="16"/>
      <c r="CY28" s="621">
        <f>IF(Basisdaten!$B$15=Basisdaten!$C$4,DA28,CZ28)</f>
        <v>0</v>
      </c>
      <c r="CZ28" s="161"/>
      <c r="DA28" s="161"/>
      <c r="DB28" s="69"/>
      <c r="DC28" s="69"/>
      <c r="DD28" s="69"/>
      <c r="DE28" s="69"/>
      <c r="DF28" s="69"/>
      <c r="DG28" s="69"/>
      <c r="DH28" s="69"/>
      <c r="DI28" s="69"/>
      <c r="DJ28" s="69"/>
      <c r="DK28" s="69"/>
      <c r="DL28" s="69"/>
    </row>
    <row r="29" spans="3:116" s="68" customFormat="1">
      <c r="C29" s="139"/>
      <c r="D29" s="126"/>
      <c r="E29" s="126"/>
      <c r="F29" s="126"/>
      <c r="G29" s="126"/>
      <c r="H29" s="126"/>
      <c r="I29" s="126"/>
      <c r="J29" s="126"/>
      <c r="K29" s="126"/>
      <c r="L29" s="126"/>
      <c r="M29" s="126"/>
      <c r="N29" s="126"/>
      <c r="O29" s="126"/>
      <c r="P29" s="126"/>
      <c r="Q29" s="80"/>
      <c r="R29" s="80"/>
      <c r="S29" s="74"/>
      <c r="CP29" s="69"/>
      <c r="CQ29" s="69"/>
      <c r="CR29" s="69"/>
      <c r="CS29" s="69"/>
      <c r="CT29" s="69"/>
      <c r="CU29" s="15"/>
      <c r="CV29" s="16"/>
      <c r="CW29" s="16"/>
      <c r="CY29" s="621" t="str">
        <f ca="1">IF(Basisdaten!$B$15=Basisdaten!$C$4,DA29,CZ29)</f>
        <v>Gewinn/Verlust für die Jahre 2026 und 2027</v>
      </c>
      <c r="CZ29" s="305" t="str">
        <f ca="1">"Gewinn/Verlust für die Jahre "&amp;Basisdaten!C15&amp;" und "&amp;Basisdaten!C15+1</f>
        <v>Gewinn/Verlust für die Jahre 2026 und 2027</v>
      </c>
      <c r="DA29" s="305" t="str">
        <f ca="1">"Profit / loss for the years "&amp;Basisdaten!$O$15&amp;" and "&amp;Basisdaten!$C$15+1</f>
        <v>Profit / loss for the years Jahr 2026 and 2027</v>
      </c>
      <c r="DB29" s="69"/>
      <c r="DC29" s="69"/>
      <c r="DD29" s="69"/>
      <c r="DE29" s="69"/>
      <c r="DF29" s="69"/>
      <c r="DG29" s="69"/>
      <c r="DH29" s="69"/>
      <c r="DI29" s="69"/>
      <c r="DJ29" s="69"/>
      <c r="DK29" s="69"/>
      <c r="DL29" s="69"/>
    </row>
    <row r="30" spans="3:116" s="68" customFormat="1">
      <c r="C30" s="139"/>
      <c r="D30" s="126"/>
      <c r="E30" s="126"/>
      <c r="F30" s="126"/>
      <c r="G30" s="126"/>
      <c r="H30" s="126"/>
      <c r="I30" s="126"/>
      <c r="J30" s="126"/>
      <c r="K30" s="126"/>
      <c r="L30" s="126"/>
      <c r="M30" s="126"/>
      <c r="N30" s="126"/>
      <c r="O30" s="126"/>
      <c r="P30" s="126"/>
      <c r="Q30" s="80"/>
      <c r="R30" s="80"/>
      <c r="S30" s="74"/>
      <c r="CP30" s="69"/>
      <c r="CQ30" s="69"/>
      <c r="CR30" s="69"/>
      <c r="CS30" s="69"/>
      <c r="CT30" s="69"/>
      <c r="CU30" s="15"/>
      <c r="CV30" s="16"/>
      <c r="CW30" s="16"/>
      <c r="CY30" s="621">
        <f>IF(Basisdaten!$B$15=Basisdaten!$C$4,DA30,CZ30)</f>
        <v>0</v>
      </c>
      <c r="CZ30" s="161"/>
      <c r="DA30" s="161"/>
      <c r="DB30" s="69"/>
      <c r="DC30" s="69"/>
      <c r="DD30" s="69"/>
      <c r="DE30" s="69"/>
      <c r="DF30" s="69"/>
      <c r="DG30" s="69"/>
      <c r="DH30" s="69"/>
      <c r="DI30" s="69"/>
      <c r="DJ30" s="69"/>
      <c r="DK30" s="69"/>
      <c r="DL30" s="69"/>
    </row>
    <row r="31" spans="3:116" s="68" customFormat="1">
      <c r="C31" s="139"/>
      <c r="D31" s="126"/>
      <c r="E31" s="126"/>
      <c r="F31" s="126"/>
      <c r="G31" s="126"/>
      <c r="H31" s="126"/>
      <c r="I31" s="126"/>
      <c r="J31" s="126"/>
      <c r="K31" s="126"/>
      <c r="L31" s="126"/>
      <c r="M31" s="126"/>
      <c r="N31" s="126"/>
      <c r="O31" s="126"/>
      <c r="P31" s="126"/>
      <c r="Q31" s="80"/>
      <c r="R31" s="80"/>
      <c r="S31" s="74"/>
      <c r="CP31" s="69"/>
      <c r="CQ31" s="69"/>
      <c r="CR31" s="69"/>
      <c r="CS31" s="69"/>
      <c r="CT31" s="69"/>
      <c r="CU31" s="15"/>
      <c r="CV31" s="16"/>
      <c r="CW31" s="16"/>
      <c r="CY31" s="621">
        <f>IF(Basisdaten!$B$15=Basisdaten!$C$4,DA31,CZ31)</f>
        <v>0</v>
      </c>
      <c r="CZ31" s="161"/>
      <c r="DA31" s="161"/>
      <c r="DB31" s="69"/>
      <c r="DC31" s="69"/>
      <c r="DD31" s="69"/>
      <c r="DE31" s="69"/>
      <c r="DF31" s="69"/>
      <c r="DG31" s="69"/>
      <c r="DH31" s="69"/>
      <c r="DI31" s="69"/>
      <c r="DJ31" s="69"/>
      <c r="DK31" s="69"/>
      <c r="DL31" s="69"/>
    </row>
    <row r="32" spans="3:116" s="68" customFormat="1">
      <c r="C32" s="139"/>
      <c r="D32" s="126"/>
      <c r="E32" s="126"/>
      <c r="F32" s="126"/>
      <c r="G32" s="126"/>
      <c r="H32" s="126"/>
      <c r="I32" s="126"/>
      <c r="J32" s="126"/>
      <c r="K32" s="126"/>
      <c r="L32" s="126"/>
      <c r="M32" s="126"/>
      <c r="N32" s="126"/>
      <c r="O32" s="126"/>
      <c r="P32" s="126"/>
      <c r="Q32" s="80"/>
      <c r="R32" s="80"/>
      <c r="S32" s="74"/>
      <c r="CP32" s="69"/>
      <c r="CQ32" s="69"/>
      <c r="CR32" s="69"/>
      <c r="CS32" s="69"/>
      <c r="CT32" s="69"/>
      <c r="CU32" s="15"/>
      <c r="CV32" s="16"/>
      <c r="CW32" s="16"/>
      <c r="CY32" s="621">
        <f>IF(Basisdaten!$B$15=Basisdaten!$C$4,DA32,CZ32)</f>
        <v>0</v>
      </c>
      <c r="CZ32" s="161"/>
      <c r="DA32" s="161"/>
      <c r="DB32" s="69"/>
      <c r="DC32" s="69"/>
      <c r="DD32" s="69"/>
      <c r="DE32" s="69"/>
      <c r="DF32" s="69"/>
      <c r="DG32" s="69"/>
      <c r="DH32" s="69"/>
      <c r="DI32" s="69"/>
      <c r="DJ32" s="69"/>
      <c r="DK32" s="69"/>
      <c r="DL32" s="69"/>
    </row>
    <row r="33" spans="1:116" s="68" customFormat="1">
      <c r="C33" s="139"/>
      <c r="D33" s="126"/>
      <c r="E33" s="126"/>
      <c r="F33" s="126"/>
      <c r="G33" s="126"/>
      <c r="H33" s="126"/>
      <c r="I33" s="126"/>
      <c r="J33" s="126"/>
      <c r="K33" s="126"/>
      <c r="L33" s="126"/>
      <c r="M33" s="126"/>
      <c r="N33" s="126"/>
      <c r="O33" s="126"/>
      <c r="P33" s="126"/>
      <c r="Q33" s="80"/>
      <c r="R33" s="80"/>
      <c r="S33" s="74"/>
      <c r="CP33" s="69"/>
      <c r="CQ33" s="69"/>
      <c r="CR33" s="69"/>
      <c r="CS33" s="69"/>
      <c r="CT33" s="69"/>
      <c r="CU33" s="15"/>
      <c r="CV33" s="16"/>
      <c r="CW33" s="16"/>
      <c r="CY33" s="621">
        <f>IF(Basisdaten!$B$15=Basisdaten!$C$4,DA33,CZ33)</f>
        <v>0</v>
      </c>
      <c r="CZ33" s="161"/>
      <c r="DA33" s="161"/>
      <c r="DB33" s="69"/>
      <c r="DC33" s="69"/>
      <c r="DD33" s="69"/>
      <c r="DE33" s="69"/>
      <c r="DF33" s="69"/>
      <c r="DG33" s="69"/>
      <c r="DH33" s="69"/>
      <c r="DI33" s="69"/>
      <c r="DJ33" s="69"/>
      <c r="DK33" s="69"/>
      <c r="DL33" s="69"/>
    </row>
    <row r="34" spans="1:116" s="146" customFormat="1" ht="16.2">
      <c r="D34" s="637"/>
      <c r="E34" s="637"/>
      <c r="F34" s="637"/>
      <c r="G34" s="637"/>
      <c r="H34" s="637"/>
      <c r="I34" s="637"/>
      <c r="J34" s="637"/>
      <c r="K34" s="637"/>
      <c r="L34" s="637"/>
      <c r="M34" s="637"/>
      <c r="N34" s="637"/>
      <c r="O34" s="637"/>
      <c r="P34" s="651"/>
      <c r="S34" s="148"/>
      <c r="CS34" s="652"/>
      <c r="CT34" s="652"/>
      <c r="CY34" s="621" t="str">
        <f>IF(Basisdaten!$B$15=Basisdaten!$C$4,DA34,CZ34)</f>
        <v>EBIT Vorläufiges Ergebnis / Gewinn vor Steuer</v>
      </c>
      <c r="CZ34" s="653" t="str">
        <f xml:space="preserve"> CZ8</f>
        <v>EBIT Vorläufiges Ergebnis / Gewinn vor Steuer</v>
      </c>
      <c r="DA34" s="296" t="s">
        <v>205</v>
      </c>
      <c r="DB34" s="654"/>
      <c r="DC34" s="654"/>
      <c r="DD34" s="88"/>
      <c r="DE34" s="88"/>
      <c r="DF34" s="88"/>
      <c r="DG34" s="88"/>
      <c r="DH34" s="88"/>
      <c r="DI34" s="88"/>
      <c r="DJ34" s="88"/>
      <c r="DK34" s="88"/>
      <c r="DL34" s="88"/>
    </row>
    <row r="35" spans="1:116" s="150" customFormat="1" ht="24.6">
      <c r="C35" s="163" t="str">
        <f ca="1">CY40</f>
        <v>5.3 Gewinn/Verlust für die Jahre 2026 - 2030</v>
      </c>
      <c r="N35" s="655"/>
      <c r="Q35" s="151"/>
      <c r="R35" s="151"/>
      <c r="S35" s="152"/>
      <c r="CP35" s="214"/>
      <c r="CQ35" s="214"/>
      <c r="CR35" s="214"/>
      <c r="CS35" s="313"/>
      <c r="CT35" s="313"/>
      <c r="CU35" s="164"/>
      <c r="CV35" s="295"/>
      <c r="CW35" s="295"/>
      <c r="CY35" s="621" t="str">
        <f>IF(Basisdaten!$B$15=Basisdaten!$C$4,DA35,CZ35)</f>
        <v>Akkumuliertes vorläufiges Ergebnis / Gewinn vor St. oder Verlust</v>
      </c>
      <c r="CZ35" s="653" t="s">
        <v>122</v>
      </c>
      <c r="DA35" s="296" t="s">
        <v>207</v>
      </c>
      <c r="DB35" s="654"/>
      <c r="DC35" s="654"/>
      <c r="DD35" s="88"/>
      <c r="DE35" s="88"/>
      <c r="DF35" s="88"/>
      <c r="DG35" s="88"/>
      <c r="DH35" s="88"/>
      <c r="DI35" s="88"/>
      <c r="DJ35" s="88"/>
      <c r="DK35" s="88"/>
      <c r="DL35" s="88"/>
    </row>
    <row r="36" spans="1:116" s="73" customFormat="1" ht="9.9" customHeight="1">
      <c r="C36" s="68"/>
      <c r="D36" s="68"/>
      <c r="E36" s="68"/>
      <c r="F36" s="68"/>
      <c r="G36" s="68"/>
      <c r="H36" s="68"/>
      <c r="I36" s="68"/>
      <c r="J36" s="68"/>
      <c r="K36" s="68"/>
      <c r="P36" s="83"/>
      <c r="Q36" s="153"/>
      <c r="R36" s="153"/>
      <c r="CP36" s="69"/>
      <c r="CQ36" s="69"/>
      <c r="CR36" s="69"/>
      <c r="CS36" s="656"/>
      <c r="CT36" s="656"/>
      <c r="CU36" s="15"/>
      <c r="CV36" s="657"/>
      <c r="CW36" s="657"/>
      <c r="CY36" s="621">
        <f>IF(Basisdaten!$B$15=Basisdaten!$C$4,DA36,CZ36)</f>
        <v>0</v>
      </c>
      <c r="CZ36" s="650"/>
      <c r="DA36" s="650"/>
      <c r="DB36" s="658"/>
      <c r="DC36" s="658"/>
      <c r="DD36" s="75"/>
      <c r="DE36" s="75"/>
      <c r="DF36" s="75"/>
      <c r="DG36" s="75"/>
      <c r="DH36" s="75"/>
      <c r="DI36" s="75"/>
      <c r="DJ36" s="75"/>
      <c r="DK36" s="75"/>
      <c r="DL36" s="75"/>
    </row>
    <row r="37" spans="1:116" ht="18" customHeight="1">
      <c r="C37" s="659"/>
      <c r="D37" s="342">
        <f ca="1">Basisdaten!C15</f>
        <v>2026</v>
      </c>
      <c r="E37" s="660">
        <f ca="1">D37+1</f>
        <v>2027</v>
      </c>
      <c r="F37" s="660">
        <f ca="1">E37+1</f>
        <v>2028</v>
      </c>
      <c r="G37" s="660">
        <f ca="1">F37+1</f>
        <v>2029</v>
      </c>
      <c r="H37" s="660">
        <f ca="1">G37+1</f>
        <v>2030</v>
      </c>
      <c r="I37" s="68"/>
      <c r="J37" s="68"/>
      <c r="K37" s="68"/>
      <c r="L37" s="68"/>
      <c r="M37" s="68"/>
      <c r="N37" s="68"/>
      <c r="O37" s="68"/>
      <c r="P37" s="68"/>
      <c r="CS37" s="656"/>
      <c r="CT37" s="656"/>
      <c r="CY37" s="621" t="str">
        <f ca="1">IF(Basisdaten!$B$15=Basisdaten!$C$4,DA37,CZ37)</f>
        <v>Monatliches Ergebnis 2026: Gewinn/Verlust vor Steuer</v>
      </c>
      <c r="CZ37" s="650" t="str">
        <f ca="1">"Monatliches Ergebnis "&amp;Basisdaten!C15&amp;": Gewinn/Verlust vor Steuer"</f>
        <v>Monatliches Ergebnis 2026: Gewinn/Verlust vor Steuer</v>
      </c>
      <c r="DA37" s="650" t="str">
        <f ca="1">"Monthly Result "&amp;Basisdaten!C15&amp;": Profit/Lost before taxes"</f>
        <v>Monthly Result 2026: Profit/Lost before taxes</v>
      </c>
      <c r="DB37" s="658"/>
      <c r="DC37" s="658"/>
      <c r="DD37" s="75"/>
      <c r="DE37" s="75"/>
      <c r="DF37" s="75"/>
      <c r="DG37" s="75"/>
      <c r="DH37" s="75"/>
      <c r="DI37" s="75"/>
      <c r="DJ37" s="75"/>
      <c r="DK37" s="75"/>
      <c r="DL37" s="75"/>
    </row>
    <row r="38" spans="1:116" s="30" customFormat="1" ht="18" customHeight="1">
      <c r="C38" s="661" t="str">
        <f>CY38</f>
        <v>Umsätze aus Tab. 2.3 (ohne MwSt)</v>
      </c>
      <c r="D38" s="662">
        <f>P5</f>
        <v>0</v>
      </c>
      <c r="E38" s="662">
        <f>P13</f>
        <v>0</v>
      </c>
      <c r="F38" s="642">
        <f>'2 Umsatz|Sales'!L124</f>
        <v>0</v>
      </c>
      <c r="G38" s="642">
        <f>'2 Umsatz|Sales'!P124</f>
        <v>0</v>
      </c>
      <c r="H38" s="642">
        <f>'2 Umsatz|Sales'!T124</f>
        <v>0</v>
      </c>
      <c r="I38" s="37"/>
      <c r="J38" s="37"/>
      <c r="K38" s="37"/>
      <c r="L38" s="37"/>
      <c r="M38" s="37"/>
      <c r="N38" s="37"/>
      <c r="O38" s="37"/>
      <c r="P38" s="37"/>
      <c r="Q38" s="136"/>
      <c r="R38" s="136"/>
      <c r="T38" s="136"/>
      <c r="U38" s="136"/>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45"/>
      <c r="CQ38" s="45"/>
      <c r="CR38" s="45"/>
      <c r="CS38" s="313"/>
      <c r="CT38" s="313"/>
      <c r="CU38" s="164"/>
      <c r="CV38" s="117"/>
      <c r="CW38" s="117"/>
      <c r="CY38" s="621" t="str">
        <f>IF(Basisdaten!$B$15=Basisdaten!$C$4,DA38,CZ38)</f>
        <v>Umsätze aus Tab. 2.3 (ohne MwSt)</v>
      </c>
      <c r="CZ38" s="305" t="str">
        <f>IF($CW$7&lt;&gt;1,"Umsätze aus Tab. 2.3 (ohne MwSt)","Umsätze aus Tab. 2.3 (mit MwSt)")</f>
        <v>Umsätze aus Tab. 2.3 (ohne MwSt)</v>
      </c>
      <c r="DA38" s="305" t="str">
        <f>IF($CW$7&lt;&gt;1,"Turnover from tab. 2.3 (w/o VAT)","Turnover from tab. 2.3 (incl. VAT)")</f>
        <v>Turnover from tab. 2.3 (w/o VAT)</v>
      </c>
      <c r="DB38" s="663"/>
      <c r="DC38" s="663"/>
      <c r="DD38" s="664"/>
      <c r="DE38" s="664"/>
      <c r="DF38" s="664"/>
      <c r="DG38" s="664"/>
      <c r="DH38" s="664"/>
      <c r="DI38" s="664"/>
      <c r="DJ38" s="664"/>
      <c r="DK38" s="664"/>
      <c r="DL38" s="664"/>
    </row>
    <row r="39" spans="1:116" s="30" customFormat="1" ht="18" customHeight="1">
      <c r="C39" s="665" t="str">
        <f>CY39</f>
        <v>abzügl. Summe Betriebskosten II aus Tab. 4.3  (ohne MwSt)</v>
      </c>
      <c r="D39" s="1574">
        <f>P6</f>
        <v>0</v>
      </c>
      <c r="E39" s="1574">
        <f>P14</f>
        <v>0</v>
      </c>
      <c r="F39" s="666">
        <f ca="1">'3  Betriebskosten|Operation Ex'!I223</f>
        <v>0</v>
      </c>
      <c r="G39" s="666">
        <f ca="1">'3  Betriebskosten|Operation Ex'!J223</f>
        <v>0</v>
      </c>
      <c r="H39" s="666">
        <f ca="1">'3  Betriebskosten|Operation Ex'!K223</f>
        <v>0</v>
      </c>
      <c r="I39" s="37"/>
      <c r="J39" s="37"/>
      <c r="K39" s="37"/>
      <c r="L39" s="37"/>
      <c r="M39" s="37"/>
      <c r="N39" s="37"/>
      <c r="O39" s="37"/>
      <c r="P39" s="37"/>
      <c r="Q39" s="136"/>
      <c r="R39" s="136"/>
      <c r="S39" s="342" t="str">
        <f>S12</f>
        <v>Aufgaben und/oder Kommentar</v>
      </c>
      <c r="T39" s="136"/>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45"/>
      <c r="CQ39" s="45"/>
      <c r="CR39" s="45"/>
      <c r="CS39" s="313"/>
      <c r="CT39" s="313"/>
      <c r="CU39" s="164"/>
      <c r="CV39" s="117"/>
      <c r="CW39" s="117"/>
      <c r="CY39" s="621" t="str">
        <f>IF(Basisdaten!$B$15=Basisdaten!$C$4,DA39,CZ39)</f>
        <v>abzügl. Summe Betriebskosten II aus Tab. 4.3  (ohne MwSt)</v>
      </c>
      <c r="CZ39" s="305" t="str">
        <f>IF($CW$7&lt;&gt;1,"abzügl. Summe Betriebskosten II aus Tab. 4.3  (ohne MwSt)","abzügl. Summe Betriebskosten II aus Tab. 4.3 (mit MwSt)")</f>
        <v>abzügl. Summe Betriebskosten II aus Tab. 4.3  (ohne MwSt)</v>
      </c>
      <c r="DA39" s="305" t="str">
        <f>IF($CW$7&lt;&gt;1,"less sum operating costs II from tab.4.3 (w/o VAT)","less sum operating costs II from tab.4.3 (incl. VAT)")</f>
        <v>less sum operating costs II from tab.4.3 (w/o VAT)</v>
      </c>
      <c r="DB39" s="663"/>
      <c r="DC39" s="663"/>
      <c r="DD39" s="664"/>
      <c r="DE39" s="664"/>
      <c r="DF39" s="664"/>
      <c r="DG39" s="664"/>
      <c r="DH39" s="664"/>
      <c r="DI39" s="664"/>
      <c r="DJ39" s="664"/>
      <c r="DK39" s="664"/>
      <c r="DL39" s="664"/>
    </row>
    <row r="40" spans="1:116" s="30" customFormat="1" ht="18" customHeight="1">
      <c r="C40" s="667" t="str">
        <f>CY34</f>
        <v>EBIT Vorläufiges Ergebnis / Gewinn vor Steuer</v>
      </c>
      <c r="D40" s="1095">
        <f>D38-D39</f>
        <v>0</v>
      </c>
      <c r="E40" s="1095">
        <f>E38-E39</f>
        <v>0</v>
      </c>
      <c r="F40" s="669">
        <f ca="1">F38-F39</f>
        <v>0</v>
      </c>
      <c r="G40" s="669">
        <f ca="1">G38-G39</f>
        <v>0</v>
      </c>
      <c r="H40" s="669">
        <f ca="1">H38-H39</f>
        <v>0</v>
      </c>
      <c r="I40" s="37"/>
      <c r="J40" s="37"/>
      <c r="K40" s="37"/>
      <c r="L40" s="37"/>
      <c r="M40" s="37"/>
      <c r="N40" s="37"/>
      <c r="O40" s="37"/>
      <c r="P40" s="37"/>
      <c r="Q40" s="136"/>
      <c r="R40" s="136"/>
      <c r="S40" s="627"/>
      <c r="T40" s="37"/>
      <c r="U40" s="37"/>
      <c r="V40" s="37"/>
      <c r="W40" s="37"/>
      <c r="X40" s="37"/>
      <c r="Y40" s="37"/>
      <c r="Z40" s="37"/>
      <c r="AA40" s="37"/>
      <c r="AB40" s="37"/>
      <c r="AC40" s="37"/>
      <c r="AD40" s="37"/>
      <c r="AE40" s="37"/>
      <c r="AF40" s="37"/>
      <c r="AG40" s="37"/>
      <c r="AH40" s="37"/>
      <c r="AI40" s="37"/>
      <c r="AJ40" s="37"/>
      <c r="AK40" s="37"/>
      <c r="AL40" s="37"/>
      <c r="AM40" s="37"/>
      <c r="AN40" s="102"/>
      <c r="AO40" s="102"/>
      <c r="AP40" s="102"/>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45"/>
      <c r="CQ40" s="45"/>
      <c r="CR40" s="45"/>
      <c r="CS40" s="313"/>
      <c r="CT40" s="313"/>
      <c r="CU40" s="164"/>
      <c r="CV40" s="117"/>
      <c r="CW40" s="117"/>
      <c r="CY40" s="621" t="str">
        <f ca="1">IF(Basisdaten!$B$15=Basisdaten!$C$4,DA40,CZ40)</f>
        <v>5.3 Gewinn/Verlust für die Jahre 2026 - 2030</v>
      </c>
      <c r="CZ40" s="305" t="str">
        <f ca="1">"5.3 Gewinn/Verlust für die Jahre "&amp;Basisdaten!O18</f>
        <v>5.3 Gewinn/Verlust für die Jahre 2026 - 2030</v>
      </c>
      <c r="DA40" s="305" t="str">
        <f ca="1">"5.3 Profit / loss for the years "&amp;Basisdaten!O18</f>
        <v>5.3 Profit / loss for the years 2026 - 2030</v>
      </c>
      <c r="DB40" s="663"/>
      <c r="DC40" s="663"/>
      <c r="DD40" s="664"/>
      <c r="DE40" s="664"/>
      <c r="DF40" s="664"/>
      <c r="DG40" s="664"/>
      <c r="DH40" s="664"/>
      <c r="DI40" s="664"/>
      <c r="DJ40" s="664"/>
      <c r="DK40" s="664"/>
      <c r="DL40" s="664"/>
    </row>
    <row r="41" spans="1:116" s="30" customFormat="1" ht="18" customHeight="1">
      <c r="C41" s="670" t="str">
        <f>C8</f>
        <v>Akkumuliert: Vorläufiges Ergebnis / Gewinn vor Steuer</v>
      </c>
      <c r="D41" s="1095">
        <f>D40</f>
        <v>0</v>
      </c>
      <c r="E41" s="1095">
        <f>E40+D41</f>
        <v>0</v>
      </c>
      <c r="F41" s="668">
        <f ca="1">F40+E41</f>
        <v>0</v>
      </c>
      <c r="G41" s="668">
        <f ca="1">G40+F41</f>
        <v>0</v>
      </c>
      <c r="H41" s="668">
        <f ca="1">H40+G41</f>
        <v>0</v>
      </c>
      <c r="I41" s="37"/>
      <c r="J41" s="37"/>
      <c r="K41" s="37"/>
      <c r="L41" s="37"/>
      <c r="M41" s="37"/>
      <c r="N41" s="37"/>
      <c r="O41" s="37"/>
      <c r="P41" s="37"/>
      <c r="Q41" s="136"/>
      <c r="R41" s="136"/>
      <c r="S41" s="136"/>
      <c r="T41" s="136"/>
      <c r="U41" s="136"/>
      <c r="V41" s="37"/>
      <c r="W41" s="37"/>
      <c r="X41" s="37"/>
      <c r="Y41" s="37"/>
      <c r="Z41" s="37"/>
      <c r="AA41" s="37"/>
      <c r="AB41" s="37"/>
      <c r="AC41" s="37"/>
      <c r="AD41" s="37"/>
      <c r="AE41" s="37"/>
      <c r="AF41" s="37"/>
      <c r="AG41" s="37"/>
      <c r="AH41" s="37"/>
      <c r="AI41" s="37"/>
      <c r="AJ41" s="37"/>
      <c r="AK41" s="37"/>
      <c r="AL41" s="37"/>
      <c r="AM41" s="37"/>
      <c r="AQ41" s="37"/>
      <c r="AR41" s="68"/>
      <c r="AS41" s="68"/>
      <c r="AT41" s="68"/>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45"/>
      <c r="CQ41" s="45"/>
      <c r="CR41" s="45"/>
      <c r="CS41" s="313"/>
      <c r="CT41" s="313"/>
      <c r="CU41" s="164"/>
      <c r="CV41" s="117"/>
      <c r="CW41" s="117"/>
      <c r="CY41" s="621" t="str">
        <f>IF(Basisdaten!$B$15=Basisdaten!$C$4,DA41,CZ41)</f>
        <v>EBIT (Übernahme aus Tab 5.3)</v>
      </c>
      <c r="CZ41" s="487" t="s">
        <v>632</v>
      </c>
      <c r="DA41" s="305" t="s">
        <v>633</v>
      </c>
      <c r="DB41" s="663"/>
      <c r="DC41" s="663"/>
      <c r="DD41" s="664"/>
      <c r="DE41" s="664"/>
      <c r="DF41" s="664"/>
      <c r="DG41" s="664"/>
      <c r="DH41" s="664"/>
      <c r="DI41" s="664"/>
      <c r="DJ41" s="664"/>
      <c r="DK41" s="664"/>
      <c r="DL41" s="664"/>
    </row>
    <row r="42" spans="1:116" s="146" customFormat="1" ht="16.2">
      <c r="C42" s="154"/>
      <c r="D42" s="637" t="str">
        <f>IF(D40&gt;0,D40,"")</f>
        <v/>
      </c>
      <c r="E42" s="637" t="str">
        <f>IF(E40&gt;0,E40,"")</f>
        <v/>
      </c>
      <c r="F42" s="637" t="str">
        <f ca="1">IF(F40&gt;0,F40,"")</f>
        <v/>
      </c>
      <c r="G42" s="637" t="str">
        <f ca="1">IF(G40&gt;0,G40,"")</f>
        <v/>
      </c>
      <c r="H42" s="637" t="str">
        <f ca="1">IF(H40&gt;0,H40,"")</f>
        <v/>
      </c>
      <c r="S42" s="155"/>
      <c r="CS42" s="652"/>
      <c r="CT42" s="652"/>
      <c r="CY42" s="621">
        <f>IF(Basisdaten!$B$15=Basisdaten!$C$4,DA42,CZ42)</f>
        <v>0</v>
      </c>
      <c r="CZ42" s="671"/>
      <c r="DA42" s="671"/>
      <c r="DB42" s="658"/>
      <c r="DC42" s="658"/>
      <c r="DD42" s="75"/>
      <c r="DE42" s="75"/>
      <c r="DF42" s="75"/>
      <c r="DG42" s="75"/>
      <c r="DH42" s="75"/>
      <c r="DI42" s="75"/>
      <c r="DJ42" s="75"/>
      <c r="DK42" s="75"/>
      <c r="DL42" s="75"/>
    </row>
    <row r="43" spans="1:116" s="146" customFormat="1" ht="16.2">
      <c r="D43" s="637">
        <f>IF(D40&lt;=0,D40,"")</f>
        <v>0</v>
      </c>
      <c r="E43" s="1331"/>
      <c r="F43" s="637">
        <f ca="1">IF(F40&lt;=0,F40,"")</f>
        <v>0</v>
      </c>
      <c r="G43" s="637">
        <f ca="1">IF(G40&lt;=0,G40,"")</f>
        <v>0</v>
      </c>
      <c r="H43" s="637">
        <f ca="1">IF(H40&lt;=0,H40,"")</f>
        <v>0</v>
      </c>
      <c r="S43" s="155"/>
      <c r="CS43" s="652"/>
      <c r="CT43" s="652"/>
      <c r="CY43" s="621" t="str">
        <f>IF(Basisdaten!$B$15=Basisdaten!$C$4,DA43,CZ43)</f>
        <v>Kleinunternehmerregelung (keine Steuern)</v>
      </c>
      <c r="CZ43" s="160" t="str">
        <f>Basisdaten!V34</f>
        <v>Kleinunternehmerregelung (keine Steuern)</v>
      </c>
      <c r="DA43" s="649" t="str">
        <f>Basisdaten!V34</f>
        <v>Kleinunternehmerregelung (keine Steuern)</v>
      </c>
      <c r="DB43" s="658"/>
      <c r="DC43" s="658"/>
      <c r="DD43" s="75"/>
      <c r="DE43" s="75"/>
      <c r="DF43" s="75"/>
      <c r="DG43" s="75"/>
      <c r="DH43" s="75"/>
      <c r="DI43" s="75"/>
      <c r="DJ43" s="75"/>
      <c r="DK43" s="75"/>
      <c r="DL43" s="75"/>
    </row>
    <row r="44" spans="1:116" s="146" customFormat="1" ht="16.2">
      <c r="D44" s="637"/>
      <c r="E44" s="637"/>
      <c r="F44" s="637"/>
      <c r="G44" s="637"/>
      <c r="H44" s="637"/>
      <c r="S44" s="155"/>
      <c r="CS44" s="652"/>
      <c r="CT44" s="652"/>
      <c r="CY44" s="621" t="str">
        <f ca="1">IF(Basisdaten!$B$15=Basisdaten!$C$4,DA44,CZ44)</f>
        <v>Monatliches Ergebnis 2026 und 2027 : Gewinn/Verlust vor Steuer</v>
      </c>
      <c r="CZ44" s="650" t="str">
        <f ca="1">"Monatliches Ergebnis "&amp;Basisdaten!C15&amp;" und "&amp;Basisdaten!C15+1&amp;" : Gewinn/Verlust vor Steuer"</f>
        <v>Monatliches Ergebnis 2026 und 2027 : Gewinn/Verlust vor Steuer</v>
      </c>
      <c r="DA44" s="650" t="str">
        <f ca="1">"Monthly result "&amp;Basisdaten!C15&amp;" und "&amp;Basisdaten!C15+1&amp;" : Profit/Loss before tax"</f>
        <v>Monthly result 2026 und 2027 : Profit/Loss before tax</v>
      </c>
      <c r="DB44" s="313"/>
      <c r="DC44" s="313"/>
      <c r="DD44" s="45"/>
      <c r="DE44" s="45"/>
      <c r="DF44" s="45"/>
      <c r="DG44" s="45"/>
      <c r="DH44" s="45"/>
      <c r="DI44" s="45"/>
      <c r="DJ44" s="45"/>
      <c r="DK44" s="45"/>
      <c r="DL44" s="45"/>
    </row>
    <row r="45" spans="1:116" s="156" customFormat="1" ht="24.6">
      <c r="A45" s="336" t="s">
        <v>507</v>
      </c>
      <c r="B45" s="146"/>
      <c r="C45" s="163" t="str">
        <f ca="1">CY47</f>
        <v>5.4 Steuerlast für die Jahre 2026 - 2030</v>
      </c>
      <c r="D45" s="637"/>
      <c r="E45" s="637"/>
      <c r="F45" s="637"/>
      <c r="G45" s="637"/>
      <c r="H45" s="637"/>
      <c r="Q45" s="157"/>
      <c r="R45" s="157"/>
      <c r="S45" s="158"/>
      <c r="AB45" s="102"/>
      <c r="AC45" s="102"/>
      <c r="AD45" s="102"/>
      <c r="AE45" s="102"/>
      <c r="AF45" s="102"/>
      <c r="AG45" s="102"/>
      <c r="AH45" s="102"/>
      <c r="AI45" s="102"/>
      <c r="AJ45" s="102"/>
      <c r="AK45" s="102"/>
      <c r="AL45" s="102"/>
      <c r="AM45" s="102"/>
      <c r="AR45" s="94"/>
      <c r="CP45" s="215"/>
      <c r="CQ45" s="215"/>
      <c r="CR45" s="215"/>
      <c r="CS45" s="656"/>
      <c r="CT45" s="656"/>
      <c r="CU45" s="15"/>
      <c r="CV45" s="16"/>
      <c r="CW45" s="16"/>
      <c r="CY45" s="621" t="str">
        <f>IF(Basisdaten!$B$15=Basisdaten!$C$4,DA45,CZ45)</f>
        <v>Jährlicher Gewinn/Verlust</v>
      </c>
      <c r="CZ45" s="161" t="s">
        <v>1075</v>
      </c>
      <c r="DA45" s="161" t="s">
        <v>951</v>
      </c>
      <c r="DB45" s="656"/>
      <c r="DC45" s="656"/>
      <c r="DD45" s="69"/>
      <c r="DE45" s="69"/>
      <c r="DF45" s="69"/>
      <c r="DG45" s="69"/>
      <c r="DH45" s="69"/>
      <c r="DI45" s="69"/>
      <c r="DJ45" s="69"/>
      <c r="DK45" s="69"/>
      <c r="DL45" s="69"/>
    </row>
    <row r="46" spans="1:116" s="68" customFormat="1" ht="16.2">
      <c r="B46" s="146"/>
      <c r="D46" s="637"/>
      <c r="E46" s="637"/>
      <c r="F46" s="637"/>
      <c r="G46" s="637"/>
      <c r="H46" s="637"/>
      <c r="P46" s="70"/>
      <c r="Q46" s="80"/>
      <c r="R46" s="80"/>
      <c r="S46" s="74"/>
      <c r="AB46" s="102"/>
      <c r="AC46" s="102"/>
      <c r="AD46" s="102"/>
      <c r="AE46" s="102"/>
      <c r="AF46" s="102"/>
      <c r="AG46" s="102"/>
      <c r="AH46" s="102"/>
      <c r="AI46" s="102"/>
      <c r="AJ46" s="102"/>
      <c r="AK46" s="102"/>
      <c r="AL46" s="102"/>
      <c r="AM46" s="102"/>
      <c r="CP46" s="69"/>
      <c r="CQ46" s="69"/>
      <c r="CR46" s="69"/>
      <c r="CS46" s="656"/>
      <c r="CT46" s="656"/>
      <c r="CU46" s="15"/>
      <c r="CV46" s="16"/>
      <c r="CW46" s="16"/>
      <c r="CY46" s="621">
        <f>IF(Basisdaten!$B$15=Basisdaten!$C$4,DA46,CZ46)</f>
        <v>0</v>
      </c>
      <c r="CZ46" s="161"/>
      <c r="DA46" s="305"/>
      <c r="DB46" s="656"/>
      <c r="DC46" s="656"/>
      <c r="DD46" s="69"/>
      <c r="DE46" s="69"/>
      <c r="DF46" s="69"/>
      <c r="DG46" s="69"/>
      <c r="DH46" s="69"/>
      <c r="DI46" s="69"/>
      <c r="DJ46" s="69"/>
      <c r="DK46" s="69"/>
      <c r="DL46" s="69"/>
    </row>
    <row r="47" spans="1:116" ht="18" customHeight="1">
      <c r="C47" s="659"/>
      <c r="D47" s="342">
        <f ca="1">Basisdaten!C15</f>
        <v>2026</v>
      </c>
      <c r="E47" s="660">
        <f ca="1">D47+1</f>
        <v>2027</v>
      </c>
      <c r="F47" s="660">
        <f ca="1">E47+1</f>
        <v>2028</v>
      </c>
      <c r="G47" s="660">
        <f ca="1">F47+1</f>
        <v>2029</v>
      </c>
      <c r="H47" s="660">
        <f ca="1">G47+1</f>
        <v>2030</v>
      </c>
      <c r="J47" s="68"/>
      <c r="K47" s="68"/>
      <c r="L47" s="68"/>
      <c r="M47" s="68"/>
      <c r="N47" s="68"/>
      <c r="O47" s="68"/>
      <c r="P47" s="68"/>
      <c r="AB47" s="102"/>
      <c r="AC47" s="102"/>
      <c r="AD47" s="102"/>
      <c r="AE47" s="102"/>
      <c r="AF47" s="102"/>
      <c r="AG47" s="102"/>
      <c r="AH47" s="102"/>
      <c r="AI47" s="102"/>
      <c r="AJ47" s="102"/>
      <c r="AK47" s="102"/>
      <c r="AL47" s="102"/>
      <c r="AM47" s="102"/>
      <c r="BO47" s="37"/>
      <c r="BP47" s="89"/>
      <c r="BQ47" s="672"/>
      <c r="BR47" s="672"/>
      <c r="BS47" s="672"/>
      <c r="BT47" s="672"/>
      <c r="BU47" s="295"/>
      <c r="BV47" s="672"/>
      <c r="BW47" s="672"/>
      <c r="BX47" s="295"/>
      <c r="BY47" s="295"/>
      <c r="BZ47" s="295"/>
      <c r="CA47" s="47"/>
      <c r="CB47" s="47"/>
      <c r="CC47" s="30"/>
      <c r="CD47" s="30"/>
      <c r="CE47" s="30"/>
      <c r="CF47" s="37"/>
      <c r="CG47" s="30"/>
      <c r="CH47" s="30"/>
      <c r="CI47" s="30"/>
      <c r="CJ47" s="30"/>
      <c r="CK47" s="30"/>
      <c r="CL47" s="30"/>
      <c r="CM47" s="37"/>
      <c r="CN47" s="37"/>
      <c r="CO47" s="37"/>
      <c r="CP47" s="37"/>
      <c r="CQ47" s="37"/>
      <c r="CR47" s="697"/>
      <c r="CS47" s="697"/>
      <c r="CT47" s="697"/>
      <c r="CY47" s="621" t="str">
        <f ca="1">IF(Basisdaten!$B$15=Basisdaten!$C$4,DA47,CZ47)</f>
        <v>5.4 Steuerlast für die Jahre 2026 - 2030</v>
      </c>
      <c r="CZ47" s="296" t="str">
        <f ca="1">"5.4 Steuerlast für die Jahre "&amp;Basisdaten!O18</f>
        <v>5.4 Steuerlast für die Jahre 2026 - 2030</v>
      </c>
      <c r="DA47" s="296" t="str">
        <f ca="1">"5.4 Tax load fot the years "&amp;Basisdaten!O18</f>
        <v>5.4 Tax load fot the years 2026 - 2030</v>
      </c>
      <c r="DB47" s="656"/>
      <c r="DC47" s="656"/>
      <c r="DD47" s="69"/>
      <c r="DE47" s="69"/>
      <c r="DF47" s="69"/>
      <c r="DG47" s="69"/>
      <c r="DH47" s="69"/>
      <c r="DI47" s="69"/>
      <c r="DJ47" s="69"/>
      <c r="DK47" s="69"/>
      <c r="DL47" s="69"/>
    </row>
    <row r="48" spans="1:116" ht="18" customHeight="1">
      <c r="C48" s="673" t="str">
        <f>CY41</f>
        <v>EBIT (Übernahme aus Tab 5.3)</v>
      </c>
      <c r="D48" s="674">
        <f>D40</f>
        <v>0</v>
      </c>
      <c r="E48" s="674">
        <f>E40</f>
        <v>0</v>
      </c>
      <c r="F48" s="674">
        <f ca="1">F40</f>
        <v>0</v>
      </c>
      <c r="G48" s="674">
        <f ca="1">G40</f>
        <v>0</v>
      </c>
      <c r="H48" s="674">
        <f ca="1">H40</f>
        <v>0</v>
      </c>
      <c r="J48" s="68"/>
      <c r="K48" s="68"/>
      <c r="L48" s="68"/>
      <c r="M48" s="68"/>
      <c r="N48" s="68"/>
      <c r="O48" s="68"/>
      <c r="P48" s="68"/>
      <c r="S48" s="342" t="str">
        <f>S4</f>
        <v>Aufgaben und/oder Kommentar</v>
      </c>
      <c r="AA48" s="89"/>
      <c r="AC48" s="672"/>
      <c r="AD48" s="672"/>
      <c r="AE48" s="672"/>
      <c r="AF48" s="295"/>
      <c r="AG48" s="672"/>
      <c r="AH48" s="672"/>
      <c r="AI48" s="295"/>
      <c r="AJ48" s="295"/>
      <c r="AK48" s="295"/>
      <c r="AL48" s="102"/>
      <c r="AM48" s="102"/>
      <c r="BP48" s="48"/>
      <c r="CA48" s="102"/>
      <c r="CB48" s="102"/>
      <c r="CF48" s="102"/>
      <c r="CM48" s="102"/>
      <c r="CP48" s="68"/>
      <c r="CQ48" s="68"/>
      <c r="CR48" s="697"/>
      <c r="CS48" s="697"/>
      <c r="CT48" s="697"/>
      <c r="CY48" s="621" t="str">
        <f>IF(Basisdaten!$B$15=Basisdaten!$C$4,DA48,CZ48)</f>
        <v/>
      </c>
      <c r="CZ48" s="296" t="str">
        <f>IF(DA43="Körperschaftsteuer**)","der zu zahlende Körperschaft-Steuersatz beträgt z.Z. 15 % des zu versteuernden Einkommens","")</f>
        <v/>
      </c>
      <c r="DB48" s="656"/>
      <c r="DC48" s="656"/>
      <c r="DD48" s="69"/>
      <c r="DE48" s="69"/>
      <c r="DF48" s="69"/>
      <c r="DG48" s="69"/>
      <c r="DH48" s="69"/>
      <c r="DI48" s="69"/>
      <c r="DJ48" s="69"/>
      <c r="DK48" s="69"/>
      <c r="DL48" s="69"/>
    </row>
    <row r="49" spans="3:116" s="451" customFormat="1" ht="18" customHeight="1">
      <c r="C49" s="1275" t="str">
        <f>Basisdaten!Q34</f>
        <v>Einkommensteuer (Personengesellschaft)</v>
      </c>
      <c r="D49" s="2041">
        <f>IF($C$49=Basisdaten!$V$32,Basisdaten!D40,IF($C$49=Basisdaten!$V$31,Basisdaten!O27,IF($C$49=Basisdaten!$V$34,0,IF($C$49=Basisdaten!$V$33,Basisdaten!O27,0))))</f>
        <v>0</v>
      </c>
      <c r="E49" s="2041">
        <f>IF($C$49=Basisdaten!$V$32,Basisdaten!E40,IF($C$49=Basisdaten!$V$31,Basisdaten!P27,IF($C$49=Basisdaten!$V$34,0,IF($C$49=Basisdaten!$V$33,Basisdaten!P27,"Sprache/Landuage"))))</f>
        <v>0</v>
      </c>
      <c r="F49" s="2041">
        <f ca="1">IF($C$49=Basisdaten!$V$32,Basisdaten!F40,IF($C$49=Basisdaten!$V$31,Basisdaten!Q27,IF($C$49=Basisdaten!$V$34,0,IF($C$49=Basisdaten!$V$33,Basisdaten!Q27,"Sprache/Landuage"))))</f>
        <v>0</v>
      </c>
      <c r="G49" s="2041">
        <f ca="1">IF($C$49=Basisdaten!$V$32,Basisdaten!G40,IF($C$49=Basisdaten!$V$31,Basisdaten!R27,IF($C$49=Basisdaten!$V$34,0,IF($C$49=Basisdaten!$V$33,Basisdaten!R27,"Sprache/Landuage"))))</f>
        <v>0</v>
      </c>
      <c r="H49" s="2041">
        <f ca="1">IF($C$49=Basisdaten!$V$32,Basisdaten!H40,IF($C$49=Basisdaten!$V$31,Basisdaten!S27,IF($C$49=Basisdaten!$V$34,0,IF($C$49=Basisdaten!$V$33,Basisdaten!S27,"Sprache/Landuage"))))</f>
        <v>0</v>
      </c>
      <c r="I49" s="53" t="str">
        <f>CY49</f>
        <v>Hebesatz</v>
      </c>
      <c r="J49" s="298"/>
      <c r="K49" s="298"/>
      <c r="L49" s="298"/>
      <c r="M49" s="298"/>
      <c r="N49" s="298"/>
      <c r="O49" s="298"/>
      <c r="P49" s="298"/>
      <c r="Q49" s="169"/>
      <c r="R49" s="169"/>
      <c r="S49" s="675"/>
      <c r="T49" s="298"/>
      <c r="U49" s="298"/>
      <c r="V49" s="298"/>
      <c r="W49" s="298"/>
      <c r="X49" s="298"/>
      <c r="Y49" s="298"/>
      <c r="BF49" s="298"/>
      <c r="BG49" s="298"/>
      <c r="BH49" s="298"/>
      <c r="BI49" s="298"/>
      <c r="BJ49" s="298"/>
      <c r="BK49" s="298"/>
      <c r="BL49" s="298"/>
      <c r="BM49" s="298"/>
      <c r="BN49" s="298"/>
      <c r="BO49" s="298"/>
      <c r="BP49" s="698"/>
      <c r="BQ49" s="373"/>
      <c r="CA49" s="699"/>
      <c r="CB49" s="699"/>
      <c r="CF49" s="699"/>
      <c r="CG49" s="699"/>
      <c r="CH49" s="699"/>
      <c r="CI49" s="699"/>
      <c r="CJ49" s="699"/>
      <c r="CK49" s="699"/>
      <c r="CL49" s="699"/>
      <c r="CM49" s="699"/>
      <c r="CN49" s="298"/>
      <c r="CO49" s="298"/>
      <c r="CP49" s="298"/>
      <c r="CQ49" s="298"/>
      <c r="CR49" s="298"/>
      <c r="CS49" s="298"/>
      <c r="CT49" s="298"/>
      <c r="CU49" s="700"/>
      <c r="CV49" s="676"/>
      <c r="CW49" s="676"/>
      <c r="CY49" s="621" t="str">
        <f>IF(Basisdaten!$B$15=Basisdaten!$C$4,DA49,CZ49)</f>
        <v>Hebesatz</v>
      </c>
      <c r="CZ49" s="677" t="s">
        <v>634</v>
      </c>
      <c r="DA49" s="676" t="s">
        <v>635</v>
      </c>
      <c r="DB49" s="232"/>
      <c r="DC49" s="232"/>
      <c r="DD49" s="678"/>
      <c r="DE49" s="678"/>
      <c r="DF49" s="678"/>
      <c r="DG49" s="678"/>
      <c r="DH49" s="678"/>
      <c r="DI49" s="678"/>
      <c r="DJ49" s="678"/>
      <c r="DK49" s="678"/>
      <c r="DL49" s="678"/>
    </row>
    <row r="50" spans="3:116" s="451" customFormat="1" ht="18" customHeight="1">
      <c r="C50" s="690" t="str">
        <f>CY50</f>
        <v>Ermittelte / geschätzte Gewerbesteuer **)</v>
      </c>
      <c r="D50" s="2042">
        <f>IF('0 Daten|Data'!$H$9=Basisdaten!$U$33,0,IF('5 Rendite|Profit'!D48-Basisdaten!$K$44&gt;0,('5 Rendite|Profit'!D48-Basisdaten!$K$44)*Basisdaten!$K$42*'5 Rendite|Profit'!$I$50,0))</f>
        <v>0</v>
      </c>
      <c r="E50" s="2042">
        <f>IF('0 Daten|Data'!$H$9=Basisdaten!$U$33,0,IF('5 Rendite|Profit'!E48-Basisdaten!$K$44&gt;0,('5 Rendite|Profit'!E48-Basisdaten!$K$44)*Basisdaten!$K$42*'5 Rendite|Profit'!$I$50,0))</f>
        <v>0</v>
      </c>
      <c r="F50" s="2042">
        <f ca="1">IF('0 Daten|Data'!$H$9=Basisdaten!$U$33,0,IF('5 Rendite|Profit'!F48-Basisdaten!$K$44&gt;0,('5 Rendite|Profit'!F48-Basisdaten!$K$44)*Basisdaten!$K$42*'5 Rendite|Profit'!$I$50,0))</f>
        <v>0</v>
      </c>
      <c r="G50" s="2042">
        <f ca="1">IF('0 Daten|Data'!$H$9=Basisdaten!$U$33,0,IF('5 Rendite|Profit'!G48-Basisdaten!$K$44&gt;0,('5 Rendite|Profit'!G48-Basisdaten!$K$44)*Basisdaten!$K$42*'5 Rendite|Profit'!$I$50,0))</f>
        <v>0</v>
      </c>
      <c r="H50" s="2042">
        <f ca="1">IF('0 Daten|Data'!$H$9=Basisdaten!$U$33,0,IF('5 Rendite|Profit'!H48-Basisdaten!$K$44&gt;0,('5 Rendite|Profit'!H48-Basisdaten!$K$44)*Basisdaten!$K$42*'5 Rendite|Profit'!$I$50,0))</f>
        <v>0</v>
      </c>
      <c r="I50" s="679"/>
      <c r="J50" s="298"/>
      <c r="K50" s="298"/>
      <c r="L50" s="298"/>
      <c r="M50" s="298"/>
      <c r="N50" s="298"/>
      <c r="O50" s="298"/>
      <c r="P50" s="298"/>
      <c r="Q50" s="169"/>
      <c r="R50" s="169"/>
      <c r="S50" s="675"/>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701"/>
      <c r="BQ50" s="295"/>
      <c r="BR50" s="295"/>
      <c r="BS50" s="295"/>
      <c r="BT50" s="295"/>
      <c r="BU50" s="295"/>
      <c r="BV50" s="295"/>
      <c r="BW50" s="295"/>
      <c r="BX50" s="295"/>
      <c r="BY50" s="295"/>
      <c r="BZ50" s="295"/>
      <c r="CA50" s="699"/>
      <c r="CB50" s="699"/>
      <c r="CC50" s="298"/>
      <c r="CD50" s="298"/>
      <c r="CE50" s="298"/>
      <c r="CF50" s="699"/>
      <c r="CG50" s="47"/>
      <c r="CH50" s="47"/>
      <c r="CI50" s="47"/>
      <c r="CJ50" s="47"/>
      <c r="CK50" s="47"/>
      <c r="CL50" s="47"/>
      <c r="CM50" s="699"/>
      <c r="CN50" s="298"/>
      <c r="CO50" s="298"/>
      <c r="CP50" s="298"/>
      <c r="CQ50" s="298"/>
      <c r="CR50" s="298"/>
      <c r="CS50" s="678"/>
      <c r="CT50" s="298"/>
      <c r="CU50" s="700"/>
      <c r="CV50" s="680"/>
      <c r="CW50" s="680"/>
      <c r="CX50" s="681"/>
      <c r="CY50" s="621" t="str">
        <f>IF(Basisdaten!$B$15=Basisdaten!$C$4,DA50,CZ50)</f>
        <v>Ermittelte / geschätzte Gewerbesteuer **)</v>
      </c>
      <c r="CZ50" s="676" t="str">
        <f>IF('0 Daten|Data'!H9='0 Daten|Data'!CV28,"Gewerbesteuer entfällt bei " &amp; '0 Daten|Data'!CV28,"Ermittelte / geschätzte Gewerbesteuer **)")</f>
        <v>Ermittelte / geschätzte Gewerbesteuer **)</v>
      </c>
      <c r="DA50" s="676" t="str">
        <f>IF('0 Daten|Data'!H9='0 Daten|Data'!CV28,"Business tax do not apply to " &amp;'0 Daten|Data'!CV28,"Ascertained / estimated business tax **)")</f>
        <v>Ascertained / estimated business tax **)</v>
      </c>
      <c r="DB50" s="232"/>
      <c r="DC50" s="232"/>
      <c r="DD50" s="678"/>
      <c r="DE50" s="678"/>
      <c r="DF50" s="678"/>
      <c r="DG50" s="678"/>
      <c r="DH50" s="678"/>
      <c r="DI50" s="678"/>
      <c r="DJ50" s="678"/>
      <c r="DK50" s="678"/>
      <c r="DL50" s="678"/>
    </row>
    <row r="51" spans="3:116" s="451" customFormat="1" ht="18" customHeight="1">
      <c r="C51" s="691" t="str">
        <f>CY51</f>
        <v>Ergebnis nach Steuern</v>
      </c>
      <c r="D51" s="682">
        <f>D48-D50-D49</f>
        <v>0</v>
      </c>
      <c r="E51" s="682">
        <f>E48-E50-E49</f>
        <v>0</v>
      </c>
      <c r="F51" s="682">
        <f ca="1">F48-F50-F49</f>
        <v>0</v>
      </c>
      <c r="G51" s="682">
        <f ca="1">G48-G50-G49</f>
        <v>0</v>
      </c>
      <c r="H51" s="682">
        <f ca="1">H48-H50-H49</f>
        <v>0</v>
      </c>
      <c r="J51" s="298"/>
      <c r="K51" s="298"/>
      <c r="L51" s="298"/>
      <c r="M51" s="298"/>
      <c r="N51" s="298"/>
      <c r="O51" s="298"/>
      <c r="P51" s="298"/>
      <c r="Q51" s="169"/>
      <c r="R51" s="169"/>
      <c r="S51" s="169"/>
      <c r="T51" s="298"/>
      <c r="U51" s="298"/>
      <c r="V51" s="298"/>
      <c r="W51" s="298"/>
      <c r="X51" s="298"/>
      <c r="Y51" s="298"/>
      <c r="BF51" s="298"/>
      <c r="BG51" s="298"/>
      <c r="BH51" s="298"/>
      <c r="BI51" s="298"/>
      <c r="BJ51" s="298"/>
      <c r="BK51" s="298"/>
      <c r="BL51" s="298"/>
      <c r="BM51" s="298"/>
      <c r="BN51" s="298"/>
      <c r="BO51" s="298"/>
      <c r="BP51" s="701"/>
      <c r="BQ51" s="702"/>
      <c r="BR51" s="702"/>
      <c r="BS51" s="702"/>
      <c r="BT51" s="702"/>
      <c r="BU51" s="702"/>
      <c r="BV51" s="702"/>
      <c r="BW51" s="702"/>
      <c r="BX51" s="702"/>
      <c r="BY51" s="702"/>
      <c r="BZ51" s="702"/>
      <c r="CA51" s="699"/>
      <c r="CB51" s="699"/>
      <c r="CC51" s="298"/>
      <c r="CD51" s="298"/>
      <c r="CE51" s="298"/>
      <c r="CF51" s="699"/>
      <c r="CG51" s="699"/>
      <c r="CH51" s="699"/>
      <c r="CI51" s="699"/>
      <c r="CJ51" s="699"/>
      <c r="CK51" s="699"/>
      <c r="CL51" s="699"/>
      <c r="CM51" s="699"/>
      <c r="CN51" s="298"/>
      <c r="CO51" s="298"/>
      <c r="CP51" s="298"/>
      <c r="CQ51" s="298"/>
      <c r="CR51" s="167"/>
      <c r="CS51" s="298"/>
      <c r="CT51" s="298"/>
      <c r="CU51" s="700"/>
      <c r="CV51" s="676"/>
      <c r="CW51" s="676"/>
      <c r="CY51" s="621" t="str">
        <f>IF(Basisdaten!$B$15=Basisdaten!$C$4,DA51,CZ51)</f>
        <v>Ergebnis nach Steuern</v>
      </c>
      <c r="CZ51" s="683" t="s">
        <v>112</v>
      </c>
      <c r="DA51" s="676" t="s">
        <v>636</v>
      </c>
      <c r="DB51" s="232"/>
      <c r="DC51" s="232"/>
      <c r="DD51" s="678"/>
      <c r="DE51" s="678"/>
      <c r="DF51" s="678"/>
      <c r="DG51" s="678"/>
      <c r="DH51" s="678"/>
      <c r="DI51" s="678"/>
      <c r="DJ51" s="678"/>
      <c r="DK51" s="678"/>
      <c r="DL51" s="678"/>
    </row>
    <row r="52" spans="3:116" s="37" customFormat="1" ht="39">
      <c r="C52" s="68" t="str">
        <f>CY52</f>
        <v>*) Steuerschätzung (ohne Ehegattensplitting; Eckwerte 2026). Für konkrete Berechnung Steuerberater einschalten</v>
      </c>
      <c r="E52" s="68"/>
      <c r="H52" s="68"/>
      <c r="Q52" s="136"/>
      <c r="R52" s="136"/>
      <c r="S52" s="136"/>
      <c r="BO52" s="68"/>
      <c r="BP52" s="89"/>
      <c r="BQ52" s="370"/>
      <c r="BR52" s="370"/>
      <c r="BS52" s="370"/>
      <c r="BT52" s="370"/>
      <c r="BU52" s="370"/>
      <c r="BV52" s="370"/>
      <c r="BW52" s="370"/>
      <c r="BX52" s="370"/>
      <c r="BY52" s="370"/>
      <c r="BZ52" s="370"/>
      <c r="CA52" s="102"/>
      <c r="CB52" s="102"/>
      <c r="CC52" s="68"/>
      <c r="CD52" s="68"/>
      <c r="CE52" s="68"/>
      <c r="CF52" s="703"/>
      <c r="CG52" s="374"/>
      <c r="CH52" s="374"/>
      <c r="CI52" s="374"/>
      <c r="CJ52" s="374"/>
      <c r="CK52" s="374"/>
      <c r="CL52" s="374"/>
      <c r="CM52" s="102"/>
      <c r="CN52" s="68"/>
      <c r="CO52" s="68"/>
      <c r="CP52" s="68"/>
      <c r="CQ52" s="68"/>
      <c r="CR52" s="68"/>
      <c r="CS52" s="68"/>
      <c r="CT52" s="68"/>
      <c r="CU52" s="164"/>
      <c r="CV52" s="295"/>
      <c r="CW52" s="295"/>
      <c r="CY52" s="621" t="str">
        <f>IF(Basisdaten!$B$15=Basisdaten!$C$4,DA52,CZ52)</f>
        <v>*) Steuerschätzung (ohne Ehegattensplitting; Eckwerte 2026). Für konkrete Berechnung Steuerberater einschalten</v>
      </c>
      <c r="CZ52" s="296" t="s">
        <v>1091</v>
      </c>
      <c r="DA52" s="2047" t="s">
        <v>1092</v>
      </c>
      <c r="DB52" s="656"/>
      <c r="DC52" s="656"/>
      <c r="DD52" s="69"/>
      <c r="DE52" s="69"/>
      <c r="DF52" s="69"/>
      <c r="DG52" s="69"/>
      <c r="DH52" s="69"/>
      <c r="DI52" s="69"/>
      <c r="DJ52" s="69"/>
      <c r="DK52" s="69"/>
      <c r="DL52" s="69"/>
    </row>
    <row r="53" spans="3:116" s="68" customFormat="1" ht="17.399999999999999">
      <c r="C53" s="68" t="str">
        <f>CY53</f>
        <v>**) Gewerbesteuer; Berechnung ohne Garantie</v>
      </c>
      <c r="D53" s="20" t="str">
        <f>CY55</f>
        <v>Hebesätze  der Gemeinden in  Baden-Württemberg</v>
      </c>
      <c r="H53" s="684"/>
      <c r="P53" s="70"/>
      <c r="Q53" s="80"/>
      <c r="R53" s="80"/>
      <c r="S53" s="80"/>
      <c r="BP53" s="48"/>
      <c r="BQ53" s="295"/>
      <c r="BR53" s="295"/>
      <c r="BS53" s="295"/>
      <c r="BT53" s="295"/>
      <c r="BU53" s="295"/>
      <c r="BV53" s="295"/>
      <c r="BW53" s="295"/>
      <c r="BX53" s="295"/>
      <c r="BY53" s="295"/>
      <c r="BZ53" s="295"/>
      <c r="CA53" s="102"/>
      <c r="CB53" s="102"/>
      <c r="CF53" s="703"/>
      <c r="CG53" s="102"/>
      <c r="CH53" s="102"/>
      <c r="CI53" s="102"/>
      <c r="CJ53" s="102"/>
      <c r="CK53" s="102"/>
      <c r="CL53" s="102"/>
      <c r="CM53" s="102"/>
      <c r="CU53" s="15"/>
      <c r="CV53" s="16"/>
      <c r="CW53" s="16"/>
      <c r="CY53" s="621" t="str">
        <f>IF(Basisdaten!$B$15=Basisdaten!$C$4,DA53,CZ53)</f>
        <v>**) Gewerbesteuer; Berechnung ohne Garantie</v>
      </c>
      <c r="CZ53" s="296" t="s">
        <v>637</v>
      </c>
      <c r="DA53" s="296" t="s">
        <v>638</v>
      </c>
      <c r="DB53" s="656"/>
      <c r="DC53" s="656"/>
      <c r="DD53" s="69"/>
      <c r="DE53" s="69"/>
      <c r="DF53" s="69"/>
      <c r="DG53" s="69"/>
      <c r="DH53" s="69"/>
      <c r="DI53" s="69"/>
      <c r="DJ53" s="69"/>
      <c r="DK53" s="69"/>
      <c r="DL53" s="69"/>
    </row>
    <row r="54" spans="3:116" s="68" customFormat="1" ht="17.399999999999999">
      <c r="P54" s="70"/>
      <c r="Q54" s="80"/>
      <c r="R54" s="80"/>
      <c r="S54" s="80"/>
      <c r="BP54" s="89"/>
      <c r="BQ54" s="295"/>
      <c r="BR54" s="295"/>
      <c r="BS54" s="295"/>
      <c r="BT54" s="372"/>
      <c r="BU54" s="372"/>
      <c r="BV54" s="372"/>
      <c r="BW54" s="372"/>
      <c r="BX54" s="372"/>
      <c r="BY54" s="372"/>
      <c r="BZ54" s="295"/>
      <c r="CU54" s="15"/>
      <c r="CV54" s="16"/>
      <c r="CW54" s="16"/>
      <c r="CY54" s="621" t="str">
        <f>IF(Basisdaten!$B$15=Basisdaten!$C$4,DA54,CZ54)</f>
        <v>Die Höhe der Gewerbesteuer ist abhängig vom "Hebesatz" der jeweiligen Gemeinde.</v>
      </c>
      <c r="CZ54" s="296" t="s">
        <v>639</v>
      </c>
      <c r="DA54" s="296" t="s">
        <v>640</v>
      </c>
      <c r="DB54" s="656"/>
      <c r="DC54" s="656"/>
      <c r="DD54" s="69"/>
      <c r="DE54" s="69"/>
      <c r="DF54" s="69"/>
      <c r="DG54" s="69"/>
      <c r="DH54" s="69"/>
      <c r="DI54" s="69"/>
      <c r="DJ54" s="69"/>
      <c r="DK54" s="69"/>
      <c r="DL54" s="69"/>
    </row>
    <row r="55" spans="3:116" s="68" customFormat="1" ht="17.399999999999999">
      <c r="P55" s="70"/>
      <c r="Q55" s="80"/>
      <c r="R55" s="80"/>
      <c r="S55" s="80"/>
      <c r="BP55" s="89"/>
      <c r="BQ55" s="295"/>
      <c r="BR55" s="295"/>
      <c r="BS55" s="295"/>
      <c r="BT55" s="372"/>
      <c r="BU55" s="372"/>
      <c r="BV55" s="372"/>
      <c r="BW55" s="372"/>
      <c r="BX55" s="372"/>
      <c r="BY55" s="372"/>
      <c r="BZ55" s="295"/>
      <c r="CU55" s="15"/>
      <c r="CV55" s="16"/>
      <c r="CW55" s="16"/>
      <c r="CY55" s="621" t="str">
        <f>IF(Basisdaten!$B$15=Basisdaten!$C$4,DA55,CZ55)</f>
        <v>Hebesätze  der Gemeinden in  Baden-Württemberg</v>
      </c>
      <c r="CZ55" s="296" t="s">
        <v>641</v>
      </c>
      <c r="DA55" s="296" t="s">
        <v>642</v>
      </c>
      <c r="DB55" s="656"/>
      <c r="DC55" s="656"/>
      <c r="DD55" s="69"/>
      <c r="DE55" s="69"/>
      <c r="DF55" s="69"/>
      <c r="DG55" s="69"/>
      <c r="DH55" s="69"/>
      <c r="DI55" s="69"/>
      <c r="DJ55" s="69"/>
      <c r="DK55" s="69"/>
      <c r="DL55" s="69"/>
    </row>
    <row r="56" spans="3:116" s="68" customFormat="1">
      <c r="P56" s="70"/>
      <c r="Q56" s="80"/>
      <c r="R56" s="80"/>
      <c r="S56" s="80"/>
      <c r="BO56" s="16"/>
      <c r="BP56" s="102"/>
      <c r="BQ56" s="16"/>
      <c r="BR56" s="16"/>
      <c r="BS56" s="704"/>
      <c r="BT56" s="159"/>
      <c r="BU56" s="159"/>
      <c r="BV56" s="159"/>
      <c r="BW56" s="159"/>
      <c r="BX56" s="159"/>
      <c r="BY56" s="159"/>
      <c r="BZ56" s="16"/>
      <c r="CA56" s="16"/>
      <c r="CB56" s="16"/>
      <c r="CC56" s="16"/>
      <c r="CD56" s="16"/>
      <c r="CE56" s="16"/>
      <c r="CF56" s="16"/>
      <c r="CG56" s="16"/>
      <c r="CH56" s="16"/>
      <c r="CI56" s="16"/>
      <c r="CJ56" s="16"/>
      <c r="CK56" s="16"/>
      <c r="CL56" s="16"/>
      <c r="CM56" s="16"/>
      <c r="CN56" s="16"/>
      <c r="CO56" s="16"/>
      <c r="CP56" s="16"/>
      <c r="CQ56" s="16"/>
      <c r="CR56" s="16"/>
      <c r="CS56" s="16"/>
      <c r="CT56" s="16"/>
      <c r="CU56" s="15"/>
      <c r="CV56" s="16"/>
      <c r="CW56" s="16"/>
      <c r="CY56" s="621">
        <f>IF(Basisdaten!$B$15=Basisdaten!$C$4,DA56,CZ56)</f>
        <v>0</v>
      </c>
      <c r="DD56" s="69"/>
      <c r="DE56" s="69"/>
      <c r="DF56" s="69"/>
      <c r="DG56" s="69"/>
      <c r="DH56" s="69"/>
      <c r="DI56" s="69"/>
      <c r="DJ56" s="69"/>
      <c r="DK56" s="69"/>
      <c r="DL56" s="69"/>
    </row>
    <row r="57" spans="3:116" s="68" customFormat="1" ht="16.2">
      <c r="P57" s="70"/>
      <c r="Q57" s="80"/>
      <c r="R57" s="80"/>
      <c r="S57" s="80"/>
      <c r="BO57" s="16"/>
      <c r="BP57" s="102"/>
      <c r="BQ57" s="295"/>
      <c r="BR57" s="295"/>
      <c r="BS57" s="295"/>
      <c r="BT57" s="372"/>
      <c r="BU57" s="372"/>
      <c r="BV57" s="372"/>
      <c r="BW57" s="372"/>
      <c r="BX57" s="372"/>
      <c r="BY57" s="372"/>
      <c r="BZ57" s="295"/>
      <c r="CA57" s="16"/>
      <c r="CB57" s="16"/>
      <c r="CC57" s="16"/>
      <c r="CD57" s="16"/>
      <c r="CE57" s="16"/>
      <c r="CF57" s="16"/>
      <c r="CG57" s="16"/>
      <c r="CH57" s="16"/>
      <c r="CI57" s="16"/>
      <c r="CJ57" s="16"/>
      <c r="CK57" s="16"/>
      <c r="CL57" s="16"/>
      <c r="CM57" s="16"/>
      <c r="CN57" s="16"/>
      <c r="CO57" s="16"/>
      <c r="CP57" s="16"/>
      <c r="CQ57" s="16"/>
      <c r="CR57" s="16"/>
      <c r="CS57" s="705"/>
      <c r="CT57" s="16"/>
      <c r="CU57" s="15"/>
      <c r="CV57" s="16"/>
      <c r="CW57" s="16"/>
      <c r="CY57" s="620"/>
      <c r="CZ57" s="296"/>
      <c r="DA57" s="296"/>
      <c r="DB57" s="656"/>
      <c r="DC57" s="656"/>
      <c r="DD57" s="69"/>
      <c r="DE57" s="69"/>
      <c r="DF57" s="69"/>
      <c r="DG57" s="69"/>
      <c r="DH57" s="69"/>
      <c r="DI57" s="69"/>
      <c r="DJ57" s="69"/>
      <c r="DK57" s="69"/>
      <c r="DL57" s="69"/>
    </row>
    <row r="58" spans="3:116" s="16" customFormat="1" ht="16.2">
      <c r="C58" s="68"/>
      <c r="D58" s="68"/>
      <c r="E58" s="68"/>
      <c r="F58" s="68"/>
      <c r="G58" s="68"/>
      <c r="H58" s="68"/>
      <c r="I58" s="68"/>
      <c r="J58" s="68"/>
      <c r="K58" s="68"/>
      <c r="L58" s="68"/>
      <c r="M58" s="68"/>
      <c r="N58" s="68"/>
      <c r="P58" s="159"/>
      <c r="Q58" s="160"/>
      <c r="R58" s="160"/>
      <c r="S58" s="160"/>
      <c r="BP58" s="374"/>
      <c r="BQ58" s="372"/>
      <c r="BR58" s="375"/>
      <c r="BS58" s="372"/>
      <c r="BT58" s="372"/>
      <c r="BU58" s="372"/>
      <c r="BV58" s="372"/>
      <c r="BW58" s="372"/>
      <c r="BX58" s="372"/>
      <c r="BY58" s="372"/>
      <c r="BZ58" s="372"/>
      <c r="CF58" s="374"/>
      <c r="CG58" s="372"/>
      <c r="CH58" s="375"/>
      <c r="CI58" s="372"/>
      <c r="CJ58" s="372"/>
      <c r="CK58" s="372"/>
      <c r="CL58" s="372"/>
      <c r="CT58" s="372"/>
      <c r="CU58" s="15"/>
      <c r="CY58" s="620"/>
      <c r="CZ58" s="296"/>
      <c r="DA58" s="296"/>
      <c r="DB58" s="656"/>
      <c r="DC58" s="656"/>
      <c r="DD58" s="69"/>
      <c r="DE58" s="69"/>
      <c r="DF58" s="69"/>
      <c r="DG58" s="69"/>
      <c r="DH58" s="69"/>
      <c r="DI58" s="69"/>
      <c r="DJ58" s="69"/>
      <c r="DK58" s="69"/>
      <c r="DL58" s="69"/>
    </row>
    <row r="59" spans="3:116" s="16" customFormat="1" ht="16.2">
      <c r="C59" s="68"/>
      <c r="D59" s="68"/>
      <c r="E59" s="68"/>
      <c r="F59" s="68"/>
      <c r="G59" s="68"/>
      <c r="H59" s="68"/>
      <c r="I59" s="68"/>
      <c r="J59" s="68"/>
      <c r="K59" s="68"/>
      <c r="L59" s="68"/>
      <c r="M59" s="68"/>
      <c r="N59" s="68"/>
      <c r="Q59" s="160"/>
      <c r="R59" s="160"/>
      <c r="S59" s="160"/>
      <c r="BO59" s="372"/>
      <c r="BP59" s="372"/>
      <c r="BQ59" s="370"/>
      <c r="BR59" s="369"/>
      <c r="BS59" s="370"/>
      <c r="BT59" s="369"/>
      <c r="BU59" s="370"/>
      <c r="BV59" s="369"/>
      <c r="BW59" s="370"/>
      <c r="BX59" s="369"/>
      <c r="BY59" s="370"/>
      <c r="BZ59" s="369"/>
      <c r="CB59" s="706"/>
      <c r="CC59" s="705"/>
      <c r="CE59" s="372"/>
      <c r="CF59" s="372"/>
      <c r="CG59" s="370"/>
      <c r="CH59" s="369"/>
      <c r="CI59" s="370"/>
      <c r="CJ59" s="369"/>
      <c r="CK59" s="370"/>
      <c r="CL59" s="369"/>
      <c r="CN59" s="707"/>
      <c r="CO59" s="705"/>
      <c r="CQ59" s="372"/>
      <c r="CR59" s="705"/>
      <c r="CT59" s="708"/>
      <c r="CU59" s="15"/>
      <c r="CY59" s="620"/>
      <c r="CZ59" s="296"/>
      <c r="DA59" s="296"/>
      <c r="DB59" s="656"/>
      <c r="DC59" s="656"/>
      <c r="DD59" s="69"/>
      <c r="DE59" s="69"/>
      <c r="DF59" s="69"/>
      <c r="DG59" s="69"/>
      <c r="DH59" s="69"/>
      <c r="DI59" s="69"/>
      <c r="DJ59" s="69"/>
      <c r="DK59" s="69"/>
      <c r="DL59" s="69"/>
    </row>
    <row r="60" spans="3:116" s="16" customFormat="1" ht="16.2" customHeight="1">
      <c r="C60" s="68"/>
      <c r="D60" s="68"/>
      <c r="E60" s="68"/>
      <c r="F60" s="68"/>
      <c r="G60" s="68"/>
      <c r="H60" s="68"/>
      <c r="I60" s="68"/>
      <c r="J60" s="68"/>
      <c r="K60" s="68"/>
      <c r="L60" s="68"/>
      <c r="M60" s="68"/>
      <c r="N60" s="68"/>
      <c r="P60" s="159"/>
      <c r="Q60" s="160"/>
      <c r="R60" s="160"/>
      <c r="S60" s="160"/>
      <c r="BO60" s="372"/>
      <c r="BP60" s="372"/>
      <c r="BQ60" s="376"/>
      <c r="BR60" s="369"/>
      <c r="BS60" s="370"/>
      <c r="BT60" s="369"/>
      <c r="BU60" s="370"/>
      <c r="BV60" s="369"/>
      <c r="BW60" s="370"/>
      <c r="BX60" s="369"/>
      <c r="BY60" s="370"/>
      <c r="BZ60" s="369"/>
      <c r="CA60" s="68"/>
      <c r="CB60" s="706"/>
      <c r="CC60" s="705"/>
      <c r="CD60" s="68"/>
      <c r="CE60" s="372"/>
      <c r="CF60" s="372"/>
      <c r="CG60" s="376"/>
      <c r="CH60" s="369"/>
      <c r="CI60" s="370"/>
      <c r="CJ60" s="369"/>
      <c r="CK60" s="370"/>
      <c r="CL60" s="369"/>
      <c r="CM60" s="68"/>
      <c r="CN60" s="707"/>
      <c r="CO60" s="705"/>
      <c r="CP60" s="68"/>
      <c r="CQ60" s="372"/>
      <c r="CR60" s="705"/>
      <c r="CS60" s="68"/>
      <c r="CT60" s="708"/>
      <c r="CU60" s="15"/>
      <c r="CY60" s="620"/>
      <c r="CZ60" s="296"/>
      <c r="DA60" s="296"/>
      <c r="DB60" s="656"/>
      <c r="DC60" s="656"/>
      <c r="DD60" s="69"/>
      <c r="DE60" s="69"/>
      <c r="DF60" s="69"/>
      <c r="DG60" s="69"/>
      <c r="DH60" s="69"/>
      <c r="DI60" s="69"/>
      <c r="DJ60" s="69"/>
      <c r="DK60" s="69"/>
      <c r="DL60" s="69"/>
    </row>
    <row r="61" spans="3:116" s="16" customFormat="1" ht="16.2">
      <c r="C61" s="68"/>
      <c r="D61" s="68"/>
      <c r="E61" s="68"/>
      <c r="F61" s="68"/>
      <c r="G61" s="68"/>
      <c r="H61" s="68"/>
      <c r="I61" s="68"/>
      <c r="J61" s="68"/>
      <c r="K61" s="68"/>
      <c r="L61" s="68"/>
      <c r="M61" s="68"/>
      <c r="N61" s="68"/>
      <c r="P61" s="159"/>
      <c r="Q61" s="160"/>
      <c r="R61" s="160"/>
      <c r="S61" s="160"/>
      <c r="BO61" s="372"/>
      <c r="BP61" s="372"/>
      <c r="BQ61" s="376"/>
      <c r="BR61" s="369"/>
      <c r="BS61" s="370"/>
      <c r="BT61" s="369"/>
      <c r="BU61" s="370"/>
      <c r="BV61" s="369"/>
      <c r="BW61" s="370"/>
      <c r="BX61" s="369"/>
      <c r="BY61" s="370"/>
      <c r="BZ61" s="369"/>
      <c r="CA61" s="68"/>
      <c r="CB61" s="706"/>
      <c r="CC61" s="705"/>
      <c r="CD61" s="68"/>
      <c r="CE61" s="372"/>
      <c r="CF61" s="372"/>
      <c r="CG61" s="376"/>
      <c r="CH61" s="369"/>
      <c r="CI61" s="370"/>
      <c r="CJ61" s="369"/>
      <c r="CK61" s="370"/>
      <c r="CL61" s="369"/>
      <c r="CM61" s="68"/>
      <c r="CN61" s="707"/>
      <c r="CO61" s="705"/>
      <c r="CP61" s="68"/>
      <c r="CQ61" s="372"/>
      <c r="CR61" s="705"/>
      <c r="CS61" s="68"/>
      <c r="CT61" s="708"/>
      <c r="CU61" s="15"/>
      <c r="CY61" s="620"/>
      <c r="CZ61" s="296"/>
      <c r="DA61" s="296"/>
      <c r="DB61" s="656"/>
      <c r="DC61" s="656"/>
      <c r="DD61" s="69"/>
      <c r="DE61" s="69"/>
      <c r="DF61" s="69"/>
      <c r="DG61" s="69"/>
      <c r="DH61" s="69"/>
      <c r="DI61" s="69"/>
      <c r="DJ61" s="69"/>
      <c r="DK61" s="69"/>
      <c r="DL61" s="69"/>
    </row>
    <row r="62" spans="3:116" s="68" customFormat="1" ht="16.2">
      <c r="P62" s="70"/>
      <c r="Q62" s="80"/>
      <c r="R62" s="80"/>
      <c r="S62" s="80"/>
      <c r="BO62" s="372"/>
      <c r="BP62" s="372"/>
      <c r="BQ62" s="376"/>
      <c r="BR62" s="369"/>
      <c r="BS62" s="370"/>
      <c r="BT62" s="369"/>
      <c r="BU62" s="370"/>
      <c r="BV62" s="369"/>
      <c r="BW62" s="370"/>
      <c r="BX62" s="369"/>
      <c r="BY62" s="370"/>
      <c r="BZ62" s="369"/>
      <c r="CB62" s="706"/>
      <c r="CC62" s="705"/>
      <c r="CE62" s="372"/>
      <c r="CF62" s="372"/>
      <c r="CG62" s="376"/>
      <c r="CH62" s="369"/>
      <c r="CI62" s="370"/>
      <c r="CJ62" s="369"/>
      <c r="CK62" s="370"/>
      <c r="CL62" s="369"/>
      <c r="CN62" s="707"/>
      <c r="CO62" s="705"/>
      <c r="CQ62" s="372"/>
      <c r="CR62" s="705"/>
      <c r="CT62" s="708"/>
      <c r="CU62" s="15"/>
      <c r="CV62" s="16"/>
      <c r="CW62" s="16"/>
      <c r="CY62" s="620"/>
      <c r="CZ62" s="296"/>
      <c r="DA62" s="296"/>
      <c r="DB62" s="656"/>
      <c r="DC62" s="656"/>
      <c r="DD62" s="69"/>
      <c r="DE62" s="69"/>
      <c r="DF62" s="69"/>
      <c r="DG62" s="69"/>
      <c r="DH62" s="69"/>
      <c r="DI62" s="69"/>
      <c r="DJ62" s="69"/>
      <c r="DK62" s="69"/>
      <c r="DL62" s="69"/>
    </row>
    <row r="63" spans="3:116" s="68" customFormat="1" ht="16.2">
      <c r="P63" s="70"/>
      <c r="Q63" s="80"/>
      <c r="R63" s="80"/>
      <c r="S63" s="80"/>
      <c r="CP63" s="69"/>
      <c r="CQ63" s="69"/>
      <c r="CR63" s="69"/>
      <c r="CS63" s="656"/>
      <c r="CT63" s="656"/>
      <c r="CU63" s="15"/>
      <c r="CV63" s="16"/>
      <c r="CW63" s="16"/>
      <c r="CY63" s="620"/>
      <c r="CZ63" s="296"/>
      <c r="DA63" s="296"/>
      <c r="DB63" s="656"/>
      <c r="DC63" s="656"/>
      <c r="DD63" s="69"/>
      <c r="DE63" s="69"/>
      <c r="DF63" s="69"/>
      <c r="DG63" s="69"/>
      <c r="DH63" s="69"/>
      <c r="DI63" s="69"/>
      <c r="DJ63" s="69"/>
      <c r="DK63" s="69"/>
      <c r="DL63" s="69"/>
    </row>
    <row r="64" spans="3:116" s="68" customFormat="1">
      <c r="P64" s="70"/>
      <c r="Q64" s="80"/>
      <c r="R64" s="80"/>
      <c r="S64" s="80"/>
      <c r="CP64" s="69"/>
      <c r="CQ64" s="69"/>
      <c r="CR64" s="69"/>
      <c r="CS64" s="69"/>
      <c r="CT64" s="69"/>
      <c r="CU64" s="15"/>
      <c r="CV64" s="16"/>
      <c r="CW64" s="16"/>
      <c r="CY64" s="620"/>
      <c r="CZ64" s="296"/>
      <c r="DA64" s="296"/>
      <c r="DB64" s="69"/>
      <c r="DC64" s="69"/>
      <c r="DD64" s="69"/>
      <c r="DE64" s="69"/>
      <c r="DF64" s="69"/>
      <c r="DG64" s="69"/>
      <c r="DH64" s="69"/>
      <c r="DI64" s="69"/>
      <c r="DJ64" s="69"/>
      <c r="DK64" s="69"/>
      <c r="DL64" s="69"/>
    </row>
    <row r="65" spans="16:116" s="68" customFormat="1">
      <c r="P65" s="70"/>
      <c r="Q65" s="80"/>
      <c r="R65" s="80"/>
      <c r="S65" s="80"/>
      <c r="AA65" s="159"/>
      <c r="AR65" s="376"/>
      <c r="CP65" s="69"/>
      <c r="CQ65" s="69"/>
      <c r="CR65" s="69"/>
      <c r="CS65" s="69"/>
      <c r="CT65" s="69"/>
      <c r="CU65" s="15"/>
      <c r="CV65" s="16"/>
      <c r="CW65" s="16"/>
      <c r="CY65" s="620"/>
      <c r="CZ65" s="296"/>
      <c r="DA65" s="296"/>
      <c r="DB65" s="69"/>
      <c r="DC65" s="69"/>
      <c r="DD65" s="69"/>
      <c r="DE65" s="69"/>
      <c r="DF65" s="69"/>
      <c r="DG65" s="69"/>
      <c r="DH65" s="69"/>
      <c r="DI65" s="69"/>
      <c r="DJ65" s="69"/>
      <c r="DK65" s="69"/>
      <c r="DL65" s="69"/>
    </row>
    <row r="66" spans="16:116" s="68" customFormat="1">
      <c r="P66" s="70"/>
      <c r="Q66" s="80"/>
      <c r="R66" s="80"/>
      <c r="S66" s="80"/>
      <c r="CP66" s="69"/>
      <c r="CQ66" s="69"/>
      <c r="CR66" s="69"/>
      <c r="CS66" s="69"/>
      <c r="CT66" s="69"/>
      <c r="CU66" s="15"/>
      <c r="CV66" s="16"/>
      <c r="CW66" s="16"/>
      <c r="CY66" s="620"/>
      <c r="CZ66" s="296"/>
      <c r="DA66" s="296"/>
      <c r="DB66" s="69"/>
      <c r="DC66" s="69"/>
      <c r="DD66" s="69"/>
      <c r="DE66" s="69"/>
      <c r="DF66" s="69"/>
      <c r="DG66" s="69"/>
      <c r="DH66" s="69"/>
      <c r="DI66" s="69"/>
      <c r="DJ66" s="69"/>
      <c r="DK66" s="69"/>
      <c r="DL66" s="69"/>
    </row>
    <row r="67" spans="16:116" s="68" customFormat="1">
      <c r="P67" s="70"/>
      <c r="Q67" s="80"/>
      <c r="R67" s="80"/>
      <c r="S67" s="80"/>
      <c r="CP67" s="69"/>
      <c r="CQ67" s="69"/>
      <c r="CR67" s="69"/>
      <c r="CS67" s="69"/>
      <c r="CT67" s="69"/>
      <c r="CU67" s="15"/>
      <c r="CV67" s="16"/>
      <c r="CW67" s="16"/>
      <c r="CY67" s="620"/>
      <c r="CZ67" s="296"/>
      <c r="DA67" s="296"/>
      <c r="DB67" s="69"/>
      <c r="DC67" s="69"/>
      <c r="DD67" s="69"/>
      <c r="DE67" s="69"/>
      <c r="DF67" s="69"/>
      <c r="DG67" s="69"/>
      <c r="DH67" s="69"/>
      <c r="DI67" s="69"/>
      <c r="DJ67" s="69"/>
      <c r="DK67" s="69"/>
      <c r="DL67" s="69"/>
    </row>
    <row r="68" spans="16:116" s="68" customFormat="1">
      <c r="P68" s="70"/>
      <c r="Q68" s="80"/>
      <c r="R68" s="80"/>
      <c r="S68" s="80"/>
      <c r="CP68" s="69"/>
      <c r="CQ68" s="69"/>
      <c r="CR68" s="69"/>
      <c r="CS68" s="69"/>
      <c r="CT68" s="69"/>
      <c r="CU68" s="15"/>
      <c r="CV68" s="16"/>
      <c r="CW68" s="16"/>
      <c r="CY68" s="620"/>
      <c r="CZ68" s="296"/>
      <c r="DA68" s="296"/>
      <c r="DB68" s="69"/>
      <c r="DC68" s="69"/>
      <c r="DD68" s="69"/>
      <c r="DE68" s="69"/>
      <c r="DF68" s="69"/>
      <c r="DG68" s="69"/>
      <c r="DH68" s="69"/>
      <c r="DI68" s="69"/>
      <c r="DJ68" s="69"/>
      <c r="DK68" s="69"/>
      <c r="DL68" s="69"/>
    </row>
    <row r="69" spans="16:116" s="68" customFormat="1">
      <c r="P69" s="70"/>
      <c r="Q69" s="80"/>
      <c r="R69" s="80"/>
      <c r="S69" s="80"/>
      <c r="CP69" s="69"/>
      <c r="CQ69" s="69"/>
      <c r="CR69" s="69"/>
      <c r="CS69" s="69"/>
      <c r="CT69" s="69"/>
      <c r="CU69" s="15"/>
      <c r="CV69" s="16"/>
      <c r="CW69" s="16"/>
      <c r="CY69" s="620"/>
      <c r="CZ69" s="296"/>
      <c r="DA69" s="296"/>
      <c r="DB69" s="69"/>
      <c r="DC69" s="69"/>
      <c r="DD69" s="69"/>
      <c r="DE69" s="69"/>
      <c r="DF69" s="69"/>
      <c r="DG69" s="69"/>
      <c r="DH69" s="69"/>
      <c r="DI69" s="69"/>
      <c r="DJ69" s="69"/>
      <c r="DK69" s="69"/>
      <c r="DL69" s="69"/>
    </row>
    <row r="70" spans="16:116" s="68" customFormat="1">
      <c r="P70" s="70"/>
      <c r="Q70" s="80"/>
      <c r="R70" s="80"/>
      <c r="S70" s="80"/>
      <c r="CP70" s="69"/>
      <c r="CQ70" s="69"/>
      <c r="CR70" s="69"/>
      <c r="CS70" s="69"/>
      <c r="CT70" s="69"/>
      <c r="CU70" s="15"/>
      <c r="CV70" s="16"/>
      <c r="CW70" s="16"/>
      <c r="CY70" s="620"/>
      <c r="CZ70" s="296"/>
      <c r="DA70" s="296"/>
      <c r="DB70" s="69"/>
      <c r="DC70" s="69"/>
      <c r="DD70" s="69"/>
      <c r="DE70" s="69"/>
      <c r="DF70" s="69"/>
      <c r="DG70" s="69"/>
      <c r="DH70" s="69"/>
      <c r="DI70" s="69"/>
      <c r="DJ70" s="69"/>
      <c r="DK70" s="69"/>
      <c r="DL70" s="69"/>
    </row>
    <row r="71" spans="16:116" s="68" customFormat="1">
      <c r="P71" s="70"/>
      <c r="Q71" s="80"/>
      <c r="R71" s="80"/>
      <c r="S71" s="80"/>
      <c r="CP71" s="69"/>
      <c r="CQ71" s="69"/>
      <c r="CR71" s="69"/>
      <c r="CS71" s="69"/>
      <c r="CT71" s="69"/>
      <c r="CU71" s="15"/>
      <c r="CV71" s="16"/>
      <c r="CW71" s="16"/>
      <c r="CY71" s="620"/>
      <c r="CZ71" s="296"/>
      <c r="DA71" s="296"/>
      <c r="DB71" s="69"/>
      <c r="DC71" s="69"/>
      <c r="DD71" s="69"/>
      <c r="DE71" s="69"/>
      <c r="DF71" s="69"/>
      <c r="DG71" s="69"/>
      <c r="DH71" s="69"/>
      <c r="DI71" s="69"/>
      <c r="DJ71" s="69"/>
      <c r="DK71" s="69"/>
      <c r="DL71" s="69"/>
    </row>
    <row r="72" spans="16:116" s="68" customFormat="1">
      <c r="P72" s="70"/>
      <c r="Q72" s="80"/>
      <c r="R72" s="80"/>
      <c r="S72" s="80"/>
      <c r="CP72" s="69"/>
      <c r="CQ72" s="69"/>
      <c r="CR72" s="69"/>
      <c r="CS72" s="69"/>
      <c r="CT72" s="69"/>
      <c r="CU72" s="15"/>
      <c r="CV72" s="16"/>
      <c r="CW72" s="16"/>
      <c r="CY72" s="620"/>
      <c r="CZ72" s="296"/>
      <c r="DA72" s="296"/>
      <c r="DB72" s="69"/>
      <c r="DC72" s="69"/>
      <c r="DD72" s="69"/>
      <c r="DE72" s="69"/>
      <c r="DF72" s="69"/>
      <c r="DG72" s="69"/>
      <c r="DH72" s="69"/>
      <c r="DI72" s="69"/>
      <c r="DJ72" s="69"/>
      <c r="DK72" s="69"/>
      <c r="DL72" s="69"/>
    </row>
    <row r="73" spans="16:116" s="68" customFormat="1">
      <c r="P73" s="70"/>
      <c r="Q73" s="80"/>
      <c r="R73" s="80"/>
      <c r="S73" s="80"/>
      <c r="CP73" s="69"/>
      <c r="CQ73" s="69"/>
      <c r="CR73" s="69"/>
      <c r="CS73" s="69"/>
      <c r="CT73" s="69"/>
      <c r="CU73" s="15"/>
      <c r="CV73" s="16"/>
      <c r="CW73" s="16"/>
      <c r="CY73" s="620"/>
      <c r="CZ73" s="296"/>
      <c r="DA73" s="296"/>
      <c r="DB73" s="69"/>
      <c r="DC73" s="69"/>
      <c r="DD73" s="69"/>
      <c r="DE73" s="69"/>
      <c r="DF73" s="69"/>
      <c r="DG73" s="69"/>
      <c r="DH73" s="69"/>
      <c r="DI73" s="69"/>
      <c r="DJ73" s="69"/>
      <c r="DK73" s="69"/>
      <c r="DL73" s="69"/>
    </row>
    <row r="74" spans="16:116" s="68" customFormat="1">
      <c r="P74" s="70"/>
      <c r="Q74" s="80"/>
      <c r="R74" s="80"/>
      <c r="S74" s="80"/>
      <c r="CP74" s="69"/>
      <c r="CQ74" s="69"/>
      <c r="CR74" s="69"/>
      <c r="CS74" s="69"/>
      <c r="CT74" s="69"/>
      <c r="CU74" s="15"/>
      <c r="CV74" s="16"/>
      <c r="CW74" s="16"/>
      <c r="CY74" s="620"/>
      <c r="CZ74" s="296"/>
      <c r="DA74" s="296"/>
      <c r="DB74" s="69"/>
      <c r="DC74" s="69"/>
      <c r="DD74" s="69"/>
      <c r="DE74" s="69"/>
      <c r="DF74" s="69"/>
      <c r="DG74" s="69"/>
      <c r="DH74" s="69"/>
      <c r="DI74" s="69"/>
      <c r="DJ74" s="69"/>
      <c r="DK74" s="69"/>
      <c r="DL74" s="69"/>
    </row>
    <row r="75" spans="16:116" s="68" customFormat="1">
      <c r="P75" s="70"/>
      <c r="Q75" s="80"/>
      <c r="R75" s="80"/>
      <c r="S75" s="80"/>
      <c r="CP75" s="69"/>
      <c r="CQ75" s="69"/>
      <c r="CR75" s="69"/>
      <c r="CS75" s="69"/>
      <c r="CT75" s="69"/>
      <c r="CU75" s="15"/>
      <c r="CV75" s="16"/>
      <c r="CW75" s="16"/>
      <c r="CY75" s="620"/>
      <c r="CZ75" s="296"/>
      <c r="DA75" s="296"/>
      <c r="DB75" s="69"/>
      <c r="DC75" s="69"/>
      <c r="DD75" s="69"/>
      <c r="DE75" s="69"/>
      <c r="DF75" s="69"/>
      <c r="DG75" s="69"/>
      <c r="DH75" s="69"/>
      <c r="DI75" s="69"/>
      <c r="DJ75" s="69"/>
      <c r="DK75" s="69"/>
      <c r="DL75" s="69"/>
    </row>
    <row r="76" spans="16:116" s="68" customFormat="1">
      <c r="P76" s="70"/>
      <c r="Q76" s="80"/>
      <c r="R76" s="80"/>
      <c r="S76" s="80"/>
      <c r="CP76" s="69"/>
      <c r="CQ76" s="69"/>
      <c r="CR76" s="69"/>
      <c r="CS76" s="69"/>
      <c r="CT76" s="69"/>
      <c r="CU76" s="15"/>
      <c r="CV76" s="16"/>
      <c r="CW76" s="16"/>
      <c r="CY76" s="620"/>
      <c r="CZ76" s="296"/>
      <c r="DA76" s="296"/>
      <c r="DB76" s="69"/>
      <c r="DC76" s="69"/>
      <c r="DD76" s="69"/>
      <c r="DE76" s="69"/>
      <c r="DF76" s="69"/>
      <c r="DG76" s="69"/>
      <c r="DH76" s="69"/>
      <c r="DI76" s="69"/>
      <c r="DJ76" s="69"/>
      <c r="DK76" s="69"/>
      <c r="DL76" s="69"/>
    </row>
    <row r="77" spans="16:116" s="68" customFormat="1">
      <c r="P77" s="70"/>
      <c r="Q77" s="80"/>
      <c r="R77" s="80"/>
      <c r="S77" s="80"/>
      <c r="CP77" s="69"/>
      <c r="CQ77" s="69"/>
      <c r="CR77" s="69"/>
      <c r="CS77" s="69"/>
      <c r="CT77" s="69"/>
      <c r="CU77" s="15"/>
      <c r="CV77" s="16"/>
      <c r="CW77" s="16"/>
      <c r="CY77" s="620"/>
      <c r="CZ77" s="296"/>
      <c r="DA77" s="296"/>
      <c r="DB77" s="69"/>
      <c r="DC77" s="69"/>
      <c r="DD77" s="69"/>
      <c r="DE77" s="69"/>
      <c r="DF77" s="69"/>
      <c r="DG77" s="69"/>
      <c r="DH77" s="69"/>
      <c r="DI77" s="69"/>
      <c r="DJ77" s="69"/>
      <c r="DK77" s="69"/>
      <c r="DL77" s="69"/>
    </row>
    <row r="78" spans="16:116" s="68" customFormat="1">
      <c r="P78" s="70"/>
      <c r="Q78" s="80"/>
      <c r="R78" s="80"/>
      <c r="S78" s="80"/>
      <c r="CP78" s="69"/>
      <c r="CQ78" s="69"/>
      <c r="CR78" s="69"/>
      <c r="CS78" s="69"/>
      <c r="CT78" s="69"/>
      <c r="CU78" s="15"/>
      <c r="CV78" s="16"/>
      <c r="CW78" s="16"/>
      <c r="CY78" s="620"/>
      <c r="CZ78" s="296"/>
      <c r="DA78" s="296"/>
      <c r="DB78" s="69"/>
      <c r="DC78" s="69"/>
      <c r="DD78" s="69"/>
      <c r="DE78" s="69"/>
      <c r="DF78" s="69"/>
      <c r="DG78" s="69"/>
      <c r="DH78" s="69"/>
      <c r="DI78" s="69"/>
      <c r="DJ78" s="69"/>
      <c r="DK78" s="69"/>
      <c r="DL78" s="69"/>
    </row>
    <row r="79" spans="16:116" s="68" customFormat="1">
      <c r="P79" s="70"/>
      <c r="Q79" s="80"/>
      <c r="R79" s="80"/>
      <c r="S79" s="80"/>
      <c r="CP79" s="69"/>
      <c r="CQ79" s="69"/>
      <c r="CR79" s="69"/>
      <c r="CS79" s="69"/>
      <c r="CT79" s="69"/>
      <c r="CU79" s="15"/>
      <c r="CV79" s="16"/>
      <c r="CW79" s="16"/>
      <c r="CY79" s="620"/>
      <c r="CZ79" s="296"/>
      <c r="DA79" s="296"/>
      <c r="DB79" s="69"/>
      <c r="DC79" s="69"/>
      <c r="DD79" s="69"/>
      <c r="DE79" s="69"/>
      <c r="DF79" s="69"/>
      <c r="DG79" s="69"/>
      <c r="DH79" s="69"/>
      <c r="DI79" s="69"/>
      <c r="DJ79" s="69"/>
      <c r="DK79" s="69"/>
      <c r="DL79" s="69"/>
    </row>
    <row r="80" spans="16:116" s="68" customFormat="1">
      <c r="P80" s="70"/>
      <c r="Q80" s="80"/>
      <c r="R80" s="80"/>
      <c r="S80" s="80"/>
      <c r="CP80" s="69"/>
      <c r="CQ80" s="69"/>
      <c r="CR80" s="69"/>
      <c r="CS80" s="69"/>
      <c r="CT80" s="69"/>
      <c r="CU80" s="15"/>
      <c r="CV80" s="16"/>
      <c r="CW80" s="16"/>
      <c r="CY80" s="620"/>
      <c r="CZ80" s="296"/>
      <c r="DA80" s="296"/>
      <c r="DB80" s="69"/>
      <c r="DC80" s="69"/>
      <c r="DD80" s="69"/>
      <c r="DE80" s="69"/>
      <c r="DF80" s="69"/>
      <c r="DG80" s="69"/>
      <c r="DH80" s="69"/>
      <c r="DI80" s="69"/>
      <c r="DJ80" s="69"/>
      <c r="DK80" s="69"/>
      <c r="DL80" s="69"/>
    </row>
    <row r="81" spans="16:116" s="68" customFormat="1">
      <c r="P81" s="70"/>
      <c r="Q81" s="80"/>
      <c r="R81" s="80"/>
      <c r="S81" s="80"/>
      <c r="CP81" s="69"/>
      <c r="CQ81" s="69"/>
      <c r="CR81" s="69"/>
      <c r="CS81" s="69"/>
      <c r="CT81" s="69"/>
      <c r="CU81" s="15"/>
      <c r="CV81" s="16"/>
      <c r="CW81" s="16"/>
      <c r="CY81" s="620"/>
      <c r="CZ81" s="296"/>
      <c r="DA81" s="296"/>
      <c r="DB81" s="69"/>
      <c r="DC81" s="69"/>
      <c r="DD81" s="69"/>
      <c r="DE81" s="69"/>
      <c r="DF81" s="69"/>
      <c r="DG81" s="69"/>
      <c r="DH81" s="69"/>
      <c r="DI81" s="69"/>
      <c r="DJ81" s="69"/>
      <c r="DK81" s="69"/>
      <c r="DL81" s="69"/>
    </row>
    <row r="82" spans="16:116" s="68" customFormat="1">
      <c r="P82" s="70"/>
      <c r="Q82" s="80"/>
      <c r="R82" s="80"/>
      <c r="S82" s="80"/>
      <c r="CP82" s="69"/>
      <c r="CQ82" s="69"/>
      <c r="CR82" s="69"/>
      <c r="CS82" s="69"/>
      <c r="CT82" s="69"/>
      <c r="CU82" s="15"/>
      <c r="CV82" s="16"/>
      <c r="CW82" s="16"/>
      <c r="CY82" s="620"/>
      <c r="CZ82" s="296"/>
      <c r="DA82" s="296"/>
      <c r="DB82" s="69"/>
      <c r="DC82" s="69"/>
      <c r="DD82" s="69"/>
      <c r="DE82" s="69"/>
      <c r="DF82" s="69"/>
      <c r="DG82" s="69"/>
      <c r="DH82" s="69"/>
      <c r="DI82" s="69"/>
      <c r="DJ82" s="69"/>
      <c r="DK82" s="69"/>
      <c r="DL82" s="69"/>
    </row>
    <row r="83" spans="16:116" s="68" customFormat="1">
      <c r="P83" s="70"/>
      <c r="Q83" s="80"/>
      <c r="R83" s="80"/>
      <c r="S83" s="80"/>
      <c r="CP83" s="69"/>
      <c r="CQ83" s="69"/>
      <c r="CR83" s="69"/>
      <c r="CS83" s="69"/>
      <c r="CT83" s="69"/>
      <c r="CU83" s="15"/>
      <c r="CV83" s="16"/>
      <c r="CW83" s="16"/>
      <c r="CY83" s="620"/>
      <c r="CZ83" s="296"/>
      <c r="DA83" s="296"/>
      <c r="DB83" s="69"/>
      <c r="DC83" s="69"/>
      <c r="DD83" s="69"/>
      <c r="DE83" s="69"/>
      <c r="DF83" s="69"/>
      <c r="DG83" s="69"/>
      <c r="DH83" s="69"/>
      <c r="DI83" s="69"/>
      <c r="DJ83" s="69"/>
      <c r="DK83" s="69"/>
      <c r="DL83" s="69"/>
    </row>
    <row r="84" spans="16:116" s="68" customFormat="1">
      <c r="P84" s="70"/>
      <c r="Q84" s="80"/>
      <c r="R84" s="80"/>
      <c r="S84" s="80"/>
      <c r="CP84" s="69"/>
      <c r="CQ84" s="69"/>
      <c r="CR84" s="69"/>
      <c r="CS84" s="69"/>
      <c r="CT84" s="69"/>
      <c r="CU84" s="15"/>
      <c r="CV84" s="16"/>
      <c r="CW84" s="16"/>
      <c r="CY84" s="620"/>
      <c r="CZ84" s="296"/>
      <c r="DA84" s="296"/>
      <c r="DB84" s="69"/>
      <c r="DC84" s="69"/>
      <c r="DD84" s="69"/>
      <c r="DE84" s="69"/>
      <c r="DF84" s="69"/>
      <c r="DG84" s="69"/>
      <c r="DH84" s="69"/>
      <c r="DI84" s="69"/>
      <c r="DJ84" s="69"/>
      <c r="DK84" s="69"/>
      <c r="DL84" s="69"/>
    </row>
    <row r="85" spans="16:116" s="68" customFormat="1">
      <c r="P85" s="70"/>
      <c r="Q85" s="80"/>
      <c r="R85" s="80"/>
      <c r="S85" s="80"/>
      <c r="CP85" s="69"/>
      <c r="CQ85" s="69"/>
      <c r="CR85" s="69"/>
      <c r="CS85" s="69"/>
      <c r="CT85" s="69"/>
      <c r="CU85" s="15"/>
      <c r="CV85" s="16"/>
      <c r="CW85" s="16"/>
      <c r="CY85" s="620"/>
      <c r="CZ85" s="296"/>
      <c r="DA85" s="296"/>
      <c r="DB85" s="69"/>
      <c r="DC85" s="69"/>
      <c r="DD85" s="69"/>
      <c r="DE85" s="69"/>
      <c r="DF85" s="69"/>
      <c r="DG85" s="69"/>
      <c r="DH85" s="69"/>
      <c r="DI85" s="69"/>
      <c r="DJ85" s="69"/>
      <c r="DK85" s="69"/>
      <c r="DL85" s="69"/>
    </row>
    <row r="86" spans="16:116" s="68" customFormat="1">
      <c r="P86" s="70"/>
      <c r="Q86" s="80"/>
      <c r="R86" s="80"/>
      <c r="S86" s="80"/>
      <c r="CP86" s="69"/>
      <c r="CQ86" s="69"/>
      <c r="CR86" s="69"/>
      <c r="CS86" s="69"/>
      <c r="CT86" s="69"/>
      <c r="CU86" s="15"/>
      <c r="CV86" s="16"/>
      <c r="CW86" s="16"/>
      <c r="CY86" s="620"/>
      <c r="CZ86" s="296"/>
      <c r="DA86" s="296"/>
      <c r="DB86" s="69"/>
      <c r="DC86" s="69"/>
      <c r="DD86" s="69"/>
      <c r="DE86" s="69"/>
      <c r="DF86" s="69"/>
      <c r="DG86" s="69"/>
      <c r="DH86" s="69"/>
      <c r="DI86" s="69"/>
      <c r="DJ86" s="69"/>
      <c r="DK86" s="69"/>
      <c r="DL86" s="69"/>
    </row>
    <row r="87" spans="16:116" s="68" customFormat="1">
      <c r="P87" s="70"/>
      <c r="Q87" s="80"/>
      <c r="R87" s="80"/>
      <c r="S87" s="80"/>
      <c r="CP87" s="69"/>
      <c r="CQ87" s="69"/>
      <c r="CR87" s="69"/>
      <c r="CS87" s="69"/>
      <c r="CT87" s="69"/>
      <c r="CU87" s="15"/>
      <c r="CV87" s="16"/>
      <c r="CW87" s="16"/>
      <c r="CY87" s="620"/>
      <c r="CZ87" s="296"/>
      <c r="DA87" s="296"/>
      <c r="DB87" s="69"/>
      <c r="DC87" s="69"/>
      <c r="DD87" s="69"/>
      <c r="DE87" s="69"/>
      <c r="DF87" s="69"/>
      <c r="DG87" s="69"/>
      <c r="DH87" s="69"/>
      <c r="DI87" s="69"/>
      <c r="DJ87" s="69"/>
      <c r="DK87" s="69"/>
      <c r="DL87" s="69"/>
    </row>
    <row r="88" spans="16:116" s="68" customFormat="1">
      <c r="P88" s="70"/>
      <c r="Q88" s="80"/>
      <c r="R88" s="80"/>
      <c r="S88" s="80"/>
      <c r="CP88" s="69"/>
      <c r="CQ88" s="69"/>
      <c r="CR88" s="69"/>
      <c r="CS88" s="69"/>
      <c r="CT88" s="69"/>
      <c r="CU88" s="15"/>
      <c r="CV88" s="16"/>
      <c r="CW88" s="16"/>
      <c r="CY88" s="620"/>
      <c r="CZ88" s="296"/>
      <c r="DA88" s="296"/>
      <c r="DB88" s="69"/>
      <c r="DC88" s="69"/>
      <c r="DD88" s="69"/>
      <c r="DE88" s="69"/>
      <c r="DF88" s="69"/>
      <c r="DG88" s="69"/>
      <c r="DH88" s="69"/>
      <c r="DI88" s="69"/>
      <c r="DJ88" s="69"/>
      <c r="DK88" s="69"/>
      <c r="DL88" s="69"/>
    </row>
    <row r="89" spans="16:116" s="68" customFormat="1">
      <c r="P89" s="70"/>
      <c r="Q89" s="80"/>
      <c r="R89" s="80"/>
      <c r="S89" s="80"/>
      <c r="CP89" s="69"/>
      <c r="CQ89" s="69"/>
      <c r="CR89" s="69"/>
      <c r="CS89" s="69"/>
      <c r="CT89" s="69"/>
      <c r="CU89" s="15"/>
      <c r="CV89" s="16"/>
      <c r="CW89" s="16"/>
      <c r="CY89" s="620"/>
      <c r="CZ89" s="296"/>
      <c r="DA89" s="296"/>
      <c r="DB89" s="69"/>
      <c r="DC89" s="69"/>
      <c r="DD89" s="69"/>
      <c r="DE89" s="69"/>
      <c r="DF89" s="69"/>
      <c r="DG89" s="69"/>
      <c r="DH89" s="69"/>
      <c r="DI89" s="69"/>
      <c r="DJ89" s="69"/>
      <c r="DK89" s="69"/>
      <c r="DL89" s="69"/>
    </row>
    <row r="90" spans="16:116" s="68" customFormat="1">
      <c r="P90" s="70"/>
      <c r="Q90" s="80"/>
      <c r="R90" s="80"/>
      <c r="S90" s="80"/>
      <c r="CP90" s="69"/>
      <c r="CQ90" s="69"/>
      <c r="CR90" s="69"/>
      <c r="CS90" s="69"/>
      <c r="CT90" s="69"/>
      <c r="CU90" s="15"/>
      <c r="CV90" s="16"/>
      <c r="CW90" s="16"/>
      <c r="CY90" s="620"/>
      <c r="CZ90" s="296"/>
      <c r="DA90" s="296"/>
      <c r="DB90" s="69"/>
      <c r="DC90" s="69"/>
      <c r="DD90" s="69"/>
      <c r="DE90" s="69"/>
      <c r="DF90" s="69"/>
      <c r="DG90" s="69"/>
      <c r="DH90" s="69"/>
      <c r="DI90" s="69"/>
      <c r="DJ90" s="69"/>
      <c r="DK90" s="69"/>
      <c r="DL90" s="69"/>
    </row>
    <row r="91" spans="16:116" s="68" customFormat="1" ht="15.75" customHeight="1">
      <c r="P91" s="70"/>
      <c r="Q91" s="80"/>
      <c r="R91" s="80"/>
      <c r="S91" s="80"/>
      <c r="CP91" s="69"/>
      <c r="CQ91" s="69"/>
      <c r="CR91" s="69"/>
      <c r="CS91" s="69"/>
      <c r="CT91" s="69"/>
      <c r="CU91" s="15"/>
      <c r="CV91" s="16"/>
      <c r="CW91" s="16"/>
      <c r="CY91" s="620"/>
      <c r="CZ91" s="296"/>
      <c r="DA91" s="296"/>
      <c r="DB91" s="69"/>
      <c r="DC91" s="69"/>
      <c r="DD91" s="69"/>
      <c r="DE91" s="69"/>
      <c r="DF91" s="69"/>
      <c r="DG91" s="69"/>
      <c r="DH91" s="69"/>
      <c r="DI91" s="69"/>
      <c r="DJ91" s="69"/>
      <c r="DK91" s="69"/>
      <c r="DL91" s="69"/>
    </row>
    <row r="92" spans="16:116" s="68" customFormat="1">
      <c r="P92" s="70"/>
      <c r="Q92" s="80"/>
      <c r="R92" s="80"/>
      <c r="S92" s="80"/>
      <c r="CP92" s="69"/>
      <c r="CQ92" s="69"/>
      <c r="CR92" s="69"/>
      <c r="CS92" s="69"/>
      <c r="CT92" s="69"/>
      <c r="CU92" s="15"/>
      <c r="CV92" s="16"/>
      <c r="CW92" s="16"/>
      <c r="CY92" s="620"/>
      <c r="CZ92" s="296"/>
      <c r="DA92" s="296"/>
      <c r="DB92" s="69"/>
      <c r="DC92" s="69"/>
      <c r="DD92" s="69"/>
      <c r="DE92" s="69"/>
      <c r="DF92" s="69"/>
      <c r="DG92" s="69"/>
      <c r="DH92" s="69"/>
      <c r="DI92" s="69"/>
      <c r="DJ92" s="69"/>
      <c r="DK92" s="69"/>
      <c r="DL92" s="69"/>
    </row>
    <row r="93" spans="16:116" s="68" customFormat="1">
      <c r="P93" s="70"/>
      <c r="Q93" s="80"/>
      <c r="R93" s="80"/>
      <c r="S93" s="80"/>
      <c r="CP93" s="69"/>
      <c r="CQ93" s="69"/>
      <c r="CR93" s="69"/>
      <c r="CS93" s="69"/>
      <c r="CT93" s="69"/>
      <c r="CU93" s="15"/>
      <c r="CV93" s="16"/>
      <c r="CW93" s="16"/>
      <c r="CY93" s="620"/>
      <c r="CZ93" s="296"/>
      <c r="DA93" s="296"/>
      <c r="DB93" s="69"/>
      <c r="DC93" s="69"/>
      <c r="DD93" s="69"/>
      <c r="DE93" s="69"/>
      <c r="DF93" s="69"/>
      <c r="DG93" s="69"/>
      <c r="DH93" s="69"/>
      <c r="DI93" s="69"/>
      <c r="DJ93" s="69"/>
      <c r="DK93" s="69"/>
      <c r="DL93" s="69"/>
    </row>
    <row r="94" spans="16:116" s="68" customFormat="1">
      <c r="P94" s="70"/>
      <c r="Q94" s="80"/>
      <c r="R94" s="80"/>
      <c r="S94" s="80"/>
      <c r="CP94" s="69"/>
      <c r="CQ94" s="69"/>
      <c r="CR94" s="69"/>
      <c r="CS94" s="69"/>
      <c r="CT94" s="69"/>
      <c r="CU94" s="15"/>
      <c r="CV94" s="16"/>
      <c r="CW94" s="16"/>
      <c r="CY94" s="620"/>
      <c r="CZ94" s="296"/>
      <c r="DA94" s="296"/>
      <c r="DB94" s="69"/>
      <c r="DC94" s="69"/>
      <c r="DD94" s="69"/>
      <c r="DE94" s="69"/>
      <c r="DF94" s="69"/>
      <c r="DG94" s="69"/>
      <c r="DH94" s="69"/>
      <c r="DI94" s="69"/>
      <c r="DJ94" s="69"/>
      <c r="DK94" s="69"/>
      <c r="DL94" s="69"/>
    </row>
    <row r="95" spans="16:116" s="68" customFormat="1">
      <c r="P95" s="70"/>
      <c r="Q95" s="80"/>
      <c r="R95" s="80"/>
      <c r="S95" s="80"/>
      <c r="CP95" s="69"/>
      <c r="CQ95" s="69"/>
      <c r="CR95" s="69"/>
      <c r="CS95" s="69"/>
      <c r="CT95" s="69"/>
      <c r="CU95" s="15"/>
      <c r="CV95" s="16"/>
      <c r="CW95" s="16"/>
      <c r="CY95" s="620"/>
      <c r="CZ95" s="296"/>
      <c r="DA95" s="296"/>
      <c r="DB95" s="69"/>
      <c r="DC95" s="69"/>
      <c r="DD95" s="69"/>
      <c r="DE95" s="69"/>
      <c r="DF95" s="69"/>
      <c r="DG95" s="69"/>
      <c r="DH95" s="69"/>
      <c r="DI95" s="69"/>
      <c r="DJ95" s="69"/>
      <c r="DK95" s="69"/>
      <c r="DL95" s="69"/>
    </row>
    <row r="96" spans="16:116" s="68" customFormat="1">
      <c r="P96" s="70"/>
      <c r="Q96" s="80"/>
      <c r="R96" s="80"/>
      <c r="S96" s="80"/>
      <c r="CP96" s="69"/>
      <c r="CQ96" s="69"/>
      <c r="CR96" s="69"/>
      <c r="CS96" s="69"/>
      <c r="CT96" s="69"/>
      <c r="CU96" s="15"/>
      <c r="CV96" s="16"/>
      <c r="CW96" s="16"/>
      <c r="CY96" s="620"/>
      <c r="CZ96" s="296"/>
      <c r="DA96" s="296"/>
      <c r="DB96" s="69"/>
      <c r="DC96" s="69"/>
      <c r="DD96" s="69"/>
      <c r="DE96" s="69"/>
      <c r="DF96" s="69"/>
      <c r="DG96" s="69"/>
      <c r="DH96" s="69"/>
      <c r="DI96" s="69"/>
      <c r="DJ96" s="69"/>
      <c r="DK96" s="69"/>
      <c r="DL96" s="69"/>
    </row>
    <row r="97" spans="1:116" s="68" customFormat="1">
      <c r="P97" s="70"/>
      <c r="Q97" s="80"/>
      <c r="R97" s="80"/>
      <c r="S97" s="80"/>
      <c r="CP97" s="69"/>
      <c r="CQ97" s="69"/>
      <c r="CR97" s="69"/>
      <c r="CS97" s="69"/>
      <c r="CT97" s="69"/>
      <c r="CU97" s="15"/>
      <c r="CV97" s="16"/>
      <c r="CW97" s="16"/>
      <c r="CY97" s="620"/>
      <c r="CZ97" s="296"/>
      <c r="DA97" s="296"/>
      <c r="DB97" s="69"/>
      <c r="DC97" s="69"/>
      <c r="DD97" s="69"/>
      <c r="DE97" s="69"/>
      <c r="DF97" s="69"/>
      <c r="DG97" s="69"/>
      <c r="DH97" s="69"/>
      <c r="DI97" s="69"/>
      <c r="DJ97" s="69"/>
      <c r="DK97" s="69"/>
      <c r="DL97" s="69"/>
    </row>
    <row r="98" spans="1:116" s="68" customFormat="1" ht="15.75" customHeight="1">
      <c r="P98" s="70"/>
      <c r="Q98" s="80"/>
      <c r="R98" s="80"/>
      <c r="S98" s="80"/>
      <c r="CP98" s="69"/>
      <c r="CQ98" s="69"/>
      <c r="CR98" s="69"/>
      <c r="CS98" s="69"/>
      <c r="CT98" s="69"/>
      <c r="CU98" s="15"/>
      <c r="CV98" s="16"/>
      <c r="CW98" s="16"/>
      <c r="CY98" s="620"/>
      <c r="CZ98" s="296"/>
      <c r="DA98" s="296"/>
      <c r="DB98" s="69"/>
      <c r="DC98" s="69"/>
      <c r="DD98" s="69"/>
      <c r="DE98" s="69"/>
      <c r="DF98" s="69"/>
      <c r="DG98" s="69"/>
      <c r="DH98" s="69"/>
      <c r="DI98" s="69"/>
      <c r="DJ98" s="69"/>
      <c r="DK98" s="69"/>
      <c r="DL98" s="69"/>
    </row>
    <row r="99" spans="1:116" s="68" customFormat="1">
      <c r="P99" s="70"/>
      <c r="Q99" s="80"/>
      <c r="R99" s="80"/>
      <c r="S99" s="80"/>
      <c r="CP99" s="69"/>
      <c r="CQ99" s="69"/>
      <c r="CR99" s="69"/>
      <c r="CS99" s="69"/>
      <c r="CT99" s="69"/>
      <c r="CU99" s="15"/>
      <c r="CV99" s="16"/>
      <c r="CW99" s="16"/>
      <c r="CY99" s="620"/>
      <c r="CZ99" s="296"/>
      <c r="DA99" s="296"/>
      <c r="DB99" s="69"/>
      <c r="DC99" s="69"/>
      <c r="DD99" s="69"/>
      <c r="DE99" s="69"/>
      <c r="DF99" s="69"/>
      <c r="DG99" s="69"/>
      <c r="DH99" s="69"/>
      <c r="DI99" s="69"/>
      <c r="DJ99" s="69"/>
      <c r="DK99" s="69"/>
      <c r="DL99" s="69"/>
    </row>
    <row r="100" spans="1:116" s="68" customFormat="1">
      <c r="P100" s="70"/>
      <c r="Q100" s="80"/>
      <c r="R100" s="80"/>
      <c r="S100" s="80"/>
      <c r="CP100" s="69"/>
      <c r="CQ100" s="69"/>
      <c r="CR100" s="69"/>
      <c r="CS100" s="69"/>
      <c r="CT100" s="69"/>
      <c r="CU100" s="15"/>
      <c r="CV100" s="16"/>
      <c r="CW100" s="16"/>
      <c r="CY100" s="620"/>
      <c r="CZ100" s="296"/>
      <c r="DA100" s="296"/>
      <c r="DB100" s="69"/>
      <c r="DC100" s="69"/>
      <c r="DD100" s="69"/>
      <c r="DE100" s="69"/>
      <c r="DF100" s="69"/>
      <c r="DG100" s="69"/>
      <c r="DH100" s="69"/>
      <c r="DI100" s="69"/>
      <c r="DJ100" s="69"/>
      <c r="DK100" s="69"/>
      <c r="DL100" s="69"/>
    </row>
    <row r="101" spans="1:116" s="69" customFormat="1">
      <c r="P101" s="120"/>
      <c r="Q101" s="127"/>
      <c r="R101" s="127"/>
      <c r="S101" s="127"/>
      <c r="CU101" s="15"/>
      <c r="CV101" s="15"/>
      <c r="CW101" s="15"/>
      <c r="CY101" s="620"/>
      <c r="CZ101" s="1221"/>
      <c r="DA101" s="1221"/>
    </row>
    <row r="102" spans="1:116" s="69" customFormat="1" ht="15.75" customHeight="1">
      <c r="P102" s="120"/>
      <c r="Q102" s="127"/>
      <c r="R102" s="127"/>
      <c r="S102" s="127"/>
      <c r="CU102" s="15"/>
      <c r="CV102" s="15"/>
      <c r="CW102" s="15"/>
      <c r="CY102" s="620"/>
      <c r="CZ102" s="1221"/>
      <c r="DA102" s="1221"/>
    </row>
    <row r="103" spans="1:116" s="127" customFormat="1">
      <c r="C103" s="69"/>
      <c r="D103" s="69"/>
      <c r="E103" s="69"/>
      <c r="F103" s="69"/>
      <c r="G103" s="69"/>
      <c r="H103" s="69"/>
      <c r="I103" s="69"/>
      <c r="J103" s="69"/>
      <c r="K103" s="69"/>
      <c r="L103" s="69"/>
      <c r="M103" s="69"/>
      <c r="N103" s="69"/>
      <c r="P103" s="162"/>
      <c r="CU103" s="146"/>
      <c r="CV103" s="146"/>
      <c r="CW103" s="146"/>
      <c r="CY103" s="671"/>
      <c r="CZ103" s="686"/>
      <c r="DA103" s="686"/>
    </row>
    <row r="104" spans="1:116" s="127" customFormat="1">
      <c r="C104" s="69"/>
      <c r="D104" s="69"/>
      <c r="E104" s="69"/>
      <c r="F104" s="69"/>
      <c r="G104" s="69"/>
      <c r="H104" s="69"/>
      <c r="I104" s="69"/>
      <c r="J104" s="69"/>
      <c r="K104" s="69"/>
      <c r="L104" s="69"/>
      <c r="M104" s="69"/>
      <c r="N104" s="69"/>
      <c r="P104" s="162"/>
      <c r="CU104" s="146"/>
      <c r="CV104" s="146"/>
      <c r="CW104" s="146"/>
      <c r="CY104" s="671"/>
      <c r="CZ104" s="686"/>
      <c r="DA104" s="686"/>
    </row>
    <row r="105" spans="1:116" s="127" customFormat="1">
      <c r="C105" s="69"/>
      <c r="D105" s="69"/>
      <c r="E105" s="69"/>
      <c r="F105" s="69"/>
      <c r="G105" s="69"/>
      <c r="H105" s="69"/>
      <c r="I105" s="69"/>
      <c r="J105" s="69"/>
      <c r="K105" s="69"/>
      <c r="L105" s="69"/>
      <c r="M105" s="69"/>
      <c r="N105" s="69"/>
      <c r="P105" s="162"/>
      <c r="CU105" s="146"/>
      <c r="CV105" s="146"/>
      <c r="CW105" s="146"/>
      <c r="CY105" s="671"/>
      <c r="CZ105" s="686"/>
      <c r="DA105" s="686"/>
    </row>
    <row r="106" spans="1:116" s="80" customFormat="1">
      <c r="E106" s="687"/>
      <c r="G106" s="687"/>
      <c r="I106" s="687"/>
      <c r="J106" s="687"/>
      <c r="K106" s="687"/>
      <c r="L106" s="687"/>
      <c r="M106" s="687"/>
      <c r="N106" s="687"/>
      <c r="P106" s="1276"/>
      <c r="CU106" s="160"/>
      <c r="CV106" s="160"/>
      <c r="CW106" s="160"/>
      <c r="CY106" s="649"/>
      <c r="CZ106" s="461"/>
      <c r="DA106" s="461"/>
    </row>
    <row r="107" spans="1:116" s="80" customFormat="1" ht="13.2" customHeight="1">
      <c r="CU107" s="160"/>
      <c r="CV107" s="160"/>
      <c r="CW107" s="160"/>
      <c r="CY107" s="649"/>
      <c r="CZ107" s="461"/>
      <c r="DA107" s="461"/>
    </row>
    <row r="108" spans="1:116" s="80" customFormat="1">
      <c r="CU108" s="160"/>
      <c r="CV108" s="160"/>
      <c r="CW108" s="160"/>
      <c r="CY108" s="649"/>
      <c r="CZ108" s="461"/>
      <c r="DA108" s="461"/>
    </row>
    <row r="109" spans="1:116" s="80" customFormat="1" ht="13.2" customHeight="1">
      <c r="A109" s="127"/>
      <c r="B109" s="127"/>
      <c r="C109" s="127"/>
      <c r="D109" s="127"/>
      <c r="E109" s="1564">
        <v>1</v>
      </c>
      <c r="F109" s="1564">
        <v>2</v>
      </c>
      <c r="G109" s="1564">
        <v>3</v>
      </c>
      <c r="H109" s="1564">
        <v>4</v>
      </c>
      <c r="I109" s="1564">
        <v>5</v>
      </c>
      <c r="J109" s="1564">
        <v>6</v>
      </c>
      <c r="K109" s="1564">
        <v>7</v>
      </c>
      <c r="L109" s="1564">
        <v>8</v>
      </c>
      <c r="M109" s="1564">
        <v>9</v>
      </c>
      <c r="N109" s="1564">
        <v>10</v>
      </c>
      <c r="O109" s="1564">
        <v>11</v>
      </c>
      <c r="P109" s="1564">
        <v>12</v>
      </c>
      <c r="Q109" s="1564">
        <v>1</v>
      </c>
      <c r="R109" s="1564">
        <v>2</v>
      </c>
      <c r="S109" s="1564">
        <v>3</v>
      </c>
      <c r="T109" s="1564">
        <v>4</v>
      </c>
      <c r="U109" s="1564">
        <v>5</v>
      </c>
      <c r="V109" s="1564">
        <v>6</v>
      </c>
      <c r="W109" s="1564">
        <v>7</v>
      </c>
      <c r="X109" s="1564">
        <v>8</v>
      </c>
      <c r="Y109" s="1564">
        <v>9</v>
      </c>
      <c r="Z109" s="1564">
        <v>10</v>
      </c>
      <c r="AA109" s="1564">
        <v>11</v>
      </c>
      <c r="AB109" s="1564">
        <v>12</v>
      </c>
      <c r="AC109" s="127"/>
      <c r="CU109" s="160"/>
      <c r="CV109" s="160"/>
      <c r="CW109" s="160"/>
      <c r="CY109" s="649"/>
      <c r="CZ109" s="461"/>
      <c r="DA109" s="461"/>
    </row>
    <row r="110" spans="1:116" s="145" customFormat="1">
      <c r="A110" s="1565"/>
      <c r="B110" s="1565"/>
      <c r="C110" s="1566" t="s">
        <v>643</v>
      </c>
      <c r="D110" s="127"/>
      <c r="E110" s="1564" t="str">
        <f ca="1">E109&amp;"."&amp;RIGHT(Basisdaten!$C$15,2)</f>
        <v>1.26</v>
      </c>
      <c r="F110" s="1564" t="str">
        <f ca="1">F109&amp;"."&amp;RIGHT(Basisdaten!$C$15,2)</f>
        <v>2.26</v>
      </c>
      <c r="G110" s="1564" t="str">
        <f ca="1">G109&amp;"."&amp;RIGHT(Basisdaten!$C$15,2)</f>
        <v>3.26</v>
      </c>
      <c r="H110" s="1564" t="str">
        <f ca="1">H109&amp;"."&amp;RIGHT(Basisdaten!$C$15,2)</f>
        <v>4.26</v>
      </c>
      <c r="I110" s="1564" t="str">
        <f ca="1">I109&amp;"."&amp;RIGHT(Basisdaten!$C$15,2)</f>
        <v>5.26</v>
      </c>
      <c r="J110" s="1564" t="str">
        <f ca="1">J109&amp;"."&amp;RIGHT(Basisdaten!$C$15,2)</f>
        <v>6.26</v>
      </c>
      <c r="K110" s="1564" t="str">
        <f ca="1">K109&amp;"."&amp;RIGHT(Basisdaten!$C$15,2)</f>
        <v>7.26</v>
      </c>
      <c r="L110" s="1564" t="str">
        <f ca="1">L109&amp;"."&amp;RIGHT(Basisdaten!$C$15,2)</f>
        <v>8.26</v>
      </c>
      <c r="M110" s="1564" t="str">
        <f ca="1">M109&amp;"."&amp;RIGHT(Basisdaten!$C$15,2)</f>
        <v>9.26</v>
      </c>
      <c r="N110" s="1564" t="str">
        <f ca="1">N109&amp;"."&amp;RIGHT(Basisdaten!$C$15,2)</f>
        <v>10.26</v>
      </c>
      <c r="O110" s="1564" t="str">
        <f ca="1">O109&amp;"."&amp;RIGHT(Basisdaten!$C$15,2)</f>
        <v>11.26</v>
      </c>
      <c r="P110" s="1564" t="str">
        <f ca="1">P109&amp;"."&amp;RIGHT(Basisdaten!$C$15,2)</f>
        <v>12.26</v>
      </c>
      <c r="Q110" s="1564" t="str">
        <f ca="1">E109&amp;"."&amp;RIGHT(Basisdaten!$C$15+1,2)</f>
        <v>1.27</v>
      </c>
      <c r="R110" s="1564" t="str">
        <f ca="1">F109&amp;"."&amp;RIGHT(Basisdaten!$C$15+1,2)</f>
        <v>2.27</v>
      </c>
      <c r="S110" s="1564" t="str">
        <f ca="1">G109&amp;"."&amp;RIGHT(Basisdaten!$C$15+1,2)</f>
        <v>3.27</v>
      </c>
      <c r="T110" s="1564" t="str">
        <f ca="1">H109&amp;"."&amp;RIGHT(Basisdaten!$C$15+1,2)</f>
        <v>4.27</v>
      </c>
      <c r="U110" s="1564" t="str">
        <f ca="1">I109&amp;"."&amp;RIGHT(Basisdaten!$C$15+1,2)</f>
        <v>5.27</v>
      </c>
      <c r="V110" s="1564" t="str">
        <f ca="1">J109&amp;"."&amp;RIGHT(Basisdaten!$C$15+1,2)</f>
        <v>6.27</v>
      </c>
      <c r="W110" s="1564" t="str">
        <f ca="1">K109&amp;"."&amp;RIGHT(Basisdaten!$C$15+1,2)</f>
        <v>7.27</v>
      </c>
      <c r="X110" s="1564" t="str">
        <f ca="1">L109&amp;"."&amp;RIGHT(Basisdaten!$C$15+1,2)</f>
        <v>8.27</v>
      </c>
      <c r="Y110" s="1564" t="str">
        <f ca="1">M109&amp;"."&amp;RIGHT(Basisdaten!$C$15+1,2)</f>
        <v>9.27</v>
      </c>
      <c r="Z110" s="1564" t="str">
        <f ca="1">N109&amp;"."&amp;RIGHT(Basisdaten!$C$15+1,2)</f>
        <v>10.27</v>
      </c>
      <c r="AA110" s="1564" t="str">
        <f ca="1">O109&amp;"."&amp;RIGHT(Basisdaten!$C$15+1,2)</f>
        <v>11.27</v>
      </c>
      <c r="AB110" s="1564" t="str">
        <f ca="1">P109&amp;"."&amp;RIGHT(Basisdaten!$C$15+1,2)</f>
        <v>12.27</v>
      </c>
      <c r="AC110" s="1565"/>
      <c r="CU110" s="692"/>
      <c r="CV110" s="692"/>
      <c r="CW110" s="692"/>
      <c r="CY110" s="693" t="str">
        <f>IF(Basisdaten!$B$15=Basisdaten!$B$4,'5 Rendite|Profit'!CZ110,'5 Rendite|Profit'!DA110)</f>
        <v>+  Monatswerte  -</v>
      </c>
      <c r="CZ110" s="1277" t="s">
        <v>392</v>
      </c>
      <c r="DA110" s="1278" t="s">
        <v>393</v>
      </c>
    </row>
    <row r="111" spans="1:116" s="80" customFormat="1">
      <c r="A111" s="127"/>
      <c r="B111" s="127"/>
      <c r="C111" s="1566" t="str">
        <f>CY110</f>
        <v>+  Monatswerte  -</v>
      </c>
      <c r="D111" s="127"/>
      <c r="E111" s="1564">
        <f t="shared" ref="E111:P111" si="5">D7</f>
        <v>0</v>
      </c>
      <c r="F111" s="1564">
        <f t="shared" si="5"/>
        <v>0</v>
      </c>
      <c r="G111" s="1564">
        <f t="shared" si="5"/>
        <v>0</v>
      </c>
      <c r="H111" s="1564">
        <f t="shared" si="5"/>
        <v>0</v>
      </c>
      <c r="I111" s="1564">
        <f t="shared" si="5"/>
        <v>0</v>
      </c>
      <c r="J111" s="1564">
        <f t="shared" si="5"/>
        <v>0</v>
      </c>
      <c r="K111" s="1564">
        <f t="shared" si="5"/>
        <v>0</v>
      </c>
      <c r="L111" s="1564">
        <f t="shared" si="5"/>
        <v>0</v>
      </c>
      <c r="M111" s="1564">
        <f t="shared" si="5"/>
        <v>0</v>
      </c>
      <c r="N111" s="1564">
        <f t="shared" si="5"/>
        <v>0</v>
      </c>
      <c r="O111" s="1564">
        <f t="shared" si="5"/>
        <v>0</v>
      </c>
      <c r="P111" s="1564">
        <f t="shared" si="5"/>
        <v>0</v>
      </c>
      <c r="Q111" s="1564">
        <f t="shared" ref="Q111:AB111" si="6">D15</f>
        <v>0</v>
      </c>
      <c r="R111" s="1564">
        <f t="shared" si="6"/>
        <v>0</v>
      </c>
      <c r="S111" s="1564">
        <f t="shared" si="6"/>
        <v>0</v>
      </c>
      <c r="T111" s="1564">
        <f t="shared" si="6"/>
        <v>0</v>
      </c>
      <c r="U111" s="1564">
        <f t="shared" si="6"/>
        <v>0</v>
      </c>
      <c r="V111" s="1564">
        <f t="shared" si="6"/>
        <v>0</v>
      </c>
      <c r="W111" s="1564">
        <f t="shared" si="6"/>
        <v>0</v>
      </c>
      <c r="X111" s="1564">
        <f t="shared" si="6"/>
        <v>0</v>
      </c>
      <c r="Y111" s="1564">
        <f t="shared" si="6"/>
        <v>0</v>
      </c>
      <c r="Z111" s="1564">
        <f t="shared" si="6"/>
        <v>0</v>
      </c>
      <c r="AA111" s="1564">
        <f t="shared" si="6"/>
        <v>0</v>
      </c>
      <c r="AB111" s="1564">
        <f t="shared" si="6"/>
        <v>0</v>
      </c>
      <c r="AC111" s="127"/>
      <c r="CU111" s="160"/>
      <c r="CV111" s="160"/>
      <c r="CW111" s="160"/>
      <c r="CY111" s="693">
        <f>IF(Basisdaten!$B$15=Basisdaten!$B$4,'5 Rendite|Profit'!CZ111,'5 Rendite|Profit'!DA111)</f>
        <v>0</v>
      </c>
      <c r="CZ111" s="461"/>
      <c r="DA111" s="461"/>
    </row>
    <row r="112" spans="1:116" s="145" customFormat="1">
      <c r="A112" s="1565"/>
      <c r="B112" s="1565"/>
      <c r="C112" s="1566"/>
      <c r="D112" s="1565"/>
      <c r="E112" s="1564" t="str">
        <f t="shared" ref="E112:P112" si="7">IF(D7&gt;0,D7,"")</f>
        <v/>
      </c>
      <c r="F112" s="1564" t="str">
        <f t="shared" si="7"/>
        <v/>
      </c>
      <c r="G112" s="1564" t="str">
        <f t="shared" si="7"/>
        <v/>
      </c>
      <c r="H112" s="1564" t="str">
        <f t="shared" si="7"/>
        <v/>
      </c>
      <c r="I112" s="1564" t="str">
        <f t="shared" si="7"/>
        <v/>
      </c>
      <c r="J112" s="1564" t="str">
        <f t="shared" si="7"/>
        <v/>
      </c>
      <c r="K112" s="1564" t="str">
        <f t="shared" si="7"/>
        <v/>
      </c>
      <c r="L112" s="1564" t="str">
        <f t="shared" si="7"/>
        <v/>
      </c>
      <c r="M112" s="1564" t="str">
        <f t="shared" si="7"/>
        <v/>
      </c>
      <c r="N112" s="1564" t="str">
        <f t="shared" si="7"/>
        <v/>
      </c>
      <c r="O112" s="1564" t="str">
        <f t="shared" si="7"/>
        <v/>
      </c>
      <c r="P112" s="1564" t="str">
        <f t="shared" si="7"/>
        <v/>
      </c>
      <c r="Q112" s="1564" t="str">
        <f t="shared" ref="Q112:AB112" si="8">IF(D15&gt;0,D15,"")</f>
        <v/>
      </c>
      <c r="R112" s="1564" t="str">
        <f t="shared" si="8"/>
        <v/>
      </c>
      <c r="S112" s="1564" t="str">
        <f t="shared" si="8"/>
        <v/>
      </c>
      <c r="T112" s="1564" t="str">
        <f t="shared" si="8"/>
        <v/>
      </c>
      <c r="U112" s="1564" t="str">
        <f t="shared" si="8"/>
        <v/>
      </c>
      <c r="V112" s="1564" t="str">
        <f t="shared" si="8"/>
        <v/>
      </c>
      <c r="W112" s="1564" t="str">
        <f t="shared" si="8"/>
        <v/>
      </c>
      <c r="X112" s="1564" t="str">
        <f t="shared" si="8"/>
        <v/>
      </c>
      <c r="Y112" s="1564" t="str">
        <f t="shared" si="8"/>
        <v/>
      </c>
      <c r="Z112" s="1564" t="str">
        <f t="shared" si="8"/>
        <v/>
      </c>
      <c r="AA112" s="1564" t="str">
        <f t="shared" si="8"/>
        <v/>
      </c>
      <c r="AB112" s="1564" t="str">
        <f t="shared" si="8"/>
        <v/>
      </c>
      <c r="AC112" s="1565"/>
      <c r="CU112" s="692"/>
      <c r="CV112" s="692"/>
      <c r="CW112" s="692"/>
      <c r="CY112" s="693" t="str">
        <f>IF(Basisdaten!$B$15=Basisdaten!$B$4,'5 Rendite|Profit'!CZ112,'5 Rendite|Profit'!DA112)</f>
        <v>akkumuliert</v>
      </c>
      <c r="CZ112" s="693" t="s">
        <v>346</v>
      </c>
      <c r="DA112" s="693" t="s">
        <v>353</v>
      </c>
    </row>
    <row r="113" spans="1:116" s="145" customFormat="1">
      <c r="A113" s="1565"/>
      <c r="B113" s="1565"/>
      <c r="C113" s="1566" t="str">
        <f>CY112</f>
        <v>akkumuliert</v>
      </c>
      <c r="D113" s="127"/>
      <c r="E113" s="1564" t="str">
        <f t="shared" ref="E113:AB113" si="9">IF(E111&lt;0,E111,"")</f>
        <v/>
      </c>
      <c r="F113" s="1564" t="str">
        <f t="shared" si="9"/>
        <v/>
      </c>
      <c r="G113" s="1564" t="str">
        <f t="shared" si="9"/>
        <v/>
      </c>
      <c r="H113" s="1564" t="str">
        <f t="shared" si="9"/>
        <v/>
      </c>
      <c r="I113" s="1564" t="str">
        <f t="shared" si="9"/>
        <v/>
      </c>
      <c r="J113" s="1564" t="str">
        <f t="shared" si="9"/>
        <v/>
      </c>
      <c r="K113" s="1564" t="str">
        <f t="shared" si="9"/>
        <v/>
      </c>
      <c r="L113" s="1564" t="str">
        <f t="shared" si="9"/>
        <v/>
      </c>
      <c r="M113" s="1564" t="str">
        <f t="shared" si="9"/>
        <v/>
      </c>
      <c r="N113" s="1564" t="str">
        <f t="shared" si="9"/>
        <v/>
      </c>
      <c r="O113" s="1564" t="str">
        <f t="shared" si="9"/>
        <v/>
      </c>
      <c r="P113" s="1564" t="str">
        <f t="shared" si="9"/>
        <v/>
      </c>
      <c r="Q113" s="1564" t="str">
        <f t="shared" si="9"/>
        <v/>
      </c>
      <c r="R113" s="1564" t="str">
        <f t="shared" si="9"/>
        <v/>
      </c>
      <c r="S113" s="1564" t="str">
        <f t="shared" si="9"/>
        <v/>
      </c>
      <c r="T113" s="1564" t="str">
        <f t="shared" si="9"/>
        <v/>
      </c>
      <c r="U113" s="1564" t="str">
        <f t="shared" si="9"/>
        <v/>
      </c>
      <c r="V113" s="1564" t="str">
        <f t="shared" si="9"/>
        <v/>
      </c>
      <c r="W113" s="1564" t="str">
        <f t="shared" si="9"/>
        <v/>
      </c>
      <c r="X113" s="1564" t="str">
        <f t="shared" si="9"/>
        <v/>
      </c>
      <c r="Y113" s="1564" t="str">
        <f t="shared" si="9"/>
        <v/>
      </c>
      <c r="Z113" s="1564" t="str">
        <f t="shared" si="9"/>
        <v/>
      </c>
      <c r="AA113" s="1564" t="str">
        <f t="shared" si="9"/>
        <v/>
      </c>
      <c r="AB113" s="1564" t="str">
        <f t="shared" si="9"/>
        <v/>
      </c>
      <c r="AC113" s="1565"/>
      <c r="CU113" s="692"/>
      <c r="CV113" s="692"/>
      <c r="CW113" s="692"/>
      <c r="CY113" s="693">
        <f>IF(Basisdaten!$B$15=Basisdaten!$B$4,'5 Rendite|Profit'!CZ113,'5 Rendite|Profit'!DA113)</f>
        <v>0</v>
      </c>
      <c r="CZ113" s="1279"/>
      <c r="DA113" s="1279"/>
    </row>
    <row r="114" spans="1:116" s="145" customFormat="1">
      <c r="A114" s="1565"/>
      <c r="B114" s="1565"/>
      <c r="C114" s="1566"/>
      <c r="D114" s="1565"/>
      <c r="E114" s="1565"/>
      <c r="F114" s="1565"/>
      <c r="G114" s="1565"/>
      <c r="H114" s="1565"/>
      <c r="I114" s="1565"/>
      <c r="J114" s="1565"/>
      <c r="K114" s="1565"/>
      <c r="L114" s="1565"/>
      <c r="M114" s="1565"/>
      <c r="N114" s="1565"/>
      <c r="O114" s="1565"/>
      <c r="P114" s="1565"/>
      <c r="Q114" s="1565"/>
      <c r="R114" s="1565"/>
      <c r="S114" s="1565"/>
      <c r="T114" s="1565"/>
      <c r="U114" s="1565"/>
      <c r="V114" s="1565"/>
      <c r="W114" s="1565"/>
      <c r="X114" s="1565"/>
      <c r="Y114" s="1565"/>
      <c r="Z114" s="1565"/>
      <c r="AA114" s="1565"/>
      <c r="AB114" s="1565"/>
      <c r="AC114" s="1565"/>
      <c r="CU114" s="692"/>
      <c r="CV114" s="692"/>
      <c r="CW114" s="692"/>
      <c r="CY114" s="693">
        <f>IF(Basisdaten!$B$15=Basisdaten!$B$4,'5 Rendite|Profit'!CZ114,'5 Rendite|Profit'!DA114)</f>
        <v>0</v>
      </c>
      <c r="CZ114" s="1279"/>
      <c r="DA114" s="1279"/>
    </row>
    <row r="115" spans="1:116" s="145" customFormat="1">
      <c r="A115" s="1565"/>
      <c r="B115" s="1565"/>
      <c r="C115" s="1566"/>
      <c r="D115" s="1565"/>
      <c r="E115" s="1565"/>
      <c r="F115" s="1565"/>
      <c r="G115" s="1565"/>
      <c r="H115" s="1565"/>
      <c r="I115" s="1565"/>
      <c r="J115" s="1565"/>
      <c r="K115" s="1565"/>
      <c r="L115" s="1567"/>
      <c r="M115" s="1567"/>
      <c r="N115" s="1567"/>
      <c r="O115" s="1567"/>
      <c r="P115" s="1567"/>
      <c r="Q115" s="1567"/>
      <c r="R115" s="1567"/>
      <c r="S115" s="1567"/>
      <c r="T115" s="1567"/>
      <c r="U115" s="1567"/>
      <c r="V115" s="1567"/>
      <c r="W115" s="1567"/>
      <c r="X115" s="1567"/>
      <c r="Y115" s="1567"/>
      <c r="Z115" s="1567"/>
      <c r="AA115" s="1568"/>
      <c r="AB115" s="1568"/>
      <c r="AC115" s="1565"/>
      <c r="CU115" s="692"/>
      <c r="CV115" s="692"/>
      <c r="CW115" s="692"/>
      <c r="CY115" s="693">
        <f>IF(Basisdaten!$B$15=Basisdaten!$B$4,'5 Rendite|Profit'!CZ115,'5 Rendite|Profit'!DA115)</f>
        <v>0</v>
      </c>
      <c r="CZ115" s="1279"/>
      <c r="DA115" s="1279"/>
    </row>
    <row r="116" spans="1:116" s="1282" customFormat="1" ht="16.2">
      <c r="A116" s="1569"/>
      <c r="B116" s="1569"/>
      <c r="C116" s="1569"/>
      <c r="D116" s="1570" t="s">
        <v>643</v>
      </c>
      <c r="E116" s="1564">
        <f>D40</f>
        <v>0</v>
      </c>
      <c r="F116" s="1564">
        <f>E40</f>
        <v>0</v>
      </c>
      <c r="G116" s="1564">
        <f ca="1">F40</f>
        <v>0</v>
      </c>
      <c r="H116" s="1564">
        <f ca="1">G40</f>
        <v>0</v>
      </c>
      <c r="I116" s="1564">
        <f ca="1">H40</f>
        <v>0</v>
      </c>
      <c r="J116" s="1565"/>
      <c r="K116" s="1565"/>
      <c r="L116" s="1567"/>
      <c r="M116" s="1567"/>
      <c r="N116" s="1567"/>
      <c r="O116" s="1567"/>
      <c r="P116" s="1567"/>
      <c r="Q116" s="1567"/>
      <c r="R116" s="1567"/>
      <c r="S116" s="1567"/>
      <c r="T116" s="1567"/>
      <c r="U116" s="1567"/>
      <c r="V116" s="1567"/>
      <c r="W116" s="1567"/>
      <c r="X116" s="1567"/>
      <c r="Y116" s="1567"/>
      <c r="Z116" s="1567"/>
      <c r="AA116" s="1568"/>
      <c r="AB116" s="1568"/>
      <c r="AC116" s="1569"/>
      <c r="CU116" s="692"/>
      <c r="CV116" s="692"/>
      <c r="CW116" s="692"/>
      <c r="CY116" s="693" t="str">
        <f>IF(Basisdaten!$B$15=Basisdaten!$B$4,'5 Rendite|Profit'!CZ116,'5 Rendite|Profit'!DA116)</f>
        <v>+  Jahreswerte  -</v>
      </c>
      <c r="CZ116" s="1277" t="s">
        <v>394</v>
      </c>
      <c r="DA116" s="1278" t="s">
        <v>395</v>
      </c>
    </row>
    <row r="117" spans="1:116" s="1282" customFormat="1" ht="16.2">
      <c r="A117" s="1569"/>
      <c r="B117" s="1569"/>
      <c r="C117" s="1569"/>
      <c r="D117" s="1570" t="str">
        <f>CY116</f>
        <v>+  Jahreswerte  -</v>
      </c>
      <c r="E117" s="1564">
        <f>IF(E116&gt;=0,E116,0)</f>
        <v>0</v>
      </c>
      <c r="F117" s="1564">
        <f>IF(F116&gt;=0,F116,0)</f>
        <v>0</v>
      </c>
      <c r="G117" s="1564">
        <f ca="1">IF(G116&gt;=0,G116,0)</f>
        <v>0</v>
      </c>
      <c r="H117" s="1564">
        <f ca="1">IF(H116&gt;=0,H116,0)</f>
        <v>0</v>
      </c>
      <c r="I117" s="1564">
        <f ca="1">IF(I116&gt;=0,I116,0)</f>
        <v>0</v>
      </c>
      <c r="J117" s="1565"/>
      <c r="K117" s="1565"/>
      <c r="L117" s="1567"/>
      <c r="M117" s="1567"/>
      <c r="N117" s="1567"/>
      <c r="O117" s="1567"/>
      <c r="P117" s="1567"/>
      <c r="Q117" s="1567"/>
      <c r="R117" s="1567"/>
      <c r="S117" s="1567"/>
      <c r="T117" s="1567"/>
      <c r="U117" s="1567"/>
      <c r="V117" s="1567"/>
      <c r="W117" s="1567"/>
      <c r="X117" s="1567"/>
      <c r="Y117" s="1567"/>
      <c r="Z117" s="1567"/>
      <c r="AA117" s="1568"/>
      <c r="AB117" s="1568"/>
      <c r="AC117" s="1569"/>
      <c r="CU117" s="692"/>
      <c r="CV117" s="692"/>
      <c r="CW117" s="692"/>
      <c r="CY117" s="693">
        <f>IF(Basisdaten!$B$15=Basisdaten!$B$4,'5 Rendite|Profit'!CZ117,'5 Rendite|Profit'!DA117)</f>
        <v>0</v>
      </c>
      <c r="CZ117" s="1277"/>
      <c r="DA117" s="1278"/>
    </row>
    <row r="118" spans="1:116" s="145" customFormat="1" ht="16.2">
      <c r="A118" s="1565"/>
      <c r="B118" s="1565"/>
      <c r="C118" s="1565"/>
      <c r="D118" s="1570"/>
      <c r="E118" s="1564">
        <f>IF(E116&lt;0,E116,0)</f>
        <v>0</v>
      </c>
      <c r="F118" s="1564">
        <f>IF(F116&lt;0,F116,0)</f>
        <v>0</v>
      </c>
      <c r="G118" s="1564">
        <f ca="1">IF(G116&lt;0,G116,0)</f>
        <v>0</v>
      </c>
      <c r="H118" s="1564">
        <f ca="1">IF(H116&lt;0,H116,0)</f>
        <v>0</v>
      </c>
      <c r="I118" s="1564">
        <f ca="1">IF(I116&lt;0,I116,0)</f>
        <v>0</v>
      </c>
      <c r="J118" s="1569"/>
      <c r="K118" s="1569"/>
      <c r="L118" s="1571"/>
      <c r="M118" s="1571"/>
      <c r="N118" s="1571"/>
      <c r="O118" s="1571"/>
      <c r="P118" s="1571"/>
      <c r="Q118" s="1571"/>
      <c r="R118" s="1571"/>
      <c r="S118" s="1571"/>
      <c r="T118" s="1571"/>
      <c r="U118" s="1571"/>
      <c r="V118" s="1571"/>
      <c r="W118" s="1571"/>
      <c r="X118" s="1571"/>
      <c r="Y118" s="1571"/>
      <c r="Z118" s="1571"/>
      <c r="AA118" s="1572"/>
      <c r="AB118" s="1572"/>
      <c r="AC118" s="1567"/>
      <c r="AD118" s="1280"/>
      <c r="AE118" s="1280"/>
      <c r="AF118" s="1280"/>
      <c r="AG118" s="1280"/>
      <c r="AH118" s="1280"/>
      <c r="AI118" s="1280"/>
      <c r="AJ118" s="1280"/>
      <c r="AK118" s="1280"/>
      <c r="AL118" s="1280"/>
      <c r="AM118" s="1280"/>
      <c r="AN118" s="1280"/>
      <c r="AO118" s="1280"/>
      <c r="AP118" s="1280"/>
      <c r="AQ118" s="1281"/>
      <c r="AR118" s="1281"/>
      <c r="CU118" s="692"/>
      <c r="CV118" s="692"/>
      <c r="CW118" s="692"/>
      <c r="CY118" s="693" t="str">
        <f>IF(Basisdaten!$B$15=Basisdaten!$B$4,'5 Rendite|Profit'!CZ118,'5 Rendite|Profit'!DA118)</f>
        <v>akkumuliert</v>
      </c>
      <c r="CZ118" s="693" t="s">
        <v>346</v>
      </c>
      <c r="DA118" s="693" t="s">
        <v>353</v>
      </c>
    </row>
    <row r="119" spans="1:116" s="80" customFormat="1" ht="16.2">
      <c r="A119" s="127"/>
      <c r="B119" s="127"/>
      <c r="C119" s="127"/>
      <c r="D119" s="1570" t="str">
        <f>CY118</f>
        <v>akkumuliert</v>
      </c>
      <c r="E119" s="1564">
        <f>E117</f>
        <v>0</v>
      </c>
      <c r="F119" s="1564">
        <f>F116+E119</f>
        <v>0</v>
      </c>
      <c r="G119" s="1564">
        <f ca="1">G116+F119</f>
        <v>0</v>
      </c>
      <c r="H119" s="1564">
        <f ca="1">H116+G119</f>
        <v>0</v>
      </c>
      <c r="I119" s="1564">
        <f ca="1">I116+H119</f>
        <v>0</v>
      </c>
      <c r="J119" s="1569"/>
      <c r="K119" s="1569"/>
      <c r="L119" s="1571"/>
      <c r="M119" s="1571"/>
      <c r="N119" s="1571"/>
      <c r="O119" s="1571"/>
      <c r="P119" s="1571"/>
      <c r="Q119" s="1571"/>
      <c r="R119" s="1571"/>
      <c r="S119" s="1571"/>
      <c r="T119" s="1571"/>
      <c r="U119" s="1571"/>
      <c r="V119" s="1571"/>
      <c r="W119" s="1571"/>
      <c r="X119" s="1571"/>
      <c r="Y119" s="1571"/>
      <c r="Z119" s="1571"/>
      <c r="AA119" s="1572"/>
      <c r="AB119" s="1572"/>
      <c r="AC119" s="1567"/>
      <c r="AD119" s="1280"/>
      <c r="AE119" s="1280"/>
      <c r="AF119" s="1280"/>
      <c r="AG119" s="1280"/>
      <c r="AH119" s="1280"/>
      <c r="AI119" s="1280"/>
      <c r="AJ119" s="1280"/>
      <c r="AK119" s="1280"/>
      <c r="AL119" s="1280"/>
      <c r="AM119" s="1280"/>
      <c r="AN119" s="1280"/>
      <c r="AO119" s="1280"/>
      <c r="AP119" s="1280"/>
      <c r="AQ119" s="1281"/>
      <c r="AR119" s="1281"/>
      <c r="CU119" s="160"/>
      <c r="CV119" s="160"/>
      <c r="CW119" s="160"/>
      <c r="CY119" s="649"/>
      <c r="CZ119" s="461"/>
      <c r="DA119" s="461"/>
    </row>
    <row r="120" spans="1:116" s="80" customFormat="1">
      <c r="A120" s="127"/>
      <c r="B120" s="127"/>
      <c r="C120" s="127"/>
      <c r="D120" s="127"/>
      <c r="E120" s="244">
        <f ca="1">Basisdaten!$C$15</f>
        <v>2026</v>
      </c>
      <c r="F120" s="244">
        <f ca="1">E120+1</f>
        <v>2027</v>
      </c>
      <c r="G120" s="244">
        <f ca="1">F120+1</f>
        <v>2028</v>
      </c>
      <c r="H120" s="244">
        <f ca="1">G120+1</f>
        <v>2029</v>
      </c>
      <c r="I120" s="244">
        <f ca="1">H120+1</f>
        <v>2030</v>
      </c>
      <c r="J120" s="127"/>
      <c r="K120" s="127"/>
      <c r="L120" s="127"/>
      <c r="M120" s="127"/>
      <c r="N120" s="127"/>
      <c r="O120" s="127"/>
      <c r="P120" s="127"/>
      <c r="Q120" s="127"/>
      <c r="R120" s="127"/>
      <c r="S120" s="127"/>
      <c r="T120" s="127"/>
      <c r="U120" s="127"/>
      <c r="V120" s="127"/>
      <c r="W120" s="127"/>
      <c r="X120" s="127"/>
      <c r="Y120" s="127"/>
      <c r="Z120" s="127"/>
      <c r="AA120" s="75"/>
      <c r="AB120" s="75"/>
      <c r="AC120" s="75"/>
      <c r="AD120" s="687"/>
      <c r="AE120" s="687"/>
      <c r="AF120" s="687"/>
      <c r="AG120" s="687"/>
      <c r="AH120" s="687"/>
      <c r="AI120" s="687"/>
      <c r="AJ120" s="687"/>
      <c r="AK120" s="687"/>
      <c r="AL120" s="687"/>
      <c r="AM120" s="687"/>
      <c r="AN120" s="687"/>
      <c r="AO120" s="687"/>
      <c r="AP120" s="687"/>
      <c r="CU120" s="160"/>
      <c r="CV120" s="160"/>
      <c r="CW120" s="160"/>
      <c r="CY120" s="649"/>
      <c r="CZ120" s="461"/>
      <c r="DA120" s="461"/>
    </row>
    <row r="121" spans="1:116" s="80" customFormat="1">
      <c r="A121" s="127"/>
      <c r="B121" s="127"/>
      <c r="C121" s="127"/>
      <c r="D121" s="127"/>
      <c r="E121" s="127"/>
      <c r="F121" s="127"/>
      <c r="G121" s="127"/>
      <c r="H121" s="127"/>
      <c r="I121" s="127"/>
      <c r="J121" s="127"/>
      <c r="K121" s="127"/>
      <c r="L121" s="127"/>
      <c r="M121" s="127"/>
      <c r="N121" s="75"/>
      <c r="O121" s="75"/>
      <c r="P121" s="75"/>
      <c r="Q121" s="75"/>
      <c r="R121" s="75"/>
      <c r="S121" s="75"/>
      <c r="T121" s="75"/>
      <c r="U121" s="75"/>
      <c r="V121" s="75"/>
      <c r="W121" s="75"/>
      <c r="X121" s="75"/>
      <c r="Y121" s="75"/>
      <c r="Z121" s="127"/>
      <c r="AA121" s="127"/>
      <c r="AB121" s="127"/>
      <c r="AC121" s="127"/>
      <c r="CU121" s="160"/>
      <c r="CV121" s="160"/>
      <c r="CW121" s="160"/>
      <c r="CY121" s="649"/>
      <c r="CZ121" s="461"/>
      <c r="DA121" s="461"/>
    </row>
    <row r="122" spans="1:116" s="80" customFormat="1">
      <c r="A122" s="127"/>
      <c r="B122" s="127"/>
      <c r="C122" s="127"/>
      <c r="D122" s="127"/>
      <c r="E122" s="127"/>
      <c r="F122" s="127"/>
      <c r="G122" s="127"/>
      <c r="H122" s="127"/>
      <c r="I122" s="127"/>
      <c r="J122" s="127"/>
      <c r="K122" s="127"/>
      <c r="L122" s="127"/>
      <c r="M122" s="127"/>
      <c r="N122" s="75"/>
      <c r="O122" s="75"/>
      <c r="P122" s="75"/>
      <c r="Q122" s="75"/>
      <c r="R122" s="75"/>
      <c r="S122" s="75"/>
      <c r="T122" s="75"/>
      <c r="U122" s="75"/>
      <c r="V122" s="75"/>
      <c r="W122" s="75"/>
      <c r="X122" s="75"/>
      <c r="Y122" s="75"/>
      <c r="Z122" s="127"/>
      <c r="AA122" s="127"/>
      <c r="AB122" s="127"/>
      <c r="AC122" s="127"/>
      <c r="CU122" s="160"/>
      <c r="CV122" s="160"/>
      <c r="CW122" s="160"/>
      <c r="CY122" s="649"/>
      <c r="CZ122" s="296"/>
      <c r="DA122" s="296"/>
      <c r="DB122" s="68"/>
      <c r="DC122" s="68"/>
      <c r="DD122" s="68"/>
      <c r="DE122" s="68"/>
      <c r="DF122" s="68"/>
      <c r="DG122" s="68"/>
      <c r="DH122" s="68"/>
      <c r="DI122" s="68"/>
      <c r="DJ122" s="68"/>
      <c r="DK122" s="68"/>
      <c r="DL122" s="68"/>
    </row>
    <row r="123" spans="1:116" s="68" customFormat="1">
      <c r="N123" s="245"/>
      <c r="O123" s="245"/>
      <c r="P123" s="245"/>
      <c r="Q123" s="687"/>
      <c r="R123" s="687"/>
      <c r="S123" s="687"/>
      <c r="T123" s="245"/>
      <c r="U123" s="245"/>
      <c r="V123" s="80"/>
      <c r="W123" s="245"/>
      <c r="X123" s="245"/>
      <c r="Y123" s="245"/>
      <c r="CU123" s="16"/>
      <c r="CV123" s="16"/>
      <c r="CW123" s="16"/>
      <c r="CY123" s="161"/>
      <c r="CZ123" s="296"/>
      <c r="DA123" s="296"/>
    </row>
    <row r="124" spans="1:116" s="68" customFormat="1">
      <c r="N124" s="245"/>
      <c r="O124" s="245"/>
      <c r="P124" s="245"/>
      <c r="Q124" s="687"/>
      <c r="R124" s="687"/>
      <c r="S124" s="687"/>
      <c r="T124" s="245"/>
      <c r="U124" s="245"/>
      <c r="V124" s="245"/>
      <c r="W124" s="245"/>
      <c r="X124" s="245"/>
      <c r="Y124" s="245"/>
      <c r="CU124" s="16"/>
      <c r="CV124" s="16"/>
      <c r="CW124" s="16"/>
      <c r="CY124" s="161"/>
      <c r="CZ124" s="296"/>
      <c r="DA124" s="296"/>
    </row>
    <row r="125" spans="1:116" s="68" customFormat="1">
      <c r="N125" s="245"/>
      <c r="O125" s="245"/>
      <c r="P125" s="245"/>
      <c r="Q125" s="687"/>
      <c r="R125" s="687"/>
      <c r="S125" s="687"/>
      <c r="T125" s="245"/>
      <c r="U125" s="245"/>
      <c r="V125" s="245"/>
      <c r="W125" s="245"/>
      <c r="X125" s="245"/>
      <c r="Y125" s="245"/>
      <c r="CU125" s="16"/>
      <c r="CV125" s="16"/>
      <c r="CW125" s="16"/>
      <c r="CY125" s="161"/>
      <c r="CZ125" s="296"/>
      <c r="DA125" s="296"/>
    </row>
    <row r="126" spans="1:116" s="68" customFormat="1">
      <c r="N126" s="245"/>
      <c r="O126" s="245"/>
      <c r="P126" s="245"/>
      <c r="Q126" s="687"/>
      <c r="R126" s="687"/>
      <c r="S126" s="687"/>
      <c r="T126" s="245"/>
      <c r="U126" s="245"/>
      <c r="V126" s="245"/>
      <c r="W126" s="245"/>
      <c r="X126" s="245"/>
      <c r="Y126" s="245"/>
      <c r="CU126" s="16"/>
      <c r="CV126" s="16"/>
      <c r="CW126" s="16"/>
      <c r="CY126" s="161"/>
      <c r="CZ126" s="296"/>
      <c r="DA126" s="296"/>
    </row>
    <row r="127" spans="1:116" s="68" customFormat="1">
      <c r="N127" s="245"/>
      <c r="O127" s="245"/>
      <c r="P127" s="245"/>
      <c r="Q127" s="687"/>
      <c r="R127" s="687"/>
      <c r="S127" s="687"/>
      <c r="T127" s="245"/>
      <c r="U127" s="245"/>
      <c r="V127" s="245"/>
      <c r="W127" s="245"/>
      <c r="X127" s="245"/>
      <c r="Y127" s="245"/>
      <c r="CU127" s="16"/>
      <c r="CV127" s="16"/>
      <c r="CW127" s="16"/>
      <c r="CY127" s="161"/>
      <c r="CZ127" s="296"/>
      <c r="DA127" s="296"/>
    </row>
    <row r="128" spans="1:116" s="68" customFormat="1">
      <c r="P128" s="70"/>
      <c r="Q128" s="80"/>
      <c r="R128" s="80"/>
      <c r="S128" s="80"/>
      <c r="CU128" s="16"/>
      <c r="CV128" s="16"/>
      <c r="CW128" s="16"/>
      <c r="CY128" s="161"/>
      <c r="CZ128" s="296"/>
      <c r="DA128" s="296"/>
    </row>
    <row r="129" spans="14:116" s="68" customFormat="1">
      <c r="P129" s="70"/>
      <c r="Q129" s="80"/>
      <c r="R129" s="80"/>
      <c r="S129" s="80"/>
      <c r="CU129" s="16"/>
      <c r="CV129" s="16"/>
      <c r="CW129" s="16"/>
      <c r="CY129" s="161"/>
      <c r="CZ129" s="296"/>
      <c r="DA129" s="296"/>
    </row>
    <row r="130" spans="14:116" s="68" customFormat="1">
      <c r="P130" s="70"/>
      <c r="Q130" s="80"/>
      <c r="R130" s="80"/>
      <c r="S130" s="80"/>
      <c r="CU130" s="16"/>
      <c r="CV130" s="16"/>
      <c r="CW130" s="16"/>
      <c r="CY130" s="161"/>
      <c r="CZ130" s="296"/>
      <c r="DA130" s="296"/>
    </row>
    <row r="131" spans="14:116" s="68" customFormat="1">
      <c r="N131" s="688"/>
      <c r="O131" s="688"/>
      <c r="P131" s="689"/>
      <c r="Q131" s="685"/>
      <c r="R131" s="80"/>
      <c r="S131" s="80"/>
      <c r="CP131" s="69"/>
      <c r="CQ131" s="69"/>
      <c r="CR131" s="69"/>
      <c r="CS131" s="69"/>
      <c r="CT131" s="69"/>
      <c r="CU131" s="15"/>
      <c r="CV131" s="16"/>
      <c r="CW131" s="16"/>
      <c r="CY131" s="620"/>
      <c r="CZ131" s="296"/>
      <c r="DA131" s="296"/>
      <c r="DB131" s="69"/>
      <c r="DC131" s="69"/>
      <c r="DD131" s="69"/>
      <c r="DE131" s="69"/>
      <c r="DF131" s="69"/>
      <c r="DG131" s="69"/>
      <c r="DH131" s="69"/>
      <c r="DI131" s="69"/>
      <c r="DJ131" s="69"/>
      <c r="DK131" s="69"/>
      <c r="DL131" s="69"/>
    </row>
    <row r="132" spans="14:116" s="68" customFormat="1">
      <c r="P132" s="70"/>
      <c r="Q132" s="80"/>
      <c r="R132" s="80"/>
      <c r="S132" s="80"/>
      <c r="CP132" s="69"/>
      <c r="CQ132" s="69"/>
      <c r="CR132" s="69"/>
      <c r="CS132" s="69"/>
      <c r="CT132" s="69"/>
      <c r="CU132" s="15"/>
      <c r="CV132" s="16"/>
      <c r="CW132" s="16"/>
      <c r="CY132" s="620"/>
      <c r="CZ132" s="296"/>
      <c r="DA132" s="296"/>
      <c r="DB132" s="69"/>
      <c r="DC132" s="69"/>
      <c r="DD132" s="69"/>
      <c r="DE132" s="69"/>
      <c r="DF132" s="69"/>
      <c r="DG132" s="69"/>
      <c r="DH132" s="69"/>
      <c r="DI132" s="69"/>
      <c r="DJ132" s="69"/>
      <c r="DK132" s="69"/>
      <c r="DL132" s="69"/>
    </row>
    <row r="133" spans="14:116" s="68" customFormat="1">
      <c r="P133" s="70"/>
      <c r="Q133" s="80"/>
      <c r="R133" s="80"/>
      <c r="S133" s="80"/>
      <c r="CP133" s="69"/>
      <c r="CQ133" s="69"/>
      <c r="CR133" s="69"/>
      <c r="CS133" s="69"/>
      <c r="CT133" s="69"/>
      <c r="CU133" s="15"/>
      <c r="CV133" s="16"/>
      <c r="CW133" s="16"/>
      <c r="CY133" s="620"/>
      <c r="CZ133" s="296"/>
      <c r="DA133" s="296"/>
      <c r="DB133" s="69"/>
      <c r="DC133" s="69"/>
      <c r="DD133" s="69"/>
      <c r="DE133" s="69"/>
      <c r="DF133" s="69"/>
      <c r="DG133" s="69"/>
      <c r="DH133" s="69"/>
      <c r="DI133" s="69"/>
      <c r="DJ133" s="69"/>
      <c r="DK133" s="69"/>
      <c r="DL133" s="69"/>
    </row>
    <row r="134" spans="14:116" s="68" customFormat="1">
      <c r="P134" s="70"/>
      <c r="Q134" s="80"/>
      <c r="R134" s="80"/>
      <c r="S134" s="80"/>
      <c r="CP134" s="69"/>
      <c r="CQ134" s="69"/>
      <c r="CR134" s="69"/>
      <c r="CS134" s="69"/>
      <c r="CT134" s="69"/>
      <c r="CU134" s="15"/>
      <c r="CV134" s="16"/>
      <c r="CW134" s="16"/>
      <c r="CY134" s="620"/>
      <c r="CZ134" s="296"/>
      <c r="DA134" s="296"/>
      <c r="DB134" s="69"/>
      <c r="DC134" s="69"/>
      <c r="DD134" s="69"/>
      <c r="DE134" s="69"/>
      <c r="DF134" s="69"/>
      <c r="DG134" s="69"/>
      <c r="DH134" s="69"/>
      <c r="DI134" s="69"/>
      <c r="DJ134" s="69"/>
      <c r="DK134" s="69"/>
      <c r="DL134" s="69"/>
    </row>
    <row r="135" spans="14:116" s="68" customFormat="1">
      <c r="P135" s="70"/>
      <c r="Q135" s="80"/>
      <c r="R135" s="80"/>
      <c r="S135" s="80"/>
      <c r="CP135" s="69"/>
      <c r="CQ135" s="69"/>
      <c r="CR135" s="69"/>
      <c r="CS135" s="69"/>
      <c r="CT135" s="69"/>
      <c r="CU135" s="15"/>
      <c r="CV135" s="16"/>
      <c r="CW135" s="16"/>
      <c r="CY135" s="620"/>
      <c r="CZ135" s="296"/>
      <c r="DA135" s="296"/>
      <c r="DB135" s="69"/>
      <c r="DC135" s="69"/>
      <c r="DD135" s="69"/>
      <c r="DE135" s="69"/>
      <c r="DF135" s="69"/>
      <c r="DG135" s="69"/>
      <c r="DH135" s="69"/>
      <c r="DI135" s="69"/>
      <c r="DJ135" s="69"/>
      <c r="DK135" s="69"/>
      <c r="DL135" s="69"/>
    </row>
    <row r="136" spans="14:116" s="68" customFormat="1">
      <c r="P136" s="70"/>
      <c r="Q136" s="80"/>
      <c r="R136" s="80"/>
      <c r="S136" s="80"/>
      <c r="CP136" s="69"/>
      <c r="CQ136" s="69"/>
      <c r="CR136" s="69"/>
      <c r="CS136" s="69"/>
      <c r="CT136" s="69"/>
      <c r="CU136" s="15"/>
      <c r="CV136" s="16"/>
      <c r="CW136" s="16"/>
      <c r="CY136" s="620"/>
      <c r="CZ136" s="296"/>
      <c r="DA136" s="296"/>
      <c r="DB136" s="69"/>
      <c r="DC136" s="69"/>
      <c r="DD136" s="69"/>
      <c r="DE136" s="69"/>
      <c r="DF136" s="69"/>
      <c r="DG136" s="69"/>
      <c r="DH136" s="69"/>
      <c r="DI136" s="69"/>
      <c r="DJ136" s="69"/>
      <c r="DK136" s="69"/>
      <c r="DL136" s="69"/>
    </row>
    <row r="137" spans="14:116" s="68" customFormat="1">
      <c r="P137" s="70"/>
      <c r="Q137" s="80"/>
      <c r="R137" s="80"/>
      <c r="S137" s="80"/>
      <c r="CP137" s="69"/>
      <c r="CQ137" s="69"/>
      <c r="CR137" s="69"/>
      <c r="CS137" s="69"/>
      <c r="CT137" s="69"/>
      <c r="CU137" s="15"/>
      <c r="CV137" s="16"/>
      <c r="CW137" s="16"/>
      <c r="CY137" s="620"/>
      <c r="CZ137" s="296"/>
      <c r="DA137" s="296"/>
      <c r="DB137" s="69"/>
      <c r="DC137" s="69"/>
      <c r="DD137" s="69"/>
      <c r="DE137" s="69"/>
      <c r="DF137" s="69"/>
      <c r="DG137" s="69"/>
      <c r="DH137" s="69"/>
      <c r="DI137" s="69"/>
      <c r="DJ137" s="69"/>
      <c r="DK137" s="69"/>
      <c r="DL137" s="69"/>
    </row>
    <row r="138" spans="14:116" s="68" customFormat="1">
      <c r="P138" s="70"/>
      <c r="Q138" s="80"/>
      <c r="R138" s="80"/>
      <c r="S138" s="80"/>
      <c r="CP138" s="69"/>
      <c r="CQ138" s="69"/>
      <c r="CR138" s="69"/>
      <c r="CS138" s="69"/>
      <c r="CT138" s="69"/>
      <c r="CU138" s="15"/>
      <c r="CV138" s="16"/>
      <c r="CW138" s="16"/>
      <c r="CY138" s="620"/>
      <c r="CZ138" s="296"/>
      <c r="DA138" s="296"/>
      <c r="DB138" s="69"/>
      <c r="DC138" s="69"/>
      <c r="DD138" s="69"/>
      <c r="DE138" s="69"/>
      <c r="DF138" s="69"/>
      <c r="DG138" s="69"/>
      <c r="DH138" s="69"/>
      <c r="DI138" s="69"/>
      <c r="DJ138" s="69"/>
      <c r="DK138" s="69"/>
      <c r="DL138" s="69"/>
    </row>
    <row r="139" spans="14:116" s="68" customFormat="1">
      <c r="P139" s="70"/>
      <c r="Q139" s="80"/>
      <c r="R139" s="80"/>
      <c r="S139" s="80"/>
      <c r="CP139" s="69"/>
      <c r="CQ139" s="69"/>
      <c r="CR139" s="69"/>
      <c r="CS139" s="69"/>
      <c r="CT139" s="69"/>
      <c r="CU139" s="15"/>
      <c r="CV139" s="16"/>
      <c r="CW139" s="16"/>
      <c r="CY139" s="620"/>
      <c r="CZ139" s="296"/>
      <c r="DA139" s="296"/>
      <c r="DB139" s="69"/>
      <c r="DC139" s="69"/>
      <c r="DD139" s="69"/>
      <c r="DE139" s="69"/>
      <c r="DF139" s="69"/>
      <c r="DG139" s="69"/>
      <c r="DH139" s="69"/>
      <c r="DI139" s="69"/>
      <c r="DJ139" s="69"/>
      <c r="DK139" s="69"/>
      <c r="DL139" s="69"/>
    </row>
    <row r="140" spans="14:116" s="68" customFormat="1">
      <c r="P140" s="70"/>
      <c r="Q140" s="80"/>
      <c r="R140" s="80"/>
      <c r="S140" s="80"/>
      <c r="CP140" s="69"/>
      <c r="CQ140" s="69"/>
      <c r="CR140" s="69"/>
      <c r="CS140" s="69"/>
      <c r="CT140" s="69"/>
      <c r="CU140" s="15"/>
      <c r="CV140" s="16"/>
      <c r="CW140" s="16"/>
      <c r="CY140" s="620"/>
      <c r="CZ140" s="296"/>
      <c r="DA140" s="296"/>
      <c r="DB140" s="69"/>
      <c r="DC140" s="69"/>
      <c r="DD140" s="69"/>
      <c r="DE140" s="69"/>
      <c r="DF140" s="69"/>
      <c r="DG140" s="69"/>
      <c r="DH140" s="69"/>
      <c r="DI140" s="69"/>
      <c r="DJ140" s="69"/>
      <c r="DK140" s="69"/>
      <c r="DL140" s="69"/>
    </row>
    <row r="141" spans="14:116" s="68" customFormat="1">
      <c r="P141" s="70"/>
      <c r="Q141" s="80"/>
      <c r="R141" s="80"/>
      <c r="S141" s="80"/>
      <c r="CP141" s="69"/>
      <c r="CQ141" s="69"/>
      <c r="CR141" s="69"/>
      <c r="CS141" s="69"/>
      <c r="CT141" s="69"/>
      <c r="CU141" s="15"/>
      <c r="CV141" s="16"/>
      <c r="CW141" s="16"/>
      <c r="CY141" s="620"/>
      <c r="CZ141" s="296"/>
      <c r="DA141" s="296"/>
      <c r="DB141" s="69"/>
      <c r="DC141" s="69"/>
      <c r="DD141" s="69"/>
      <c r="DE141" s="69"/>
      <c r="DF141" s="69"/>
      <c r="DG141" s="69"/>
      <c r="DH141" s="69"/>
      <c r="DI141" s="69"/>
      <c r="DJ141" s="69"/>
      <c r="DK141" s="69"/>
      <c r="DL141" s="69"/>
    </row>
    <row r="142" spans="14:116" s="68" customFormat="1">
      <c r="P142" s="70"/>
      <c r="Q142" s="80"/>
      <c r="R142" s="80"/>
      <c r="S142" s="80"/>
      <c r="CP142" s="69"/>
      <c r="CQ142" s="69"/>
      <c r="CR142" s="69"/>
      <c r="CS142" s="69"/>
      <c r="CT142" s="69"/>
      <c r="CU142" s="15"/>
      <c r="CV142" s="16"/>
      <c r="CW142" s="16"/>
      <c r="CY142" s="620"/>
      <c r="CZ142" s="296"/>
      <c r="DA142" s="296"/>
      <c r="DB142" s="69"/>
      <c r="DC142" s="69"/>
      <c r="DD142" s="69"/>
      <c r="DE142" s="69"/>
      <c r="DF142" s="69"/>
      <c r="DG142" s="69"/>
      <c r="DH142" s="69"/>
      <c r="DI142" s="69"/>
      <c r="DJ142" s="69"/>
      <c r="DK142" s="69"/>
      <c r="DL142" s="69"/>
    </row>
    <row r="143" spans="14:116" s="68" customFormat="1">
      <c r="P143" s="70"/>
      <c r="Q143" s="80"/>
      <c r="R143" s="80"/>
      <c r="S143" s="80"/>
      <c r="CP143" s="69"/>
      <c r="CQ143" s="69"/>
      <c r="CR143" s="69"/>
      <c r="CS143" s="69"/>
      <c r="CT143" s="69"/>
      <c r="CU143" s="15"/>
      <c r="CV143" s="16"/>
      <c r="CW143" s="16"/>
      <c r="CY143" s="620"/>
      <c r="CZ143" s="296"/>
      <c r="DA143" s="296"/>
      <c r="DB143" s="69"/>
      <c r="DC143" s="69"/>
      <c r="DD143" s="69"/>
      <c r="DE143" s="69"/>
      <c r="DF143" s="69"/>
      <c r="DG143" s="69"/>
      <c r="DH143" s="69"/>
      <c r="DI143" s="69"/>
      <c r="DJ143" s="69"/>
      <c r="DK143" s="69"/>
      <c r="DL143" s="69"/>
    </row>
    <row r="144" spans="14:116" s="68" customFormat="1">
      <c r="P144" s="70"/>
      <c r="Q144" s="80"/>
      <c r="R144" s="80"/>
      <c r="S144" s="80"/>
      <c r="CP144" s="69"/>
      <c r="CQ144" s="69"/>
      <c r="CR144" s="69"/>
      <c r="CS144" s="69"/>
      <c r="CT144" s="69"/>
      <c r="CU144" s="15"/>
      <c r="CV144" s="16"/>
      <c r="CW144" s="16"/>
      <c r="CY144" s="620"/>
      <c r="CZ144" s="296"/>
      <c r="DA144" s="296"/>
      <c r="DB144" s="69"/>
      <c r="DC144" s="69"/>
      <c r="DD144" s="69"/>
      <c r="DE144" s="69"/>
      <c r="DF144" s="69"/>
      <c r="DG144" s="69"/>
      <c r="DH144" s="69"/>
      <c r="DI144" s="69"/>
      <c r="DJ144" s="69"/>
      <c r="DK144" s="69"/>
      <c r="DL144" s="69"/>
    </row>
    <row r="145" spans="16:116" s="68" customFormat="1">
      <c r="P145" s="70"/>
      <c r="Q145" s="80"/>
      <c r="R145" s="80"/>
      <c r="S145" s="80"/>
      <c r="CP145" s="69"/>
      <c r="CQ145" s="69"/>
      <c r="CR145" s="69"/>
      <c r="CS145" s="69"/>
      <c r="CT145" s="69"/>
      <c r="CU145" s="15"/>
      <c r="CV145" s="16"/>
      <c r="CW145" s="16"/>
      <c r="CY145" s="620"/>
      <c r="CZ145" s="296"/>
      <c r="DA145" s="296"/>
      <c r="DB145" s="69"/>
      <c r="DC145" s="69"/>
      <c r="DD145" s="69"/>
      <c r="DE145" s="69"/>
      <c r="DF145" s="69"/>
      <c r="DG145" s="69"/>
      <c r="DH145" s="69"/>
      <c r="DI145" s="69"/>
      <c r="DJ145" s="69"/>
      <c r="DK145" s="69"/>
      <c r="DL145" s="69"/>
    </row>
    <row r="146" spans="16:116" s="68" customFormat="1">
      <c r="P146" s="70"/>
      <c r="Q146" s="80"/>
      <c r="R146" s="80"/>
      <c r="S146" s="80"/>
      <c r="CP146" s="69"/>
      <c r="CQ146" s="69"/>
      <c r="CR146" s="69"/>
      <c r="CS146" s="69"/>
      <c r="CT146" s="69"/>
      <c r="CU146" s="15"/>
      <c r="CV146" s="16"/>
      <c r="CW146" s="16"/>
      <c r="CY146" s="620"/>
      <c r="CZ146" s="296"/>
      <c r="DA146" s="296"/>
      <c r="DB146" s="69"/>
      <c r="DC146" s="69"/>
      <c r="DD146" s="69"/>
      <c r="DE146" s="69"/>
      <c r="DF146" s="69"/>
      <c r="DG146" s="69"/>
      <c r="DH146" s="69"/>
      <c r="DI146" s="69"/>
      <c r="DJ146" s="69"/>
      <c r="DK146" s="69"/>
      <c r="DL146" s="69"/>
    </row>
    <row r="147" spans="16:116" s="68" customFormat="1">
      <c r="P147" s="70"/>
      <c r="Q147" s="80"/>
      <c r="R147" s="80"/>
      <c r="S147" s="80"/>
      <c r="CP147" s="69"/>
      <c r="CQ147" s="69"/>
      <c r="CR147" s="69"/>
      <c r="CS147" s="69"/>
      <c r="CT147" s="69"/>
      <c r="CU147" s="15"/>
      <c r="CV147" s="16"/>
      <c r="CW147" s="16"/>
      <c r="CY147" s="620"/>
      <c r="CZ147" s="296"/>
      <c r="DA147" s="296"/>
      <c r="DB147" s="69"/>
      <c r="DC147" s="69"/>
      <c r="DD147" s="69"/>
      <c r="DE147" s="69"/>
      <c r="DF147" s="69"/>
      <c r="DG147" s="69"/>
      <c r="DH147" s="69"/>
      <c r="DI147" s="69"/>
      <c r="DJ147" s="69"/>
      <c r="DK147" s="69"/>
      <c r="DL147" s="69"/>
    </row>
    <row r="148" spans="16:116" s="68" customFormat="1">
      <c r="P148" s="70"/>
      <c r="Q148" s="80"/>
      <c r="R148" s="80"/>
      <c r="S148" s="80"/>
      <c r="CP148" s="69"/>
      <c r="CQ148" s="69"/>
      <c r="CR148" s="69"/>
      <c r="CS148" s="69"/>
      <c r="CT148" s="69"/>
      <c r="CU148" s="15"/>
      <c r="CV148" s="16"/>
      <c r="CW148" s="16"/>
      <c r="CY148" s="620"/>
      <c r="CZ148" s="296"/>
      <c r="DA148" s="296"/>
      <c r="DB148" s="69"/>
      <c r="DC148" s="69"/>
      <c r="DD148" s="69"/>
      <c r="DE148" s="69"/>
      <c r="DF148" s="69"/>
      <c r="DG148" s="69"/>
      <c r="DH148" s="69"/>
      <c r="DI148" s="69"/>
      <c r="DJ148" s="69"/>
      <c r="DK148" s="69"/>
      <c r="DL148" s="69"/>
    </row>
    <row r="149" spans="16:116" s="68" customFormat="1">
      <c r="P149" s="70"/>
      <c r="Q149" s="80"/>
      <c r="R149" s="80"/>
      <c r="S149" s="80"/>
      <c r="CP149" s="69"/>
      <c r="CQ149" s="69"/>
      <c r="CR149" s="69"/>
      <c r="CS149" s="69"/>
      <c r="CT149" s="69"/>
      <c r="CU149" s="15"/>
      <c r="CV149" s="16"/>
      <c r="CW149" s="16"/>
      <c r="CY149" s="620"/>
      <c r="CZ149" s="296"/>
      <c r="DA149" s="296"/>
      <c r="DB149" s="69"/>
      <c r="DC149" s="69"/>
      <c r="DD149" s="69"/>
      <c r="DE149" s="69"/>
      <c r="DF149" s="69"/>
      <c r="DG149" s="69"/>
      <c r="DH149" s="69"/>
      <c r="DI149" s="69"/>
      <c r="DJ149" s="69"/>
      <c r="DK149" s="69"/>
      <c r="DL149" s="69"/>
    </row>
    <row r="150" spans="16:116" s="68" customFormat="1">
      <c r="P150" s="70"/>
      <c r="Q150" s="80"/>
      <c r="R150" s="80"/>
      <c r="S150" s="80"/>
      <c r="CP150" s="69"/>
      <c r="CQ150" s="69"/>
      <c r="CR150" s="69"/>
      <c r="CS150" s="69"/>
      <c r="CT150" s="69"/>
      <c r="CU150" s="15"/>
      <c r="CV150" s="16"/>
      <c r="CW150" s="16"/>
      <c r="CY150" s="620"/>
      <c r="CZ150" s="296"/>
      <c r="DA150" s="296"/>
      <c r="DB150" s="69"/>
      <c r="DC150" s="69"/>
      <c r="DD150" s="69"/>
      <c r="DE150" s="69"/>
      <c r="DF150" s="69"/>
      <c r="DG150" s="69"/>
      <c r="DH150" s="69"/>
      <c r="DI150" s="69"/>
      <c r="DJ150" s="69"/>
      <c r="DK150" s="69"/>
      <c r="DL150" s="69"/>
    </row>
    <row r="151" spans="16:116" s="68" customFormat="1">
      <c r="P151" s="70"/>
      <c r="Q151" s="80"/>
      <c r="R151" s="80"/>
      <c r="S151" s="80"/>
      <c r="CP151" s="69"/>
      <c r="CQ151" s="69"/>
      <c r="CR151" s="69"/>
      <c r="CS151" s="69"/>
      <c r="CT151" s="69"/>
      <c r="CU151" s="15"/>
      <c r="CV151" s="16"/>
      <c r="CW151" s="16"/>
      <c r="CY151" s="620"/>
      <c r="CZ151" s="296"/>
      <c r="DA151" s="296"/>
      <c r="DB151" s="69"/>
      <c r="DC151" s="69"/>
      <c r="DD151" s="69"/>
      <c r="DE151" s="69"/>
      <c r="DF151" s="69"/>
      <c r="DG151" s="69"/>
      <c r="DH151" s="69"/>
      <c r="DI151" s="69"/>
      <c r="DJ151" s="69"/>
      <c r="DK151" s="69"/>
      <c r="DL151" s="69"/>
    </row>
    <row r="152" spans="16:116" s="68" customFormat="1">
      <c r="P152" s="70"/>
      <c r="Q152" s="80"/>
      <c r="R152" s="80"/>
      <c r="S152" s="80"/>
      <c r="CP152" s="69"/>
      <c r="CQ152" s="69"/>
      <c r="CR152" s="69"/>
      <c r="CS152" s="69"/>
      <c r="CT152" s="69"/>
      <c r="CU152" s="15"/>
      <c r="CV152" s="16"/>
      <c r="CW152" s="16"/>
      <c r="CY152" s="620"/>
      <c r="CZ152" s="296"/>
      <c r="DA152" s="296"/>
      <c r="DB152" s="69"/>
      <c r="DC152" s="69"/>
      <c r="DD152" s="69"/>
      <c r="DE152" s="69"/>
      <c r="DF152" s="69"/>
      <c r="DG152" s="69"/>
      <c r="DH152" s="69"/>
      <c r="DI152" s="69"/>
      <c r="DJ152" s="69"/>
      <c r="DK152" s="69"/>
      <c r="DL152" s="69"/>
    </row>
    <row r="153" spans="16:116" s="68" customFormat="1">
      <c r="P153" s="70"/>
      <c r="Q153" s="80"/>
      <c r="R153" s="80"/>
      <c r="S153" s="80"/>
      <c r="CP153" s="69"/>
      <c r="CQ153" s="69"/>
      <c r="CR153" s="69"/>
      <c r="CS153" s="69"/>
      <c r="CT153" s="69"/>
      <c r="CU153" s="15"/>
      <c r="CV153" s="16"/>
      <c r="CW153" s="16"/>
      <c r="CY153" s="620"/>
      <c r="CZ153" s="296"/>
      <c r="DA153" s="296"/>
      <c r="DB153" s="69"/>
      <c r="DC153" s="69"/>
      <c r="DD153" s="69"/>
      <c r="DE153" s="69"/>
      <c r="DF153" s="69"/>
      <c r="DG153" s="69"/>
      <c r="DH153" s="69"/>
      <c r="DI153" s="69"/>
      <c r="DJ153" s="69"/>
      <c r="DK153" s="69"/>
      <c r="DL153" s="69"/>
    </row>
    <row r="154" spans="16:116" s="68" customFormat="1">
      <c r="P154" s="70"/>
      <c r="Q154" s="80"/>
      <c r="R154" s="80"/>
      <c r="S154" s="80"/>
      <c r="CP154" s="69"/>
      <c r="CQ154" s="69"/>
      <c r="CR154" s="69"/>
      <c r="CS154" s="69"/>
      <c r="CT154" s="69"/>
      <c r="CU154" s="15"/>
      <c r="CV154" s="16"/>
      <c r="CW154" s="16"/>
      <c r="CY154" s="620"/>
      <c r="CZ154" s="296"/>
      <c r="DA154" s="296"/>
      <c r="DB154" s="69"/>
      <c r="DC154" s="69"/>
      <c r="DD154" s="69"/>
      <c r="DE154" s="69"/>
      <c r="DF154" s="69"/>
      <c r="DG154" s="69"/>
      <c r="DH154" s="69"/>
      <c r="DI154" s="69"/>
      <c r="DJ154" s="69"/>
      <c r="DK154" s="69"/>
      <c r="DL154" s="69"/>
    </row>
    <row r="155" spans="16:116" s="68" customFormat="1">
      <c r="P155" s="70"/>
      <c r="Q155" s="80"/>
      <c r="R155" s="80"/>
      <c r="S155" s="80"/>
      <c r="CP155" s="69"/>
      <c r="CQ155" s="69"/>
      <c r="CR155" s="69"/>
      <c r="CS155" s="69"/>
      <c r="CT155" s="69"/>
      <c r="CU155" s="15"/>
      <c r="CV155" s="16"/>
      <c r="CW155" s="16"/>
      <c r="CY155" s="620"/>
      <c r="CZ155" s="296"/>
      <c r="DA155" s="296"/>
      <c r="DB155" s="69"/>
      <c r="DC155" s="69"/>
      <c r="DD155" s="69"/>
      <c r="DE155" s="69"/>
      <c r="DF155" s="69"/>
      <c r="DG155" s="69"/>
      <c r="DH155" s="69"/>
      <c r="DI155" s="69"/>
      <c r="DJ155" s="69"/>
      <c r="DK155" s="69"/>
      <c r="DL155" s="69"/>
    </row>
    <row r="156" spans="16:116" s="68" customFormat="1">
      <c r="P156" s="70"/>
      <c r="Q156" s="80"/>
      <c r="R156" s="80"/>
      <c r="S156" s="80"/>
      <c r="CP156" s="69"/>
      <c r="CQ156" s="69"/>
      <c r="CR156" s="69"/>
      <c r="CS156" s="69"/>
      <c r="CT156" s="69"/>
      <c r="CU156" s="15"/>
      <c r="CV156" s="16"/>
      <c r="CW156" s="16"/>
      <c r="CY156" s="620"/>
      <c r="CZ156" s="296"/>
      <c r="DA156" s="296"/>
      <c r="DB156" s="69"/>
      <c r="DC156" s="69"/>
      <c r="DD156" s="69"/>
      <c r="DE156" s="69"/>
      <c r="DF156" s="69"/>
      <c r="DG156" s="69"/>
      <c r="DH156" s="69"/>
      <c r="DI156" s="69"/>
      <c r="DJ156" s="69"/>
      <c r="DK156" s="69"/>
      <c r="DL156" s="69"/>
    </row>
    <row r="157" spans="16:116" s="68" customFormat="1">
      <c r="P157" s="70"/>
      <c r="Q157" s="80"/>
      <c r="R157" s="80"/>
      <c r="S157" s="80"/>
      <c r="CP157" s="69"/>
      <c r="CQ157" s="69"/>
      <c r="CR157" s="69"/>
      <c r="CS157" s="69"/>
      <c r="CT157" s="69"/>
      <c r="CU157" s="15"/>
      <c r="CV157" s="16"/>
      <c r="CW157" s="16"/>
      <c r="CY157" s="620"/>
      <c r="CZ157" s="296"/>
      <c r="DA157" s="296"/>
      <c r="DB157" s="69"/>
      <c r="DC157" s="69"/>
      <c r="DD157" s="69"/>
      <c r="DE157" s="69"/>
      <c r="DF157" s="69"/>
      <c r="DG157" s="69"/>
      <c r="DH157" s="69"/>
      <c r="DI157" s="69"/>
      <c r="DJ157" s="69"/>
      <c r="DK157" s="69"/>
      <c r="DL157" s="69"/>
    </row>
    <row r="158" spans="16:116" s="68" customFormat="1">
      <c r="P158" s="70"/>
      <c r="Q158" s="80"/>
      <c r="R158" s="80"/>
      <c r="S158" s="80"/>
      <c r="CP158" s="69"/>
      <c r="CQ158" s="69"/>
      <c r="CR158" s="69"/>
      <c r="CS158" s="69"/>
      <c r="CT158" s="69"/>
      <c r="CU158" s="15"/>
      <c r="CV158" s="16"/>
      <c r="CW158" s="16"/>
      <c r="CY158" s="620"/>
      <c r="CZ158" s="296"/>
      <c r="DA158" s="296"/>
      <c r="DB158" s="69"/>
      <c r="DC158" s="69"/>
      <c r="DD158" s="69"/>
      <c r="DE158" s="69"/>
      <c r="DF158" s="69"/>
      <c r="DG158" s="69"/>
      <c r="DH158" s="69"/>
      <c r="DI158" s="69"/>
      <c r="DJ158" s="69"/>
      <c r="DK158" s="69"/>
      <c r="DL158" s="69"/>
    </row>
    <row r="159" spans="16:116" s="68" customFormat="1">
      <c r="P159" s="70"/>
      <c r="Q159" s="80"/>
      <c r="R159" s="80"/>
      <c r="S159" s="80"/>
      <c r="CP159" s="69"/>
      <c r="CQ159" s="69"/>
      <c r="CR159" s="69"/>
      <c r="CS159" s="69"/>
      <c r="CT159" s="69"/>
      <c r="CU159" s="15"/>
      <c r="CV159" s="16"/>
      <c r="CW159" s="16"/>
      <c r="CY159" s="620"/>
      <c r="CZ159" s="296"/>
      <c r="DA159" s="296"/>
      <c r="DB159" s="69"/>
      <c r="DC159" s="69"/>
      <c r="DD159" s="69"/>
      <c r="DE159" s="69"/>
      <c r="DF159" s="69"/>
      <c r="DG159" s="69"/>
      <c r="DH159" s="69"/>
      <c r="DI159" s="69"/>
      <c r="DJ159" s="69"/>
      <c r="DK159" s="69"/>
      <c r="DL159" s="69"/>
    </row>
    <row r="160" spans="16:116" s="68" customFormat="1">
      <c r="P160" s="70"/>
      <c r="Q160" s="80"/>
      <c r="R160" s="80"/>
      <c r="S160" s="80"/>
      <c r="CP160" s="69"/>
      <c r="CQ160" s="69"/>
      <c r="CR160" s="69"/>
      <c r="CS160" s="69"/>
      <c r="CT160" s="69"/>
      <c r="CU160" s="15"/>
      <c r="CV160" s="16"/>
      <c r="CW160" s="16"/>
      <c r="CY160" s="620"/>
      <c r="CZ160" s="296"/>
      <c r="DA160" s="296"/>
      <c r="DB160" s="69"/>
      <c r="DC160" s="69"/>
      <c r="DD160" s="69"/>
      <c r="DE160" s="69"/>
      <c r="DF160" s="69"/>
      <c r="DG160" s="69"/>
      <c r="DH160" s="69"/>
      <c r="DI160" s="69"/>
      <c r="DJ160" s="69"/>
      <c r="DK160" s="69"/>
      <c r="DL160" s="69"/>
    </row>
    <row r="161" spans="16:116" s="68" customFormat="1">
      <c r="P161" s="70"/>
      <c r="Q161" s="80"/>
      <c r="R161" s="80"/>
      <c r="S161" s="80"/>
      <c r="CP161" s="69"/>
      <c r="CQ161" s="69"/>
      <c r="CR161" s="69"/>
      <c r="CS161" s="69"/>
      <c r="CT161" s="69"/>
      <c r="CU161" s="15"/>
      <c r="CV161" s="16"/>
      <c r="CW161" s="16"/>
      <c r="CY161" s="620"/>
      <c r="CZ161" s="296"/>
      <c r="DA161" s="296"/>
      <c r="DB161" s="69"/>
      <c r="DC161" s="69"/>
      <c r="DD161" s="69"/>
      <c r="DE161" s="69"/>
      <c r="DF161" s="69"/>
      <c r="DG161" s="69"/>
      <c r="DH161" s="69"/>
      <c r="DI161" s="69"/>
      <c r="DJ161" s="69"/>
      <c r="DK161" s="69"/>
      <c r="DL161" s="69"/>
    </row>
    <row r="162" spans="16:116" s="68" customFormat="1">
      <c r="P162" s="70"/>
      <c r="Q162" s="80"/>
      <c r="R162" s="80"/>
      <c r="S162" s="80"/>
      <c r="CP162" s="69"/>
      <c r="CQ162" s="69"/>
      <c r="CR162" s="69"/>
      <c r="CS162" s="69"/>
      <c r="CT162" s="69"/>
      <c r="CU162" s="15"/>
      <c r="CV162" s="16"/>
      <c r="CW162" s="16"/>
      <c r="CY162" s="620"/>
      <c r="CZ162" s="296"/>
      <c r="DA162" s="296"/>
      <c r="DB162" s="69"/>
      <c r="DC162" s="69"/>
      <c r="DD162" s="69"/>
      <c r="DE162" s="69"/>
      <c r="DF162" s="69"/>
      <c r="DG162" s="69"/>
      <c r="DH162" s="69"/>
      <c r="DI162" s="69"/>
      <c r="DJ162" s="69"/>
      <c r="DK162" s="69"/>
      <c r="DL162" s="69"/>
    </row>
    <row r="163" spans="16:116" s="68" customFormat="1">
      <c r="P163" s="70"/>
      <c r="Q163" s="80"/>
      <c r="R163" s="80"/>
      <c r="S163" s="80"/>
      <c r="CP163" s="69"/>
      <c r="CQ163" s="69"/>
      <c r="CR163" s="69"/>
      <c r="CS163" s="69"/>
      <c r="CT163" s="69"/>
      <c r="CU163" s="15"/>
      <c r="CV163" s="16"/>
      <c r="CW163" s="16"/>
      <c r="CY163" s="620"/>
      <c r="CZ163" s="296"/>
      <c r="DA163" s="296"/>
      <c r="DB163" s="69"/>
      <c r="DC163" s="69"/>
      <c r="DD163" s="69"/>
      <c r="DE163" s="69"/>
      <c r="DF163" s="69"/>
      <c r="DG163" s="69"/>
      <c r="DH163" s="69"/>
      <c r="DI163" s="69"/>
      <c r="DJ163" s="69"/>
      <c r="DK163" s="69"/>
      <c r="DL163" s="69"/>
    </row>
    <row r="164" spans="16:116" s="68" customFormat="1">
      <c r="P164" s="70"/>
      <c r="Q164" s="80"/>
      <c r="R164" s="80"/>
      <c r="S164" s="80"/>
      <c r="CP164" s="69"/>
      <c r="CQ164" s="69"/>
      <c r="CR164" s="69"/>
      <c r="CS164" s="69"/>
      <c r="CT164" s="69"/>
      <c r="CU164" s="15"/>
      <c r="CV164" s="16"/>
      <c r="CW164" s="16"/>
      <c r="CY164" s="620"/>
      <c r="CZ164" s="296"/>
      <c r="DA164" s="296"/>
      <c r="DB164" s="69"/>
      <c r="DC164" s="69"/>
      <c r="DD164" s="69"/>
      <c r="DE164" s="69"/>
      <c r="DF164" s="69"/>
      <c r="DG164" s="69"/>
      <c r="DH164" s="69"/>
      <c r="DI164" s="69"/>
      <c r="DJ164" s="69"/>
      <c r="DK164" s="69"/>
      <c r="DL164" s="69"/>
    </row>
    <row r="165" spans="16:116" s="68" customFormat="1">
      <c r="P165" s="70"/>
      <c r="Q165" s="80"/>
      <c r="R165" s="80"/>
      <c r="S165" s="80"/>
      <c r="CP165" s="69"/>
      <c r="CQ165" s="69"/>
      <c r="CR165" s="69"/>
      <c r="CS165" s="69"/>
      <c r="CT165" s="69"/>
      <c r="CU165" s="15"/>
      <c r="CV165" s="16"/>
      <c r="CW165" s="16"/>
      <c r="CY165" s="620"/>
      <c r="CZ165" s="296"/>
      <c r="DA165" s="296"/>
      <c r="DB165" s="69"/>
      <c r="DC165" s="69"/>
      <c r="DD165" s="69"/>
      <c r="DE165" s="69"/>
      <c r="DF165" s="69"/>
      <c r="DG165" s="69"/>
      <c r="DH165" s="69"/>
      <c r="DI165" s="69"/>
      <c r="DJ165" s="69"/>
      <c r="DK165" s="69"/>
      <c r="DL165" s="69"/>
    </row>
    <row r="166" spans="16:116" s="68" customFormat="1">
      <c r="P166" s="70"/>
      <c r="Q166" s="80"/>
      <c r="R166" s="80"/>
      <c r="S166" s="80"/>
      <c r="CP166" s="69"/>
      <c r="CQ166" s="69"/>
      <c r="CR166" s="69"/>
      <c r="CS166" s="69"/>
      <c r="CT166" s="69"/>
      <c r="CU166" s="15"/>
      <c r="CV166" s="16"/>
      <c r="CW166" s="16"/>
      <c r="CY166" s="620"/>
      <c r="CZ166" s="296"/>
      <c r="DA166" s="296"/>
      <c r="DB166" s="69"/>
      <c r="DC166" s="69"/>
      <c r="DD166" s="69"/>
      <c r="DE166" s="69"/>
      <c r="DF166" s="69"/>
      <c r="DG166" s="69"/>
      <c r="DH166" s="69"/>
      <c r="DI166" s="69"/>
      <c r="DJ166" s="69"/>
      <c r="DK166" s="69"/>
      <c r="DL166" s="69"/>
    </row>
    <row r="167" spans="16:116" s="68" customFormat="1">
      <c r="P167" s="70"/>
      <c r="Q167" s="80"/>
      <c r="R167" s="80"/>
      <c r="S167" s="80"/>
      <c r="CP167" s="69"/>
      <c r="CQ167" s="69"/>
      <c r="CR167" s="69"/>
      <c r="CS167" s="69"/>
      <c r="CT167" s="69"/>
      <c r="CU167" s="15"/>
      <c r="CV167" s="16"/>
      <c r="CW167" s="16"/>
      <c r="CY167" s="620"/>
      <c r="CZ167" s="296"/>
      <c r="DA167" s="296"/>
      <c r="DB167" s="69"/>
      <c r="DC167" s="69"/>
      <c r="DD167" s="69"/>
      <c r="DE167" s="69"/>
      <c r="DF167" s="69"/>
      <c r="DG167" s="69"/>
      <c r="DH167" s="69"/>
      <c r="DI167" s="69"/>
      <c r="DJ167" s="69"/>
      <c r="DK167" s="69"/>
      <c r="DL167" s="69"/>
    </row>
    <row r="168" spans="16:116" s="68" customFormat="1">
      <c r="P168" s="70"/>
      <c r="Q168" s="80"/>
      <c r="R168" s="80"/>
      <c r="S168" s="80"/>
      <c r="CP168" s="69"/>
      <c r="CQ168" s="69"/>
      <c r="CR168" s="69"/>
      <c r="CS168" s="69"/>
      <c r="CT168" s="69"/>
      <c r="CU168" s="15"/>
      <c r="CV168" s="16"/>
      <c r="CW168" s="16"/>
      <c r="CY168" s="620"/>
      <c r="CZ168" s="296"/>
      <c r="DA168" s="296"/>
      <c r="DB168" s="69"/>
      <c r="DC168" s="69"/>
      <c r="DD168" s="69"/>
      <c r="DE168" s="69"/>
      <c r="DF168" s="69"/>
      <c r="DG168" s="69"/>
      <c r="DH168" s="69"/>
      <c r="DI168" s="69"/>
      <c r="DJ168" s="69"/>
      <c r="DK168" s="69"/>
      <c r="DL168" s="69"/>
    </row>
    <row r="169" spans="16:116" s="68" customFormat="1">
      <c r="P169" s="70"/>
      <c r="Q169" s="80"/>
      <c r="R169" s="80"/>
      <c r="S169" s="80"/>
      <c r="CP169" s="69"/>
      <c r="CQ169" s="69"/>
      <c r="CR169" s="69"/>
      <c r="CS169" s="69"/>
      <c r="CT169" s="69"/>
      <c r="CU169" s="15"/>
      <c r="CV169" s="16"/>
      <c r="CW169" s="16"/>
      <c r="CY169" s="620"/>
      <c r="CZ169" s="296"/>
      <c r="DA169" s="296"/>
      <c r="DB169" s="69"/>
      <c r="DC169" s="69"/>
      <c r="DD169" s="69"/>
      <c r="DE169" s="69"/>
      <c r="DF169" s="69"/>
      <c r="DG169" s="69"/>
      <c r="DH169" s="69"/>
      <c r="DI169" s="69"/>
      <c r="DJ169" s="69"/>
      <c r="DK169" s="69"/>
      <c r="DL169" s="69"/>
    </row>
    <row r="170" spans="16:116" s="68" customFormat="1">
      <c r="P170" s="70"/>
      <c r="Q170" s="80"/>
      <c r="R170" s="80"/>
      <c r="S170" s="80"/>
      <c r="CP170" s="69"/>
      <c r="CQ170" s="69"/>
      <c r="CR170" s="69"/>
      <c r="CS170" s="69"/>
      <c r="CT170" s="69"/>
      <c r="CU170" s="15"/>
      <c r="CV170" s="16"/>
      <c r="CW170" s="16"/>
      <c r="CY170" s="620"/>
      <c r="CZ170" s="296"/>
      <c r="DA170" s="296"/>
      <c r="DB170" s="69"/>
      <c r="DC170" s="69"/>
      <c r="DD170" s="69"/>
      <c r="DE170" s="69"/>
      <c r="DF170" s="69"/>
      <c r="DG170" s="69"/>
      <c r="DH170" s="69"/>
      <c r="DI170" s="69"/>
      <c r="DJ170" s="69"/>
      <c r="DK170" s="69"/>
      <c r="DL170" s="69"/>
    </row>
    <row r="171" spans="16:116" s="68" customFormat="1">
      <c r="P171" s="70"/>
      <c r="Q171" s="80"/>
      <c r="R171" s="80"/>
      <c r="S171" s="80"/>
      <c r="CP171" s="69"/>
      <c r="CQ171" s="69"/>
      <c r="CR171" s="69"/>
      <c r="CS171" s="69"/>
      <c r="CT171" s="69"/>
      <c r="CU171" s="15"/>
      <c r="CV171" s="16"/>
      <c r="CW171" s="16"/>
      <c r="CY171" s="620"/>
      <c r="CZ171" s="296"/>
      <c r="DA171" s="296"/>
      <c r="DB171" s="69"/>
      <c r="DC171" s="69"/>
      <c r="DD171" s="69"/>
      <c r="DE171" s="69"/>
      <c r="DF171" s="69"/>
      <c r="DG171" s="69"/>
      <c r="DH171" s="69"/>
      <c r="DI171" s="69"/>
      <c r="DJ171" s="69"/>
      <c r="DK171" s="69"/>
      <c r="DL171" s="69"/>
    </row>
    <row r="172" spans="16:116" s="68" customFormat="1">
      <c r="P172" s="70"/>
      <c r="Q172" s="80"/>
      <c r="R172" s="80"/>
      <c r="S172" s="80"/>
      <c r="CP172" s="69"/>
      <c r="CQ172" s="69"/>
      <c r="CR172" s="69"/>
      <c r="CS172" s="69"/>
      <c r="CT172" s="69"/>
      <c r="CU172" s="15"/>
      <c r="CV172" s="16"/>
      <c r="CW172" s="16"/>
      <c r="CY172" s="620"/>
      <c r="CZ172" s="296"/>
      <c r="DA172" s="296"/>
      <c r="DB172" s="69"/>
      <c r="DC172" s="69"/>
      <c r="DD172" s="69"/>
      <c r="DE172" s="69"/>
      <c r="DF172" s="69"/>
      <c r="DG172" s="69"/>
      <c r="DH172" s="69"/>
      <c r="DI172" s="69"/>
      <c r="DJ172" s="69"/>
      <c r="DK172" s="69"/>
      <c r="DL172" s="69"/>
    </row>
    <row r="173" spans="16:116" s="68" customFormat="1">
      <c r="P173" s="70"/>
      <c r="Q173" s="80"/>
      <c r="R173" s="80"/>
      <c r="S173" s="80"/>
      <c r="CP173" s="69"/>
      <c r="CQ173" s="69"/>
      <c r="CR173" s="69"/>
      <c r="CS173" s="69"/>
      <c r="CT173" s="69"/>
      <c r="CU173" s="15"/>
      <c r="CV173" s="16"/>
      <c r="CW173" s="16"/>
      <c r="CY173" s="620"/>
      <c r="CZ173" s="296"/>
      <c r="DA173" s="296"/>
      <c r="DB173" s="69"/>
      <c r="DC173" s="69"/>
      <c r="DD173" s="69"/>
      <c r="DE173" s="69"/>
      <c r="DF173" s="69"/>
      <c r="DG173" s="69"/>
      <c r="DH173" s="69"/>
      <c r="DI173" s="69"/>
      <c r="DJ173" s="69"/>
      <c r="DK173" s="69"/>
      <c r="DL173" s="69"/>
    </row>
    <row r="174" spans="16:116" s="68" customFormat="1">
      <c r="P174" s="70"/>
      <c r="Q174" s="80"/>
      <c r="R174" s="80"/>
      <c r="S174" s="80"/>
      <c r="CP174" s="69"/>
      <c r="CQ174" s="69"/>
      <c r="CR174" s="69"/>
      <c r="CS174" s="69"/>
      <c r="CT174" s="69"/>
      <c r="CU174" s="15"/>
      <c r="CV174" s="16"/>
      <c r="CW174" s="16"/>
      <c r="CY174" s="620"/>
      <c r="CZ174" s="296"/>
      <c r="DA174" s="296"/>
      <c r="DB174" s="69"/>
      <c r="DC174" s="69"/>
      <c r="DD174" s="69"/>
      <c r="DE174" s="69"/>
      <c r="DF174" s="69"/>
      <c r="DG174" s="69"/>
      <c r="DH174" s="69"/>
      <c r="DI174" s="69"/>
      <c r="DJ174" s="69"/>
      <c r="DK174" s="69"/>
      <c r="DL174" s="69"/>
    </row>
    <row r="175" spans="16:116" s="68" customFormat="1">
      <c r="P175" s="70"/>
      <c r="Q175" s="80"/>
      <c r="R175" s="80"/>
      <c r="S175" s="80"/>
      <c r="CP175" s="69"/>
      <c r="CQ175" s="69"/>
      <c r="CR175" s="69"/>
      <c r="CS175" s="69"/>
      <c r="CT175" s="69"/>
      <c r="CU175" s="15"/>
      <c r="CV175" s="16"/>
      <c r="CW175" s="16"/>
      <c r="CY175" s="620"/>
      <c r="CZ175" s="296"/>
      <c r="DA175" s="296"/>
      <c r="DB175" s="69"/>
      <c r="DC175" s="69"/>
      <c r="DD175" s="69"/>
      <c r="DE175" s="69"/>
      <c r="DF175" s="69"/>
      <c r="DG175" s="69"/>
      <c r="DH175" s="69"/>
      <c r="DI175" s="69"/>
      <c r="DJ175" s="69"/>
      <c r="DK175" s="69"/>
      <c r="DL175" s="69"/>
    </row>
    <row r="176" spans="16:116" s="68" customFormat="1">
      <c r="P176" s="70"/>
      <c r="Q176" s="80"/>
      <c r="R176" s="80"/>
      <c r="S176" s="80"/>
      <c r="CP176" s="69"/>
      <c r="CQ176" s="69"/>
      <c r="CR176" s="69"/>
      <c r="CS176" s="69"/>
      <c r="CT176" s="69"/>
      <c r="CU176" s="15"/>
      <c r="CV176" s="16"/>
      <c r="CW176" s="16"/>
      <c r="CY176" s="620"/>
      <c r="CZ176" s="296"/>
      <c r="DA176" s="296"/>
      <c r="DB176" s="69"/>
      <c r="DC176" s="69"/>
      <c r="DD176" s="69"/>
      <c r="DE176" s="69"/>
      <c r="DF176" s="69"/>
      <c r="DG176" s="69"/>
      <c r="DH176" s="69"/>
      <c r="DI176" s="69"/>
      <c r="DJ176" s="69"/>
      <c r="DK176" s="69"/>
      <c r="DL176" s="69"/>
    </row>
    <row r="177" spans="16:116" s="68" customFormat="1">
      <c r="P177" s="70"/>
      <c r="Q177" s="80"/>
      <c r="R177" s="80"/>
      <c r="S177" s="80"/>
      <c r="CP177" s="69"/>
      <c r="CQ177" s="69"/>
      <c r="CR177" s="69"/>
      <c r="CS177" s="69"/>
      <c r="CT177" s="69"/>
      <c r="CU177" s="15"/>
      <c r="CV177" s="16"/>
      <c r="CW177" s="16"/>
      <c r="CY177" s="620"/>
      <c r="CZ177" s="296"/>
      <c r="DA177" s="296"/>
      <c r="DB177" s="69"/>
      <c r="DC177" s="69"/>
      <c r="DD177" s="69"/>
      <c r="DE177" s="69"/>
      <c r="DF177" s="69"/>
      <c r="DG177" s="69"/>
      <c r="DH177" s="69"/>
      <c r="DI177" s="69"/>
      <c r="DJ177" s="69"/>
      <c r="DK177" s="69"/>
      <c r="DL177" s="69"/>
    </row>
    <row r="178" spans="16:116" s="68" customFormat="1">
      <c r="P178" s="70"/>
      <c r="Q178" s="80"/>
      <c r="R178" s="80"/>
      <c r="S178" s="80"/>
      <c r="CP178" s="69"/>
      <c r="CQ178" s="69"/>
      <c r="CR178" s="69"/>
      <c r="CS178" s="69"/>
      <c r="CT178" s="69"/>
      <c r="CU178" s="15"/>
      <c r="CV178" s="16"/>
      <c r="CW178" s="16"/>
      <c r="CY178" s="620"/>
      <c r="CZ178" s="296"/>
      <c r="DA178" s="296"/>
      <c r="DB178" s="69"/>
      <c r="DC178" s="69"/>
      <c r="DD178" s="69"/>
      <c r="DE178" s="69"/>
      <c r="DF178" s="69"/>
      <c r="DG178" s="69"/>
      <c r="DH178" s="69"/>
      <c r="DI178" s="69"/>
      <c r="DJ178" s="69"/>
      <c r="DK178" s="69"/>
      <c r="DL178" s="69"/>
    </row>
    <row r="179" spans="16:116" s="68" customFormat="1">
      <c r="P179" s="70"/>
      <c r="Q179" s="80"/>
      <c r="R179" s="80"/>
      <c r="S179" s="80"/>
      <c r="CP179" s="69"/>
      <c r="CQ179" s="69"/>
      <c r="CR179" s="69"/>
      <c r="CS179" s="69"/>
      <c r="CT179" s="69"/>
      <c r="CU179" s="15"/>
      <c r="CV179" s="16"/>
      <c r="CW179" s="16"/>
      <c r="CY179" s="620"/>
      <c r="CZ179" s="296"/>
      <c r="DA179" s="296"/>
      <c r="DB179" s="69"/>
      <c r="DC179" s="69"/>
      <c r="DD179" s="69"/>
      <c r="DE179" s="69"/>
      <c r="DF179" s="69"/>
      <c r="DG179" s="69"/>
      <c r="DH179" s="69"/>
      <c r="DI179" s="69"/>
      <c r="DJ179" s="69"/>
      <c r="DK179" s="69"/>
      <c r="DL179" s="69"/>
    </row>
    <row r="180" spans="16:116" s="68" customFormat="1">
      <c r="P180" s="70"/>
      <c r="Q180" s="80"/>
      <c r="R180" s="80"/>
      <c r="S180" s="80"/>
      <c r="CP180" s="69"/>
      <c r="CQ180" s="69"/>
      <c r="CR180" s="69"/>
      <c r="CS180" s="69"/>
      <c r="CT180" s="69"/>
      <c r="CU180" s="15"/>
      <c r="CV180" s="16"/>
      <c r="CW180" s="16"/>
      <c r="CY180" s="620"/>
      <c r="CZ180" s="296"/>
      <c r="DA180" s="296"/>
      <c r="DB180" s="69"/>
      <c r="DC180" s="69"/>
      <c r="DD180" s="69"/>
      <c r="DE180" s="69"/>
      <c r="DF180" s="69"/>
      <c r="DG180" s="69"/>
      <c r="DH180" s="69"/>
      <c r="DI180" s="69"/>
      <c r="DJ180" s="69"/>
      <c r="DK180" s="69"/>
      <c r="DL180" s="69"/>
    </row>
    <row r="181" spans="16:116" s="68" customFormat="1">
      <c r="P181" s="70"/>
      <c r="Q181" s="80"/>
      <c r="R181" s="80"/>
      <c r="S181" s="80"/>
      <c r="CP181" s="69"/>
      <c r="CQ181" s="69"/>
      <c r="CR181" s="69"/>
      <c r="CS181" s="69"/>
      <c r="CT181" s="69"/>
      <c r="CU181" s="15"/>
      <c r="CV181" s="16"/>
      <c r="CW181" s="16"/>
      <c r="CY181" s="620"/>
      <c r="CZ181" s="296"/>
      <c r="DA181" s="296"/>
      <c r="DB181" s="69"/>
      <c r="DC181" s="69"/>
      <c r="DD181" s="69"/>
      <c r="DE181" s="69"/>
      <c r="DF181" s="69"/>
      <c r="DG181" s="69"/>
      <c r="DH181" s="69"/>
      <c r="DI181" s="69"/>
      <c r="DJ181" s="69"/>
      <c r="DK181" s="69"/>
      <c r="DL181" s="69"/>
    </row>
    <row r="182" spans="16:116" s="68" customFormat="1">
      <c r="P182" s="70"/>
      <c r="Q182" s="80"/>
      <c r="R182" s="80"/>
      <c r="S182" s="80"/>
      <c r="CP182" s="69"/>
      <c r="CQ182" s="69"/>
      <c r="CR182" s="69"/>
      <c r="CS182" s="69"/>
      <c r="CT182" s="69"/>
      <c r="CU182" s="15"/>
      <c r="CV182" s="16"/>
      <c r="CW182" s="16"/>
      <c r="CY182" s="620"/>
      <c r="CZ182" s="296"/>
      <c r="DA182" s="296"/>
      <c r="DB182" s="69"/>
      <c r="DC182" s="69"/>
      <c r="DD182" s="69"/>
      <c r="DE182" s="69"/>
      <c r="DF182" s="69"/>
      <c r="DG182" s="69"/>
      <c r="DH182" s="69"/>
      <c r="DI182" s="69"/>
      <c r="DJ182" s="69"/>
      <c r="DK182" s="69"/>
      <c r="DL182" s="69"/>
    </row>
    <row r="183" spans="16:116" s="68" customFormat="1">
      <c r="P183" s="70"/>
      <c r="Q183" s="80"/>
      <c r="R183" s="80"/>
      <c r="S183" s="80"/>
      <c r="CP183" s="69"/>
      <c r="CQ183" s="69"/>
      <c r="CR183" s="69"/>
      <c r="CS183" s="69"/>
      <c r="CT183" s="69"/>
      <c r="CU183" s="15"/>
      <c r="CV183" s="16"/>
      <c r="CW183" s="16"/>
      <c r="CY183" s="620"/>
      <c r="CZ183" s="296"/>
      <c r="DA183" s="296"/>
      <c r="DB183" s="69"/>
      <c r="DC183" s="69"/>
      <c r="DD183" s="69"/>
      <c r="DE183" s="69"/>
      <c r="DF183" s="69"/>
      <c r="DG183" s="69"/>
      <c r="DH183" s="69"/>
      <c r="DI183" s="69"/>
      <c r="DJ183" s="69"/>
      <c r="DK183" s="69"/>
      <c r="DL183" s="69"/>
    </row>
    <row r="184" spans="16:116" s="68" customFormat="1">
      <c r="P184" s="70"/>
      <c r="Q184" s="80"/>
      <c r="R184" s="80"/>
      <c r="S184" s="74"/>
      <c r="CP184" s="69"/>
      <c r="CQ184" s="69"/>
      <c r="CR184" s="69"/>
      <c r="CS184" s="69"/>
      <c r="CT184" s="69"/>
      <c r="CU184" s="15"/>
      <c r="CV184" s="16"/>
      <c r="CW184" s="16"/>
      <c r="CY184" s="620"/>
      <c r="CZ184" s="296"/>
      <c r="DA184" s="296"/>
      <c r="DB184" s="69"/>
      <c r="DC184" s="69"/>
      <c r="DD184" s="69"/>
      <c r="DE184" s="69"/>
      <c r="DF184" s="69"/>
      <c r="DG184" s="69"/>
      <c r="DH184" s="69"/>
      <c r="DI184" s="69"/>
      <c r="DJ184" s="69"/>
      <c r="DK184" s="69"/>
      <c r="DL184" s="69"/>
    </row>
    <row r="185" spans="16:116" s="68" customFormat="1">
      <c r="P185" s="70"/>
      <c r="Q185" s="80"/>
      <c r="R185" s="80"/>
      <c r="S185" s="74"/>
      <c r="CP185" s="69"/>
      <c r="CQ185" s="69"/>
      <c r="CR185" s="69"/>
      <c r="CS185" s="69"/>
      <c r="CT185" s="69"/>
      <c r="CU185" s="15"/>
      <c r="CV185" s="16"/>
      <c r="CW185" s="16"/>
      <c r="CY185" s="620"/>
      <c r="CZ185" s="296"/>
      <c r="DA185" s="296"/>
      <c r="DB185" s="69"/>
      <c r="DC185" s="69"/>
      <c r="DD185" s="69"/>
      <c r="DE185" s="69"/>
      <c r="DF185" s="69"/>
      <c r="DG185" s="69"/>
      <c r="DH185" s="69"/>
      <c r="DI185" s="69"/>
      <c r="DJ185" s="69"/>
      <c r="DK185" s="69"/>
      <c r="DL185" s="69"/>
    </row>
    <row r="186" spans="16:116" s="68" customFormat="1">
      <c r="P186" s="70"/>
      <c r="Q186" s="80"/>
      <c r="R186" s="80"/>
      <c r="S186" s="74"/>
      <c r="CP186" s="69"/>
      <c r="CQ186" s="69"/>
      <c r="CR186" s="69"/>
      <c r="CS186" s="69"/>
      <c r="CT186" s="69"/>
      <c r="CU186" s="15"/>
      <c r="CV186" s="16"/>
      <c r="CW186" s="16"/>
      <c r="CY186" s="620"/>
      <c r="CZ186" s="296"/>
      <c r="DA186" s="296"/>
      <c r="DB186" s="69"/>
      <c r="DC186" s="69"/>
      <c r="DD186" s="69"/>
      <c r="DE186" s="69"/>
      <c r="DF186" s="69"/>
      <c r="DG186" s="69"/>
      <c r="DH186" s="69"/>
      <c r="DI186" s="69"/>
      <c r="DJ186" s="69"/>
      <c r="DK186" s="69"/>
      <c r="DL186" s="69"/>
    </row>
    <row r="187" spans="16:116" s="68" customFormat="1">
      <c r="P187" s="70"/>
      <c r="Q187" s="80"/>
      <c r="R187" s="80"/>
      <c r="S187" s="74"/>
      <c r="CP187" s="69"/>
      <c r="CQ187" s="69"/>
      <c r="CR187" s="69"/>
      <c r="CS187" s="69"/>
      <c r="CT187" s="69"/>
      <c r="CU187" s="15"/>
      <c r="CV187" s="16"/>
      <c r="CW187" s="16"/>
      <c r="CY187" s="620"/>
      <c r="CZ187" s="296"/>
      <c r="DA187" s="296"/>
      <c r="DB187" s="69"/>
      <c r="DC187" s="69"/>
      <c r="DD187" s="69"/>
      <c r="DE187" s="69"/>
      <c r="DF187" s="69"/>
      <c r="DG187" s="69"/>
      <c r="DH187" s="69"/>
      <c r="DI187" s="69"/>
      <c r="DJ187" s="69"/>
      <c r="DK187" s="69"/>
      <c r="DL187" s="69"/>
    </row>
    <row r="188" spans="16:116" s="68" customFormat="1">
      <c r="P188" s="70"/>
      <c r="Q188" s="80"/>
      <c r="R188" s="80"/>
      <c r="S188" s="74"/>
      <c r="CP188" s="69"/>
      <c r="CQ188" s="69"/>
      <c r="CR188" s="69"/>
      <c r="CS188" s="69"/>
      <c r="CT188" s="69"/>
      <c r="CU188" s="15"/>
      <c r="CV188" s="16"/>
      <c r="CW188" s="16"/>
      <c r="CY188" s="620"/>
      <c r="CZ188" s="296"/>
      <c r="DA188" s="296"/>
      <c r="DB188" s="69"/>
      <c r="DC188" s="69"/>
      <c r="DD188" s="69"/>
      <c r="DE188" s="69"/>
      <c r="DF188" s="69"/>
      <c r="DG188" s="69"/>
      <c r="DH188" s="69"/>
      <c r="DI188" s="69"/>
      <c r="DJ188" s="69"/>
      <c r="DK188" s="69"/>
      <c r="DL188" s="69"/>
    </row>
    <row r="189" spans="16:116" s="68" customFormat="1">
      <c r="P189" s="70"/>
      <c r="Q189" s="80"/>
      <c r="R189" s="80"/>
      <c r="S189" s="74"/>
      <c r="CP189" s="69"/>
      <c r="CQ189" s="69"/>
      <c r="CR189" s="69"/>
      <c r="CS189" s="69"/>
      <c r="CT189" s="69"/>
      <c r="CU189" s="15"/>
      <c r="CV189" s="16"/>
      <c r="CW189" s="16"/>
      <c r="CY189" s="620"/>
      <c r="CZ189" s="296"/>
      <c r="DA189" s="296"/>
      <c r="DB189" s="69"/>
      <c r="DC189" s="69"/>
      <c r="DD189" s="69"/>
      <c r="DE189" s="69"/>
      <c r="DF189" s="69"/>
      <c r="DG189" s="69"/>
      <c r="DH189" s="69"/>
      <c r="DI189" s="69"/>
      <c r="DJ189" s="69"/>
      <c r="DK189" s="69"/>
      <c r="DL189" s="69"/>
    </row>
    <row r="190" spans="16:116" s="68" customFormat="1">
      <c r="P190" s="70"/>
      <c r="Q190" s="80"/>
      <c r="R190" s="80"/>
      <c r="S190" s="74"/>
      <c r="CP190" s="69"/>
      <c r="CQ190" s="69"/>
      <c r="CR190" s="69"/>
      <c r="CS190" s="69"/>
      <c r="CT190" s="69"/>
      <c r="CU190" s="15"/>
      <c r="CV190" s="16"/>
      <c r="CW190" s="16"/>
      <c r="CY190" s="620"/>
      <c r="CZ190" s="296"/>
      <c r="DA190" s="296"/>
      <c r="DB190" s="69"/>
      <c r="DC190" s="69"/>
      <c r="DD190" s="69"/>
      <c r="DE190" s="69"/>
      <c r="DF190" s="69"/>
      <c r="DG190" s="69"/>
      <c r="DH190" s="69"/>
      <c r="DI190" s="69"/>
      <c r="DJ190" s="69"/>
      <c r="DK190" s="69"/>
      <c r="DL190" s="69"/>
    </row>
    <row r="191" spans="16:116" s="68" customFormat="1">
      <c r="P191" s="70"/>
      <c r="Q191" s="80"/>
      <c r="R191" s="80"/>
      <c r="S191" s="74"/>
      <c r="CP191" s="69"/>
      <c r="CQ191" s="69"/>
      <c r="CR191" s="69"/>
      <c r="CS191" s="69"/>
      <c r="CT191" s="69"/>
      <c r="CU191" s="15"/>
      <c r="CV191" s="16"/>
      <c r="CW191" s="16"/>
      <c r="CY191" s="620"/>
      <c r="CZ191" s="296"/>
      <c r="DA191" s="296"/>
      <c r="DB191" s="69"/>
      <c r="DC191" s="69"/>
      <c r="DD191" s="69"/>
      <c r="DE191" s="69"/>
      <c r="DF191" s="69"/>
      <c r="DG191" s="69"/>
      <c r="DH191" s="69"/>
      <c r="DI191" s="69"/>
      <c r="DJ191" s="69"/>
      <c r="DK191" s="69"/>
      <c r="DL191" s="69"/>
    </row>
    <row r="192" spans="16:116" s="68" customFormat="1">
      <c r="P192" s="70"/>
      <c r="Q192" s="80"/>
      <c r="R192" s="80"/>
      <c r="S192" s="74"/>
      <c r="CP192" s="69"/>
      <c r="CQ192" s="69"/>
      <c r="CR192" s="69"/>
      <c r="CS192" s="69"/>
      <c r="CT192" s="69"/>
      <c r="CU192" s="15"/>
      <c r="CV192" s="16"/>
      <c r="CW192" s="16"/>
      <c r="CY192" s="620"/>
      <c r="CZ192" s="296"/>
      <c r="DA192" s="296"/>
      <c r="DB192" s="69"/>
      <c r="DC192" s="69"/>
      <c r="DD192" s="69"/>
      <c r="DE192" s="69"/>
      <c r="DF192" s="69"/>
      <c r="DG192" s="69"/>
      <c r="DH192" s="69"/>
      <c r="DI192" s="69"/>
      <c r="DJ192" s="69"/>
      <c r="DK192" s="69"/>
      <c r="DL192" s="69"/>
    </row>
    <row r="193" spans="16:116" s="68" customFormat="1">
      <c r="P193" s="70"/>
      <c r="Q193" s="80"/>
      <c r="R193" s="80"/>
      <c r="S193" s="74"/>
      <c r="CP193" s="69"/>
      <c r="CQ193" s="69"/>
      <c r="CR193" s="69"/>
      <c r="CS193" s="69"/>
      <c r="CT193" s="69"/>
      <c r="CU193" s="15"/>
      <c r="CV193" s="16"/>
      <c r="CW193" s="16"/>
      <c r="CY193" s="620"/>
      <c r="CZ193" s="296"/>
      <c r="DA193" s="296"/>
      <c r="DB193" s="69"/>
      <c r="DC193" s="69"/>
      <c r="DD193" s="69"/>
      <c r="DE193" s="69"/>
      <c r="DF193" s="69"/>
      <c r="DG193" s="69"/>
      <c r="DH193" s="69"/>
      <c r="DI193" s="69"/>
      <c r="DJ193" s="69"/>
      <c r="DK193" s="69"/>
      <c r="DL193" s="69"/>
    </row>
    <row r="194" spans="16:116" s="68" customFormat="1">
      <c r="P194" s="70"/>
      <c r="Q194" s="80"/>
      <c r="R194" s="80"/>
      <c r="S194" s="74"/>
      <c r="CP194" s="69"/>
      <c r="CQ194" s="69"/>
      <c r="CR194" s="69"/>
      <c r="CS194" s="69"/>
      <c r="CT194" s="69"/>
      <c r="CU194" s="15"/>
      <c r="CV194" s="16"/>
      <c r="CW194" s="16"/>
      <c r="CY194" s="620"/>
      <c r="CZ194" s="296"/>
      <c r="DA194" s="296"/>
      <c r="DB194" s="69"/>
      <c r="DC194" s="69"/>
      <c r="DD194" s="69"/>
      <c r="DE194" s="69"/>
      <c r="DF194" s="69"/>
      <c r="DG194" s="69"/>
      <c r="DH194" s="69"/>
      <c r="DI194" s="69"/>
      <c r="DJ194" s="69"/>
      <c r="DK194" s="69"/>
      <c r="DL194" s="69"/>
    </row>
    <row r="195" spans="16:116" s="68" customFormat="1">
      <c r="P195" s="70"/>
      <c r="Q195" s="80"/>
      <c r="R195" s="80"/>
      <c r="S195" s="74"/>
      <c r="CP195" s="69"/>
      <c r="CQ195" s="69"/>
      <c r="CR195" s="69"/>
      <c r="CS195" s="69"/>
      <c r="CT195" s="69"/>
      <c r="CU195" s="15"/>
      <c r="CV195" s="16"/>
      <c r="CW195" s="16"/>
      <c r="CY195" s="620"/>
      <c r="CZ195" s="296"/>
      <c r="DA195" s="296"/>
      <c r="DB195" s="69"/>
      <c r="DC195" s="69"/>
      <c r="DD195" s="69"/>
      <c r="DE195" s="69"/>
      <c r="DF195" s="69"/>
      <c r="DG195" s="69"/>
      <c r="DH195" s="69"/>
      <c r="DI195" s="69"/>
      <c r="DJ195" s="69"/>
      <c r="DK195" s="69"/>
      <c r="DL195" s="69"/>
    </row>
    <row r="196" spans="16:116" s="68" customFormat="1">
      <c r="P196" s="70"/>
      <c r="Q196" s="80"/>
      <c r="R196" s="80"/>
      <c r="S196" s="74"/>
      <c r="CP196" s="69"/>
      <c r="CQ196" s="69"/>
      <c r="CR196" s="69"/>
      <c r="CS196" s="69"/>
      <c r="CT196" s="69"/>
      <c r="CU196" s="15"/>
      <c r="CV196" s="16"/>
      <c r="CW196" s="16"/>
      <c r="CY196" s="620"/>
      <c r="CZ196" s="296"/>
      <c r="DA196" s="296"/>
      <c r="DB196" s="69"/>
      <c r="DC196" s="69"/>
      <c r="DD196" s="69"/>
      <c r="DE196" s="69"/>
      <c r="DF196" s="69"/>
      <c r="DG196" s="69"/>
      <c r="DH196" s="69"/>
      <c r="DI196" s="69"/>
      <c r="DJ196" s="69"/>
      <c r="DK196" s="69"/>
      <c r="DL196" s="69"/>
    </row>
    <row r="197" spans="16:116" s="68" customFormat="1">
      <c r="P197" s="70"/>
      <c r="Q197" s="80"/>
      <c r="R197" s="80"/>
      <c r="S197" s="74"/>
      <c r="CP197" s="69"/>
      <c r="CQ197" s="69"/>
      <c r="CR197" s="69"/>
      <c r="CS197" s="69"/>
      <c r="CT197" s="69"/>
      <c r="CU197" s="15"/>
      <c r="CV197" s="16"/>
      <c r="CW197" s="16"/>
      <c r="CY197" s="620"/>
      <c r="CZ197" s="296"/>
      <c r="DA197" s="296"/>
      <c r="DB197" s="69"/>
      <c r="DC197" s="69"/>
      <c r="DD197" s="69"/>
      <c r="DE197" s="69"/>
      <c r="DF197" s="69"/>
      <c r="DG197" s="69"/>
      <c r="DH197" s="69"/>
      <c r="DI197" s="69"/>
      <c r="DJ197" s="69"/>
      <c r="DK197" s="69"/>
      <c r="DL197" s="69"/>
    </row>
    <row r="198" spans="16:116" s="68" customFormat="1">
      <c r="P198" s="70"/>
      <c r="Q198" s="80"/>
      <c r="R198" s="80"/>
      <c r="S198" s="74"/>
      <c r="CP198" s="69"/>
      <c r="CQ198" s="69"/>
      <c r="CR198" s="69"/>
      <c r="CS198" s="69"/>
      <c r="CT198" s="69"/>
      <c r="CU198" s="15"/>
      <c r="CV198" s="16"/>
      <c r="CW198" s="16"/>
      <c r="CY198" s="620"/>
      <c r="CZ198" s="296"/>
      <c r="DA198" s="296"/>
      <c r="DB198" s="69"/>
      <c r="DC198" s="69"/>
      <c r="DD198" s="69"/>
      <c r="DE198" s="69"/>
      <c r="DF198" s="69"/>
      <c r="DG198" s="69"/>
      <c r="DH198" s="69"/>
      <c r="DI198" s="69"/>
      <c r="DJ198" s="69"/>
      <c r="DK198" s="69"/>
      <c r="DL198" s="69"/>
    </row>
    <row r="199" spans="16:116" s="68" customFormat="1">
      <c r="P199" s="70"/>
      <c r="Q199" s="80"/>
      <c r="R199" s="80"/>
      <c r="S199" s="74"/>
      <c r="CP199" s="69"/>
      <c r="CQ199" s="69"/>
      <c r="CR199" s="69"/>
      <c r="CS199" s="69"/>
      <c r="CT199" s="69"/>
      <c r="CU199" s="15"/>
      <c r="CV199" s="16"/>
      <c r="CW199" s="16"/>
      <c r="CY199" s="620"/>
      <c r="CZ199" s="296"/>
      <c r="DA199" s="296"/>
      <c r="DB199" s="69"/>
      <c r="DC199" s="69"/>
      <c r="DD199" s="69"/>
      <c r="DE199" s="69"/>
      <c r="DF199" s="69"/>
      <c r="DG199" s="69"/>
      <c r="DH199" s="69"/>
      <c r="DI199" s="69"/>
      <c r="DJ199" s="69"/>
      <c r="DK199" s="69"/>
      <c r="DL199" s="69"/>
    </row>
    <row r="200" spans="16:116" s="68" customFormat="1">
      <c r="P200" s="70"/>
      <c r="Q200" s="80"/>
      <c r="R200" s="80"/>
      <c r="S200" s="74"/>
      <c r="CP200" s="69"/>
      <c r="CQ200" s="69"/>
      <c r="CR200" s="69"/>
      <c r="CS200" s="69"/>
      <c r="CT200" s="69"/>
      <c r="CU200" s="15"/>
      <c r="CV200" s="16"/>
      <c r="CW200" s="16"/>
      <c r="CY200" s="620"/>
      <c r="CZ200" s="296"/>
      <c r="DA200" s="296"/>
      <c r="DB200" s="69"/>
      <c r="DC200" s="69"/>
      <c r="DD200" s="69"/>
      <c r="DE200" s="69"/>
      <c r="DF200" s="69"/>
      <c r="DG200" s="69"/>
      <c r="DH200" s="69"/>
      <c r="DI200" s="69"/>
      <c r="DJ200" s="69"/>
      <c r="DK200" s="69"/>
      <c r="DL200" s="69"/>
    </row>
    <row r="201" spans="16:116" s="68" customFormat="1">
      <c r="P201" s="70"/>
      <c r="Q201" s="80"/>
      <c r="R201" s="80"/>
      <c r="S201" s="74"/>
      <c r="CP201" s="69"/>
      <c r="CQ201" s="69"/>
      <c r="CR201" s="69"/>
      <c r="CS201" s="69"/>
      <c r="CT201" s="69"/>
      <c r="CU201" s="15"/>
      <c r="CV201" s="16"/>
      <c r="CW201" s="16"/>
      <c r="CY201" s="620"/>
      <c r="CZ201" s="296"/>
      <c r="DA201" s="296"/>
      <c r="DB201" s="69"/>
      <c r="DC201" s="69"/>
      <c r="DD201" s="69"/>
      <c r="DE201" s="69"/>
      <c r="DF201" s="69"/>
      <c r="DG201" s="69"/>
      <c r="DH201" s="69"/>
      <c r="DI201" s="69"/>
      <c r="DJ201" s="69"/>
      <c r="DK201" s="69"/>
      <c r="DL201" s="69"/>
    </row>
    <row r="202" spans="16:116" s="68" customFormat="1">
      <c r="P202" s="70"/>
      <c r="Q202" s="80"/>
      <c r="R202" s="80"/>
      <c r="S202" s="74"/>
      <c r="CP202" s="69"/>
      <c r="CQ202" s="69"/>
      <c r="CR202" s="69"/>
      <c r="CS202" s="69"/>
      <c r="CT202" s="69"/>
      <c r="CU202" s="15"/>
      <c r="CV202" s="16"/>
      <c r="CW202" s="16"/>
      <c r="CY202" s="620"/>
      <c r="CZ202" s="296"/>
      <c r="DA202" s="296"/>
      <c r="DB202" s="69"/>
      <c r="DC202" s="69"/>
      <c r="DD202" s="69"/>
      <c r="DE202" s="69"/>
      <c r="DF202" s="69"/>
      <c r="DG202" s="69"/>
      <c r="DH202" s="69"/>
      <c r="DI202" s="69"/>
      <c r="DJ202" s="69"/>
      <c r="DK202" s="69"/>
      <c r="DL202" s="69"/>
    </row>
    <row r="203" spans="16:116" s="68" customFormat="1">
      <c r="P203" s="70"/>
      <c r="Q203" s="80"/>
      <c r="R203" s="80"/>
      <c r="S203" s="74"/>
      <c r="CP203" s="69"/>
      <c r="CQ203" s="69"/>
      <c r="CR203" s="69"/>
      <c r="CS203" s="69"/>
      <c r="CT203" s="69"/>
      <c r="CU203" s="15"/>
      <c r="CV203" s="16"/>
      <c r="CW203" s="16"/>
      <c r="CY203" s="620"/>
      <c r="CZ203" s="296"/>
      <c r="DA203" s="296"/>
      <c r="DB203" s="69"/>
      <c r="DC203" s="69"/>
      <c r="DD203" s="69"/>
      <c r="DE203" s="69"/>
      <c r="DF203" s="69"/>
      <c r="DG203" s="69"/>
      <c r="DH203" s="69"/>
      <c r="DI203" s="69"/>
      <c r="DJ203" s="69"/>
      <c r="DK203" s="69"/>
      <c r="DL203" s="69"/>
    </row>
    <row r="204" spans="16:116" s="68" customFormat="1">
      <c r="P204" s="70"/>
      <c r="Q204" s="80"/>
      <c r="R204" s="80"/>
      <c r="S204" s="74"/>
      <c r="CP204" s="69"/>
      <c r="CQ204" s="69"/>
      <c r="CR204" s="69"/>
      <c r="CS204" s="69"/>
      <c r="CT204" s="69"/>
      <c r="CU204" s="15"/>
      <c r="CV204" s="16"/>
      <c r="CW204" s="16"/>
      <c r="CY204" s="620"/>
      <c r="CZ204" s="296"/>
      <c r="DA204" s="296"/>
      <c r="DB204" s="69"/>
      <c r="DC204" s="69"/>
      <c r="DD204" s="69"/>
      <c r="DE204" s="69"/>
      <c r="DF204" s="69"/>
      <c r="DG204" s="69"/>
      <c r="DH204" s="69"/>
      <c r="DI204" s="69"/>
      <c r="DJ204" s="69"/>
      <c r="DK204" s="69"/>
      <c r="DL204" s="69"/>
    </row>
    <row r="205" spans="16:116" s="68" customFormat="1">
      <c r="P205" s="70"/>
      <c r="Q205" s="80"/>
      <c r="R205" s="80"/>
      <c r="S205" s="74"/>
      <c r="CP205" s="69"/>
      <c r="CQ205" s="69"/>
      <c r="CR205" s="69"/>
      <c r="CS205" s="69"/>
      <c r="CT205" s="69"/>
      <c r="CU205" s="15"/>
      <c r="CV205" s="16"/>
      <c r="CW205" s="16"/>
      <c r="CY205" s="620"/>
      <c r="CZ205" s="296"/>
      <c r="DA205" s="296"/>
      <c r="DB205" s="69"/>
      <c r="DC205" s="69"/>
      <c r="DD205" s="69"/>
      <c r="DE205" s="69"/>
      <c r="DF205" s="69"/>
      <c r="DG205" s="69"/>
      <c r="DH205" s="69"/>
      <c r="DI205" s="69"/>
      <c r="DJ205" s="69"/>
      <c r="DK205" s="69"/>
      <c r="DL205" s="69"/>
    </row>
    <row r="206" spans="16:116" s="68" customFormat="1">
      <c r="P206" s="70"/>
      <c r="Q206" s="80"/>
      <c r="R206" s="80"/>
      <c r="S206" s="74"/>
      <c r="CP206" s="69"/>
      <c r="CQ206" s="69"/>
      <c r="CR206" s="69"/>
      <c r="CS206" s="69"/>
      <c r="CT206" s="69"/>
      <c r="CU206" s="15"/>
      <c r="CV206" s="16"/>
      <c r="CW206" s="16"/>
      <c r="CY206" s="620"/>
      <c r="CZ206" s="296"/>
      <c r="DA206" s="296"/>
      <c r="DB206" s="69"/>
      <c r="DC206" s="69"/>
      <c r="DD206" s="69"/>
      <c r="DE206" s="69"/>
      <c r="DF206" s="69"/>
      <c r="DG206" s="69"/>
      <c r="DH206" s="69"/>
      <c r="DI206" s="69"/>
      <c r="DJ206" s="69"/>
      <c r="DK206" s="69"/>
      <c r="DL206" s="69"/>
    </row>
    <row r="207" spans="16:116" s="68" customFormat="1">
      <c r="P207" s="70"/>
      <c r="Q207" s="80"/>
      <c r="R207" s="80"/>
      <c r="S207" s="74"/>
      <c r="CP207" s="69"/>
      <c r="CQ207" s="69"/>
      <c r="CR207" s="69"/>
      <c r="CS207" s="69"/>
      <c r="CT207" s="69"/>
      <c r="CU207" s="15"/>
      <c r="CV207" s="16"/>
      <c r="CW207" s="16"/>
      <c r="CY207" s="620"/>
      <c r="CZ207" s="296"/>
      <c r="DA207" s="296"/>
      <c r="DB207" s="69"/>
      <c r="DC207" s="69"/>
      <c r="DD207" s="69"/>
      <c r="DE207" s="69"/>
      <c r="DF207" s="69"/>
      <c r="DG207" s="69"/>
      <c r="DH207" s="69"/>
      <c r="DI207" s="69"/>
      <c r="DJ207" s="69"/>
      <c r="DK207" s="69"/>
      <c r="DL207" s="69"/>
    </row>
    <row r="208" spans="16:116" s="68" customFormat="1">
      <c r="P208" s="70"/>
      <c r="Q208" s="80"/>
      <c r="R208" s="80"/>
      <c r="S208" s="74"/>
      <c r="CP208" s="69"/>
      <c r="CQ208" s="69"/>
      <c r="CR208" s="69"/>
      <c r="CS208" s="69"/>
      <c r="CT208" s="69"/>
      <c r="CU208" s="15"/>
      <c r="CV208" s="16"/>
      <c r="CW208" s="16"/>
      <c r="CY208" s="620"/>
      <c r="CZ208" s="296"/>
      <c r="DA208" s="296"/>
      <c r="DB208" s="69"/>
      <c r="DC208" s="69"/>
      <c r="DD208" s="69"/>
      <c r="DE208" s="69"/>
      <c r="DF208" s="69"/>
      <c r="DG208" s="69"/>
      <c r="DH208" s="69"/>
      <c r="DI208" s="69"/>
      <c r="DJ208" s="69"/>
      <c r="DK208" s="69"/>
      <c r="DL208" s="69"/>
    </row>
    <row r="209" spans="16:116" s="68" customFormat="1">
      <c r="P209" s="70"/>
      <c r="Q209" s="80"/>
      <c r="R209" s="80"/>
      <c r="S209" s="74"/>
      <c r="CP209" s="69"/>
      <c r="CQ209" s="69"/>
      <c r="CR209" s="69"/>
      <c r="CS209" s="69"/>
      <c r="CT209" s="69"/>
      <c r="CU209" s="15"/>
      <c r="CV209" s="16"/>
      <c r="CW209" s="16"/>
      <c r="CY209" s="620"/>
      <c r="CZ209" s="296"/>
      <c r="DA209" s="296"/>
      <c r="DB209" s="69"/>
      <c r="DC209" s="69"/>
      <c r="DD209" s="69"/>
      <c r="DE209" s="69"/>
      <c r="DF209" s="69"/>
      <c r="DG209" s="69"/>
      <c r="DH209" s="69"/>
      <c r="DI209" s="69"/>
      <c r="DJ209" s="69"/>
      <c r="DK209" s="69"/>
      <c r="DL209" s="69"/>
    </row>
    <row r="210" spans="16:116" s="68" customFormat="1">
      <c r="P210" s="70"/>
      <c r="Q210" s="80"/>
      <c r="R210" s="80"/>
      <c r="S210" s="74"/>
      <c r="CP210" s="69"/>
      <c r="CQ210" s="69"/>
      <c r="CR210" s="69"/>
      <c r="CS210" s="69"/>
      <c r="CT210" s="69"/>
      <c r="CU210" s="15"/>
      <c r="CV210" s="16"/>
      <c r="CW210" s="16"/>
      <c r="CY210" s="620"/>
      <c r="CZ210" s="296"/>
      <c r="DA210" s="296"/>
      <c r="DB210" s="69"/>
      <c r="DC210" s="69"/>
      <c r="DD210" s="69"/>
      <c r="DE210" s="69"/>
      <c r="DF210" s="69"/>
      <c r="DG210" s="69"/>
      <c r="DH210" s="69"/>
      <c r="DI210" s="69"/>
      <c r="DJ210" s="69"/>
      <c r="DK210" s="69"/>
      <c r="DL210" s="69"/>
    </row>
    <row r="211" spans="16:116" s="68" customFormat="1">
      <c r="P211" s="70"/>
      <c r="Q211" s="80"/>
      <c r="R211" s="80"/>
      <c r="S211" s="74"/>
      <c r="CP211" s="69"/>
      <c r="CQ211" s="69"/>
      <c r="CR211" s="69"/>
      <c r="CS211" s="69"/>
      <c r="CT211" s="69"/>
      <c r="CU211" s="15"/>
      <c r="CV211" s="16"/>
      <c r="CW211" s="16"/>
      <c r="CY211" s="620"/>
      <c r="CZ211" s="296"/>
      <c r="DA211" s="296"/>
      <c r="DB211" s="69"/>
      <c r="DC211" s="69"/>
      <c r="DD211" s="69"/>
      <c r="DE211" s="69"/>
      <c r="DF211" s="69"/>
      <c r="DG211" s="69"/>
      <c r="DH211" s="69"/>
      <c r="DI211" s="69"/>
      <c r="DJ211" s="69"/>
      <c r="DK211" s="69"/>
      <c r="DL211" s="69"/>
    </row>
    <row r="212" spans="16:116" s="68" customFormat="1">
      <c r="P212" s="70"/>
      <c r="Q212" s="80"/>
      <c r="R212" s="80"/>
      <c r="S212" s="74"/>
      <c r="CP212" s="69"/>
      <c r="CQ212" s="69"/>
      <c r="CR212" s="69"/>
      <c r="CS212" s="69"/>
      <c r="CT212" s="69"/>
      <c r="CU212" s="15"/>
      <c r="CV212" s="16"/>
      <c r="CW212" s="16"/>
      <c r="CY212" s="620"/>
      <c r="CZ212" s="296"/>
      <c r="DA212" s="296"/>
      <c r="DB212" s="69"/>
      <c r="DC212" s="69"/>
      <c r="DD212" s="69"/>
      <c r="DE212" s="69"/>
      <c r="DF212" s="69"/>
      <c r="DG212" s="69"/>
      <c r="DH212" s="69"/>
      <c r="DI212" s="69"/>
      <c r="DJ212" s="69"/>
      <c r="DK212" s="69"/>
      <c r="DL212" s="69"/>
    </row>
    <row r="213" spans="16:116" s="68" customFormat="1">
      <c r="P213" s="70"/>
      <c r="Q213" s="80"/>
      <c r="R213" s="80"/>
      <c r="S213" s="74"/>
      <c r="CP213" s="69"/>
      <c r="CQ213" s="69"/>
      <c r="CR213" s="69"/>
      <c r="CS213" s="69"/>
      <c r="CT213" s="69"/>
      <c r="CU213" s="15"/>
      <c r="CV213" s="16"/>
      <c r="CW213" s="16"/>
      <c r="CY213" s="620"/>
      <c r="CZ213" s="296"/>
      <c r="DA213" s="296"/>
      <c r="DB213" s="69"/>
      <c r="DC213" s="69"/>
      <c r="DD213" s="69"/>
      <c r="DE213" s="69"/>
      <c r="DF213" s="69"/>
      <c r="DG213" s="69"/>
      <c r="DH213" s="69"/>
      <c r="DI213" s="69"/>
      <c r="DJ213" s="69"/>
      <c r="DK213" s="69"/>
      <c r="DL213" s="69"/>
    </row>
    <row r="214" spans="16:116" s="68" customFormat="1">
      <c r="P214" s="70"/>
      <c r="Q214" s="80"/>
      <c r="R214" s="80"/>
      <c r="S214" s="74"/>
      <c r="CP214" s="69"/>
      <c r="CQ214" s="69"/>
      <c r="CR214" s="69"/>
      <c r="CS214" s="69"/>
      <c r="CT214" s="69"/>
      <c r="CU214" s="15"/>
      <c r="CV214" s="16"/>
      <c r="CW214" s="16"/>
      <c r="CY214" s="620"/>
      <c r="CZ214" s="296"/>
      <c r="DA214" s="296"/>
      <c r="DB214" s="69"/>
      <c r="DC214" s="69"/>
      <c r="DD214" s="69"/>
      <c r="DE214" s="69"/>
      <c r="DF214" s="69"/>
      <c r="DG214" s="69"/>
      <c r="DH214" s="69"/>
      <c r="DI214" s="69"/>
      <c r="DJ214" s="69"/>
      <c r="DK214" s="69"/>
      <c r="DL214" s="69"/>
    </row>
    <row r="215" spans="16:116" s="68" customFormat="1">
      <c r="P215" s="70"/>
      <c r="Q215" s="80"/>
      <c r="R215" s="80"/>
      <c r="S215" s="74"/>
      <c r="CP215" s="69"/>
      <c r="CQ215" s="69"/>
      <c r="CR215" s="69"/>
      <c r="CS215" s="69"/>
      <c r="CT215" s="69"/>
      <c r="CU215" s="15"/>
      <c r="CV215" s="16"/>
      <c r="CW215" s="16"/>
      <c r="CY215" s="620"/>
      <c r="CZ215" s="296"/>
      <c r="DA215" s="296"/>
      <c r="DB215" s="69"/>
      <c r="DC215" s="69"/>
      <c r="DD215" s="69"/>
      <c r="DE215" s="69"/>
      <c r="DF215" s="69"/>
      <c r="DG215" s="69"/>
      <c r="DH215" s="69"/>
      <c r="DI215" s="69"/>
      <c r="DJ215" s="69"/>
      <c r="DK215" s="69"/>
      <c r="DL215" s="69"/>
    </row>
    <row r="216" spans="16:116" s="68" customFormat="1">
      <c r="P216" s="70"/>
      <c r="Q216" s="80"/>
      <c r="R216" s="80"/>
      <c r="S216" s="74"/>
      <c r="CP216" s="69"/>
      <c r="CQ216" s="69"/>
      <c r="CR216" s="69"/>
      <c r="CS216" s="69"/>
      <c r="CT216" s="69"/>
      <c r="CU216" s="15"/>
      <c r="CV216" s="16"/>
      <c r="CW216" s="16"/>
      <c r="CY216" s="620"/>
      <c r="CZ216" s="296"/>
      <c r="DA216" s="296"/>
      <c r="DB216" s="69"/>
      <c r="DC216" s="69"/>
      <c r="DD216" s="69"/>
      <c r="DE216" s="69"/>
      <c r="DF216" s="69"/>
      <c r="DG216" s="69"/>
      <c r="DH216" s="69"/>
      <c r="DI216" s="69"/>
      <c r="DJ216" s="69"/>
      <c r="DK216" s="69"/>
      <c r="DL216" s="69"/>
    </row>
    <row r="217" spans="16:116" s="68" customFormat="1">
      <c r="P217" s="70"/>
      <c r="Q217" s="80"/>
      <c r="R217" s="80"/>
      <c r="S217" s="74"/>
      <c r="CP217" s="69"/>
      <c r="CQ217" s="69"/>
      <c r="CR217" s="69"/>
      <c r="CS217" s="69"/>
      <c r="CT217" s="69"/>
      <c r="CU217" s="15"/>
      <c r="CV217" s="16"/>
      <c r="CW217" s="16"/>
      <c r="CY217" s="620"/>
      <c r="CZ217" s="296"/>
      <c r="DA217" s="296"/>
      <c r="DB217" s="69"/>
      <c r="DC217" s="69"/>
      <c r="DD217" s="69"/>
      <c r="DE217" s="69"/>
      <c r="DF217" s="69"/>
      <c r="DG217" s="69"/>
      <c r="DH217" s="69"/>
      <c r="DI217" s="69"/>
      <c r="DJ217" s="69"/>
      <c r="DK217" s="69"/>
      <c r="DL217" s="69"/>
    </row>
    <row r="218" spans="16:116" s="68" customFormat="1">
      <c r="P218" s="70"/>
      <c r="Q218" s="80"/>
      <c r="R218" s="80"/>
      <c r="S218" s="74"/>
      <c r="CP218" s="69"/>
      <c r="CQ218" s="69"/>
      <c r="CR218" s="69"/>
      <c r="CS218" s="69"/>
      <c r="CT218" s="69"/>
      <c r="CU218" s="15"/>
      <c r="CV218" s="16"/>
      <c r="CW218" s="16"/>
      <c r="CY218" s="620"/>
      <c r="CZ218" s="296"/>
      <c r="DA218" s="296"/>
      <c r="DB218" s="69"/>
      <c r="DC218" s="69"/>
      <c r="DD218" s="69"/>
      <c r="DE218" s="69"/>
      <c r="DF218" s="69"/>
      <c r="DG218" s="69"/>
      <c r="DH218" s="69"/>
      <c r="DI218" s="69"/>
      <c r="DJ218" s="69"/>
      <c r="DK218" s="69"/>
      <c r="DL218" s="69"/>
    </row>
    <row r="219" spans="16:116" s="68" customFormat="1">
      <c r="P219" s="70"/>
      <c r="Q219" s="80"/>
      <c r="R219" s="80"/>
      <c r="S219" s="74"/>
      <c r="CP219" s="69"/>
      <c r="CQ219" s="69"/>
      <c r="CR219" s="69"/>
      <c r="CS219" s="69"/>
      <c r="CT219" s="69"/>
      <c r="CU219" s="15"/>
      <c r="CV219" s="16"/>
      <c r="CW219" s="16"/>
      <c r="CY219" s="620"/>
      <c r="CZ219" s="296"/>
      <c r="DA219" s="296"/>
      <c r="DB219" s="69"/>
      <c r="DC219" s="69"/>
      <c r="DD219" s="69"/>
      <c r="DE219" s="69"/>
      <c r="DF219" s="69"/>
      <c r="DG219" s="69"/>
      <c r="DH219" s="69"/>
      <c r="DI219" s="69"/>
      <c r="DJ219" s="69"/>
      <c r="DK219" s="69"/>
      <c r="DL219" s="69"/>
    </row>
    <row r="220" spans="16:116" s="68" customFormat="1">
      <c r="P220" s="70"/>
      <c r="Q220" s="80"/>
      <c r="R220" s="80"/>
      <c r="S220" s="74"/>
      <c r="CP220" s="69"/>
      <c r="CQ220" s="69"/>
      <c r="CR220" s="69"/>
      <c r="CS220" s="69"/>
      <c r="CT220" s="69"/>
      <c r="CU220" s="15"/>
      <c r="CV220" s="16"/>
      <c r="CW220" s="16"/>
      <c r="CY220" s="620"/>
      <c r="CZ220" s="296"/>
      <c r="DA220" s="296"/>
      <c r="DB220" s="69"/>
      <c r="DC220" s="69"/>
      <c r="DD220" s="69"/>
      <c r="DE220" s="69"/>
      <c r="DF220" s="69"/>
      <c r="DG220" s="69"/>
      <c r="DH220" s="69"/>
      <c r="DI220" s="69"/>
      <c r="DJ220" s="69"/>
      <c r="DK220" s="69"/>
      <c r="DL220" s="69"/>
    </row>
    <row r="221" spans="16:116" s="68" customFormat="1">
      <c r="P221" s="70"/>
      <c r="Q221" s="80"/>
      <c r="R221" s="80"/>
      <c r="S221" s="74"/>
      <c r="CP221" s="69"/>
      <c r="CQ221" s="69"/>
      <c r="CR221" s="69"/>
      <c r="CS221" s="69"/>
      <c r="CT221" s="69"/>
      <c r="CU221" s="15"/>
      <c r="CV221" s="16"/>
      <c r="CW221" s="16"/>
      <c r="CY221" s="620"/>
      <c r="CZ221" s="296"/>
      <c r="DA221" s="296"/>
      <c r="DB221" s="69"/>
      <c r="DC221" s="69"/>
      <c r="DD221" s="69"/>
      <c r="DE221" s="69"/>
      <c r="DF221" s="69"/>
      <c r="DG221" s="69"/>
      <c r="DH221" s="69"/>
      <c r="DI221" s="69"/>
      <c r="DJ221" s="69"/>
      <c r="DK221" s="69"/>
      <c r="DL221" s="69"/>
    </row>
    <row r="222" spans="16:116" s="68" customFormat="1">
      <c r="P222" s="70"/>
      <c r="Q222" s="80"/>
      <c r="R222" s="80"/>
      <c r="S222" s="74"/>
      <c r="CP222" s="69"/>
      <c r="CQ222" s="69"/>
      <c r="CR222" s="69"/>
      <c r="CS222" s="69"/>
      <c r="CT222" s="69"/>
      <c r="CU222" s="15"/>
      <c r="CV222" s="16"/>
      <c r="CW222" s="16"/>
      <c r="CY222" s="620"/>
      <c r="CZ222" s="296"/>
      <c r="DA222" s="296"/>
      <c r="DB222" s="69"/>
      <c r="DC222" s="69"/>
      <c r="DD222" s="69"/>
      <c r="DE222" s="69"/>
      <c r="DF222" s="69"/>
      <c r="DG222" s="69"/>
      <c r="DH222" s="69"/>
      <c r="DI222" s="69"/>
      <c r="DJ222" s="69"/>
      <c r="DK222" s="69"/>
      <c r="DL222" s="69"/>
    </row>
    <row r="223" spans="16:116" s="68" customFormat="1">
      <c r="P223" s="70"/>
      <c r="Q223" s="80"/>
      <c r="R223" s="80"/>
      <c r="S223" s="74"/>
      <c r="CP223" s="69"/>
      <c r="CQ223" s="69"/>
      <c r="CR223" s="69"/>
      <c r="CS223" s="69"/>
      <c r="CT223" s="69"/>
      <c r="CU223" s="15"/>
      <c r="CV223" s="16"/>
      <c r="CW223" s="16"/>
      <c r="CY223" s="620"/>
      <c r="CZ223" s="296"/>
      <c r="DA223" s="296"/>
      <c r="DB223" s="69"/>
      <c r="DC223" s="69"/>
      <c r="DD223" s="69"/>
      <c r="DE223" s="69"/>
      <c r="DF223" s="69"/>
      <c r="DG223" s="69"/>
      <c r="DH223" s="69"/>
      <c r="DI223" s="69"/>
      <c r="DJ223" s="69"/>
      <c r="DK223" s="69"/>
      <c r="DL223" s="69"/>
    </row>
    <row r="224" spans="16:116" s="68" customFormat="1">
      <c r="P224" s="70"/>
      <c r="Q224" s="80"/>
      <c r="R224" s="80"/>
      <c r="S224" s="74"/>
      <c r="CP224" s="69"/>
      <c r="CQ224" s="69"/>
      <c r="CR224" s="69"/>
      <c r="CS224" s="69"/>
      <c r="CT224" s="69"/>
      <c r="CU224" s="15"/>
      <c r="CV224" s="16"/>
      <c r="CW224" s="16"/>
      <c r="CY224" s="620"/>
      <c r="CZ224" s="296"/>
      <c r="DA224" s="296"/>
      <c r="DB224" s="69"/>
      <c r="DC224" s="69"/>
      <c r="DD224" s="69"/>
      <c r="DE224" s="69"/>
      <c r="DF224" s="69"/>
      <c r="DG224" s="69"/>
      <c r="DH224" s="69"/>
      <c r="DI224" s="69"/>
      <c r="DJ224" s="69"/>
      <c r="DK224" s="69"/>
      <c r="DL224" s="69"/>
    </row>
    <row r="225" spans="16:116" s="68" customFormat="1">
      <c r="P225" s="70"/>
      <c r="Q225" s="80"/>
      <c r="R225" s="80"/>
      <c r="S225" s="74"/>
      <c r="CP225" s="69"/>
      <c r="CQ225" s="69"/>
      <c r="CR225" s="69"/>
      <c r="CS225" s="69"/>
      <c r="CT225" s="69"/>
      <c r="CU225" s="15"/>
      <c r="CV225" s="16"/>
      <c r="CW225" s="16"/>
      <c r="CY225" s="620"/>
      <c r="CZ225" s="296"/>
      <c r="DA225" s="296"/>
      <c r="DB225" s="69"/>
      <c r="DC225" s="69"/>
      <c r="DD225" s="69"/>
      <c r="DE225" s="69"/>
      <c r="DF225" s="69"/>
      <c r="DG225" s="69"/>
      <c r="DH225" s="69"/>
      <c r="DI225" s="69"/>
      <c r="DJ225" s="69"/>
      <c r="DK225" s="69"/>
      <c r="DL225" s="69"/>
    </row>
    <row r="226" spans="16:116" s="68" customFormat="1">
      <c r="P226" s="70"/>
      <c r="Q226" s="80"/>
      <c r="R226" s="80"/>
      <c r="S226" s="74"/>
      <c r="CP226" s="69"/>
      <c r="CQ226" s="69"/>
      <c r="CR226" s="69"/>
      <c r="CS226" s="69"/>
      <c r="CT226" s="69"/>
      <c r="CU226" s="15"/>
      <c r="CV226" s="16"/>
      <c r="CW226" s="16"/>
      <c r="CY226" s="620"/>
      <c r="CZ226" s="296"/>
      <c r="DA226" s="296"/>
      <c r="DB226" s="69"/>
      <c r="DC226" s="69"/>
      <c r="DD226" s="69"/>
      <c r="DE226" s="69"/>
      <c r="DF226" s="69"/>
      <c r="DG226" s="69"/>
      <c r="DH226" s="69"/>
      <c r="DI226" s="69"/>
      <c r="DJ226" s="69"/>
      <c r="DK226" s="69"/>
      <c r="DL226" s="69"/>
    </row>
    <row r="227" spans="16:116" s="68" customFormat="1">
      <c r="P227" s="70"/>
      <c r="Q227" s="80"/>
      <c r="R227" s="80"/>
      <c r="S227" s="74"/>
      <c r="CP227" s="69"/>
      <c r="CQ227" s="69"/>
      <c r="CR227" s="69"/>
      <c r="CS227" s="69"/>
      <c r="CT227" s="69"/>
      <c r="CU227" s="15"/>
      <c r="CV227" s="16"/>
      <c r="CW227" s="16"/>
      <c r="CY227" s="620"/>
      <c r="CZ227" s="296"/>
      <c r="DA227" s="296"/>
      <c r="DB227" s="69"/>
      <c r="DC227" s="69"/>
      <c r="DD227" s="69"/>
      <c r="DE227" s="69"/>
      <c r="DF227" s="69"/>
      <c r="DG227" s="69"/>
      <c r="DH227" s="69"/>
      <c r="DI227" s="69"/>
      <c r="DJ227" s="69"/>
      <c r="DK227" s="69"/>
      <c r="DL227" s="69"/>
    </row>
    <row r="228" spans="16:116" s="68" customFormat="1">
      <c r="P228" s="70"/>
      <c r="Q228" s="80"/>
      <c r="R228" s="80"/>
      <c r="S228" s="74"/>
      <c r="CP228" s="69"/>
      <c r="CQ228" s="69"/>
      <c r="CR228" s="69"/>
      <c r="CS228" s="69"/>
      <c r="CT228" s="69"/>
      <c r="CU228" s="15"/>
      <c r="CV228" s="16"/>
      <c r="CW228" s="16"/>
      <c r="CY228" s="620"/>
      <c r="CZ228" s="296"/>
      <c r="DA228" s="296"/>
      <c r="DB228" s="69"/>
      <c r="DC228" s="69"/>
      <c r="DD228" s="69"/>
      <c r="DE228" s="69"/>
      <c r="DF228" s="69"/>
      <c r="DG228" s="69"/>
      <c r="DH228" s="69"/>
      <c r="DI228" s="69"/>
      <c r="DJ228" s="69"/>
      <c r="DK228" s="69"/>
      <c r="DL228" s="69"/>
    </row>
    <row r="229" spans="16:116" s="68" customFormat="1">
      <c r="P229" s="70"/>
      <c r="Q229" s="80"/>
      <c r="R229" s="80"/>
      <c r="S229" s="74"/>
      <c r="CP229" s="69"/>
      <c r="CQ229" s="69"/>
      <c r="CR229" s="69"/>
      <c r="CS229" s="69"/>
      <c r="CT229" s="69"/>
      <c r="CU229" s="15"/>
      <c r="CV229" s="16"/>
      <c r="CW229" s="16"/>
      <c r="CY229" s="620"/>
      <c r="CZ229" s="296"/>
      <c r="DA229" s="296"/>
      <c r="DB229" s="69"/>
      <c r="DC229" s="69"/>
      <c r="DD229" s="69"/>
      <c r="DE229" s="69"/>
      <c r="DF229" s="69"/>
      <c r="DG229" s="69"/>
      <c r="DH229" s="69"/>
      <c r="DI229" s="69"/>
      <c r="DJ229" s="69"/>
      <c r="DK229" s="69"/>
      <c r="DL229" s="69"/>
    </row>
    <row r="230" spans="16:116">
      <c r="DB230" s="69"/>
      <c r="DC230" s="69"/>
      <c r="DD230" s="69"/>
      <c r="DE230" s="69"/>
      <c r="DF230" s="69"/>
      <c r="DG230" s="69"/>
      <c r="DH230" s="69"/>
      <c r="DI230" s="69"/>
      <c r="DJ230" s="69"/>
      <c r="DK230" s="69"/>
      <c r="DL230" s="69"/>
    </row>
    <row r="231" spans="16:116">
      <c r="DB231" s="69"/>
      <c r="DC231" s="69"/>
      <c r="DD231" s="69"/>
      <c r="DE231" s="69"/>
      <c r="DF231" s="69"/>
      <c r="DG231" s="69"/>
      <c r="DH231" s="69"/>
      <c r="DI231" s="69"/>
      <c r="DJ231" s="69"/>
      <c r="DK231" s="69"/>
      <c r="DL231" s="69"/>
    </row>
    <row r="232" spans="16:116">
      <c r="DB232" s="69"/>
      <c r="DC232" s="69"/>
      <c r="DD232" s="69"/>
      <c r="DE232" s="69"/>
      <c r="DF232" s="69"/>
      <c r="DG232" s="69"/>
      <c r="DH232" s="69"/>
      <c r="DI232" s="69"/>
      <c r="DJ232" s="69"/>
      <c r="DK232" s="69"/>
      <c r="DL232" s="69"/>
    </row>
    <row r="233" spans="16:116">
      <c r="DB233" s="69"/>
      <c r="DC233" s="69"/>
      <c r="DD233" s="69"/>
      <c r="DE233" s="69"/>
      <c r="DF233" s="69"/>
      <c r="DG233" s="69"/>
      <c r="DH233" s="69"/>
      <c r="DI233" s="69"/>
      <c r="DJ233" s="69"/>
      <c r="DK233" s="69"/>
      <c r="DL233" s="69"/>
    </row>
    <row r="234" spans="16:116">
      <c r="DB234" s="69"/>
      <c r="DC234" s="69"/>
      <c r="DD234" s="69"/>
      <c r="DE234" s="69"/>
      <c r="DF234" s="69"/>
      <c r="DG234" s="69"/>
      <c r="DH234" s="69"/>
      <c r="DI234" s="69"/>
      <c r="DJ234" s="69"/>
      <c r="DK234" s="69"/>
      <c r="DL234" s="69"/>
    </row>
    <row r="235" spans="16:116">
      <c r="DB235" s="69"/>
      <c r="DC235" s="69"/>
      <c r="DD235" s="69"/>
      <c r="DE235" s="69"/>
      <c r="DF235" s="69"/>
      <c r="DG235" s="69"/>
      <c r="DH235" s="69"/>
      <c r="DI235" s="69"/>
      <c r="DJ235" s="69"/>
      <c r="DK235" s="69"/>
      <c r="DL235" s="69"/>
    </row>
    <row r="236" spans="16:116">
      <c r="DB236" s="69"/>
      <c r="DC236" s="69"/>
      <c r="DD236" s="69"/>
      <c r="DE236" s="69"/>
      <c r="DF236" s="69"/>
      <c r="DG236" s="69"/>
      <c r="DH236" s="69"/>
      <c r="DI236" s="69"/>
      <c r="DJ236" s="69"/>
      <c r="DK236" s="69"/>
      <c r="DL236" s="69"/>
    </row>
    <row r="237" spans="16:116">
      <c r="DB237" s="69"/>
      <c r="DC237" s="69"/>
      <c r="DD237" s="69"/>
      <c r="DE237" s="69"/>
      <c r="DF237" s="69"/>
      <c r="DG237" s="69"/>
      <c r="DH237" s="69"/>
      <c r="DI237" s="69"/>
      <c r="DJ237" s="69"/>
      <c r="DK237" s="69"/>
      <c r="DL237" s="69"/>
    </row>
    <row r="238" spans="16:116">
      <c r="DB238" s="69"/>
      <c r="DC238" s="69"/>
      <c r="DD238" s="69"/>
      <c r="DE238" s="69"/>
      <c r="DF238" s="69"/>
      <c r="DG238" s="69"/>
      <c r="DH238" s="69"/>
      <c r="DI238" s="69"/>
      <c r="DJ238" s="69"/>
      <c r="DK238" s="69"/>
      <c r="DL238" s="69"/>
    </row>
    <row r="239" spans="16:116">
      <c r="DB239" s="69"/>
      <c r="DC239" s="69"/>
      <c r="DD239" s="69"/>
      <c r="DE239" s="69"/>
      <c r="DF239" s="69"/>
      <c r="DG239" s="69"/>
      <c r="DH239" s="69"/>
      <c r="DI239" s="69"/>
      <c r="DJ239" s="69"/>
      <c r="DK239" s="69"/>
      <c r="DL239" s="69"/>
    </row>
    <row r="240" spans="16:116">
      <c r="DB240" s="69"/>
      <c r="DC240" s="69"/>
      <c r="DD240" s="69"/>
      <c r="DE240" s="69"/>
      <c r="DF240" s="69"/>
      <c r="DG240" s="69"/>
      <c r="DH240" s="69"/>
      <c r="DI240" s="69"/>
      <c r="DJ240" s="69"/>
      <c r="DK240" s="69"/>
      <c r="DL240" s="69"/>
    </row>
    <row r="241" spans="106:116">
      <c r="DB241" s="69"/>
      <c r="DC241" s="69"/>
      <c r="DD241" s="69"/>
      <c r="DE241" s="69"/>
      <c r="DF241" s="69"/>
      <c r="DG241" s="69"/>
      <c r="DH241" s="69"/>
      <c r="DI241" s="69"/>
      <c r="DJ241" s="69"/>
      <c r="DK241" s="69"/>
      <c r="DL241" s="69"/>
    </row>
    <row r="242" spans="106:116">
      <c r="DB242" s="69"/>
      <c r="DC242" s="69"/>
      <c r="DD242" s="69"/>
      <c r="DE242" s="69"/>
      <c r="DF242" s="69"/>
      <c r="DG242" s="69"/>
      <c r="DH242" s="69"/>
      <c r="DI242" s="69"/>
      <c r="DJ242" s="69"/>
      <c r="DK242" s="69"/>
      <c r="DL242" s="69"/>
    </row>
    <row r="243" spans="106:116">
      <c r="DB243" s="69"/>
      <c r="DC243" s="69"/>
      <c r="DD243" s="69"/>
      <c r="DE243" s="69"/>
      <c r="DF243" s="69"/>
      <c r="DG243" s="69"/>
      <c r="DH243" s="69"/>
      <c r="DI243" s="69"/>
      <c r="DJ243" s="69"/>
      <c r="DK243" s="69"/>
      <c r="DL243" s="69"/>
    </row>
    <row r="244" spans="106:116">
      <c r="DB244" s="69"/>
      <c r="DC244" s="69"/>
      <c r="DD244" s="69"/>
      <c r="DE244" s="69"/>
      <c r="DF244" s="69"/>
      <c r="DG244" s="69"/>
      <c r="DH244" s="69"/>
      <c r="DI244" s="69"/>
      <c r="DJ244" s="69"/>
      <c r="DK244" s="69"/>
      <c r="DL244" s="69"/>
    </row>
    <row r="245" spans="106:116">
      <c r="DB245" s="69"/>
      <c r="DC245" s="69"/>
      <c r="DD245" s="69"/>
      <c r="DE245" s="69"/>
      <c r="DF245" s="69"/>
      <c r="DG245" s="69"/>
      <c r="DH245" s="69"/>
      <c r="DI245" s="69"/>
      <c r="DJ245" s="69"/>
      <c r="DK245" s="69"/>
      <c r="DL245" s="69"/>
    </row>
    <row r="246" spans="106:116">
      <c r="DB246" s="69"/>
      <c r="DC246" s="69"/>
      <c r="DD246" s="69"/>
      <c r="DE246" s="69"/>
      <c r="DF246" s="69"/>
      <c r="DG246" s="69"/>
      <c r="DH246" s="69"/>
      <c r="DI246" s="69"/>
      <c r="DJ246" s="69"/>
      <c r="DK246" s="69"/>
      <c r="DL246" s="69"/>
    </row>
    <row r="247" spans="106:116">
      <c r="DB247" s="69"/>
      <c r="DC247" s="69"/>
      <c r="DD247" s="69"/>
      <c r="DE247" s="69"/>
      <c r="DF247" s="69"/>
      <c r="DG247" s="69"/>
      <c r="DH247" s="69"/>
      <c r="DI247" s="69"/>
      <c r="DJ247" s="69"/>
      <c r="DK247" s="69"/>
      <c r="DL247" s="69"/>
    </row>
    <row r="248" spans="106:116">
      <c r="DB248" s="69"/>
      <c r="DC248" s="69"/>
      <c r="DD248" s="69"/>
      <c r="DE248" s="69"/>
      <c r="DF248" s="69"/>
      <c r="DG248" s="69"/>
      <c r="DH248" s="69"/>
      <c r="DI248" s="69"/>
      <c r="DJ248" s="69"/>
      <c r="DK248" s="69"/>
      <c r="DL248" s="69"/>
    </row>
    <row r="249" spans="106:116">
      <c r="DB249" s="69"/>
      <c r="DC249" s="69"/>
      <c r="DD249" s="69"/>
      <c r="DE249" s="69"/>
      <c r="DF249" s="69"/>
      <c r="DG249" s="69"/>
      <c r="DH249" s="69"/>
      <c r="DI249" s="69"/>
      <c r="DJ249" s="69"/>
      <c r="DK249" s="69"/>
      <c r="DL249" s="69"/>
    </row>
    <row r="250" spans="106:116">
      <c r="DB250" s="69"/>
      <c r="DC250" s="69"/>
      <c r="DD250" s="69"/>
      <c r="DE250" s="69"/>
      <c r="DF250" s="69"/>
      <c r="DG250" s="69"/>
      <c r="DH250" s="69"/>
      <c r="DI250" s="69"/>
      <c r="DJ250" s="69"/>
      <c r="DK250" s="69"/>
      <c r="DL250" s="69"/>
    </row>
    <row r="251" spans="106:116">
      <c r="DB251" s="69"/>
      <c r="DC251" s="69"/>
      <c r="DD251" s="69"/>
      <c r="DE251" s="69"/>
      <c r="DF251" s="69"/>
      <c r="DG251" s="69"/>
      <c r="DH251" s="69"/>
      <c r="DI251" s="69"/>
      <c r="DJ251" s="69"/>
      <c r="DK251" s="69"/>
      <c r="DL251" s="69"/>
    </row>
    <row r="252" spans="106:116">
      <c r="DB252" s="69"/>
      <c r="DC252" s="69"/>
      <c r="DD252" s="69"/>
      <c r="DE252" s="69"/>
      <c r="DF252" s="69"/>
      <c r="DG252" s="69"/>
      <c r="DH252" s="69"/>
      <c r="DI252" s="69"/>
      <c r="DJ252" s="69"/>
      <c r="DK252" s="69"/>
      <c r="DL252" s="69"/>
    </row>
    <row r="253" spans="106:116">
      <c r="DB253" s="69"/>
      <c r="DC253" s="69"/>
      <c r="DD253" s="69"/>
      <c r="DE253" s="69"/>
      <c r="DF253" s="69"/>
      <c r="DG253" s="69"/>
      <c r="DH253" s="69"/>
      <c r="DI253" s="69"/>
      <c r="DJ253" s="69"/>
      <c r="DK253" s="69"/>
      <c r="DL253" s="69"/>
    </row>
    <row r="254" spans="106:116">
      <c r="DB254" s="69"/>
      <c r="DC254" s="69"/>
      <c r="DD254" s="69"/>
      <c r="DE254" s="69"/>
      <c r="DF254" s="69"/>
      <c r="DG254" s="69"/>
      <c r="DH254" s="69"/>
      <c r="DI254" s="69"/>
      <c r="DJ254" s="69"/>
      <c r="DK254" s="69"/>
      <c r="DL254" s="69"/>
    </row>
    <row r="255" spans="106:116">
      <c r="DB255" s="69"/>
      <c r="DC255" s="69"/>
      <c r="DD255" s="69"/>
      <c r="DE255" s="69"/>
      <c r="DF255" s="69"/>
      <c r="DG255" s="69"/>
      <c r="DH255" s="69"/>
      <c r="DI255" s="69"/>
      <c r="DJ255" s="69"/>
      <c r="DK255" s="69"/>
      <c r="DL255" s="69"/>
    </row>
    <row r="256" spans="106:116">
      <c r="DB256" s="69"/>
      <c r="DC256" s="69"/>
      <c r="DD256" s="69"/>
      <c r="DE256" s="69"/>
      <c r="DF256" s="69"/>
      <c r="DG256" s="69"/>
      <c r="DH256" s="69"/>
      <c r="DI256" s="69"/>
      <c r="DJ256" s="69"/>
      <c r="DK256" s="69"/>
      <c r="DL256" s="69"/>
    </row>
    <row r="257" spans="106:116">
      <c r="DB257" s="69"/>
      <c r="DC257" s="69"/>
      <c r="DD257" s="69"/>
      <c r="DE257" s="69"/>
      <c r="DF257" s="69"/>
      <c r="DG257" s="69"/>
      <c r="DH257" s="69"/>
      <c r="DI257" s="69"/>
      <c r="DJ257" s="69"/>
      <c r="DK257" s="69"/>
      <c r="DL257" s="69"/>
    </row>
    <row r="258" spans="106:116">
      <c r="DB258" s="69"/>
      <c r="DC258" s="69"/>
      <c r="DD258" s="69"/>
      <c r="DE258" s="69"/>
      <c r="DF258" s="69"/>
      <c r="DG258" s="69"/>
      <c r="DH258" s="69"/>
      <c r="DI258" s="69"/>
      <c r="DJ258" s="69"/>
      <c r="DK258" s="69"/>
      <c r="DL258" s="69"/>
    </row>
    <row r="259" spans="106:116">
      <c r="DB259" s="69"/>
      <c r="DC259" s="69"/>
      <c r="DD259" s="69"/>
      <c r="DE259" s="69"/>
      <c r="DF259" s="69"/>
      <c r="DG259" s="69"/>
      <c r="DH259" s="69"/>
      <c r="DI259" s="69"/>
      <c r="DJ259" s="69"/>
      <c r="DK259" s="69"/>
      <c r="DL259" s="69"/>
    </row>
    <row r="260" spans="106:116">
      <c r="DB260" s="69"/>
      <c r="DC260" s="69"/>
      <c r="DD260" s="69"/>
      <c r="DE260" s="69"/>
      <c r="DF260" s="69"/>
      <c r="DG260" s="69"/>
      <c r="DH260" s="69"/>
      <c r="DI260" s="69"/>
      <c r="DJ260" s="69"/>
      <c r="DK260" s="69"/>
      <c r="DL260" s="69"/>
    </row>
    <row r="261" spans="106:116">
      <c r="DB261" s="69"/>
      <c r="DC261" s="69"/>
      <c r="DD261" s="69"/>
      <c r="DE261" s="69"/>
      <c r="DF261" s="69"/>
      <c r="DG261" s="69"/>
      <c r="DH261" s="69"/>
      <c r="DI261" s="69"/>
      <c r="DJ261" s="69"/>
      <c r="DK261" s="69"/>
      <c r="DL261" s="69"/>
    </row>
    <row r="262" spans="106:116">
      <c r="DB262" s="69"/>
      <c r="DC262" s="69"/>
      <c r="DD262" s="69"/>
      <c r="DE262" s="69"/>
      <c r="DF262" s="69"/>
      <c r="DG262" s="69"/>
      <c r="DH262" s="69"/>
      <c r="DI262" s="69"/>
      <c r="DJ262" s="69"/>
      <c r="DK262" s="69"/>
      <c r="DL262" s="69"/>
    </row>
    <row r="263" spans="106:116">
      <c r="DB263" s="69"/>
      <c r="DC263" s="69"/>
      <c r="DD263" s="69"/>
      <c r="DE263" s="69"/>
      <c r="DF263" s="69"/>
      <c r="DG263" s="69"/>
      <c r="DH263" s="69"/>
      <c r="DI263" s="69"/>
      <c r="DJ263" s="69"/>
      <c r="DK263" s="69"/>
      <c r="DL263" s="69"/>
    </row>
    <row r="264" spans="106:116">
      <c r="DB264" s="69"/>
      <c r="DC264" s="69"/>
      <c r="DD264" s="69"/>
      <c r="DE264" s="69"/>
      <c r="DF264" s="69"/>
      <c r="DG264" s="69"/>
      <c r="DH264" s="69"/>
      <c r="DI264" s="69"/>
      <c r="DJ264" s="69"/>
      <c r="DK264" s="69"/>
      <c r="DL264" s="69"/>
    </row>
    <row r="265" spans="106:116">
      <c r="DB265" s="69"/>
      <c r="DC265" s="69"/>
      <c r="DD265" s="69"/>
      <c r="DE265" s="69"/>
      <c r="DF265" s="69"/>
      <c r="DG265" s="69"/>
      <c r="DH265" s="69"/>
      <c r="DI265" s="69"/>
      <c r="DJ265" s="69"/>
      <c r="DK265" s="69"/>
      <c r="DL265" s="69"/>
    </row>
    <row r="266" spans="106:116">
      <c r="DB266" s="69"/>
      <c r="DC266" s="69"/>
      <c r="DD266" s="69"/>
      <c r="DE266" s="69"/>
      <c r="DF266" s="69"/>
      <c r="DG266" s="69"/>
      <c r="DH266" s="69"/>
      <c r="DI266" s="69"/>
      <c r="DJ266" s="69"/>
      <c r="DK266" s="69"/>
      <c r="DL266" s="69"/>
    </row>
    <row r="267" spans="106:116">
      <c r="DB267" s="69"/>
      <c r="DC267" s="69"/>
      <c r="DD267" s="69"/>
      <c r="DE267" s="69"/>
      <c r="DF267" s="69"/>
      <c r="DG267" s="69"/>
      <c r="DH267" s="69"/>
      <c r="DI267" s="69"/>
      <c r="DJ267" s="69"/>
      <c r="DK267" s="69"/>
      <c r="DL267" s="69"/>
    </row>
    <row r="268" spans="106:116">
      <c r="DB268" s="69"/>
      <c r="DC268" s="69"/>
      <c r="DD268" s="69"/>
      <c r="DE268" s="69"/>
      <c r="DF268" s="69"/>
      <c r="DG268" s="69"/>
      <c r="DH268" s="69"/>
      <c r="DI268" s="69"/>
      <c r="DJ268" s="69"/>
      <c r="DK268" s="69"/>
      <c r="DL268" s="69"/>
    </row>
    <row r="269" spans="106:116">
      <c r="DB269" s="69"/>
      <c r="DC269" s="69"/>
      <c r="DD269" s="69"/>
      <c r="DE269" s="69"/>
      <c r="DF269" s="69"/>
      <c r="DG269" s="69"/>
      <c r="DH269" s="69"/>
      <c r="DI269" s="69"/>
      <c r="DJ269" s="69"/>
      <c r="DK269" s="69"/>
      <c r="DL269" s="69"/>
    </row>
    <row r="270" spans="106:116">
      <c r="DB270" s="69"/>
      <c r="DC270" s="69"/>
      <c r="DD270" s="69"/>
      <c r="DE270" s="69"/>
      <c r="DF270" s="69"/>
      <c r="DG270" s="69"/>
      <c r="DH270" s="69"/>
      <c r="DI270" s="69"/>
      <c r="DJ270" s="69"/>
      <c r="DK270" s="69"/>
      <c r="DL270" s="69"/>
    </row>
    <row r="271" spans="106:116">
      <c r="DB271" s="69"/>
      <c r="DC271" s="69"/>
      <c r="DD271" s="69"/>
      <c r="DE271" s="69"/>
      <c r="DF271" s="69"/>
      <c r="DG271" s="69"/>
      <c r="DH271" s="69"/>
      <c r="DI271" s="69"/>
      <c r="DJ271" s="69"/>
      <c r="DK271" s="69"/>
      <c r="DL271" s="69"/>
    </row>
    <row r="272" spans="106:116">
      <c r="DB272" s="69"/>
      <c r="DC272" s="69"/>
      <c r="DD272" s="69"/>
      <c r="DE272" s="69"/>
      <c r="DF272" s="69"/>
      <c r="DG272" s="69"/>
      <c r="DH272" s="69"/>
      <c r="DI272" s="69"/>
      <c r="DJ272" s="69"/>
      <c r="DK272" s="69"/>
      <c r="DL272" s="69"/>
    </row>
    <row r="273" spans="106:116">
      <c r="DB273" s="69"/>
      <c r="DC273" s="69"/>
      <c r="DD273" s="69"/>
      <c r="DE273" s="69"/>
      <c r="DF273" s="69"/>
      <c r="DG273" s="69"/>
      <c r="DH273" s="69"/>
      <c r="DI273" s="69"/>
      <c r="DJ273" s="69"/>
      <c r="DK273" s="69"/>
      <c r="DL273" s="69"/>
    </row>
    <row r="274" spans="106:116">
      <c r="DB274" s="69"/>
      <c r="DC274" s="69"/>
      <c r="DD274" s="69"/>
      <c r="DE274" s="69"/>
      <c r="DF274" s="69"/>
      <c r="DG274" s="69"/>
      <c r="DH274" s="69"/>
      <c r="DI274" s="69"/>
      <c r="DJ274" s="69"/>
      <c r="DK274" s="69"/>
      <c r="DL274" s="69"/>
    </row>
    <row r="275" spans="106:116">
      <c r="DB275" s="69"/>
      <c r="DC275" s="69"/>
      <c r="DD275" s="69"/>
      <c r="DE275" s="69"/>
      <c r="DF275" s="69"/>
      <c r="DG275" s="69"/>
      <c r="DH275" s="69"/>
      <c r="DI275" s="69"/>
      <c r="DJ275" s="69"/>
      <c r="DK275" s="69"/>
      <c r="DL275" s="69"/>
    </row>
    <row r="276" spans="106:116">
      <c r="DB276" s="69"/>
      <c r="DC276" s="69"/>
      <c r="DD276" s="69"/>
      <c r="DE276" s="69"/>
      <c r="DF276" s="69"/>
      <c r="DG276" s="69"/>
      <c r="DH276" s="69"/>
      <c r="DI276" s="69"/>
      <c r="DJ276" s="69"/>
      <c r="DK276" s="69"/>
      <c r="DL276" s="69"/>
    </row>
    <row r="277" spans="106:116">
      <c r="DB277" s="69"/>
      <c r="DC277" s="69"/>
      <c r="DD277" s="69"/>
      <c r="DE277" s="69"/>
      <c r="DF277" s="69"/>
      <c r="DG277" s="69"/>
      <c r="DH277" s="69"/>
      <c r="DI277" s="69"/>
      <c r="DJ277" s="69"/>
      <c r="DK277" s="69"/>
      <c r="DL277" s="69"/>
    </row>
    <row r="278" spans="106:116">
      <c r="DB278" s="69"/>
      <c r="DC278" s="69"/>
      <c r="DD278" s="69"/>
      <c r="DE278" s="69"/>
      <c r="DF278" s="69"/>
      <c r="DG278" s="69"/>
      <c r="DH278" s="69"/>
      <c r="DI278" s="69"/>
      <c r="DJ278" s="69"/>
      <c r="DK278" s="69"/>
      <c r="DL278" s="69"/>
    </row>
    <row r="279" spans="106:116">
      <c r="DB279" s="69"/>
      <c r="DC279" s="69"/>
      <c r="DD279" s="69"/>
      <c r="DE279" s="69"/>
      <c r="DF279" s="69"/>
      <c r="DG279" s="69"/>
      <c r="DH279" s="69"/>
      <c r="DI279" s="69"/>
      <c r="DJ279" s="69"/>
      <c r="DK279" s="69"/>
      <c r="DL279" s="69"/>
    </row>
    <row r="280" spans="106:116">
      <c r="DB280" s="69"/>
      <c r="DC280" s="69"/>
      <c r="DD280" s="69"/>
      <c r="DE280" s="69"/>
      <c r="DF280" s="69"/>
      <c r="DG280" s="69"/>
      <c r="DH280" s="69"/>
      <c r="DI280" s="69"/>
      <c r="DJ280" s="69"/>
      <c r="DK280" s="69"/>
      <c r="DL280" s="69"/>
    </row>
    <row r="281" spans="106:116">
      <c r="DB281" s="69"/>
      <c r="DC281" s="69"/>
      <c r="DD281" s="69"/>
      <c r="DE281" s="69"/>
      <c r="DF281" s="69"/>
      <c r="DG281" s="69"/>
      <c r="DH281" s="69"/>
      <c r="DI281" s="69"/>
      <c r="DJ281" s="69"/>
      <c r="DK281" s="69"/>
      <c r="DL281" s="69"/>
    </row>
    <row r="282" spans="106:116">
      <c r="DB282" s="69"/>
      <c r="DC282" s="69"/>
      <c r="DD282" s="69"/>
      <c r="DE282" s="69"/>
      <c r="DF282" s="69"/>
      <c r="DG282" s="69"/>
      <c r="DH282" s="69"/>
      <c r="DI282" s="69"/>
      <c r="DJ282" s="69"/>
      <c r="DK282" s="69"/>
      <c r="DL282" s="69"/>
    </row>
    <row r="283" spans="106:116">
      <c r="DB283" s="69"/>
      <c r="DC283" s="69"/>
      <c r="DD283" s="69"/>
      <c r="DE283" s="69"/>
      <c r="DF283" s="69"/>
      <c r="DG283" s="69"/>
      <c r="DH283" s="69"/>
      <c r="DI283" s="69"/>
      <c r="DJ283" s="69"/>
      <c r="DK283" s="69"/>
      <c r="DL283" s="69"/>
    </row>
    <row r="284" spans="106:116">
      <c r="DB284" s="69"/>
      <c r="DC284" s="69"/>
      <c r="DD284" s="69"/>
      <c r="DE284" s="69"/>
      <c r="DF284" s="69"/>
      <c r="DG284" s="69"/>
      <c r="DH284" s="69"/>
      <c r="DI284" s="69"/>
      <c r="DJ284" s="69"/>
      <c r="DK284" s="69"/>
      <c r="DL284" s="69"/>
    </row>
    <row r="285" spans="106:116">
      <c r="DB285" s="69"/>
      <c r="DC285" s="69"/>
      <c r="DD285" s="69"/>
      <c r="DE285" s="69"/>
      <c r="DF285" s="69"/>
      <c r="DG285" s="69"/>
      <c r="DH285" s="69"/>
      <c r="DI285" s="69"/>
      <c r="DJ285" s="69"/>
      <c r="DK285" s="69"/>
      <c r="DL285" s="69"/>
    </row>
    <row r="286" spans="106:116">
      <c r="DB286" s="69"/>
      <c r="DC286" s="69"/>
      <c r="DD286" s="69"/>
      <c r="DE286" s="69"/>
      <c r="DF286" s="69"/>
      <c r="DG286" s="69"/>
      <c r="DH286" s="69"/>
      <c r="DI286" s="69"/>
      <c r="DJ286" s="69"/>
      <c r="DK286" s="69"/>
      <c r="DL286" s="69"/>
    </row>
    <row r="287" spans="106:116">
      <c r="DB287" s="69"/>
      <c r="DC287" s="69"/>
      <c r="DD287" s="69"/>
      <c r="DE287" s="69"/>
      <c r="DF287" s="69"/>
      <c r="DG287" s="69"/>
      <c r="DH287" s="69"/>
      <c r="DI287" s="69"/>
      <c r="DJ287" s="69"/>
      <c r="DK287" s="69"/>
      <c r="DL287" s="69"/>
    </row>
    <row r="288" spans="106:116">
      <c r="DB288" s="69"/>
      <c r="DC288" s="69"/>
      <c r="DD288" s="69"/>
      <c r="DE288" s="69"/>
      <c r="DF288" s="69"/>
      <c r="DG288" s="69"/>
      <c r="DH288" s="69"/>
      <c r="DI288" s="69"/>
      <c r="DJ288" s="69"/>
      <c r="DK288" s="69"/>
      <c r="DL288" s="69"/>
    </row>
    <row r="289" spans="106:116">
      <c r="DB289" s="69"/>
      <c r="DC289" s="69"/>
      <c r="DD289" s="69"/>
      <c r="DE289" s="69"/>
      <c r="DF289" s="69"/>
      <c r="DG289" s="69"/>
      <c r="DH289" s="69"/>
      <c r="DI289" s="69"/>
      <c r="DJ289" s="69"/>
      <c r="DK289" s="69"/>
      <c r="DL289" s="69"/>
    </row>
    <row r="290" spans="106:116">
      <c r="DB290" s="69"/>
      <c r="DC290" s="69"/>
      <c r="DD290" s="69"/>
      <c r="DE290" s="69"/>
      <c r="DF290" s="69"/>
      <c r="DG290" s="69"/>
      <c r="DH290" s="69"/>
      <c r="DI290" s="69"/>
      <c r="DJ290" s="69"/>
      <c r="DK290" s="69"/>
      <c r="DL290" s="69"/>
    </row>
    <row r="291" spans="106:116">
      <c r="DB291" s="69"/>
      <c r="DC291" s="69"/>
      <c r="DD291" s="69"/>
      <c r="DE291" s="69"/>
      <c r="DF291" s="69"/>
      <c r="DG291" s="69"/>
      <c r="DH291" s="69"/>
      <c r="DI291" s="69"/>
      <c r="DJ291" s="69"/>
      <c r="DK291" s="69"/>
      <c r="DL291" s="69"/>
    </row>
    <row r="292" spans="106:116">
      <c r="DB292" s="69"/>
      <c r="DC292" s="69"/>
      <c r="DD292" s="69"/>
      <c r="DE292" s="69"/>
      <c r="DF292" s="69"/>
      <c r="DG292" s="69"/>
      <c r="DH292" s="69"/>
      <c r="DI292" s="69"/>
      <c r="DJ292" s="69"/>
      <c r="DK292" s="69"/>
      <c r="DL292" s="69"/>
    </row>
    <row r="293" spans="106:116">
      <c r="DB293" s="69"/>
      <c r="DC293" s="69"/>
      <c r="DD293" s="69"/>
      <c r="DE293" s="69"/>
      <c r="DF293" s="69"/>
      <c r="DG293" s="69"/>
      <c r="DH293" s="69"/>
      <c r="DI293" s="69"/>
      <c r="DJ293" s="69"/>
      <c r="DK293" s="69"/>
      <c r="DL293" s="69"/>
    </row>
    <row r="294" spans="106:116">
      <c r="DB294" s="69"/>
      <c r="DC294" s="69"/>
      <c r="DD294" s="69"/>
      <c r="DE294" s="69"/>
      <c r="DF294" s="69"/>
      <c r="DG294" s="69"/>
      <c r="DH294" s="69"/>
      <c r="DI294" s="69"/>
      <c r="DJ294" s="69"/>
      <c r="DK294" s="69"/>
      <c r="DL294" s="69"/>
    </row>
    <row r="295" spans="106:116">
      <c r="DB295" s="69"/>
      <c r="DC295" s="69"/>
      <c r="DD295" s="69"/>
      <c r="DE295" s="69"/>
      <c r="DF295" s="69"/>
      <c r="DG295" s="69"/>
      <c r="DH295" s="69"/>
      <c r="DI295" s="69"/>
      <c r="DJ295" s="69"/>
      <c r="DK295" s="69"/>
      <c r="DL295" s="69"/>
    </row>
    <row r="296" spans="106:116">
      <c r="DB296" s="69"/>
      <c r="DC296" s="69"/>
      <c r="DD296" s="69"/>
      <c r="DE296" s="69"/>
      <c r="DF296" s="69"/>
      <c r="DG296" s="69"/>
      <c r="DH296" s="69"/>
      <c r="DI296" s="69"/>
      <c r="DJ296" s="69"/>
      <c r="DK296" s="69"/>
      <c r="DL296" s="69"/>
    </row>
    <row r="1000" spans="1:1">
      <c r="A1000" s="71">
        <v>75</v>
      </c>
    </row>
  </sheetData>
  <sheetProtection algorithmName="SHA-512" hashValue="pmAWi/LUe8DBT7oeCyueDnFC1JbNqmURaEHDyD4eEUByH4w6gThVYklwaNRvIBFc6OHuwMce0A7F98zcCBOFKA==" saltValue="gGCGEZykStiBz3WYaj4grw==" spinCount="100000" sheet="1" objects="1" scenarios="1"/>
  <conditionalFormatting sqref="I50">
    <cfRule type="cellIs" dxfId="78" priority="5" operator="notEqual">
      <formula>0</formula>
    </cfRule>
  </conditionalFormatting>
  <conditionalFormatting sqref="S5:S6">
    <cfRule type="notContainsBlanks" dxfId="77" priority="4" stopIfTrue="1">
      <formula>LEN(TRIM(S5))&gt;0</formula>
    </cfRule>
  </conditionalFormatting>
  <conditionalFormatting sqref="S13:S14">
    <cfRule type="notContainsBlanks" dxfId="76" priority="3" stopIfTrue="1">
      <formula>LEN(TRIM(S13))&gt;0</formula>
    </cfRule>
  </conditionalFormatting>
  <conditionalFormatting sqref="S40">
    <cfRule type="notContainsBlanks" dxfId="75" priority="2" stopIfTrue="1">
      <formula>LEN(TRIM(S40))&gt;0</formula>
    </cfRule>
  </conditionalFormatting>
  <conditionalFormatting sqref="S49:S50">
    <cfRule type="notContainsBlanks" dxfId="74" priority="1" stopIfTrue="1">
      <formula>LEN(TRIM(S49))&gt;0</formula>
    </cfRule>
  </conditionalFormatting>
  <hyperlinks>
    <hyperlink ref="D53" r:id="rId1" display="=cy55" xr:uid="{096B828D-F3F5-4691-99CF-90CC075C4A22}"/>
  </hyperlinks>
  <printOptions horizontalCentered="1" verticalCentered="1"/>
  <pageMargins left="0.51181102362204722" right="0.51181102362204722" top="1.1811023622047245" bottom="0.39370078740157483" header="0.51181102362204722" footer="0.31496062992125984"/>
  <pageSetup paperSize="9" scale="52" fitToHeight="2" orientation="landscape" r:id="rId2"/>
  <headerFooter>
    <oddHeader>&amp;L&amp;G&amp;C&amp;48Rendite|Return&amp;R&amp;G</oddHeader>
    <oddFooter>&amp;L&amp;14&amp;F / &amp;A&amp;C&amp;14Seite &amp;P von &amp;N&amp;R&amp;14© 2026 Juergen Erlewein</oddFooter>
  </headerFooter>
  <drawing r:id="rId3"/>
  <legacyDrawing r:id="rId4"/>
  <legacyDrawingHF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8A79B-8FF7-4E18-B13D-882253D2D381}">
  <sheetPr codeName="Tabelle10">
    <pageSetUpPr fitToPage="1"/>
  </sheetPr>
  <dimension ref="A1:CZ1000"/>
  <sheetViews>
    <sheetView showGridLines="0" zoomScale="120" zoomScaleNormal="120" workbookViewId="0">
      <selection activeCell="A2" sqref="A2"/>
    </sheetView>
  </sheetViews>
  <sheetFormatPr baseColWidth="10" defaultRowHeight="13.2"/>
  <cols>
    <col min="1" max="1" width="5.21875" customWidth="1"/>
    <col min="2" max="2" width="3.77734375" customWidth="1"/>
    <col min="3" max="3" width="66.44140625" customWidth="1"/>
    <col min="4" max="4" width="15.77734375" style="1376" customWidth="1"/>
    <col min="5" max="5" width="15.77734375" style="694" customWidth="1"/>
    <col min="6" max="8" width="15.77734375" customWidth="1"/>
    <col min="9" max="9" width="13.88671875" style="1471" bestFit="1" customWidth="1"/>
    <col min="10" max="11" width="12.6640625" style="1471" bestFit="1" customWidth="1"/>
    <col min="12" max="78" width="11.5546875" style="1471"/>
    <col min="79" max="101" width="11.5546875" hidden="1" customWidth="1"/>
    <col min="102" max="102" width="46.21875" hidden="1" customWidth="1"/>
    <col min="103" max="103" width="46.21875" style="9" hidden="1" customWidth="1"/>
    <col min="104" max="104" width="39" hidden="1" customWidth="1"/>
  </cols>
  <sheetData>
    <row r="1" spans="1:104">
      <c r="C1" s="1620" t="s">
        <v>1028</v>
      </c>
    </row>
    <row r="2" spans="1:104" ht="24.6">
      <c r="A2" s="336" t="s">
        <v>507</v>
      </c>
      <c r="C2" s="1382" t="str">
        <f>CX2</f>
        <v xml:space="preserve">Gewinn und Verlustrechnung für </v>
      </c>
      <c r="D2" s="1380"/>
      <c r="E2" s="1381"/>
      <c r="F2" s="1379"/>
      <c r="G2" s="1379"/>
      <c r="H2" s="1379"/>
      <c r="CX2" s="308" t="str">
        <f>IF(Basisdaten!$B$15=Basisdaten!$B$4,'6 GuV'!CY2,'6 GuV'!CZ2)</f>
        <v xml:space="preserve">Gewinn und Verlustrechnung für </v>
      </c>
      <c r="CY2" s="9" t="str">
        <f>"Gewinn und Verlustrechnung für "&amp;'0 Daten|Data'!$D$5</f>
        <v xml:space="preserve">Gewinn und Verlustrechnung für </v>
      </c>
      <c r="CZ2" s="9" t="str">
        <f>"Profit and loss statement for "&amp;'0 Daten|Data'!$D$5</f>
        <v xml:space="preserve">Profit and loss statement for </v>
      </c>
    </row>
    <row r="3" spans="1:104" ht="20.399999999999999">
      <c r="A3" s="1549"/>
      <c r="C3" s="1379"/>
      <c r="D3" s="1380"/>
      <c r="E3" s="1381"/>
      <c r="F3" s="1379"/>
      <c r="G3" s="1379"/>
      <c r="H3" s="1379"/>
    </row>
    <row r="4" spans="1:104" ht="21" customHeight="1">
      <c r="C4" s="1617"/>
      <c r="D4" s="1433">
        <f ca="1">Basisdaten!$C$15</f>
        <v>2026</v>
      </c>
      <c r="E4" s="1433">
        <f ca="1">D4+1</f>
        <v>2027</v>
      </c>
      <c r="F4" s="1433">
        <f ca="1">E4+1</f>
        <v>2028</v>
      </c>
      <c r="G4" s="1433">
        <f ca="1">F4+1</f>
        <v>2029</v>
      </c>
      <c r="H4" s="1433">
        <f ca="1">G4+1</f>
        <v>2030</v>
      </c>
    </row>
    <row r="5" spans="1:104" ht="17.399999999999999">
      <c r="C5" s="1425" t="str">
        <f>CX5</f>
        <v>Umsatzerlöse</v>
      </c>
      <c r="D5" s="1426">
        <f>'2 Umsatz|Sales'!G124</f>
        <v>0</v>
      </c>
      <c r="E5" s="1426">
        <f>'2 Umsatz|Sales'!H124</f>
        <v>0</v>
      </c>
      <c r="F5" s="1426">
        <f>'2 Umsatz|Sales'!L124</f>
        <v>0</v>
      </c>
      <c r="G5" s="1426">
        <f>'2 Umsatz|Sales'!P124</f>
        <v>0</v>
      </c>
      <c r="H5" s="1426">
        <f>'2 Umsatz|Sales'!T124</f>
        <v>0</v>
      </c>
      <c r="CX5" s="308" t="str">
        <f>IF(Basisdaten!$B$15=Basisdaten!$B$4,'6 GuV'!CY5,'6 GuV'!CZ5)</f>
        <v>Umsatzerlöse</v>
      </c>
      <c r="CY5" s="309" t="s">
        <v>946</v>
      </c>
      <c r="CZ5" s="309" t="s">
        <v>983</v>
      </c>
    </row>
    <row r="6" spans="1:104" ht="18" thickBot="1">
      <c r="C6" s="1427" t="str">
        <f t="shared" ref="C6:C17" si="0">CX6</f>
        <v>Bestand an fertigen und unfertigen Erzeugnissen</v>
      </c>
      <c r="D6" s="1428">
        <f>'3  Betriebskosten|Operation Ex'!G171</f>
        <v>0</v>
      </c>
      <c r="E6" s="1428">
        <f>'3  Betriebskosten|Operation Ex'!H171</f>
        <v>0</v>
      </c>
      <c r="F6" s="1428">
        <f>'3  Betriebskosten|Operation Ex'!I171</f>
        <v>0</v>
      </c>
      <c r="G6" s="1428">
        <f>'3  Betriebskosten|Operation Ex'!J171</f>
        <v>0</v>
      </c>
      <c r="H6" s="1428">
        <f>'3  Betriebskosten|Operation Ex'!K171</f>
        <v>0</v>
      </c>
      <c r="CX6" s="308" t="str">
        <f>IF(Basisdaten!$B$15=Basisdaten!$B$4,'6 GuV'!CY6,'6 GuV'!CZ6)</f>
        <v>Bestand an fertigen und unfertigen Erzeugnissen</v>
      </c>
      <c r="CY6" s="309" t="s">
        <v>1090</v>
      </c>
      <c r="CZ6" s="309" t="s">
        <v>984</v>
      </c>
    </row>
    <row r="7" spans="1:104" ht="18" thickTop="1">
      <c r="C7" s="1750" t="str">
        <f t="shared" si="0"/>
        <v>Materialaufwand</v>
      </c>
      <c r="D7" s="1750"/>
      <c r="E7" s="1750"/>
      <c r="F7" s="1750"/>
      <c r="G7" s="1750"/>
      <c r="H7" s="1750"/>
      <c r="CX7" s="308" t="str">
        <f>IF(Basisdaten!$B$15=Basisdaten!$B$4,'6 GuV'!CY7,'6 GuV'!CZ7)</f>
        <v>Materialaufwand</v>
      </c>
      <c r="CY7" s="309" t="s">
        <v>975</v>
      </c>
      <c r="CZ7" s="309" t="s">
        <v>985</v>
      </c>
    </row>
    <row r="8" spans="1:104" ht="17.399999999999999">
      <c r="C8" s="1425" t="str">
        <f t="shared" si="0"/>
        <v>a) Roh-, Hilfs- und Betriebsstoffe</v>
      </c>
      <c r="D8" s="1426">
        <f>-'3  Betriebskosten|Operation Ex'!G178</f>
        <v>0</v>
      </c>
      <c r="E8" s="1426">
        <f>-'3  Betriebskosten|Operation Ex'!H178</f>
        <v>0</v>
      </c>
      <c r="F8" s="1426">
        <f ca="1">-'3  Betriebskosten|Operation Ex'!I178</f>
        <v>0</v>
      </c>
      <c r="G8" s="1426">
        <f ca="1">-'3  Betriebskosten|Operation Ex'!J178</f>
        <v>0</v>
      </c>
      <c r="H8" s="1426">
        <f ca="1">-'3  Betriebskosten|Operation Ex'!K178</f>
        <v>0</v>
      </c>
      <c r="CX8" s="308" t="str">
        <f>IF(Basisdaten!$B$15=Basisdaten!$B$4,'6 GuV'!CY8,'6 GuV'!CZ8)</f>
        <v>a) Roh-, Hilfs- und Betriebsstoffe</v>
      </c>
      <c r="CY8" s="309" t="s">
        <v>976</v>
      </c>
      <c r="CZ8" s="309" t="s">
        <v>986</v>
      </c>
    </row>
    <row r="9" spans="1:104" ht="17.399999999999999">
      <c r="C9" s="1425" t="str">
        <f t="shared" si="0"/>
        <v>b) eingekaufte Leistungen</v>
      </c>
      <c r="D9" s="1426">
        <f>-('3  Betriebskosten|Operation Ex'!G167+'3  Betriebskosten|Operation Ex'!G188+'3  Betriebskosten|Operation Ex'!G194+'3  Betriebskosten|Operation Ex'!G201+'3  Betriebskosten|Operation Ex'!G209+'3  Betriebskosten|Operation Ex'!G214+'3  Betriebskosten|Operation Ex'!G220-'3  Betriebskosten|Operation Ex'!G216)</f>
        <v>0</v>
      </c>
      <c r="E9" s="1426">
        <f>-('3  Betriebskosten|Operation Ex'!H167+'3  Betriebskosten|Operation Ex'!H188+'3  Betriebskosten|Operation Ex'!H194+'3  Betriebskosten|Operation Ex'!H201+'3  Betriebskosten|Operation Ex'!H209+'3  Betriebskosten|Operation Ex'!H214+'3  Betriebskosten|Operation Ex'!H220-'3  Betriebskosten|Operation Ex'!H216)-'3  Betriebskosten|Operation Ex'!H171</f>
        <v>0</v>
      </c>
      <c r="F9" s="1426">
        <f ca="1">-('3  Betriebskosten|Operation Ex'!I167+'3  Betriebskosten|Operation Ex'!I188+'3  Betriebskosten|Operation Ex'!I194+'3  Betriebskosten|Operation Ex'!I201+'3  Betriebskosten|Operation Ex'!I209+'3  Betriebskosten|Operation Ex'!I214+'3  Betriebskosten|Operation Ex'!I220-'3  Betriebskosten|Operation Ex'!I216)-'3  Betriebskosten|Operation Ex'!I171</f>
        <v>0</v>
      </c>
      <c r="G9" s="1426">
        <f ca="1">-('3  Betriebskosten|Operation Ex'!J167+'3  Betriebskosten|Operation Ex'!J188+'3  Betriebskosten|Operation Ex'!J194+'3  Betriebskosten|Operation Ex'!J201+'3  Betriebskosten|Operation Ex'!J209+'3  Betriebskosten|Operation Ex'!J214+'3  Betriebskosten|Operation Ex'!J220-'3  Betriebskosten|Operation Ex'!J216)-'3  Betriebskosten|Operation Ex'!J171</f>
        <v>0</v>
      </c>
      <c r="H9" s="1426">
        <f ca="1">-('3  Betriebskosten|Operation Ex'!K167+'3  Betriebskosten|Operation Ex'!K188+'3  Betriebskosten|Operation Ex'!K194+'3  Betriebskosten|Operation Ex'!K201+'3  Betriebskosten|Operation Ex'!K209+'3  Betriebskosten|Operation Ex'!K214+'3  Betriebskosten|Operation Ex'!K220-'3  Betriebskosten|Operation Ex'!K216)-'3  Betriebskosten|Operation Ex'!K171</f>
        <v>0</v>
      </c>
      <c r="CX9" s="308" t="str">
        <f>IF(Basisdaten!$B$15=Basisdaten!$B$4,'6 GuV'!CY9,'6 GuV'!CZ9)</f>
        <v>b) eingekaufte Leistungen</v>
      </c>
      <c r="CY9" s="309" t="s">
        <v>977</v>
      </c>
      <c r="CZ9" s="308" t="s">
        <v>987</v>
      </c>
    </row>
    <row r="10" spans="1:104" ht="17.399999999999999">
      <c r="C10" s="1750" t="str">
        <f t="shared" si="0"/>
        <v>Personalaufwand</v>
      </c>
      <c r="D10" s="1750"/>
      <c r="E10" s="1750"/>
      <c r="F10" s="1750"/>
      <c r="G10" s="1750"/>
      <c r="H10" s="1750"/>
      <c r="CX10" s="308" t="str">
        <f>IF(Basisdaten!$B$15=Basisdaten!$B$4,'6 GuV'!CY10,'6 GuV'!CZ10)</f>
        <v>Personalaufwand</v>
      </c>
      <c r="CY10" s="309" t="s">
        <v>978</v>
      </c>
      <c r="CZ10" s="309" t="s">
        <v>988</v>
      </c>
    </row>
    <row r="11" spans="1:104" ht="17.399999999999999">
      <c r="C11" s="1425" t="str">
        <f>CX11</f>
        <v>a) Löhne und Gehälter (brutto)</v>
      </c>
      <c r="D11" s="1426">
        <f>'3  Betriebskosten|Operation Ex'!G180</f>
        <v>0</v>
      </c>
      <c r="E11" s="1426">
        <f>'3  Betriebskosten|Operation Ex'!H180</f>
        <v>0</v>
      </c>
      <c r="F11" s="1426">
        <f>'3  Betriebskosten|Operation Ex'!I180</f>
        <v>0</v>
      </c>
      <c r="G11" s="1426">
        <f>'3  Betriebskosten|Operation Ex'!J180</f>
        <v>0</v>
      </c>
      <c r="H11" s="1426">
        <f>'3  Betriebskosten|Operation Ex'!K180</f>
        <v>0</v>
      </c>
      <c r="CX11" s="308" t="str">
        <f>IF(Basisdaten!$B$15=Basisdaten!$B$4,'6 GuV'!CY11,'6 GuV'!CZ11)</f>
        <v>a) Löhne und Gehälter (brutto)</v>
      </c>
      <c r="CY11" s="309" t="s">
        <v>1085</v>
      </c>
      <c r="CZ11" s="309" t="s">
        <v>1086</v>
      </c>
    </row>
    <row r="12" spans="1:104" ht="17.399999999999999">
      <c r="C12" s="1425" t="str">
        <f t="shared" si="0"/>
        <v>b) Sozialabgaben</v>
      </c>
      <c r="D12" s="1426">
        <f>'3  Betriebskosten|Operation Ex'!G181</f>
        <v>0</v>
      </c>
      <c r="E12" s="1426">
        <f>'3  Betriebskosten|Operation Ex'!H181</f>
        <v>0</v>
      </c>
      <c r="F12" s="1426">
        <f>'3  Betriebskosten|Operation Ex'!I181</f>
        <v>0</v>
      </c>
      <c r="G12" s="1426">
        <f>'3  Betriebskosten|Operation Ex'!J181</f>
        <v>0</v>
      </c>
      <c r="H12" s="1426">
        <f>'3  Betriebskosten|Operation Ex'!K181</f>
        <v>0</v>
      </c>
      <c r="CX12" s="308" t="str">
        <f>IF(Basisdaten!$B$15=Basisdaten!$B$4,'6 GuV'!CY12,'6 GuV'!CZ12)</f>
        <v>b) Sozialabgaben</v>
      </c>
      <c r="CY12" s="309" t="s">
        <v>979</v>
      </c>
      <c r="CZ12" s="309" t="s">
        <v>989</v>
      </c>
    </row>
    <row r="13" spans="1:104" ht="17.399999999999999">
      <c r="C13" s="1425" t="str">
        <f t="shared" si="0"/>
        <v>AfA auf Vermögensgegenstände des Umlaufvermögens</v>
      </c>
      <c r="D13" s="1426">
        <f>'3  Betriebskosten|Operation Ex'!G222</f>
        <v>0</v>
      </c>
      <c r="E13" s="1426">
        <f>'3  Betriebskosten|Operation Ex'!H222</f>
        <v>0</v>
      </c>
      <c r="F13" s="1426">
        <f ca="1">'3  Betriebskosten|Operation Ex'!I222</f>
        <v>0</v>
      </c>
      <c r="G13" s="1426">
        <f ca="1">'3  Betriebskosten|Operation Ex'!J222</f>
        <v>0</v>
      </c>
      <c r="H13" s="1426">
        <f ca="1">'3  Betriebskosten|Operation Ex'!K222</f>
        <v>0</v>
      </c>
      <c r="CX13" s="308" t="str">
        <f>IF(Basisdaten!$B$15=Basisdaten!$B$4,'6 GuV'!CY13,'6 GuV'!CZ13)</f>
        <v>AfA auf Vermögensgegenstände des Umlaufvermögens</v>
      </c>
      <c r="CY13" s="309" t="s">
        <v>982</v>
      </c>
      <c r="CZ13" s="309" t="s">
        <v>990</v>
      </c>
    </row>
    <row r="14" spans="1:104" ht="18" thickBot="1">
      <c r="C14" s="1427" t="str">
        <f t="shared" si="0"/>
        <v>Finanzaufwand / Zinsen</v>
      </c>
      <c r="D14" s="1428">
        <f>'3  Betriebskosten|Operation Ex'!G216</f>
        <v>0</v>
      </c>
      <c r="E14" s="1428">
        <f>'3  Betriebskosten|Operation Ex'!H216</f>
        <v>0</v>
      </c>
      <c r="F14" s="1428">
        <f>'3  Betriebskosten|Operation Ex'!I216</f>
        <v>0</v>
      </c>
      <c r="G14" s="1428">
        <f ca="1">'3  Betriebskosten|Operation Ex'!J216</f>
        <v>0</v>
      </c>
      <c r="H14" s="1428">
        <f ca="1">'3  Betriebskosten|Operation Ex'!K216</f>
        <v>0</v>
      </c>
      <c r="CX14" s="308" t="str">
        <f>IF(Basisdaten!$B$15=Basisdaten!$B$4,'6 GuV'!CY14,'6 GuV'!CZ14)</f>
        <v>Finanzaufwand / Zinsen</v>
      </c>
      <c r="CY14" s="309" t="s">
        <v>981</v>
      </c>
      <c r="CZ14" s="309" t="s">
        <v>991</v>
      </c>
    </row>
    <row r="15" spans="1:104" ht="18" thickTop="1">
      <c r="C15" s="1425" t="str">
        <f t="shared" si="0"/>
        <v>Betriebsergebnis (EBIT)</v>
      </c>
      <c r="D15" s="1429">
        <f>SUM(D5:D6)-SUM(D8:D14)</f>
        <v>0</v>
      </c>
      <c r="E15" s="1429">
        <f>SUM(E5:E14)</f>
        <v>0</v>
      </c>
      <c r="F15" s="1429">
        <f ca="1">SUM(F5:F14)</f>
        <v>0</v>
      </c>
      <c r="G15" s="1429">
        <f ca="1">SUM(G5:G14)</f>
        <v>0</v>
      </c>
      <c r="H15" s="1429">
        <f ca="1">SUM(H5:H14)</f>
        <v>0</v>
      </c>
      <c r="CX15" s="308" t="str">
        <f>IF(Basisdaten!$B$15=Basisdaten!$B$4,'6 GuV'!CY15,'6 GuV'!CZ15)</f>
        <v>Betriebsergebnis (EBIT)</v>
      </c>
      <c r="CY15" s="309" t="s">
        <v>974</v>
      </c>
      <c r="CZ15" s="309" t="s">
        <v>992</v>
      </c>
    </row>
    <row r="16" spans="1:104" ht="18" thickBot="1">
      <c r="C16" s="1425" t="str">
        <f t="shared" si="0"/>
        <v>Einkommens-, Körperschafts-, Gewerbesteuer</v>
      </c>
      <c r="D16" s="1430">
        <f>'5 Rendite|Profit'!D49+'5 Rendite|Profit'!D50</f>
        <v>0</v>
      </c>
      <c r="E16" s="1430">
        <f>'5 Rendite|Profit'!E49+'5 Rendite|Profit'!E50</f>
        <v>0</v>
      </c>
      <c r="F16" s="1430">
        <f ca="1">'5 Rendite|Profit'!F49+'5 Rendite|Profit'!F50</f>
        <v>0</v>
      </c>
      <c r="G16" s="1430">
        <f ca="1">'5 Rendite|Profit'!G49+'5 Rendite|Profit'!G50</f>
        <v>0</v>
      </c>
      <c r="H16" s="1430">
        <f ca="1">'5 Rendite|Profit'!H49+'5 Rendite|Profit'!H50</f>
        <v>0</v>
      </c>
      <c r="CX16" s="308" t="str">
        <f>IF(Basisdaten!$B$15=Basisdaten!$B$4,'6 GuV'!CY16,'6 GuV'!CZ16)</f>
        <v>Einkommens-, Körperschafts-, Gewerbesteuer</v>
      </c>
      <c r="CY16" s="309" t="s">
        <v>1089</v>
      </c>
      <c r="CZ16" s="309" t="s">
        <v>1088</v>
      </c>
    </row>
    <row r="17" spans="3:104" ht="18.600000000000001" thickTop="1" thickBot="1">
      <c r="C17" s="1431" t="str">
        <f t="shared" si="0"/>
        <v>Ergebnis nach Steuern</v>
      </c>
      <c r="D17" s="1432">
        <f>SUM(D15:D16)</f>
        <v>0</v>
      </c>
      <c r="E17" s="1432">
        <f>SUM(E15:E16)</f>
        <v>0</v>
      </c>
      <c r="F17" s="1432">
        <f ca="1">SUM(F15:F16)</f>
        <v>0</v>
      </c>
      <c r="G17" s="1432">
        <f ca="1">SUM(G15:G16)</f>
        <v>0</v>
      </c>
      <c r="H17" s="1432">
        <f ca="1">SUM(H15:H16)</f>
        <v>0</v>
      </c>
      <c r="CX17" s="308" t="str">
        <f>IF(Basisdaten!$B$15=Basisdaten!$B$4,'6 GuV'!CY17,'6 GuV'!CZ17)</f>
        <v>Ergebnis nach Steuern</v>
      </c>
      <c r="CY17" s="309" t="s">
        <v>112</v>
      </c>
      <c r="CZ17" s="309" t="s">
        <v>1087</v>
      </c>
    </row>
    <row r="18" spans="3:104" s="1471" customFormat="1" ht="13.8" thickTop="1">
      <c r="C18" s="1477"/>
      <c r="D18" s="1751">
        <f>D17-D26</f>
        <v>0</v>
      </c>
      <c r="E18" s="1751">
        <f>E17-E26</f>
        <v>0</v>
      </c>
      <c r="F18" s="1751">
        <f ca="1">F17-F26</f>
        <v>0</v>
      </c>
      <c r="G18" s="1751">
        <f ca="1">G17-G26</f>
        <v>0</v>
      </c>
      <c r="H18" s="1751">
        <f ca="1">H17-H26</f>
        <v>0</v>
      </c>
      <c r="CY18" s="1475"/>
    </row>
    <row r="19" spans="3:104" s="1471" customFormat="1">
      <c r="D19" s="1473"/>
      <c r="E19" s="1474"/>
      <c r="CY19" s="1475"/>
    </row>
    <row r="20" spans="3:104" s="1471" customFormat="1">
      <c r="D20" s="1476"/>
      <c r="E20" s="1472"/>
      <c r="F20" s="1472"/>
      <c r="G20" s="1472"/>
      <c r="H20" s="1472"/>
      <c r="I20" s="1472"/>
      <c r="J20" s="1472"/>
      <c r="CY20" s="1475"/>
    </row>
    <row r="21" spans="3:104" s="1471" customFormat="1">
      <c r="E21" s="1472"/>
      <c r="CY21" s="1475"/>
    </row>
    <row r="22" spans="3:104" s="1471" customFormat="1">
      <c r="E22" s="1472"/>
      <c r="CY22" s="1475"/>
    </row>
    <row r="23" spans="3:104" s="1471" customFormat="1">
      <c r="E23" s="1472"/>
      <c r="CY23" s="1475"/>
    </row>
    <row r="24" spans="3:104" s="1471" customFormat="1">
      <c r="CY24" s="1475"/>
    </row>
    <row r="25" spans="3:104" s="1471" customFormat="1">
      <c r="CY25" s="1475"/>
    </row>
    <row r="26" spans="3:104" s="1471" customFormat="1">
      <c r="CY26" s="1475"/>
    </row>
    <row r="27" spans="3:104" s="1471" customFormat="1">
      <c r="CY27" s="1475"/>
    </row>
    <row r="28" spans="3:104" s="1471" customFormat="1">
      <c r="CY28" s="1475"/>
    </row>
    <row r="29" spans="3:104" s="1471" customFormat="1">
      <c r="CY29" s="1475"/>
    </row>
    <row r="30" spans="3:104" s="1471" customFormat="1">
      <c r="CY30" s="1475"/>
    </row>
    <row r="31" spans="3:104" s="1471" customFormat="1">
      <c r="CY31" s="1475"/>
    </row>
    <row r="32" spans="3:104" s="1471" customFormat="1">
      <c r="CY32" s="1475"/>
    </row>
    <row r="33" spans="103:103" s="1471" customFormat="1">
      <c r="CY33" s="1475"/>
    </row>
    <row r="34" spans="103:103" s="1471" customFormat="1">
      <c r="CY34" s="1475"/>
    </row>
    <row r="35" spans="103:103" s="1471" customFormat="1">
      <c r="CY35" s="1475"/>
    </row>
    <row r="36" spans="103:103" s="1471" customFormat="1">
      <c r="CY36" s="1475"/>
    </row>
    <row r="37" spans="103:103" s="1471" customFormat="1">
      <c r="CY37" s="1475"/>
    </row>
    <row r="38" spans="103:103" s="1471" customFormat="1">
      <c r="CY38" s="1475"/>
    </row>
    <row r="39" spans="103:103" s="1471" customFormat="1">
      <c r="CY39" s="1475"/>
    </row>
    <row r="40" spans="103:103" s="1471" customFormat="1">
      <c r="CY40" s="1475"/>
    </row>
    <row r="41" spans="103:103" s="1471" customFormat="1">
      <c r="CY41" s="1475"/>
    </row>
    <row r="42" spans="103:103" s="1471" customFormat="1">
      <c r="CY42" s="1475"/>
    </row>
    <row r="43" spans="103:103" s="1471" customFormat="1">
      <c r="CY43" s="1475"/>
    </row>
    <row r="44" spans="103:103" s="1471" customFormat="1">
      <c r="CY44" s="1475"/>
    </row>
    <row r="45" spans="103:103" s="1471" customFormat="1">
      <c r="CY45" s="1475"/>
    </row>
    <row r="46" spans="103:103" s="1471" customFormat="1">
      <c r="CY46" s="1475"/>
    </row>
    <row r="47" spans="103:103" s="1471" customFormat="1">
      <c r="CY47" s="1475"/>
    </row>
    <row r="48" spans="103:103" s="1471" customFormat="1">
      <c r="CY48" s="1475"/>
    </row>
    <row r="49" spans="4:103" s="1471" customFormat="1">
      <c r="CY49" s="1475"/>
    </row>
    <row r="50" spans="4:103" s="1471" customFormat="1">
      <c r="CY50" s="1475"/>
    </row>
    <row r="51" spans="4:103" s="1471" customFormat="1">
      <c r="CY51" s="1475"/>
    </row>
    <row r="52" spans="4:103" s="1471" customFormat="1">
      <c r="CY52" s="1475"/>
    </row>
    <row r="53" spans="4:103" s="1471" customFormat="1">
      <c r="CY53" s="1475"/>
    </row>
    <row r="54" spans="4:103" s="1471" customFormat="1">
      <c r="CY54" s="1475"/>
    </row>
    <row r="55" spans="4:103" s="1471" customFormat="1">
      <c r="CY55" s="1475"/>
    </row>
    <row r="56" spans="4:103" s="1471" customFormat="1">
      <c r="CY56" s="1475"/>
    </row>
    <row r="57" spans="4:103" s="1471" customFormat="1">
      <c r="CY57" s="1475"/>
    </row>
    <row r="58" spans="4:103" s="1471" customFormat="1">
      <c r="CY58" s="1475"/>
    </row>
    <row r="59" spans="4:103" s="1471" customFormat="1">
      <c r="D59" s="1473"/>
      <c r="E59" s="1472"/>
      <c r="CY59" s="1475"/>
    </row>
    <row r="60" spans="4:103" s="1471" customFormat="1">
      <c r="D60" s="1473"/>
      <c r="E60" s="1472"/>
      <c r="CY60" s="1475"/>
    </row>
    <row r="61" spans="4:103" s="1471" customFormat="1">
      <c r="D61" s="1473"/>
      <c r="E61" s="1472"/>
      <c r="CY61" s="1475"/>
    </row>
    <row r="62" spans="4:103" s="1471" customFormat="1">
      <c r="D62" s="1473"/>
      <c r="E62" s="1472"/>
      <c r="CY62" s="1475"/>
    </row>
    <row r="63" spans="4:103" s="1471" customFormat="1">
      <c r="D63" s="1473"/>
      <c r="E63" s="1472"/>
      <c r="CY63" s="1475"/>
    </row>
    <row r="64" spans="4:103" s="1471" customFormat="1">
      <c r="D64" s="1473"/>
      <c r="E64" s="1472"/>
      <c r="CY64" s="1475"/>
    </row>
    <row r="65" spans="4:103" s="1471" customFormat="1">
      <c r="D65" s="1473"/>
      <c r="E65" s="1472"/>
      <c r="CY65" s="1475"/>
    </row>
    <row r="66" spans="4:103" s="1471" customFormat="1">
      <c r="D66" s="1473"/>
      <c r="E66" s="1472"/>
      <c r="CY66" s="1475"/>
    </row>
    <row r="67" spans="4:103" s="1471" customFormat="1">
      <c r="D67" s="1473"/>
      <c r="E67" s="1472"/>
      <c r="CY67" s="1475"/>
    </row>
    <row r="68" spans="4:103" s="1471" customFormat="1">
      <c r="D68" s="1473"/>
      <c r="E68" s="1472"/>
      <c r="CY68" s="1475"/>
    </row>
    <row r="69" spans="4:103" s="1471" customFormat="1">
      <c r="D69" s="1473"/>
      <c r="E69" s="1472"/>
      <c r="CY69" s="1475"/>
    </row>
    <row r="70" spans="4:103" s="1471" customFormat="1">
      <c r="D70" s="1473"/>
      <c r="E70" s="1472"/>
      <c r="CY70" s="1475"/>
    </row>
    <row r="71" spans="4:103" s="1471" customFormat="1">
      <c r="D71" s="1473"/>
      <c r="E71" s="1472"/>
      <c r="CY71" s="1475"/>
    </row>
    <row r="72" spans="4:103" s="1471" customFormat="1">
      <c r="D72" s="1473"/>
      <c r="E72" s="1472"/>
      <c r="CY72" s="1475"/>
    </row>
    <row r="73" spans="4:103" s="1471" customFormat="1">
      <c r="D73" s="1473"/>
      <c r="E73" s="1472"/>
      <c r="CY73" s="1475"/>
    </row>
    <row r="74" spans="4:103" s="1471" customFormat="1">
      <c r="D74" s="1473"/>
      <c r="E74" s="1472"/>
      <c r="CY74" s="1475"/>
    </row>
    <row r="75" spans="4:103" s="1471" customFormat="1">
      <c r="D75" s="1473"/>
      <c r="E75" s="1472"/>
      <c r="CY75" s="1475"/>
    </row>
    <row r="76" spans="4:103" s="1471" customFormat="1">
      <c r="D76" s="1473"/>
      <c r="E76" s="1472"/>
      <c r="CY76" s="1475"/>
    </row>
    <row r="77" spans="4:103" s="1471" customFormat="1">
      <c r="D77" s="1473"/>
      <c r="E77" s="1472"/>
      <c r="CY77" s="1475"/>
    </row>
    <row r="78" spans="4:103" s="1471" customFormat="1">
      <c r="D78" s="1473"/>
      <c r="E78" s="1472"/>
      <c r="CY78" s="1475"/>
    </row>
    <row r="79" spans="4:103" s="1471" customFormat="1">
      <c r="D79" s="1473"/>
      <c r="E79" s="1472"/>
      <c r="CY79" s="1475"/>
    </row>
    <row r="80" spans="4:103" s="1471" customFormat="1">
      <c r="D80" s="1473"/>
      <c r="E80" s="1472"/>
      <c r="CY80" s="1475"/>
    </row>
    <row r="81" spans="4:103" s="1471" customFormat="1">
      <c r="D81" s="1473"/>
      <c r="E81" s="1472"/>
      <c r="CY81" s="1475"/>
    </row>
    <row r="82" spans="4:103" s="1471" customFormat="1">
      <c r="D82" s="1473"/>
      <c r="E82" s="1472"/>
      <c r="CY82" s="1475"/>
    </row>
    <row r="83" spans="4:103" s="1471" customFormat="1">
      <c r="D83" s="1473"/>
      <c r="E83" s="1472"/>
      <c r="CY83" s="1475"/>
    </row>
    <row r="84" spans="4:103" s="1471" customFormat="1">
      <c r="D84" s="1473"/>
      <c r="E84" s="1472"/>
      <c r="CY84" s="1475"/>
    </row>
    <row r="85" spans="4:103" s="1471" customFormat="1">
      <c r="D85" s="1473"/>
      <c r="E85" s="1472"/>
      <c r="CY85" s="1475"/>
    </row>
    <row r="86" spans="4:103" s="1471" customFormat="1">
      <c r="D86" s="1473"/>
      <c r="E86" s="1472"/>
      <c r="CY86" s="1475"/>
    </row>
    <row r="87" spans="4:103" s="1471" customFormat="1">
      <c r="D87" s="1473"/>
      <c r="E87" s="1472"/>
      <c r="CY87" s="1475"/>
    </row>
    <row r="88" spans="4:103" s="1471" customFormat="1">
      <c r="D88" s="1473"/>
      <c r="E88" s="1472"/>
      <c r="CY88" s="1475"/>
    </row>
    <row r="89" spans="4:103" s="1471" customFormat="1">
      <c r="D89" s="1473"/>
      <c r="E89" s="1472"/>
      <c r="CY89" s="1475"/>
    </row>
    <row r="90" spans="4:103" s="1471" customFormat="1">
      <c r="D90" s="1473"/>
      <c r="E90" s="1472"/>
      <c r="CY90" s="1475"/>
    </row>
    <row r="91" spans="4:103" s="1471" customFormat="1">
      <c r="D91" s="1473"/>
      <c r="E91" s="1472"/>
      <c r="CY91" s="1475"/>
    </row>
    <row r="92" spans="4:103" s="1471" customFormat="1">
      <c r="D92" s="1473"/>
      <c r="E92" s="1472"/>
      <c r="CY92" s="1475"/>
    </row>
    <row r="93" spans="4:103" s="1471" customFormat="1">
      <c r="D93" s="1473"/>
      <c r="E93" s="1472"/>
      <c r="CY93" s="1475"/>
    </row>
    <row r="94" spans="4:103" s="1471" customFormat="1">
      <c r="D94" s="1473"/>
      <c r="E94" s="1472"/>
      <c r="CY94" s="1475"/>
    </row>
    <row r="95" spans="4:103" s="1471" customFormat="1">
      <c r="D95" s="1473"/>
      <c r="E95" s="1472"/>
      <c r="CY95" s="1475"/>
    </row>
    <row r="96" spans="4:103" s="1471" customFormat="1">
      <c r="D96" s="1473"/>
      <c r="E96" s="1472"/>
      <c r="CY96" s="1475"/>
    </row>
    <row r="97" spans="4:103" s="1471" customFormat="1">
      <c r="D97" s="1473"/>
      <c r="E97" s="1472"/>
      <c r="CY97" s="1475"/>
    </row>
    <row r="98" spans="4:103" s="1471" customFormat="1">
      <c r="D98" s="1473"/>
      <c r="E98" s="1472"/>
      <c r="CY98" s="1475"/>
    </row>
    <row r="99" spans="4:103" s="1471" customFormat="1">
      <c r="D99" s="1473"/>
      <c r="E99" s="1472"/>
      <c r="CY99" s="1475"/>
    </row>
    <row r="1000" spans="1:1">
      <c r="A1000">
        <v>120</v>
      </c>
    </row>
  </sheetData>
  <sheetProtection algorithmName="SHA-512" hashValue="sErEKuJMNAux4q8WMotmOxu2g43J3tvRG7MSZIe46EpwFrrBLqKj30uKcxqwbm/TdD0oZWFOh9kZu4oicheDHw==" saltValue="xZqk+ImEWwN0x3pFNbU+4g==" spinCount="100000" sheet="1" objects="1" scenarios="1"/>
  <printOptions horizontalCentered="1" verticalCentered="1"/>
  <pageMargins left="0.70866141732283472" right="0.70866141732283472" top="1.1811023622047245" bottom="0.78740157480314965" header="0.51181102362204722" footer="0.31496062992125984"/>
  <pageSetup paperSize="9" orientation="landscape" r:id="rId1"/>
  <headerFooter>
    <oddHeader>&amp;L&amp;G&amp;R&amp;G</oddHeader>
    <oddFooter>&amp;L&amp;F &amp; / &amp;A&amp;CSeite &amp;P von &amp;N&amp;R © 2026 Juergen Erlewein</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17</vt:i4>
      </vt:variant>
    </vt:vector>
  </HeadingPairs>
  <TitlesOfParts>
    <vt:vector size="29" baseType="lpstr">
      <vt:lpstr>Deckblatt|Cover</vt:lpstr>
      <vt:lpstr>Vorwort|Preface</vt:lpstr>
      <vt:lpstr>0 Daten|Data</vt:lpstr>
      <vt:lpstr>1 Private Kosten|Costs</vt:lpstr>
      <vt:lpstr>2 Umsatz|Sales</vt:lpstr>
      <vt:lpstr>3  Betriebskosten|Operation Ex</vt:lpstr>
      <vt:lpstr>4 Invest</vt:lpstr>
      <vt:lpstr>5 Rendite|Profit</vt:lpstr>
      <vt:lpstr>6 GuV</vt:lpstr>
      <vt:lpstr>7 Liquiditaet|Liquidity</vt:lpstr>
      <vt:lpstr>8 Kapital|Capital</vt:lpstr>
      <vt:lpstr>9 Uebersicht|Summery</vt:lpstr>
      <vt:lpstr>'Vorwort|Preface'!_ftn1</vt:lpstr>
      <vt:lpstr>'Vorwort|Preface'!_ftnref1</vt:lpstr>
      <vt:lpstr>'0 Daten|Data'!Druckbereich</vt:lpstr>
      <vt:lpstr>'1 Private Kosten|Costs'!Druckbereich</vt:lpstr>
      <vt:lpstr>'2 Umsatz|Sales'!Druckbereich</vt:lpstr>
      <vt:lpstr>'3  Betriebskosten|Operation Ex'!Druckbereich</vt:lpstr>
      <vt:lpstr>'4 Invest'!Druckbereich</vt:lpstr>
      <vt:lpstr>'5 Rendite|Profit'!Druckbereich</vt:lpstr>
      <vt:lpstr>'6 GuV'!Druckbereich</vt:lpstr>
      <vt:lpstr>'7 Liquiditaet|Liquidity'!Druckbereich</vt:lpstr>
      <vt:lpstr>'8 Kapital|Capital'!Druckbereich</vt:lpstr>
      <vt:lpstr>'9 Uebersicht|Summery'!Druckbereich</vt:lpstr>
      <vt:lpstr>'Deckblatt|Cover'!Druckbereich</vt:lpstr>
      <vt:lpstr>'Vorwort|Preface'!Druckbereich</vt:lpstr>
      <vt:lpstr>MwSt_0</vt:lpstr>
      <vt:lpstr>MwSt_19</vt:lpstr>
      <vt:lpstr>MwSt_7</vt:lpstr>
    </vt:vector>
  </TitlesOfParts>
  <LinksUpToDate>false</LinksUpToDate>
  <SharedDoc>false</SharedDoc>
  <HyperlinkBase>www.kindermanns.de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Finanzplanung für Gründer leicht gemacht!</dc:title>
  <dc:subject>Von der Umsatzprognose bis zum Liquiditätsplan</dc:subject>
  <dc:creator>Jürgen Erlewein</dc:creator>
  <cp:keywords>Gründer, Finanzplanung, Umsatzprognose, Liquiditätsplan</cp:keywords>
  <dc:description>Abschreibungen im 2.Planjahr auf Monate verteilt; Aufbau Lagerbestand als Investition ohne Abschreibung eingeführt</dc:description>
  <cp:lastModifiedBy>Juergen Erlewein</cp:lastModifiedBy>
  <cp:lastPrinted>2026-05-26T16:29:59Z</cp:lastPrinted>
  <dcterms:created xsi:type="dcterms:W3CDTF">2010-05-05T17:18:59Z</dcterms:created>
  <dcterms:modified xsi:type="dcterms:W3CDTF">2026-07-13T14:02:59Z</dcterms:modified>
</cp:coreProperties>
</file>